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S:\PROJECTS\2-Develop\Kelsey Civic Center\2. FINANCE\2.5 Funding Sources\2.5.4 Equity\TCAC Funding\Application\Draft Application\Section 40 - Excel Application\"/>
    </mc:Choice>
  </mc:AlternateContent>
  <xr:revisionPtr revIDLastSave="0" documentId="13_ncr:1_{2B9BA12E-3B92-45D0-A170-CA9E53B340A5}" xr6:coauthVersionLast="47" xr6:coauthVersionMax="47" xr10:uidLastSave="{00000000-0000-0000-0000-000000000000}"/>
  <bookViews>
    <workbookView xWindow="31590" yWindow="2790" windowWidth="21600" windowHeight="11265"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641" i="3" l="1"/>
  <c r="C76" i="4"/>
  <c r="AO642" i="3"/>
  <c r="D32" i="4"/>
  <c r="C45" i="4" l="1"/>
  <c r="S93" i="4"/>
  <c r="C93" i="4"/>
  <c r="D93" i="4"/>
  <c r="S45" i="4"/>
  <c r="AA932" i="3" l="1"/>
  <c r="I932" i="3"/>
  <c r="I933" i="3"/>
  <c r="AA933" i="3"/>
  <c r="G66" i="7"/>
  <c r="I66" i="7" s="1"/>
  <c r="K66" i="7" s="1"/>
  <c r="M66" i="7" s="1"/>
  <c r="O66" i="7" s="1"/>
  <c r="Q66" i="7" s="1"/>
  <c r="S66" i="7" s="1"/>
  <c r="U66" i="7" s="1"/>
  <c r="W66" i="7" s="1"/>
  <c r="Y66" i="7" s="1"/>
  <c r="AA66" i="7" s="1"/>
  <c r="AC66" i="7" s="1"/>
  <c r="AE66" i="7" s="1"/>
  <c r="AG66" i="7" s="1"/>
  <c r="L27" i="4"/>
  <c r="L41" i="4"/>
  <c r="L40" i="4"/>
  <c r="L37" i="4"/>
  <c r="L36" i="4"/>
  <c r="L35" i="4"/>
  <c r="L34" i="4"/>
  <c r="L32" i="4"/>
  <c r="L31" i="4"/>
  <c r="L30" i="4"/>
  <c r="L29" i="4"/>
  <c r="L53" i="4"/>
  <c r="L52" i="4"/>
  <c r="L51" i="4"/>
  <c r="L50" i="4"/>
  <c r="L49" i="4"/>
  <c r="L48" i="4"/>
  <c r="L47" i="4"/>
  <c r="L46" i="4"/>
  <c r="L45" i="4"/>
  <c r="L61" i="4"/>
  <c r="L60" i="4"/>
  <c r="L59" i="4"/>
  <c r="L58" i="4"/>
  <c r="L57" i="4"/>
  <c r="L56" i="4"/>
  <c r="L69" i="4"/>
  <c r="L68" i="4"/>
  <c r="L67" i="4"/>
  <c r="L66" i="4"/>
  <c r="L65" i="4"/>
  <c r="L76" i="4"/>
  <c r="L75" i="4"/>
  <c r="L74" i="4"/>
  <c r="L73" i="4"/>
  <c r="L72" i="4"/>
  <c r="L80" i="4"/>
  <c r="L79" i="4"/>
  <c r="L95" i="4"/>
  <c r="L94" i="4"/>
  <c r="L92" i="4"/>
  <c r="L91" i="4"/>
  <c r="L90" i="4"/>
  <c r="L89" i="4"/>
  <c r="L88" i="4"/>
  <c r="L87" i="4"/>
  <c r="L86" i="4"/>
  <c r="L85" i="4"/>
  <c r="L84" i="4"/>
  <c r="L83" i="4"/>
  <c r="L99" i="4"/>
  <c r="M30" i="4"/>
  <c r="L13" i="4"/>
  <c r="D43" i="4"/>
  <c r="L43" i="4" s="1"/>
  <c r="C65" i="4"/>
  <c r="AC891" i="3"/>
  <c r="C644" i="3"/>
  <c r="C642" i="3"/>
  <c r="C641" i="3"/>
  <c r="R637" i="3"/>
  <c r="AO639" i="3"/>
  <c r="O637" i="3"/>
  <c r="L93" i="4" l="1"/>
  <c r="K93" i="4" s="1"/>
  <c r="L4" i="25"/>
  <c r="M61" i="4"/>
  <c r="AG445" i="3" l="1"/>
  <c r="S99" i="4"/>
  <c r="S95" i="4"/>
  <c r="S94" i="4"/>
  <c r="S92" i="4"/>
  <c r="S89" i="4"/>
  <c r="S87" i="4"/>
  <c r="S86" i="4"/>
  <c r="S85" i="4"/>
  <c r="S84" i="4"/>
  <c r="S80" i="4"/>
  <c r="S79" i="4"/>
  <c r="S67" i="4"/>
  <c r="S52" i="4"/>
  <c r="S50" i="4"/>
  <c r="S43" i="4"/>
  <c r="S41" i="4"/>
  <c r="S40" i="4"/>
  <c r="S30" i="4"/>
  <c r="S31" i="4"/>
  <c r="S32" i="4"/>
  <c r="S33" i="4"/>
  <c r="S34" i="4"/>
  <c r="S35" i="4"/>
  <c r="S36" i="4"/>
  <c r="S37" i="4"/>
  <c r="S29" i="4"/>
  <c r="E95" i="4"/>
  <c r="R95" i="4" s="1"/>
  <c r="E94" i="4"/>
  <c r="R94" i="4" s="1"/>
  <c r="E92" i="4"/>
  <c r="R92" i="4" s="1"/>
  <c r="E91" i="4"/>
  <c r="R91" i="4" s="1"/>
  <c r="E89" i="4"/>
  <c r="R89" i="4" s="1"/>
  <c r="E87" i="4"/>
  <c r="E86" i="4"/>
  <c r="E85" i="4"/>
  <c r="E84" i="4"/>
  <c r="R84" i="4" s="1"/>
  <c r="E80" i="4"/>
  <c r="R80" i="4" s="1"/>
  <c r="E74" i="4"/>
  <c r="R74" i="4" s="1"/>
  <c r="E73" i="4"/>
  <c r="R73" i="4" s="1"/>
  <c r="E72" i="4"/>
  <c r="R72" i="4" s="1"/>
  <c r="E69" i="4"/>
  <c r="E68" i="4"/>
  <c r="E67" i="4"/>
  <c r="E66" i="4"/>
  <c r="R66" i="4" s="1"/>
  <c r="E60" i="4"/>
  <c r="R60" i="4" s="1"/>
  <c r="E59" i="4"/>
  <c r="R59" i="4" s="1"/>
  <c r="E58" i="4"/>
  <c r="R58" i="4" s="1"/>
  <c r="E57" i="4"/>
  <c r="R57" i="4" s="1"/>
  <c r="E52" i="4"/>
  <c r="E51" i="4"/>
  <c r="E50" i="4"/>
  <c r="E48" i="4"/>
  <c r="R48" i="4" s="1"/>
  <c r="E47" i="4"/>
  <c r="R47" i="4" s="1"/>
  <c r="E41" i="4"/>
  <c r="R41" i="4" s="1"/>
  <c r="E40" i="4"/>
  <c r="R40" i="4" s="1"/>
  <c r="E37" i="4"/>
  <c r="R37" i="4" s="1"/>
  <c r="E36" i="4"/>
  <c r="E35" i="4"/>
  <c r="E34" i="4"/>
  <c r="E31" i="4"/>
  <c r="E29" i="4"/>
  <c r="R29" i="4" s="1"/>
  <c r="E27" i="4"/>
  <c r="R27" i="4" s="1"/>
  <c r="E13" i="4"/>
  <c r="M81" i="4"/>
  <c r="H30" i="4"/>
  <c r="G30" i="4"/>
  <c r="F30" i="4"/>
  <c r="C43" i="4"/>
  <c r="A32" i="7"/>
  <c r="A31" i="7"/>
  <c r="E31" i="7"/>
  <c r="E32" i="7"/>
  <c r="G32" i="7" s="1"/>
  <c r="I32" i="7" s="1"/>
  <c r="K32" i="7" s="1"/>
  <c r="M32" i="7" s="1"/>
  <c r="O32" i="7" s="1"/>
  <c r="Q32" i="7" s="1"/>
  <c r="S32" i="7" s="1"/>
  <c r="U32" i="7" s="1"/>
  <c r="W32" i="7" s="1"/>
  <c r="Y32" i="7" s="1"/>
  <c r="AA32" i="7" s="1"/>
  <c r="AC32" i="7" s="1"/>
  <c r="AE32" i="7" s="1"/>
  <c r="AG32" i="7" s="1"/>
  <c r="D69" i="4"/>
  <c r="C69" i="4"/>
  <c r="D33" i="4"/>
  <c r="L33" i="4" s="1"/>
  <c r="L38" i="4" s="1"/>
  <c r="C32" i="4"/>
  <c r="C33" i="4"/>
  <c r="I931" i="3"/>
  <c r="AA931" i="3"/>
  <c r="N99" i="4"/>
  <c r="AF638" i="3"/>
  <c r="E40" i="7" s="1"/>
  <c r="G685" i="3"/>
  <c r="J30" i="4"/>
  <c r="J38" i="4" s="1"/>
  <c r="J63" i="4" s="1"/>
  <c r="J97" i="4" s="1"/>
  <c r="J105" i="4" s="1"/>
  <c r="I30" i="4"/>
  <c r="I38" i="4" s="1"/>
  <c r="I63" i="4" s="1"/>
  <c r="I97" i="4" s="1"/>
  <c r="I105" i="4" s="1"/>
  <c r="R642" i="3"/>
  <c r="AF637" i="3"/>
  <c r="E39" i="7" s="1"/>
  <c r="U641" i="3"/>
  <c r="Z669" i="3"/>
  <c r="W845" i="3"/>
  <c r="C4" i="8"/>
  <c r="H4" i="8" s="1"/>
  <c r="I4" i="8" s="1"/>
  <c r="I5" i="8"/>
  <c r="C6" i="8"/>
  <c r="H6" i="8" s="1"/>
  <c r="I6" i="8" s="1"/>
  <c r="I7" i="8"/>
  <c r="I8" i="8"/>
  <c r="I9" i="8"/>
  <c r="I10" i="8"/>
  <c r="I11" i="8"/>
  <c r="I12" i="8"/>
  <c r="I13" i="8"/>
  <c r="I14" i="8"/>
  <c r="I15" i="8"/>
  <c r="I16" i="8"/>
  <c r="I17" i="8"/>
  <c r="I18" i="8"/>
  <c r="I19" i="8"/>
  <c r="I20" i="8"/>
  <c r="I21" i="8"/>
  <c r="I22" i="8"/>
  <c r="I23" i="8"/>
  <c r="I24" i="8"/>
  <c r="I25" i="8"/>
  <c r="I26" i="8"/>
  <c r="I27" i="8"/>
  <c r="I28" i="8"/>
  <c r="AA915" i="3"/>
  <c r="O638" i="3"/>
  <c r="O639" i="3" s="1"/>
  <c r="R639" i="3" s="1"/>
  <c r="H294" i="3"/>
  <c r="AD1036" i="3"/>
  <c r="N158" i="25"/>
  <c r="B85" i="4"/>
  <c r="B86" i="4"/>
  <c r="N157" i="25"/>
  <c r="N164" i="25"/>
  <c r="C38" i="4"/>
  <c r="C42" i="4"/>
  <c r="C54" i="4"/>
  <c r="C62" i="4"/>
  <c r="C70" i="4"/>
  <c r="B70" i="4" s="1"/>
  <c r="C81" i="4"/>
  <c r="C96" i="4"/>
  <c r="B96" i="13" s="1"/>
  <c r="C104" i="4"/>
  <c r="D42" i="4"/>
  <c r="D54" i="4"/>
  <c r="D62" i="4"/>
  <c r="D70" i="4"/>
  <c r="D81" i="4"/>
  <c r="B81" i="4" s="1"/>
  <c r="D96" i="4"/>
  <c r="D104" i="4"/>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AH57" i="25"/>
  <c r="Z57" i="25"/>
  <c r="R57" i="25"/>
  <c r="AO47" i="25"/>
  <c r="AO46" i="25"/>
  <c r="AO45" i="25"/>
  <c r="AO44" i="25"/>
  <c r="AO43" i="25"/>
  <c r="AO42" i="25"/>
  <c r="AO41" i="25"/>
  <c r="AO40" i="25"/>
  <c r="AO39" i="25"/>
  <c r="AO38" i="25"/>
  <c r="AO37" i="25"/>
  <c r="AO36" i="25"/>
  <c r="U589" i="20"/>
  <c r="J28" i="25"/>
  <c r="AK267" i="20"/>
  <c r="B24" i="4"/>
  <c r="R36" i="4"/>
  <c r="B36" i="4"/>
  <c r="B66" i="4"/>
  <c r="B67" i="4"/>
  <c r="B68" i="4"/>
  <c r="B69" i="4"/>
  <c r="R67" i="4"/>
  <c r="R68" i="4"/>
  <c r="AD67" i="15"/>
  <c r="Y67" i="15"/>
  <c r="A104" i="11"/>
  <c r="C101" i="11"/>
  <c r="C102" i="11"/>
  <c r="C103" i="11"/>
  <c r="C104" i="11"/>
  <c r="B101" i="11"/>
  <c r="B102" i="11"/>
  <c r="B103" i="11"/>
  <c r="B104" i="11"/>
  <c r="C85" i="11"/>
  <c r="C86" i="11"/>
  <c r="C87" i="11"/>
  <c r="C88" i="11"/>
  <c r="C89" i="11"/>
  <c r="D89" i="11" s="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E30" i="7"/>
  <c r="G30" i="7" s="1"/>
  <c r="I30" i="7" s="1"/>
  <c r="K30" i="7" s="1"/>
  <c r="M30" i="7" s="1"/>
  <c r="O30" i="7" s="1"/>
  <c r="Q30" i="7" s="1"/>
  <c r="S30" i="7" s="1"/>
  <c r="U30" i="7" s="1"/>
  <c r="W30" i="7" s="1"/>
  <c r="Y30" i="7" s="1"/>
  <c r="AA30" i="7" s="1"/>
  <c r="AC30" i="7" s="1"/>
  <c r="AE30" i="7" s="1"/>
  <c r="AG30" i="7" s="1"/>
  <c r="E28" i="7"/>
  <c r="AG28" i="7" s="1"/>
  <c r="E29" i="7"/>
  <c r="G29" i="7" s="1"/>
  <c r="I29" i="7" s="1"/>
  <c r="K29" i="7" s="1"/>
  <c r="M29" i="7" s="1"/>
  <c r="O29" i="7" s="1"/>
  <c r="Q29" i="7" s="1"/>
  <c r="S29" i="7" s="1"/>
  <c r="U29" i="7" s="1"/>
  <c r="W29" i="7" s="1"/>
  <c r="Y29" i="7" s="1"/>
  <c r="AA29" i="7" s="1"/>
  <c r="AC29" i="7" s="1"/>
  <c r="AE29" i="7" s="1"/>
  <c r="AG29" i="7" s="1"/>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s="1"/>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90" i="20" s="1"/>
  <c r="AQ590" i="20" s="1"/>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9" i="20" s="1"/>
  <c r="AK320" i="20" s="1"/>
  <c r="AP277" i="20"/>
  <c r="AP276" i="20"/>
  <c r="AP275" i="20"/>
  <c r="AJ163" i="20"/>
  <c r="T790" i="20" s="1"/>
  <c r="AJ149" i="20"/>
  <c r="T789" i="20" s="1"/>
  <c r="AO59" i="20"/>
  <c r="AO58" i="20"/>
  <c r="AO60" i="20" s="1"/>
  <c r="AO57" i="20"/>
  <c r="AO29" i="20"/>
  <c r="AO28" i="20"/>
  <c r="AO27" i="20"/>
  <c r="AO26" i="20"/>
  <c r="AO25" i="20"/>
  <c r="AO24" i="20"/>
  <c r="AO23" i="20"/>
  <c r="AO20" i="20"/>
  <c r="AO21" i="20"/>
  <c r="AO15" i="20"/>
  <c r="AO14" i="20"/>
  <c r="AO13" i="20"/>
  <c r="AO16" i="20" s="1"/>
  <c r="AO32" i="20" s="1"/>
  <c r="AK51" i="20" s="1"/>
  <c r="AO12" i="20"/>
  <c r="AO30" i="20"/>
  <c r="AK750" i="20"/>
  <c r="T793" i="20"/>
  <c r="AF793" i="20"/>
  <c r="T794" i="20"/>
  <c r="AF794" i="20" s="1"/>
  <c r="W860" i="3"/>
  <c r="A3" i="15"/>
  <c r="BA1000" i="3"/>
  <c r="AD64" i="15"/>
  <c r="T11" i="4"/>
  <c r="R10" i="4"/>
  <c r="T25" i="15"/>
  <c r="AI7" i="15" s="1"/>
  <c r="AG440" i="3"/>
  <c r="AG443" i="3"/>
  <c r="B59" i="4"/>
  <c r="C80" i="11"/>
  <c r="C81" i="11"/>
  <c r="B80" i="11"/>
  <c r="B81" i="11"/>
  <c r="I96" i="13"/>
  <c r="J96" i="13"/>
  <c r="J81" i="13"/>
  <c r="I81" i="13"/>
  <c r="G81" i="13"/>
  <c r="F81" i="13"/>
  <c r="D81" i="13"/>
  <c r="C81" i="13"/>
  <c r="H80" i="13"/>
  <c r="E80" i="13"/>
  <c r="B80" i="13"/>
  <c r="S70" i="4"/>
  <c r="E70" i="13" s="1"/>
  <c r="F81" i="4"/>
  <c r="G81" i="4"/>
  <c r="H81" i="4"/>
  <c r="I81" i="4"/>
  <c r="J81" i="4"/>
  <c r="K81" i="4"/>
  <c r="L81" i="4"/>
  <c r="N81" i="4"/>
  <c r="O81" i="4"/>
  <c r="P81" i="4"/>
  <c r="Q81" i="4"/>
  <c r="S81" i="4"/>
  <c r="E81" i="13"/>
  <c r="T81" i="4"/>
  <c r="H81" i="13"/>
  <c r="B80" i="4"/>
  <c r="C9" i="7"/>
  <c r="C7" i="7"/>
  <c r="C5" i="7"/>
  <c r="A76" i="13"/>
  <c r="A61" i="13"/>
  <c r="A37" i="13"/>
  <c r="A25" i="13"/>
  <c r="A103" i="13"/>
  <c r="A95" i="13"/>
  <c r="A94" i="13"/>
  <c r="A93" i="13"/>
  <c r="AD68" i="15"/>
  <c r="F5" i="8"/>
  <c r="F6" i="8"/>
  <c r="F7" i="8"/>
  <c r="F8" i="8"/>
  <c r="F9" i="8"/>
  <c r="F10" i="8"/>
  <c r="F11" i="8"/>
  <c r="F12" i="8"/>
  <c r="F13" i="8"/>
  <c r="B14" i="8"/>
  <c r="F14" i="8"/>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4" i="13"/>
  <c r="B73" i="13"/>
  <c r="B72"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87" i="4"/>
  <c r="R86" i="4"/>
  <c r="R85" i="4"/>
  <c r="R69" i="4"/>
  <c r="R52" i="4"/>
  <c r="R51" i="4"/>
  <c r="R50" i="4"/>
  <c r="R35" i="4"/>
  <c r="R34" i="4"/>
  <c r="R31"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B55" i="11" s="1"/>
  <c r="C46" i="11"/>
  <c r="C55" i="11" s="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D62" i="11" s="1"/>
  <c r="B66" i="11"/>
  <c r="D66" i="11" s="1"/>
  <c r="C66" i="11"/>
  <c r="B73" i="11"/>
  <c r="C73" i="11"/>
  <c r="B74" i="11"/>
  <c r="C74" i="11"/>
  <c r="B75" i="11"/>
  <c r="C75" i="11"/>
  <c r="B84" i="11"/>
  <c r="C84" i="11"/>
  <c r="D84" i="11" s="1"/>
  <c r="B100" i="11"/>
  <c r="C100" i="11"/>
  <c r="A4" i="8"/>
  <c r="F4" i="8"/>
  <c r="A5" i="8"/>
  <c r="C5" i="8"/>
  <c r="H5" i="8"/>
  <c r="A6" i="8"/>
  <c r="A7" i="8"/>
  <c r="C7" i="8"/>
  <c r="H7" i="8"/>
  <c r="A8" i="8"/>
  <c r="C8" i="8"/>
  <c r="H8" i="8"/>
  <c r="A9" i="8"/>
  <c r="C9" i="8"/>
  <c r="H9" i="8"/>
  <c r="A10" i="8"/>
  <c r="C10" i="8"/>
  <c r="H10" i="8"/>
  <c r="A11" i="8"/>
  <c r="C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E15" i="7"/>
  <c r="G15" i="7"/>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31" i="7"/>
  <c r="I31" i="7" s="1"/>
  <c r="K31" i="7" s="1"/>
  <c r="M31" i="7" s="1"/>
  <c r="O31" i="7" s="1"/>
  <c r="Q31" i="7" s="1"/>
  <c r="S31" i="7" s="1"/>
  <c r="U31" i="7" s="1"/>
  <c r="W31" i="7" s="1"/>
  <c r="Y31" i="7" s="1"/>
  <c r="AA31" i="7" s="1"/>
  <c r="AC31" i="7" s="1"/>
  <c r="AE31" i="7" s="1"/>
  <c r="AG31" i="7" s="1"/>
  <c r="A39"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s="1"/>
  <c r="T70" i="4"/>
  <c r="H70" i="13"/>
  <c r="T96" i="4"/>
  <c r="H96" i="13" s="1"/>
  <c r="CB799" i="3"/>
  <c r="R972"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BN651" i="3"/>
  <c r="CS651" i="3" s="1"/>
  <c r="BN652" i="3"/>
  <c r="CS652" i="3" s="1"/>
  <c r="BN653" i="3"/>
  <c r="CS653" i="3" s="1"/>
  <c r="BN654" i="3"/>
  <c r="CS654" i="3" s="1"/>
  <c r="BN655" i="3"/>
  <c r="CS655" i="3" s="1"/>
  <c r="BN656" i="3"/>
  <c r="CS656" i="3" s="1"/>
  <c r="BN657" i="3"/>
  <c r="CS657" i="3" s="1"/>
  <c r="BS610" i="3"/>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BS650" i="3"/>
  <c r="CX650" i="3" s="1"/>
  <c r="BS651" i="3"/>
  <c r="CX651" i="3" s="1"/>
  <c r="BS652" i="3"/>
  <c r="CX652" i="3" s="1"/>
  <c r="BS653" i="3"/>
  <c r="CX653" i="3" s="1"/>
  <c r="BS654" i="3"/>
  <c r="CX654" i="3" s="1"/>
  <c r="BS655" i="3"/>
  <c r="CX655" i="3" s="1"/>
  <c r="BS656" i="3"/>
  <c r="CX656" i="3" s="1"/>
  <c r="BS657" i="3"/>
  <c r="CX657" i="3" s="1"/>
  <c r="BX610" i="3"/>
  <c r="EH610" i="3" s="1"/>
  <c r="BX611" i="3"/>
  <c r="EH611" i="3"/>
  <c r="BX612" i="3"/>
  <c r="EH612" i="3" s="1"/>
  <c r="BX613" i="3"/>
  <c r="BX614" i="3"/>
  <c r="EH614" i="3" s="1"/>
  <c r="BX615" i="3"/>
  <c r="EH615" i="3" s="1"/>
  <c r="BX616" i="3"/>
  <c r="EH616" i="3" s="1"/>
  <c r="BX617" i="3"/>
  <c r="EH617" i="3" s="1"/>
  <c r="BX618" i="3"/>
  <c r="EH618" i="3"/>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c r="B38" i="13"/>
  <c r="B54" i="13"/>
  <c r="B62" i="13"/>
  <c r="B104" i="13"/>
  <c r="D8" i="4"/>
  <c r="D11" i="4"/>
  <c r="D26" i="4"/>
  <c r="D77" i="4"/>
  <c r="B104" i="4"/>
  <c r="S26" i="4"/>
  <c r="E26" i="13"/>
  <c r="S38" i="4"/>
  <c r="E38" i="13"/>
  <c r="S42" i="4"/>
  <c r="E42" i="13"/>
  <c r="S54" i="4"/>
  <c r="E54" i="13" s="1"/>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O26" i="4"/>
  <c r="P26" i="4"/>
  <c r="Q26" i="4"/>
  <c r="B27" i="4"/>
  <c r="B29" i="4"/>
  <c r="B30" i="4"/>
  <c r="B31" i="4"/>
  <c r="B32" i="4"/>
  <c r="E32" i="4" s="1"/>
  <c r="R32" i="4" s="1"/>
  <c r="B33" i="4"/>
  <c r="E33" i="4" s="1"/>
  <c r="R33" i="4" s="1"/>
  <c r="B34" i="4"/>
  <c r="B35" i="4"/>
  <c r="B37" i="4"/>
  <c r="G38" i="4"/>
  <c r="H38" i="4"/>
  <c r="H63" i="4" s="1"/>
  <c r="H97" i="4" s="1"/>
  <c r="H105" i="4" s="1"/>
  <c r="O38" i="4"/>
  <c r="P38" i="4"/>
  <c r="P42" i="4"/>
  <c r="P54" i="4"/>
  <c r="P62" i="4"/>
  <c r="P70" i="4"/>
  <c r="P77" i="4"/>
  <c r="P96" i="4"/>
  <c r="P104" i="4"/>
  <c r="Q38" i="4"/>
  <c r="B40" i="4"/>
  <c r="B41" i="4"/>
  <c r="G42" i="4"/>
  <c r="H42" i="4"/>
  <c r="K42" i="4"/>
  <c r="L42" i="4"/>
  <c r="O42" i="4"/>
  <c r="Q42" i="4"/>
  <c r="B43" i="4"/>
  <c r="E43" i="4" s="1"/>
  <c r="R43" i="4" s="1"/>
  <c r="B45" i="4"/>
  <c r="B46" i="4"/>
  <c r="E46" i="4" s="1"/>
  <c r="R46" i="4" s="1"/>
  <c r="B47" i="4"/>
  <c r="B48" i="4"/>
  <c r="B49" i="4"/>
  <c r="E49" i="4" s="1"/>
  <c r="R49" i="4" s="1"/>
  <c r="B50" i="4"/>
  <c r="B51" i="4"/>
  <c r="B52" i="4"/>
  <c r="B53" i="4"/>
  <c r="E53" i="4" s="1"/>
  <c r="R53" i="4" s="1"/>
  <c r="G54" i="4"/>
  <c r="H54" i="4"/>
  <c r="K54" i="4"/>
  <c r="L54" i="4"/>
  <c r="O54" i="4"/>
  <c r="Q54" i="4"/>
  <c r="B56" i="4"/>
  <c r="E56" i="4" s="1"/>
  <c r="B57" i="4"/>
  <c r="B58" i="4"/>
  <c r="B60" i="4"/>
  <c r="B61" i="4"/>
  <c r="E61" i="4" s="1"/>
  <c r="R61" i="4" s="1"/>
  <c r="G62" i="4"/>
  <c r="H62" i="4"/>
  <c r="K62" i="4"/>
  <c r="L62" i="4"/>
  <c r="O62" i="4"/>
  <c r="O70" i="4"/>
  <c r="O77" i="4"/>
  <c r="O96" i="4"/>
  <c r="O104" i="4"/>
  <c r="Q62" i="4"/>
  <c r="B65" i="4"/>
  <c r="E65" i="4" s="1"/>
  <c r="F70" i="4"/>
  <c r="G70" i="4"/>
  <c r="H70" i="4"/>
  <c r="I70" i="4"/>
  <c r="K70" i="4"/>
  <c r="L70" i="4"/>
  <c r="Q70" i="4"/>
  <c r="B72" i="4"/>
  <c r="B73" i="4"/>
  <c r="B74" i="4"/>
  <c r="F77" i="4"/>
  <c r="G77" i="4"/>
  <c r="H77" i="4"/>
  <c r="I77" i="4"/>
  <c r="K77" i="4"/>
  <c r="L77" i="4"/>
  <c r="Q77" i="4"/>
  <c r="B79" i="4"/>
  <c r="E79" i="4" s="1"/>
  <c r="B83" i="4"/>
  <c r="E83" i="4" s="1"/>
  <c r="R83" i="4" s="1"/>
  <c r="B84" i="4"/>
  <c r="B87" i="4"/>
  <c r="B88" i="4"/>
  <c r="E88" i="4" s="1"/>
  <c r="R88" i="4" s="1"/>
  <c r="B89" i="4"/>
  <c r="B90" i="4"/>
  <c r="E90" i="4" s="1"/>
  <c r="R90" i="4" s="1"/>
  <c r="B91" i="4"/>
  <c r="B92" i="4"/>
  <c r="B93" i="4"/>
  <c r="E93" i="4" s="1"/>
  <c r="B94" i="4"/>
  <c r="B95" i="4"/>
  <c r="F96" i="4"/>
  <c r="G96" i="4"/>
  <c r="H96" i="4"/>
  <c r="I96" i="4"/>
  <c r="K96" i="4"/>
  <c r="Q96" i="4"/>
  <c r="B101" i="4"/>
  <c r="B102" i="4"/>
  <c r="B103" i="4"/>
  <c r="F104" i="4"/>
  <c r="G104" i="4"/>
  <c r="H104" i="4"/>
  <c r="I104" i="4"/>
  <c r="K104" i="4"/>
  <c r="L104" i="4"/>
  <c r="Q104" i="4"/>
  <c r="E108" i="4"/>
  <c r="F108" i="4"/>
  <c r="G108" i="4"/>
  <c r="H108" i="4"/>
  <c r="I108" i="4"/>
  <c r="J108" i="4"/>
  <c r="K108" i="4"/>
  <c r="K30" i="4" s="1"/>
  <c r="K38" i="4" s="1"/>
  <c r="K63" i="4" s="1"/>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AC737" i="3"/>
  <c r="BA680" i="3"/>
  <c r="BA681"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3" i="20" s="1"/>
  <c r="O796" i="3"/>
  <c r="O776" i="3"/>
  <c r="M830" i="3"/>
  <c r="Q830" i="3"/>
  <c r="U830" i="3"/>
  <c r="Y830" i="3"/>
  <c r="AC830" i="3"/>
  <c r="AG830" i="3"/>
  <c r="BI844" i="3"/>
  <c r="Z899" i="3"/>
  <c r="BA997" i="3"/>
  <c r="BA998" i="3"/>
  <c r="BA999" i="3"/>
  <c r="BA1001" i="3"/>
  <c r="BA1002" i="3"/>
  <c r="BA1003" i="3"/>
  <c r="BA1004" i="3"/>
  <c r="BA1005" i="3"/>
  <c r="AF1000" i="3"/>
  <c r="B26" i="4"/>
  <c r="B27" i="11"/>
  <c r="D49" i="11"/>
  <c r="D50" i="11"/>
  <c r="C27" i="11"/>
  <c r="I63" i="13"/>
  <c r="I97" i="13"/>
  <c r="I105" i="13"/>
  <c r="I107" i="13"/>
  <c r="B81" i="13"/>
  <c r="D54" i="11"/>
  <c r="D53" i="11"/>
  <c r="J63" i="13"/>
  <c r="J97" i="13"/>
  <c r="J105" i="13"/>
  <c r="J107" i="13"/>
  <c r="L12" i="4"/>
  <c r="D48" i="11"/>
  <c r="D93" i="11"/>
  <c r="D5" i="11"/>
  <c r="D70" i="11"/>
  <c r="D80" i="11"/>
  <c r="D52" i="11"/>
  <c r="I12" i="4"/>
  <c r="G12" i="4"/>
  <c r="D6" i="11"/>
  <c r="Q12" i="4"/>
  <c r="B11" i="4"/>
  <c r="O63" i="4"/>
  <c r="O97" i="4"/>
  <c r="O105" i="4"/>
  <c r="D18" i="11"/>
  <c r="B8" i="4"/>
  <c r="D10" i="11"/>
  <c r="D36" i="11"/>
  <c r="G63" i="13"/>
  <c r="G97" i="13"/>
  <c r="G105" i="13"/>
  <c r="G107" i="13"/>
  <c r="D61" i="11"/>
  <c r="D57" i="11"/>
  <c r="D20" i="11"/>
  <c r="D8" i="11"/>
  <c r="D85" i="11"/>
  <c r="B43" i="11"/>
  <c r="D102" i="11"/>
  <c r="D94" i="11"/>
  <c r="K12" i="4"/>
  <c r="C43" i="11"/>
  <c r="C12" i="13"/>
  <c r="D7" i="11"/>
  <c r="J12" i="4"/>
  <c r="D22" i="11"/>
  <c r="O12" i="4"/>
  <c r="D95" i="11"/>
  <c r="D25" i="11"/>
  <c r="B82" i="11"/>
  <c r="B11" i="13"/>
  <c r="D12" i="4"/>
  <c r="H12" i="4"/>
  <c r="C82" i="11"/>
  <c r="B9" i="11"/>
  <c r="C39" i="11"/>
  <c r="D23" i="11"/>
  <c r="D19" i="11"/>
  <c r="D73" i="11"/>
  <c r="D44" i="11"/>
  <c r="D35" i="11"/>
  <c r="D31" i="11"/>
  <c r="D32" i="11"/>
  <c r="D15" i="11"/>
  <c r="D63" i="13"/>
  <c r="D97" i="13"/>
  <c r="D105" i="13"/>
  <c r="D14" i="11"/>
  <c r="Q63" i="4"/>
  <c r="Q97" i="4"/>
  <c r="Q105" i="4"/>
  <c r="C105" i="11"/>
  <c r="D105" i="11" s="1"/>
  <c r="D87" i="11"/>
  <c r="N63" i="4"/>
  <c r="N97" i="4"/>
  <c r="N12" i="4"/>
  <c r="F12" i="4"/>
  <c r="D60" i="11"/>
  <c r="M12" i="4"/>
  <c r="R8" i="4"/>
  <c r="D74" i="11"/>
  <c r="D59" i="11"/>
  <c r="D38" i="11"/>
  <c r="P63" i="4"/>
  <c r="P97" i="4"/>
  <c r="P105" i="4"/>
  <c r="B63" i="11"/>
  <c r="C9" i="11"/>
  <c r="D12" i="13"/>
  <c r="D58" i="11"/>
  <c r="D100" i="11"/>
  <c r="D24" i="11"/>
  <c r="D101" i="11"/>
  <c r="D90" i="11"/>
  <c r="C63" i="13"/>
  <c r="C97" i="13"/>
  <c r="C105" i="13"/>
  <c r="D92" i="11"/>
  <c r="D75" i="11"/>
  <c r="B39" i="11"/>
  <c r="D28" i="11"/>
  <c r="D103" i="11"/>
  <c r="D88" i="11"/>
  <c r="D42" i="11"/>
  <c r="D21" i="11"/>
  <c r="D16" i="11"/>
  <c r="B12" i="11"/>
  <c r="R26" i="4"/>
  <c r="D81" i="11"/>
  <c r="D86" i="11"/>
  <c r="F63" i="13"/>
  <c r="F97" i="13"/>
  <c r="F105" i="13"/>
  <c r="F107" i="13"/>
  <c r="AD193" i="20"/>
  <c r="R12" i="4"/>
  <c r="B42" i="4"/>
  <c r="D47" i="11"/>
  <c r="C71" i="11"/>
  <c r="G63" i="4"/>
  <c r="G97" i="4" s="1"/>
  <c r="G105" i="4" s="1"/>
  <c r="D41" i="11"/>
  <c r="C12" i="11"/>
  <c r="B105" i="11"/>
  <c r="Y7" i="15"/>
  <c r="T7" i="15"/>
  <c r="O27" i="7"/>
  <c r="I27" i="7"/>
  <c r="W27" i="7"/>
  <c r="S27" i="7"/>
  <c r="Y27" i="7"/>
  <c r="AG27" i="7"/>
  <c r="M27" i="7"/>
  <c r="AA27" i="7"/>
  <c r="Q27" i="7"/>
  <c r="U27" i="7"/>
  <c r="D104" i="11"/>
  <c r="E12" i="4"/>
  <c r="T63" i="4"/>
  <c r="T97" i="4" s="1"/>
  <c r="D11" i="11"/>
  <c r="C12" i="4"/>
  <c r="B12" i="13"/>
  <c r="D43" i="11"/>
  <c r="D82" i="11"/>
  <c r="B12" i="4"/>
  <c r="D9" i="11"/>
  <c r="B13" i="11"/>
  <c r="D39" i="11"/>
  <c r="D12" i="11"/>
  <c r="C13" i="11"/>
  <c r="D26" i="11"/>
  <c r="D27" i="11"/>
  <c r="D96" i="11"/>
  <c r="D13" i="11"/>
  <c r="AP83" i="20"/>
  <c r="AJ1015" i="3"/>
  <c r="AJ1020" i="3"/>
  <c r="AJ986" i="3"/>
  <c r="AJ995" i="3"/>
  <c r="AJ992" i="3"/>
  <c r="D38" i="4" l="1"/>
  <c r="B38" i="4" s="1"/>
  <c r="T105" i="4"/>
  <c r="H97" i="13"/>
  <c r="H63" i="13"/>
  <c r="S63" i="4"/>
  <c r="E63" i="13" s="1"/>
  <c r="B71" i="11"/>
  <c r="D71" i="11" s="1"/>
  <c r="B70" i="13"/>
  <c r="B97" i="11"/>
  <c r="D46" i="11"/>
  <c r="R42" i="4"/>
  <c r="E42" i="4"/>
  <c r="L63" i="4"/>
  <c r="B62" i="4"/>
  <c r="D63" i="4"/>
  <c r="D97" i="4" s="1"/>
  <c r="D105" i="4" s="1"/>
  <c r="C63" i="4"/>
  <c r="B63" i="13" s="1"/>
  <c r="E92" i="20"/>
  <c r="AM733" i="3"/>
  <c r="R971" i="3"/>
  <c r="AD1035" i="3" s="1"/>
  <c r="BS644" i="3"/>
  <c r="BW645" i="3" s="1"/>
  <c r="BX644" i="3"/>
  <c r="CB645" i="3" s="1"/>
  <c r="AM732" i="3"/>
  <c r="AC776" i="3"/>
  <c r="AM735" i="3"/>
  <c r="R973" i="3"/>
  <c r="R970" i="3"/>
  <c r="R638" i="3"/>
  <c r="CC644" i="3"/>
  <c r="CG645" i="3" s="1"/>
  <c r="BX658" i="3"/>
  <c r="CB659" i="3" s="1"/>
  <c r="R969" i="3"/>
  <c r="CX635" i="3"/>
  <c r="DR635" i="3"/>
  <c r="CC658" i="3"/>
  <c r="CG659" i="3" s="1"/>
  <c r="BS658" i="3"/>
  <c r="BW659" i="3" s="1"/>
  <c r="CX649" i="3"/>
  <c r="BN658" i="3"/>
  <c r="CS650" i="3"/>
  <c r="CS658" i="3" s="1"/>
  <c r="DC658" i="3"/>
  <c r="BS635" i="3"/>
  <c r="EC650" i="3" s="1"/>
  <c r="EC610" i="3"/>
  <c r="EC635" i="3" s="1"/>
  <c r="DX635" i="3"/>
  <c r="BG696" i="3"/>
  <c r="BH671" i="3" s="1"/>
  <c r="BI671" i="3" s="1"/>
  <c r="DH635" i="3"/>
  <c r="CM635" i="3"/>
  <c r="EW655" i="3" s="1"/>
  <c r="EW611" i="3"/>
  <c r="EW635" i="3" s="1"/>
  <c r="BN635" i="3"/>
  <c r="DX639" i="3" s="1"/>
  <c r="BA995" i="3"/>
  <c r="EH613" i="3"/>
  <c r="EH635" i="3" s="1"/>
  <c r="BX635" i="3"/>
  <c r="EH645" i="3" s="1"/>
  <c r="DM649" i="3"/>
  <c r="DM658" i="3" s="1"/>
  <c r="CH658" i="3"/>
  <c r="CL659" i="3" s="1"/>
  <c r="DR649" i="3"/>
  <c r="DR658" i="3" s="1"/>
  <c r="CM658" i="3"/>
  <c r="CQ659" i="3" s="1"/>
  <c r="CC635" i="3"/>
  <c r="EM652" i="3" s="1"/>
  <c r="EM612" i="3"/>
  <c r="EM635" i="3" s="1"/>
  <c r="CH635" i="3"/>
  <c r="ER642" i="3" s="1"/>
  <c r="AC796" i="3"/>
  <c r="T753" i="3"/>
  <c r="E6" i="21"/>
  <c r="CH644" i="3"/>
  <c r="CM644" i="3"/>
  <c r="CQ645" i="3" s="1"/>
  <c r="DH658" i="3"/>
  <c r="CX658" i="3"/>
  <c r="BN644" i="3"/>
  <c r="BR645" i="3" s="1"/>
  <c r="AD1037" i="3"/>
  <c r="E4" i="21" s="1"/>
  <c r="AM737" i="3"/>
  <c r="AM731" i="3"/>
  <c r="AM730" i="3"/>
  <c r="DM635" i="3"/>
  <c r="AG444" i="3"/>
  <c r="AI27" i="15" s="1"/>
  <c r="AC882" i="3"/>
  <c r="AM729" i="3"/>
  <c r="BG243" i="3"/>
  <c r="BO245" i="3" s="1"/>
  <c r="T266" i="3" s="1"/>
  <c r="BG728" i="3"/>
  <c r="BH711" i="3" s="1"/>
  <c r="AA28" i="7"/>
  <c r="M28" i="7"/>
  <c r="S28" i="7"/>
  <c r="AM734" i="3"/>
  <c r="G28" i="7"/>
  <c r="E81" i="4"/>
  <c r="R79" i="4"/>
  <c r="R81" i="4" s="1"/>
  <c r="B54" i="4"/>
  <c r="M63" i="4"/>
  <c r="M97" i="4" s="1"/>
  <c r="M105" i="4" s="1"/>
  <c r="E45" i="4"/>
  <c r="R45" i="4" s="1"/>
  <c r="R54" i="4" s="1"/>
  <c r="K97" i="4"/>
  <c r="K105" i="4" s="1"/>
  <c r="C63" i="11"/>
  <c r="D63" i="11" s="1"/>
  <c r="B64" i="11"/>
  <c r="C64" i="11"/>
  <c r="D55" i="11"/>
  <c r="C97" i="11"/>
  <c r="B96" i="4"/>
  <c r="D91" i="11"/>
  <c r="R56" i="4"/>
  <c r="R62" i="4" s="1"/>
  <c r="E62" i="4"/>
  <c r="R65" i="4"/>
  <c r="R70" i="4" s="1"/>
  <c r="E70" i="4"/>
  <c r="AO649" i="3"/>
  <c r="DC635" i="3"/>
  <c r="CS635" i="3"/>
  <c r="BG635" i="3"/>
  <c r="X1027" i="3" s="1"/>
  <c r="AG1024" i="3" s="1"/>
  <c r="BK635" i="3"/>
  <c r="X1031" i="3" s="1"/>
  <c r="AG1028" i="3" s="1"/>
  <c r="AP581" i="20"/>
  <c r="AQ581" i="20" s="1"/>
  <c r="AS575" i="20" s="1"/>
  <c r="AS573" i="20"/>
  <c r="AK684" i="20" s="1"/>
  <c r="T798" i="20" s="1"/>
  <c r="AF798" i="20" s="1"/>
  <c r="AK551" i="20"/>
  <c r="T797" i="20" s="1"/>
  <c r="T796" i="20"/>
  <c r="AB217" i="20"/>
  <c r="AB233" i="20" s="1"/>
  <c r="AB235" i="20" s="1"/>
  <c r="AB237" i="20" s="1"/>
  <c r="AB243" i="20" s="1"/>
  <c r="AD192" i="20" s="1"/>
  <c r="AD194" i="20" s="1"/>
  <c r="T788" i="20"/>
  <c r="AF788" i="20" s="1"/>
  <c r="AK166" i="20"/>
  <c r="T784" i="20"/>
  <c r="AF784" i="20" s="1"/>
  <c r="AK72" i="20"/>
  <c r="Q40" i="7"/>
  <c r="AG40" i="7"/>
  <c r="U40" i="7"/>
  <c r="G40" i="7"/>
  <c r="W40" i="7"/>
  <c r="S40" i="7"/>
  <c r="I40" i="7"/>
  <c r="Y40" i="7"/>
  <c r="K40" i="7"/>
  <c r="AA40" i="7"/>
  <c r="M40" i="7"/>
  <c r="AC40" i="7"/>
  <c r="O40" i="7"/>
  <c r="AE40" i="7"/>
  <c r="L96" i="4"/>
  <c r="E14" i="7"/>
  <c r="G14" i="7" s="1"/>
  <c r="I14" i="7" s="1"/>
  <c r="K14" i="7" s="1"/>
  <c r="M14" i="7" s="1"/>
  <c r="O14" i="7" s="1"/>
  <c r="AC881" i="3"/>
  <c r="E99" i="4"/>
  <c r="N104" i="4"/>
  <c r="N105" i="4" s="1"/>
  <c r="E42" i="7"/>
  <c r="K39" i="7"/>
  <c r="M39" i="7"/>
  <c r="W39" i="7"/>
  <c r="W42" i="7" s="1"/>
  <c r="AG39" i="7"/>
  <c r="Y39" i="7"/>
  <c r="AE39" i="7"/>
  <c r="Q39" i="7"/>
  <c r="U39" i="7"/>
  <c r="G39" i="7"/>
  <c r="AA39" i="7"/>
  <c r="S39" i="7"/>
  <c r="S42" i="7" s="1"/>
  <c r="O39" i="7"/>
  <c r="AC39" i="7"/>
  <c r="I39" i="7"/>
  <c r="CL645" i="3"/>
  <c r="E9" i="7"/>
  <c r="G8" i="7"/>
  <c r="BA987" i="3"/>
  <c r="ER635" i="3"/>
  <c r="AM728" i="3"/>
  <c r="V29" i="25"/>
  <c r="M942" i="3"/>
  <c r="J22" i="25"/>
  <c r="J26" i="25"/>
  <c r="AM736" i="3"/>
  <c r="J25" i="25"/>
  <c r="I30" i="8"/>
  <c r="Z807" i="3" s="1"/>
  <c r="E30" i="4"/>
  <c r="AC28" i="7"/>
  <c r="J19" i="25"/>
  <c r="J20" i="25"/>
  <c r="AB29" i="25"/>
  <c r="J24" i="25"/>
  <c r="F30" i="8"/>
  <c r="I28" i="7"/>
  <c r="U28" i="7"/>
  <c r="W28" i="7"/>
  <c r="Y28" i="7"/>
  <c r="J23" i="25"/>
  <c r="AC27" i="7"/>
  <c r="K27" i="7"/>
  <c r="G27" i="7"/>
  <c r="I15" i="7"/>
  <c r="AE28" i="7"/>
  <c r="J27" i="25"/>
  <c r="AH29" i="25"/>
  <c r="J21" i="25"/>
  <c r="P29" i="25"/>
  <c r="O28" i="7"/>
  <c r="AV110" i="20"/>
  <c r="AW107" i="20" s="1"/>
  <c r="K28" i="7"/>
  <c r="Q28" i="7"/>
  <c r="AN29" i="25"/>
  <c r="AD7" i="15"/>
  <c r="D97" i="11" l="1"/>
  <c r="H105" i="13"/>
  <c r="T107" i="4"/>
  <c r="H107" i="13" s="1"/>
  <c r="S97" i="4"/>
  <c r="L97" i="4"/>
  <c r="L105" i="4" s="1"/>
  <c r="B63" i="4"/>
  <c r="AG42" i="7"/>
  <c r="Y27" i="15"/>
  <c r="T27" i="15"/>
  <c r="AA42" i="7"/>
  <c r="M42" i="7"/>
  <c r="AD27" i="15"/>
  <c r="U42" i="7"/>
  <c r="Y798" i="3"/>
  <c r="BH682" i="3"/>
  <c r="BI682" i="3" s="1"/>
  <c r="BH693" i="3"/>
  <c r="BI693" i="3" s="1"/>
  <c r="BH695" i="3"/>
  <c r="BI695" i="3" s="1"/>
  <c r="BH720" i="3"/>
  <c r="BI720" i="3" s="1"/>
  <c r="BH694" i="3"/>
  <c r="BI694" i="3" s="1"/>
  <c r="BH680" i="3"/>
  <c r="BI680" i="3" s="1"/>
  <c r="BH690" i="3"/>
  <c r="BI690" i="3" s="1"/>
  <c r="BH692" i="3"/>
  <c r="BI692" i="3" s="1"/>
  <c r="BH673" i="3"/>
  <c r="BI673" i="3" s="1"/>
  <c r="BH677" i="3"/>
  <c r="BI677" i="3" s="1"/>
  <c r="EH651" i="3"/>
  <c r="BH683" i="3"/>
  <c r="BI683" i="3" s="1"/>
  <c r="BH688" i="3"/>
  <c r="BI688" i="3" s="1"/>
  <c r="EH639" i="3"/>
  <c r="DR660" i="3"/>
  <c r="BH686" i="3"/>
  <c r="BI686" i="3" s="1"/>
  <c r="EH644" i="3"/>
  <c r="BH689" i="3"/>
  <c r="BI689" i="3" s="1"/>
  <c r="BH717" i="3"/>
  <c r="BI717" i="3" s="1"/>
  <c r="EH649" i="3"/>
  <c r="BH678" i="3"/>
  <c r="BI678" i="3" s="1"/>
  <c r="ER653" i="3"/>
  <c r="ER656" i="3"/>
  <c r="CH663" i="3"/>
  <c r="CS645" i="3"/>
  <c r="BH691" i="3"/>
  <c r="BI691" i="3" s="1"/>
  <c r="BH672" i="3"/>
  <c r="BI672" i="3" s="1"/>
  <c r="CS644" i="3"/>
  <c r="EW641" i="3"/>
  <c r="Y799" i="3"/>
  <c r="Z816" i="3" s="1"/>
  <c r="BH721" i="3"/>
  <c r="BI721" i="3" s="1"/>
  <c r="C30" i="8"/>
  <c r="BH687" i="3"/>
  <c r="BI687" i="3" s="1"/>
  <c r="E14" i="21"/>
  <c r="EH638" i="3"/>
  <c r="EH650" i="3"/>
  <c r="E11" i="21"/>
  <c r="I11" i="21" s="1"/>
  <c r="EM642" i="3"/>
  <c r="EH646" i="3"/>
  <c r="EH658" i="3"/>
  <c r="DX648" i="3"/>
  <c r="DX646" i="3"/>
  <c r="BN663" i="3"/>
  <c r="AB969" i="3" s="1"/>
  <c r="AJ969" i="3" s="1"/>
  <c r="AC883" i="3"/>
  <c r="DX652" i="3"/>
  <c r="EM649" i="3"/>
  <c r="CC663" i="3"/>
  <c r="AB972" i="3" s="1"/>
  <c r="AJ972" i="3" s="1"/>
  <c r="EH653" i="3"/>
  <c r="DX660" i="3"/>
  <c r="EM658" i="3"/>
  <c r="CM663" i="3"/>
  <c r="DX661" i="3"/>
  <c r="DX641" i="3"/>
  <c r="EW644" i="3"/>
  <c r="DX657" i="3"/>
  <c r="DX640" i="3"/>
  <c r="DX644" i="3"/>
  <c r="BH719" i="3"/>
  <c r="BI719" i="3" s="1"/>
  <c r="BH713" i="3"/>
  <c r="BI713" i="3" s="1"/>
  <c r="EM653" i="3"/>
  <c r="BH703" i="3"/>
  <c r="BH710" i="3"/>
  <c r="BI710" i="3" s="1"/>
  <c r="BH718" i="3"/>
  <c r="BI718" i="3" s="1"/>
  <c r="BH716" i="3"/>
  <c r="BI716" i="3" s="1"/>
  <c r="BH727" i="3"/>
  <c r="BI727" i="3" s="1"/>
  <c r="BH709" i="3"/>
  <c r="BI709" i="3" s="1"/>
  <c r="BH726" i="3"/>
  <c r="BI726" i="3" s="1"/>
  <c r="BH708" i="3"/>
  <c r="BI708" i="3" s="1"/>
  <c r="DX647" i="3"/>
  <c r="BH725" i="3"/>
  <c r="BI725" i="3" s="1"/>
  <c r="BH712" i="3"/>
  <c r="BI712" i="3" s="1"/>
  <c r="BH705" i="3"/>
  <c r="BI705" i="3" s="1"/>
  <c r="BH706" i="3"/>
  <c r="BI706" i="3" s="1"/>
  <c r="BH704" i="3"/>
  <c r="BI704" i="3" s="1"/>
  <c r="EM641" i="3"/>
  <c r="EM640" i="3"/>
  <c r="EC651" i="3"/>
  <c r="E12" i="21"/>
  <c r="I12" i="21" s="1"/>
  <c r="EC655" i="3"/>
  <c r="DX656" i="3"/>
  <c r="EC659" i="3"/>
  <c r="EM645" i="3"/>
  <c r="ER643" i="3"/>
  <c r="DX655" i="3"/>
  <c r="EC639" i="3"/>
  <c r="EH642" i="3"/>
  <c r="EM657" i="3"/>
  <c r="DX651" i="3"/>
  <c r="EC646" i="3"/>
  <c r="EC643" i="3"/>
  <c r="EC647" i="3"/>
  <c r="EW658" i="3"/>
  <c r="EW661" i="3"/>
  <c r="EW648" i="3"/>
  <c r="EW656" i="3"/>
  <c r="ER638" i="3"/>
  <c r="EH641" i="3"/>
  <c r="EW660" i="3"/>
  <c r="DX643" i="3"/>
  <c r="BI711" i="3"/>
  <c r="EH654" i="3"/>
  <c r="EM661" i="3"/>
  <c r="ER639" i="3"/>
  <c r="EC658" i="3"/>
  <c r="EM644" i="3"/>
  <c r="EW659" i="3"/>
  <c r="EW639" i="3"/>
  <c r="BH714" i="3"/>
  <c r="BI714" i="3" s="1"/>
  <c r="EH662" i="3"/>
  <c r="ER655" i="3"/>
  <c r="EM648" i="3"/>
  <c r="EH657" i="3"/>
  <c r="EC638" i="3"/>
  <c r="E15" i="21"/>
  <c r="BH722" i="3"/>
  <c r="BI722" i="3" s="1"/>
  <c r="BH707" i="3"/>
  <c r="BI707" i="3" s="1"/>
  <c r="EM660" i="3"/>
  <c r="ER650" i="3"/>
  <c r="ER647" i="3"/>
  <c r="BH715" i="3"/>
  <c r="BI715" i="3" s="1"/>
  <c r="EW651" i="3"/>
  <c r="BH675" i="3"/>
  <c r="BI675" i="3" s="1"/>
  <c r="BH681" i="3"/>
  <c r="BI681" i="3" s="1"/>
  <c r="BH674" i="3"/>
  <c r="BI674" i="3" s="1"/>
  <c r="BH685" i="3"/>
  <c r="BI685" i="3" s="1"/>
  <c r="ER654" i="3"/>
  <c r="BH676" i="3"/>
  <c r="BI676" i="3" s="1"/>
  <c r="ER651" i="3"/>
  <c r="BH723" i="3"/>
  <c r="BI723" i="3" s="1"/>
  <c r="ER658" i="3"/>
  <c r="BH684" i="3"/>
  <c r="BI684" i="3" s="1"/>
  <c r="CS660" i="3"/>
  <c r="BR659" i="3"/>
  <c r="CS661" i="3" s="1"/>
  <c r="ER659" i="3"/>
  <c r="EM651" i="3"/>
  <c r="EM662" i="3"/>
  <c r="EM638" i="3"/>
  <c r="EM646" i="3"/>
  <c r="CG637" i="3"/>
  <c r="EM659" i="3"/>
  <c r="EM647" i="3"/>
  <c r="EM650" i="3"/>
  <c r="EM643" i="3"/>
  <c r="EM654" i="3"/>
  <c r="EM656" i="3"/>
  <c r="EM639" i="3"/>
  <c r="EM655" i="3"/>
  <c r="E13" i="21"/>
  <c r="I13" i="21" s="1"/>
  <c r="EH648" i="3"/>
  <c r="EH656" i="3"/>
  <c r="EH660" i="3"/>
  <c r="EH652" i="3"/>
  <c r="EH659" i="3"/>
  <c r="EH655" i="3"/>
  <c r="EH647" i="3"/>
  <c r="EH643" i="3"/>
  <c r="CB637" i="3"/>
  <c r="BX663" i="3"/>
  <c r="AB971" i="3" s="1"/>
  <c r="AJ971" i="3" s="1"/>
  <c r="EH640" i="3"/>
  <c r="BR637" i="3"/>
  <c r="DX638" i="3"/>
  <c r="CM636" i="3"/>
  <c r="DX645" i="3"/>
  <c r="DX649" i="3"/>
  <c r="DX650" i="3"/>
  <c r="DX653" i="3"/>
  <c r="DX642" i="3"/>
  <c r="DX662" i="3"/>
  <c r="DX658" i="3"/>
  <c r="DX654" i="3"/>
  <c r="DX659" i="3"/>
  <c r="BH679" i="3"/>
  <c r="BI679" i="3" s="1"/>
  <c r="BI703" i="3"/>
  <c r="O42" i="7"/>
  <c r="BH724" i="3"/>
  <c r="BI724" i="3" s="1"/>
  <c r="EC660" i="3"/>
  <c r="EC656" i="3"/>
  <c r="EC648" i="3"/>
  <c r="EC640" i="3"/>
  <c r="EC652" i="3"/>
  <c r="EC657" i="3"/>
  <c r="EC649" i="3"/>
  <c r="EC661" i="3"/>
  <c r="BS663" i="3"/>
  <c r="AB970" i="3" s="1"/>
  <c r="AJ970" i="3" s="1"/>
  <c r="EC653" i="3"/>
  <c r="EC641" i="3"/>
  <c r="BW637" i="3"/>
  <c r="EC645" i="3"/>
  <c r="EC642" i="3"/>
  <c r="EC644" i="3"/>
  <c r="EC662" i="3"/>
  <c r="EC654" i="3"/>
  <c r="ER640" i="3"/>
  <c r="ER645" i="3"/>
  <c r="ER657" i="3"/>
  <c r="CL637" i="3"/>
  <c r="ER652" i="3"/>
  <c r="ER641" i="3"/>
  <c r="ER660" i="3"/>
  <c r="ER648" i="3"/>
  <c r="ER644" i="3"/>
  <c r="ER649" i="3"/>
  <c r="ER661" i="3"/>
  <c r="ER662" i="3"/>
  <c r="CQ637" i="3"/>
  <c r="EW653" i="3"/>
  <c r="EW645" i="3"/>
  <c r="EW646" i="3"/>
  <c r="EW662" i="3"/>
  <c r="EW642" i="3"/>
  <c r="EW657" i="3"/>
  <c r="EW654" i="3"/>
  <c r="EW650" i="3"/>
  <c r="EW640" i="3"/>
  <c r="EW652" i="3"/>
  <c r="EW638" i="3"/>
  <c r="EW647" i="3"/>
  <c r="EW643" i="3"/>
  <c r="EW649" i="3"/>
  <c r="EH661" i="3"/>
  <c r="ER646" i="3"/>
  <c r="K42" i="7"/>
  <c r="Q42" i="7"/>
  <c r="AC42" i="7"/>
  <c r="S105" i="4"/>
  <c r="E97" i="13"/>
  <c r="D64" i="11"/>
  <c r="E54" i="4"/>
  <c r="AO651" i="3"/>
  <c r="AB48" i="15"/>
  <c r="AS577" i="20"/>
  <c r="AK553" i="20"/>
  <c r="T795" i="20" s="1"/>
  <c r="AF795" i="20" s="1"/>
  <c r="T785" i="20"/>
  <c r="AF785" i="20" s="1"/>
  <c r="AK174" i="20"/>
  <c r="T791" i="20" s="1"/>
  <c r="AF791" i="20" s="1"/>
  <c r="G21" i="7"/>
  <c r="E96" i="4"/>
  <c r="R93" i="4"/>
  <c r="R96" i="4" s="1"/>
  <c r="I1027" i="3"/>
  <c r="BA989" i="3" s="1"/>
  <c r="I1031" i="3"/>
  <c r="BA990" i="3" s="1"/>
  <c r="G9" i="7"/>
  <c r="I8" i="7"/>
  <c r="G42" i="7"/>
  <c r="M944" i="3"/>
  <c r="M945" i="3" s="1"/>
  <c r="E6" i="7"/>
  <c r="E4" i="7"/>
  <c r="E21" i="7"/>
  <c r="E34" i="7" s="1"/>
  <c r="AC884" i="3" s="1"/>
  <c r="C75" i="4" s="1"/>
  <c r="I42" i="7"/>
  <c r="AE42" i="7"/>
  <c r="R99" i="4"/>
  <c r="R104" i="4" s="1"/>
  <c r="E104" i="4"/>
  <c r="Y42" i="7"/>
  <c r="R30" i="4"/>
  <c r="R38" i="4" s="1"/>
  <c r="R63" i="4" s="1"/>
  <c r="E38" i="4"/>
  <c r="G34" i="7"/>
  <c r="Q14" i="7"/>
  <c r="AW104" i="20"/>
  <c r="J29" i="25"/>
  <c r="AT27" i="25" s="1"/>
  <c r="I21" i="7"/>
  <c r="I34" i="7" s="1"/>
  <c r="K15" i="7"/>
  <c r="AW106" i="20"/>
  <c r="AW109" i="20"/>
  <c r="AW108" i="20"/>
  <c r="AW105" i="20"/>
  <c r="AD11" i="15" l="1"/>
  <c r="AD23" i="15" s="1"/>
  <c r="AD26" i="15" s="1"/>
  <c r="AD28" i="15" s="1"/>
  <c r="AI11" i="15"/>
  <c r="AI23" i="15" s="1"/>
  <c r="AI26" i="15" s="1"/>
  <c r="AI28" i="15" s="1"/>
  <c r="E16" i="21"/>
  <c r="I14" i="21" s="1"/>
  <c r="AB973" i="3"/>
  <c r="AJ973" i="3" s="1"/>
  <c r="AB974" i="3"/>
  <c r="BH696" i="3"/>
  <c r="BI696" i="3"/>
  <c r="AH753" i="3" s="1"/>
  <c r="E91" i="20" s="1"/>
  <c r="E94" i="20" s="1"/>
  <c r="AP94" i="20" s="1"/>
  <c r="AK97" i="20" s="1"/>
  <c r="T786" i="20" s="1"/>
  <c r="AF786" i="20" s="1"/>
  <c r="BI728" i="3"/>
  <c r="AM753" i="3" s="1"/>
  <c r="EC663" i="3"/>
  <c r="J118" i="20" s="1"/>
  <c r="J121" i="20" s="1"/>
  <c r="J124" i="20" s="1"/>
  <c r="AJ975" i="3"/>
  <c r="AJ1011" i="3" s="1"/>
  <c r="I15" i="21"/>
  <c r="EM663" i="3"/>
  <c r="T118" i="20" s="1"/>
  <c r="T121" i="20" s="1"/>
  <c r="T124" i="20" s="1"/>
  <c r="ER663" i="3"/>
  <c r="Y118" i="20" s="1"/>
  <c r="Y121" i="20" s="1"/>
  <c r="Y124" i="20" s="1"/>
  <c r="DX663" i="3"/>
  <c r="E118" i="20" s="1"/>
  <c r="E121" i="20" s="1"/>
  <c r="E124" i="20" s="1"/>
  <c r="EW663" i="3"/>
  <c r="AD118" i="20" s="1"/>
  <c r="AD121" i="20" s="1"/>
  <c r="AD124" i="20" s="1"/>
  <c r="EH663" i="3"/>
  <c r="O118" i="20" s="1"/>
  <c r="O121" i="20" s="1"/>
  <c r="O124" i="20" s="1"/>
  <c r="BH728" i="3"/>
  <c r="I16" i="21"/>
  <c r="CS637" i="3"/>
  <c r="C77" i="4"/>
  <c r="B75" i="13"/>
  <c r="S107" i="4"/>
  <c r="E105" i="13"/>
  <c r="E63" i="4"/>
  <c r="B75" i="4"/>
  <c r="E75" i="4" s="1"/>
  <c r="R75" i="4" s="1"/>
  <c r="C76" i="11"/>
  <c r="B76" i="11"/>
  <c r="AT24" i="25"/>
  <c r="AT21" i="25"/>
  <c r="G4" i="7"/>
  <c r="E5" i="7"/>
  <c r="G6" i="7"/>
  <c r="E7" i="7"/>
  <c r="I9" i="7"/>
  <c r="K8" i="7"/>
  <c r="AW110" i="20"/>
  <c r="AT20" i="25"/>
  <c r="AT23" i="25"/>
  <c r="M15" i="7"/>
  <c r="K21" i="7"/>
  <c r="K34" i="7" s="1"/>
  <c r="AT19" i="25"/>
  <c r="AU45" i="25"/>
  <c r="AU39" i="25"/>
  <c r="AT29" i="25"/>
  <c r="AU42" i="25"/>
  <c r="AU37" i="25"/>
  <c r="AU47" i="25"/>
  <c r="AU36" i="25"/>
  <c r="AU41" i="25"/>
  <c r="AU38" i="25"/>
  <c r="AU40" i="25"/>
  <c r="AU44" i="25"/>
  <c r="AU46" i="25"/>
  <c r="AU43" i="25"/>
  <c r="AT22" i="25"/>
  <c r="AT26" i="25"/>
  <c r="AT28" i="25"/>
  <c r="AT25" i="25"/>
  <c r="S14" i="7"/>
  <c r="D76" i="11" l="1"/>
  <c r="AP765" i="20"/>
  <c r="AJ1028" i="3"/>
  <c r="AP768" i="20" s="1"/>
  <c r="AJ1008" i="3"/>
  <c r="AZ846" i="3" s="1"/>
  <c r="AJ1024" i="3"/>
  <c r="AP767" i="20" s="1"/>
  <c r="AJ977" i="3"/>
  <c r="AJ1032" i="3" s="1"/>
  <c r="T24" i="15" s="1"/>
  <c r="B1039" i="3"/>
  <c r="E81" i="20"/>
  <c r="E82" i="20" s="1"/>
  <c r="E83" i="20" s="1"/>
  <c r="E126" i="20"/>
  <c r="E127" i="20" s="1"/>
  <c r="AK131" i="20" s="1"/>
  <c r="T787" i="20" s="1"/>
  <c r="AF787" i="20" s="1"/>
  <c r="C77" i="11"/>
  <c r="B76" i="13"/>
  <c r="B76" i="4"/>
  <c r="E76" i="4" s="1"/>
  <c r="R76" i="4" s="1"/>
  <c r="R77" i="4" s="1"/>
  <c r="R97" i="4" s="1"/>
  <c r="R105" i="4" s="1"/>
  <c r="B77" i="11"/>
  <c r="B78" i="11" s="1"/>
  <c r="B98" i="11" s="1"/>
  <c r="B106" i="11" s="1"/>
  <c r="AP769" i="20"/>
  <c r="O756" i="3"/>
  <c r="P420" i="3"/>
  <c r="CS663" i="3"/>
  <c r="U588" i="20" s="1"/>
  <c r="C97" i="4"/>
  <c r="C105" i="4" s="1"/>
  <c r="B77" i="4"/>
  <c r="B77" i="13"/>
  <c r="AF766" i="20"/>
  <c r="AC455" i="3"/>
  <c r="E107" i="13"/>
  <c r="M8" i="7"/>
  <c r="K9" i="7"/>
  <c r="I6" i="7"/>
  <c r="G7" i="7"/>
  <c r="E10" i="7"/>
  <c r="E36" i="7" s="1"/>
  <c r="G5" i="7"/>
  <c r="I4" i="7"/>
  <c r="O15" i="7"/>
  <c r="M21" i="7"/>
  <c r="M34" i="7" s="1"/>
  <c r="U14" i="7"/>
  <c r="AZ849" i="3" l="1"/>
  <c r="AZ854" i="3" s="1"/>
  <c r="E77" i="4"/>
  <c r="E97" i="4" s="1"/>
  <c r="E105" i="4" s="1"/>
  <c r="D77" i="11"/>
  <c r="AP772" i="20"/>
  <c r="AP771" i="20" s="1"/>
  <c r="AP774" i="20" s="1"/>
  <c r="AF767" i="20" s="1"/>
  <c r="AF768" i="20" s="1"/>
  <c r="AK774" i="20" s="1"/>
  <c r="T799" i="20" s="1"/>
  <c r="AF799" i="20" s="1"/>
  <c r="C78" i="11"/>
  <c r="D78" i="11" s="1"/>
  <c r="B97" i="4"/>
  <c r="B97" i="13"/>
  <c r="T11" i="15"/>
  <c r="T23" i="15" s="1"/>
  <c r="Y11" i="15"/>
  <c r="Y23" i="15" s="1"/>
  <c r="Y26" i="15" s="1"/>
  <c r="Y28" i="15" s="1"/>
  <c r="G10" i="7"/>
  <c r="G36" i="7" s="1"/>
  <c r="G44" i="7" s="1"/>
  <c r="E44" i="7"/>
  <c r="E48" i="7"/>
  <c r="M9" i="7"/>
  <c r="O8" i="7"/>
  <c r="K4" i="7"/>
  <c r="I5" i="7"/>
  <c r="K6" i="7"/>
  <c r="I7" i="7"/>
  <c r="B105" i="4"/>
  <c r="AG252" i="20"/>
  <c r="B105" i="13"/>
  <c r="AC454" i="3"/>
  <c r="Q15" i="7"/>
  <c r="O21" i="7"/>
  <c r="O34" i="7" s="1"/>
  <c r="W14" i="7"/>
  <c r="C98" i="11" l="1"/>
  <c r="C106" i="11" s="1"/>
  <c r="D106" i="11" s="1"/>
  <c r="AD38" i="15"/>
  <c r="AD40" i="15" s="1"/>
  <c r="T26" i="15"/>
  <c r="T28" i="15" s="1"/>
  <c r="T29" i="15" s="1"/>
  <c r="Y64" i="15"/>
  <c r="Y68" i="15" s="1"/>
  <c r="G48" i="7"/>
  <c r="M6" i="7"/>
  <c r="K7" i="7"/>
  <c r="I10" i="7"/>
  <c r="I36" i="7" s="1"/>
  <c r="K5" i="7"/>
  <c r="M4" i="7"/>
  <c r="Q8" i="7"/>
  <c r="O9" i="7"/>
  <c r="G46" i="7"/>
  <c r="G47" i="7"/>
  <c r="G59" i="7"/>
  <c r="E47" i="7"/>
  <c r="E46" i="7"/>
  <c r="E59" i="7"/>
  <c r="N154" i="25"/>
  <c r="AC453" i="3"/>
  <c r="AB47" i="15"/>
  <c r="AB49" i="15" s="1"/>
  <c r="AB249" i="20"/>
  <c r="AG251" i="20" s="1"/>
  <c r="AG253" i="20" s="1"/>
  <c r="AK256" i="20" s="1"/>
  <c r="T792" i="20" s="1"/>
  <c r="AF792" i="20" s="1"/>
  <c r="AF801" i="20" s="1"/>
  <c r="S15" i="7"/>
  <c r="Q21" i="7"/>
  <c r="Q34" i="7" s="1"/>
  <c r="Y14" i="7"/>
  <c r="K10" i="7" l="1"/>
  <c r="K36" i="7" s="1"/>
  <c r="K44" i="7" s="1"/>
  <c r="D98" i="11"/>
  <c r="Y38" i="15"/>
  <c r="Y40" i="15" s="1"/>
  <c r="Y41" i="15" s="1"/>
  <c r="AB50" i="15" s="1"/>
  <c r="AB54" i="15" s="1"/>
  <c r="AB55" i="15" s="1"/>
  <c r="AB56" i="15" s="1"/>
  <c r="O4" i="7"/>
  <c r="M5" i="7"/>
  <c r="O6" i="7"/>
  <c r="M7" i="7"/>
  <c r="S8" i="7"/>
  <c r="Q9" i="7"/>
  <c r="I44" i="7"/>
  <c r="I48" i="7"/>
  <c r="E61" i="7"/>
  <c r="E65" i="7"/>
  <c r="G65" i="7"/>
  <c r="G61" i="7"/>
  <c r="AA14" i="7"/>
  <c r="N165" i="25"/>
  <c r="N155" i="25"/>
  <c r="U15" i="7"/>
  <c r="S21" i="7"/>
  <c r="S34" i="7" s="1"/>
  <c r="K48" i="7" l="1"/>
  <c r="E69" i="7"/>
  <c r="E71" i="7" s="1"/>
  <c r="M10" i="7"/>
  <c r="M36" i="7" s="1"/>
  <c r="I59" i="7"/>
  <c r="I46" i="7"/>
  <c r="I47" i="7"/>
  <c r="Q4" i="7"/>
  <c r="O5" i="7"/>
  <c r="K59" i="7"/>
  <c r="K47" i="7"/>
  <c r="K46" i="7"/>
  <c r="U8" i="7"/>
  <c r="S9" i="7"/>
  <c r="Q6" i="7"/>
  <c r="O7" i="7"/>
  <c r="G69" i="7"/>
  <c r="G71" i="7" s="1"/>
  <c r="M26" i="3"/>
  <c r="P203" i="3" s="1"/>
  <c r="AB57" i="15"/>
  <c r="AC14" i="7"/>
  <c r="W15" i="7"/>
  <c r="U21" i="7"/>
  <c r="U34" i="7" s="1"/>
  <c r="W8" i="7" l="1"/>
  <c r="U9" i="7"/>
  <c r="K65" i="7"/>
  <c r="K61" i="7"/>
  <c r="O10" i="7"/>
  <c r="O36" i="7" s="1"/>
  <c r="I61" i="7"/>
  <c r="I65" i="7"/>
  <c r="M44" i="7"/>
  <c r="M48" i="7"/>
  <c r="S4" i="7"/>
  <c r="Q5" i="7"/>
  <c r="S6" i="7"/>
  <c r="Q7" i="7"/>
  <c r="Q10" i="7" s="1"/>
  <c r="Q36" i="7" s="1"/>
  <c r="AE14" i="7"/>
  <c r="AB59" i="15"/>
  <c r="AB76" i="15" s="1"/>
  <c r="AB77" i="15" s="1"/>
  <c r="Y15" i="7"/>
  <c r="W21" i="7"/>
  <c r="W34" i="7" s="1"/>
  <c r="I69" i="7" l="1"/>
  <c r="I71" i="7" s="1"/>
  <c r="Q48" i="7"/>
  <c r="Q44" i="7"/>
  <c r="M47" i="7"/>
  <c r="M59" i="7"/>
  <c r="M46" i="7"/>
  <c r="Y8" i="7"/>
  <c r="W9" i="7"/>
  <c r="S7" i="7"/>
  <c r="U6" i="7"/>
  <c r="O44" i="7"/>
  <c r="O48" i="7"/>
  <c r="S5" i="7"/>
  <c r="U4" i="7"/>
  <c r="K69" i="7"/>
  <c r="K71" i="7" s="1"/>
  <c r="AG14" i="7"/>
  <c r="M27" i="3"/>
  <c r="P204" i="3" s="1"/>
  <c r="E3" i="21"/>
  <c r="E7" i="21" s="1"/>
  <c r="E18" i="21" s="1"/>
  <c r="AB78" i="15"/>
  <c r="AB80" i="15" s="1"/>
  <c r="J81" i="15" s="1"/>
  <c r="AA15" i="7"/>
  <c r="Y21" i="7"/>
  <c r="Y34" i="7" s="1"/>
  <c r="Q59" i="7" l="1"/>
  <c r="Q46" i="7"/>
  <c r="Q47" i="7"/>
  <c r="AA8" i="7"/>
  <c r="Y9" i="7"/>
  <c r="U5" i="7"/>
  <c r="W4" i="7"/>
  <c r="S10" i="7"/>
  <c r="S36" i="7" s="1"/>
  <c r="M65" i="7"/>
  <c r="M61" i="7"/>
  <c r="O59" i="7"/>
  <c r="O46" i="7"/>
  <c r="O47" i="7"/>
  <c r="W6" i="7"/>
  <c r="U7" i="7"/>
  <c r="AC15" i="7"/>
  <c r="AA21" i="7"/>
  <c r="AA34" i="7" s="1"/>
  <c r="U10" i="7" l="1"/>
  <c r="U36" i="7" s="1"/>
  <c r="U48" i="7" s="1"/>
  <c r="O61" i="7"/>
  <c r="O65" i="7"/>
  <c r="M69" i="7"/>
  <c r="M71" i="7" s="1"/>
  <c r="W7" i="7"/>
  <c r="Y6" i="7"/>
  <c r="Y4" i="7"/>
  <c r="W5" i="7"/>
  <c r="AA9" i="7"/>
  <c r="AC8" i="7"/>
  <c r="S48" i="7"/>
  <c r="S44" i="7"/>
  <c r="Q61" i="7"/>
  <c r="Q65" i="7"/>
  <c r="AE15" i="7"/>
  <c r="AC21" i="7"/>
  <c r="AC34" i="7" s="1"/>
  <c r="O69" i="7" l="1"/>
  <c r="O71" i="7" s="1"/>
  <c r="W10" i="7"/>
  <c r="W36" i="7" s="1"/>
  <c r="W44" i="7" s="1"/>
  <c r="U44" i="7"/>
  <c r="U46" i="7" s="1"/>
  <c r="Q69" i="7"/>
  <c r="Q71" i="7" s="1"/>
  <c r="AA6" i="7"/>
  <c r="Y7" i="7"/>
  <c r="S46" i="7"/>
  <c r="S59" i="7"/>
  <c r="S47" i="7"/>
  <c r="AE8" i="7"/>
  <c r="AC9" i="7"/>
  <c r="Y5" i="7"/>
  <c r="AA4" i="7"/>
  <c r="AG15" i="7"/>
  <c r="AG21" i="7" s="1"/>
  <c r="AG34" i="7" s="1"/>
  <c r="AE21" i="7"/>
  <c r="AE34" i="7" s="1"/>
  <c r="Y10" i="7" l="1"/>
  <c r="Y36" i="7" s="1"/>
  <c r="Y48" i="7" s="1"/>
  <c r="W48" i="7"/>
  <c r="U47" i="7"/>
  <c r="U59" i="7"/>
  <c r="S61" i="7"/>
  <c r="S65" i="7"/>
  <c r="AG8" i="7"/>
  <c r="AG9" i="7" s="1"/>
  <c r="AE9" i="7"/>
  <c r="AC4" i="7"/>
  <c r="AA5" i="7"/>
  <c r="AA7" i="7"/>
  <c r="AC6" i="7"/>
  <c r="W47" i="7"/>
  <c r="W46" i="7"/>
  <c r="W59" i="7"/>
  <c r="Y44" i="7" l="1"/>
  <c r="Y59" i="7" s="1"/>
  <c r="U61" i="7"/>
  <c r="U65" i="7"/>
  <c r="U69" i="7" s="1"/>
  <c r="S69" i="7"/>
  <c r="S71" i="7" s="1"/>
  <c r="AC7" i="7"/>
  <c r="AE6" i="7"/>
  <c r="AA10" i="7"/>
  <c r="AA36" i="7" s="1"/>
  <c r="W61" i="7"/>
  <c r="W65" i="7"/>
  <c r="AE4" i="7"/>
  <c r="AC5" i="7"/>
  <c r="Y47" i="7" l="1"/>
  <c r="Y46" i="7"/>
  <c r="U71" i="7"/>
  <c r="AC10" i="7"/>
  <c r="AC36" i="7" s="1"/>
  <c r="AC44" i="7" s="1"/>
  <c r="AE5" i="7"/>
  <c r="AG4" i="7"/>
  <c r="AA48" i="7"/>
  <c r="AA44" i="7"/>
  <c r="AE7" i="7"/>
  <c r="AG6" i="7"/>
  <c r="AG7" i="7" s="1"/>
  <c r="Y61" i="7"/>
  <c r="Y65" i="7"/>
  <c r="W69" i="7"/>
  <c r="W71" i="7" s="1"/>
  <c r="AC48" i="7" l="1"/>
  <c r="Y69" i="7"/>
  <c r="Y71" i="7" s="1"/>
  <c r="AG5" i="7"/>
  <c r="AG10" i="7" s="1"/>
  <c r="AG36" i="7" s="1"/>
  <c r="AE10" i="7"/>
  <c r="AE36" i="7" s="1"/>
  <c r="AA59" i="7"/>
  <c r="AA46" i="7"/>
  <c r="AA47" i="7"/>
  <c r="AC47" i="7"/>
  <c r="AC46" i="7"/>
  <c r="AC59" i="7"/>
  <c r="AA61" i="7" l="1"/>
  <c r="AA65" i="7"/>
  <c r="AE44" i="7"/>
  <c r="AE48" i="7"/>
  <c r="AC65" i="7"/>
  <c r="AC61" i="7"/>
  <c r="AG44" i="7"/>
  <c r="AG48" i="7"/>
  <c r="AA69" i="7" l="1"/>
  <c r="AA71" i="7" s="1"/>
  <c r="AC69" i="7"/>
  <c r="AC71" i="7" s="1"/>
  <c r="AG59" i="7"/>
  <c r="AG47" i="7"/>
  <c r="AG46" i="7"/>
  <c r="AE46" i="7"/>
  <c r="AE47" i="7"/>
  <c r="AE59" i="7"/>
  <c r="AE61" i="7" l="1"/>
  <c r="AE65" i="7"/>
  <c r="AG61" i="7"/>
  <c r="AG65" i="7"/>
  <c r="AG69" i="7" l="1"/>
  <c r="AG71" i="7" s="1"/>
  <c r="AE69" i="7"/>
  <c r="AE71" i="7" s="1"/>
  <c r="O640" i="3"/>
  <c r="R640" i="3"/>
  <c r="O641" i="3"/>
  <c r="R64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BD1F2613-6512-0645-BAD7-27890BA8A6C8}">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rgb="FF000000"/>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rgb="FF000000"/>
            <rFont val="Tahoma"/>
            <family val="2"/>
          </rPr>
          <t xml:space="preserve">The Total Requested Unadjusted Eligible Basis must not exceed the Total Adjusted Threshold Basis Limit.
</t>
        </r>
      </text>
    </comment>
    <comment ref="B24" authorId="1" shapeId="0" xr:uid="{00000000-0006-0000-0A00-000003000000}">
      <text>
        <r>
          <rPr>
            <sz val="9"/>
            <color rgb="FF000000"/>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color rgb="FF00000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<sst xmlns="http://schemas.openxmlformats.org/spreadsheetml/2006/main" count="5132" uniqueCount="2658">
  <si>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</si>
  <si>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</si>
  <si>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</si>
  <si>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</si>
  <si>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</si>
  <si>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</si>
  <si>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</si>
  <si>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</si>
  <si>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</si>
  <si>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</si>
  <si>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</si>
  <si>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</si>
  <si>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</si>
  <si>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</si>
  <si>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</si>
  <si>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</si>
  <si>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</si>
  <si>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</si>
  <si>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</si>
  <si>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</si>
  <si>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</si>
  <si>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</si>
  <si>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</si>
  <si>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</si>
  <si>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</si>
  <si>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</si>
  <si>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</si>
  <si>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</si>
  <si>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</si>
  <si>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</si>
  <si>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</si>
  <si>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</si>
  <si>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</si>
  <si>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</si>
  <si>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</si>
  <si>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</si>
  <si>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</si>
  <si>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</si>
  <si>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</si>
  <si>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</si>
  <si>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</si>
  <si>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</si>
  <si>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</si>
  <si>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</si>
  <si>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</si>
  <si>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</si>
  <si>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</si>
  <si>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</si>
  <si>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</si>
  <si>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</si>
  <si>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</si>
  <si>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</si>
  <si>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</si>
  <si>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</si>
  <si>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</si>
  <si>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</si>
  <si>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</si>
  <si>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</si>
  <si>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</si>
  <si>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</si>
  <si>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</si>
  <si>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</si>
  <si>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</si>
  <si>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</si>
  <si>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</si>
  <si>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</si>
  <si>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</si>
  <si>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</si>
  <si>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</si>
  <si>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</si>
  <si>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</si>
  <si>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</si>
  <si>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</si>
  <si>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</si>
  <si>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</si>
  <si>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</si>
  <si>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</si>
  <si>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</si>
  <si>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</si>
  <si>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</si>
  <si>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</si>
  <si>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</si>
  <si>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</si>
  <si>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</si>
  <si>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</si>
  <si>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</si>
  <si>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</si>
  <si>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</si>
  <si>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</si>
  <si>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</si>
  <si>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</si>
  <si>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</si>
  <si>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</si>
  <si>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</si>
  <si>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</si>
  <si>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</si>
  <si>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</si>
  <si>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</si>
  <si>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</si>
  <si>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</si>
  <si>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</si>
  <si>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</si>
  <si>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</si>
  <si>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</si>
  <si>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</si>
  <si>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</si>
  <si>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</si>
  <si>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</si>
  <si>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</si>
  <si>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</si>
  <si>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</si>
  <si>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</si>
  <si>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</si>
  <si>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</si>
  <si>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</si>
  <si>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</si>
  <si>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</si>
  <si>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</si>
  <si>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</si>
  <si>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</si>
  <si>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</si>
  <si>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</si>
  <si>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</si>
  <si>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</si>
  <si>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</si>
  <si>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</si>
  <si>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</si>
  <si>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</si>
  <si>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</si>
  <si>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</si>
  <si>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</si>
  <si>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</si>
  <si>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</si>
  <si>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</si>
  <si>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</si>
  <si>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</si>
  <si>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</si>
  <si>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</si>
  <si>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</si>
  <si>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</si>
  <si>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</si>
  <si>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</si>
  <si>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</si>
  <si>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</si>
  <si>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</si>
  <si>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</si>
  <si>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</si>
  <si>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</si>
  <si>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</si>
  <si>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</si>
  <si>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</si>
  <si>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</si>
  <si>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</si>
  <si>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</si>
  <si>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</si>
  <si>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</si>
  <si>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</si>
  <si>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</si>
  <si>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</si>
  <si>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</si>
  <si>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</si>
  <si>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</si>
  <si>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</si>
  <si>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</si>
  <si>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</si>
  <si>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</si>
  <si>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</si>
  <si>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</si>
  <si>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</si>
  <si>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</si>
  <si>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</si>
  <si>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</si>
  <si>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</si>
  <si>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</si>
  <si>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</si>
  <si>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</si>
  <si>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</si>
  <si>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</si>
  <si>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</si>
  <si>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</si>
  <si>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</si>
  <si>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</si>
  <si>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</si>
  <si>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</si>
  <si>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</si>
  <si>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</si>
  <si>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</si>
  <si>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</si>
  <si>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</si>
  <si>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</si>
  <si>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</si>
  <si>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</si>
  <si>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</si>
  <si>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</si>
  <si>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</si>
  <si>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</si>
  <si>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</si>
  <si>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</si>
  <si>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</si>
  <si>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</si>
  <si>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</si>
  <si>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</si>
  <si>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</si>
  <si>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</si>
  <si>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</si>
  <si>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</si>
  <si>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</si>
  <si>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</si>
  <si>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</si>
  <si>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</si>
  <si>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</si>
  <si>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</si>
  <si>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</si>
  <si>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</si>
  <si>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</si>
  <si>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</si>
  <si>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</si>
  <si>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</si>
  <si>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</si>
  <si>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</si>
  <si>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</si>
  <si>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</si>
  <si>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</si>
  <si>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</si>
  <si>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</si>
  <si>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</si>
  <si>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</si>
  <si>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</si>
  <si>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</si>
  <si>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</si>
  <si>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</si>
  <si>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</si>
  <si>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</si>
  <si>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</si>
  <si>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</si>
  <si>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</si>
  <si>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</si>
  <si>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</si>
  <si>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</si>
  <si>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</si>
  <si>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</si>
  <si>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</si>
  <si>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</si>
  <si>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</si>
  <si>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</si>
  <si>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</si>
  <si>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</si>
  <si>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</si>
  <si>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</si>
  <si>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</si>
  <si>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</si>
  <si>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</si>
  <si>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</si>
  <si>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</si>
  <si>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</si>
  <si>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</si>
  <si>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</si>
  <si>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</si>
  <si>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</si>
  <si>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</si>
  <si>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</si>
  <si>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</si>
  <si>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</si>
  <si>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</si>
  <si>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</si>
  <si>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</si>
  <si>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</si>
  <si>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</si>
  <si>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</si>
  <si>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</si>
  <si>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</si>
  <si>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</si>
  <si>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</si>
  <si>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</si>
  <si>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</si>
  <si>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</si>
  <si>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</si>
  <si>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</si>
  <si>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</si>
  <si>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</si>
  <si>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</si>
  <si>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</si>
  <si>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</si>
  <si>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</si>
  <si>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</si>
  <si>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</si>
  <si>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</si>
  <si>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</si>
  <si>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</si>
  <si>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</si>
  <si>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</si>
  <si>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</si>
  <si>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</si>
  <si>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</si>
  <si>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</si>
  <si>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</si>
  <si>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</si>
  <si>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</si>
  <si>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</si>
  <si>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</si>
  <si>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</si>
  <si>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</si>
  <si>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</si>
  <si>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</si>
  <si>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</si>
  <si>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</si>
  <si>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</si>
  <si>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</si>
  <si>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</si>
  <si>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</si>
  <si>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</si>
  <si>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</si>
  <si>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</si>
  <si>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</si>
  <si>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</si>
  <si>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</si>
  <si>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</si>
  <si>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</si>
  <si>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</si>
  <si>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</si>
  <si>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</si>
  <si>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</si>
  <si>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</si>
  <si>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</si>
  <si>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</si>
  <si>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</si>
  <si>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</si>
  <si>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</si>
  <si>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</si>
  <si>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</si>
  <si>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</si>
  <si>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</si>
  <si>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</si>
  <si>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</si>
  <si>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</si>
  <si>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</si>
  <si>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</si>
  <si>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</si>
  <si>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</si>
  <si>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</si>
  <si>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</si>
  <si>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</si>
  <si>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</si>
  <si>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</si>
  <si>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</si>
  <si>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</si>
  <si>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</si>
  <si>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</si>
  <si>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</si>
  <si>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</si>
  <si>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</si>
  <si>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</si>
  <si>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</si>
  <si>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</si>
  <si>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</si>
  <si>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</si>
  <si>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</si>
  <si>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</si>
  <si>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</si>
  <si>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</si>
  <si>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</si>
  <si>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</si>
  <si>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</si>
  <si>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</si>
  <si>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</si>
  <si>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</si>
  <si>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</si>
  <si>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</si>
  <si>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</si>
  <si>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</si>
  <si>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</si>
  <si>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</si>
  <si>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</si>
  <si>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</si>
  <si>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</si>
  <si>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</si>
  <si>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</si>
  <si>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</si>
  <si>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</si>
  <si>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</si>
  <si>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</si>
  <si>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</si>
  <si>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</si>
  <si>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</si>
  <si>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</si>
  <si>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</si>
  <si>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</si>
  <si>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</si>
  <si>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</si>
  <si>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</si>
  <si>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</si>
  <si>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</si>
  <si>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</si>
  <si>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</si>
  <si>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</si>
  <si>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</si>
  <si>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</si>
  <si>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</si>
  <si>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</si>
  <si>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</si>
  <si>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</si>
  <si>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</si>
  <si>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</si>
  <si>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</si>
  <si>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</si>
  <si>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</si>
  <si>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</si>
  <si>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</si>
  <si>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</si>
  <si>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</si>
  <si>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</si>
  <si>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</si>
  <si>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</si>
  <si>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</si>
  <si>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</si>
  <si>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</si>
  <si>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</si>
  <si>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</si>
  <si>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</si>
  <si>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</si>
  <si>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</si>
  <si>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</si>
  <si>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</si>
  <si>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</si>
  <si>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</si>
  <si>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</si>
  <si>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</si>
  <si>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</si>
  <si>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</si>
  <si>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</si>
  <si>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</si>
  <si>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</si>
  <si>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</si>
  <si>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</si>
  <si>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</si>
  <si>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</si>
  <si>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</si>
  <si>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</si>
  <si>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</si>
  <si>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</si>
  <si>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</si>
  <si>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</si>
  <si>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</si>
  <si>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</si>
  <si>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</si>
  <si>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</si>
  <si>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</si>
  <si>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</si>
  <si>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</si>
  <si>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</si>
  <si>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</si>
  <si>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</si>
  <si>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</si>
  <si>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</si>
  <si>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</si>
  <si>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</si>
  <si>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</si>
  <si>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</si>
  <si>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</si>
  <si>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</si>
  <si>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</si>
  <si>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</si>
  <si>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</si>
  <si>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</si>
  <si>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</si>
  <si>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</si>
  <si>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</si>
  <si>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</si>
  <si>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</si>
  <si>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</si>
  <si>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</si>
  <si>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</si>
  <si>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</si>
  <si>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</si>
  <si>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</si>
  <si>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</si>
  <si>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</si>
  <si>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</si>
  <si>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</si>
  <si>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</si>
  <si>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</si>
  <si>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</si>
  <si>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</si>
  <si>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</si>
  <si>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</si>
  <si>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</si>
  <si>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</si>
  <si>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</si>
  <si>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</si>
  <si>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</si>
  <si>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</si>
  <si>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</si>
  <si>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</si>
  <si>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</si>
  <si>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</si>
  <si>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</si>
  <si>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</si>
  <si>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</si>
  <si>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</si>
  <si>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</si>
  <si>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</si>
  <si>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</si>
  <si>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</si>
  <si>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</si>
  <si>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</si>
  <si>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</si>
  <si>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</si>
  <si>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</si>
  <si>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</si>
  <si>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</si>
  <si>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</si>
  <si>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</si>
  <si>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</si>
  <si>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</si>
  <si>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</si>
  <si>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</si>
  <si>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</si>
  <si>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</si>
  <si>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</si>
  <si>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</si>
  <si>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</si>
  <si>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</si>
  <si>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</si>
  <si>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</si>
  <si>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</si>
  <si>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</si>
  <si>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</si>
  <si>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</si>
  <si>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</si>
  <si>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</si>
  <si>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</si>
  <si>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</si>
  <si>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</si>
  <si>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</si>
  <si>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</si>
  <si>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</si>
  <si>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</si>
  <si>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</si>
  <si>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</si>
  <si>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</si>
  <si>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</si>
  <si>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</si>
  <si>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</si>
  <si>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</si>
  <si>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</si>
  <si>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</si>
  <si>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</si>
  <si>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</si>
  <si>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</si>
  <si>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</si>
  <si>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</si>
  <si>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</si>
  <si>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</si>
  <si>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</si>
  <si>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</si>
  <si>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</si>
  <si>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</si>
  <si>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</si>
  <si>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</si>
  <si>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</si>
  <si>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</si>
  <si>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</si>
  <si>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</si>
  <si>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</si>
  <si>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</si>
  <si>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</si>
  <si>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</si>
  <si>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</si>
  <si>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</si>
  <si>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</si>
  <si>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</si>
  <si>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</si>
  <si>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</si>
  <si>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</si>
  <si>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</si>
  <si>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</si>
  <si>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</si>
  <si>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</si>
  <si>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</si>
  <si>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</si>
  <si>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</si>
  <si>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</si>
  <si>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</si>
  <si>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</si>
  <si>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</si>
  <si>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</si>
  <si>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</si>
  <si>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</si>
  <si>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</si>
  <si>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</si>
  <si>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</si>
  <si>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</si>
  <si>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</si>
  <si>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</si>
  <si>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</si>
  <si>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</si>
  <si>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</si>
  <si>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</si>
  <si>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</si>
  <si>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</si>
  <si>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</si>
  <si>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</si>
  <si>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</si>
  <si>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</si>
  <si>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</si>
  <si>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</si>
  <si>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</si>
  <si>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</si>
  <si>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</si>
  <si>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</si>
  <si>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</si>
  <si>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</si>
  <si>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</si>
  <si>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</si>
  <si>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</si>
  <si>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</si>
  <si>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</si>
  <si>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</si>
  <si>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</si>
  <si>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</si>
  <si>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</si>
  <si>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</si>
  <si>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</si>
  <si>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</si>
  <si>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</si>
  <si>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</si>
  <si>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</si>
  <si>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</si>
  <si>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</si>
  <si>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</si>
  <si>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</si>
  <si>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</si>
  <si>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</si>
  <si>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</si>
  <si>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</si>
  <si>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</si>
  <si>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</si>
  <si>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</si>
  <si>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</si>
  <si>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</si>
  <si>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</si>
  <si>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</si>
  <si>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</si>
  <si>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</si>
  <si>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</si>
  <si>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</si>
  <si>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</si>
  <si>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</si>
  <si>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</si>
  <si>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</si>
  <si>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</si>
  <si>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</si>
  <si>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</si>
  <si>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</si>
  <si>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</si>
  <si>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</si>
  <si>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</si>
  <si>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</si>
  <si>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</si>
  <si>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</si>
  <si>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</si>
  <si>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</si>
  <si>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</si>
  <si>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</si>
  <si>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</si>
  <si>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</si>
  <si>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</si>
  <si>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</si>
  <si>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</si>
  <si>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</si>
  <si>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</si>
  <si>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</si>
  <si>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</si>
  <si>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</si>
  <si>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</si>
  <si>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</si>
  <si>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</si>
  <si>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</si>
  <si>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</si>
  <si>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</si>
  <si>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</si>
  <si>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</si>
  <si>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</si>
  <si>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</si>
  <si>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</si>
  <si>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</si>
  <si>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</si>
  <si>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</si>
  <si>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</si>
  <si>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</si>
  <si>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</si>
  <si>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</si>
  <si>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</si>
  <si>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</si>
  <si>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</si>
  <si>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</si>
  <si>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</si>
  <si>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</si>
  <si>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</si>
  <si>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</si>
  <si>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</si>
  <si>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</si>
  <si>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</si>
  <si>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</si>
  <si>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</si>
  <si>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</si>
  <si>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</si>
  <si>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</si>
  <si>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</si>
  <si>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</si>
  <si>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</si>
  <si>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</si>
  <si>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</si>
  <si>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</si>
  <si>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</si>
  <si>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</si>
  <si>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</si>
  <si>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</si>
  <si>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</si>
  <si>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</si>
  <si>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</si>
  <si>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</si>
  <si>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</si>
  <si>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</si>
  <si>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</si>
  <si>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</si>
  <si>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</si>
  <si>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</si>
  <si>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</si>
  <si>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</si>
  <si>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</si>
  <si>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</si>
  <si>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</si>
  <si>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</si>
  <si>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</si>
  <si>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</si>
  <si>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</si>
  <si>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</si>
  <si>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</si>
  <si>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</si>
  <si>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</si>
  <si>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</si>
  <si>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</si>
  <si>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</si>
  <si>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</si>
  <si>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</si>
  <si>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</si>
  <si>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</si>
  <si>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</si>
  <si>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</si>
  <si>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</si>
  <si>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</si>
  <si>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</si>
  <si>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</si>
  <si>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</si>
  <si>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</si>
  <si>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</si>
  <si>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</si>
  <si>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</si>
  <si>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</si>
  <si>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</si>
  <si>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</si>
  <si>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</si>
  <si>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</si>
  <si>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</si>
  <si>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</si>
  <si>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</si>
  <si>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</si>
  <si>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</si>
  <si>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</si>
  <si>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</si>
  <si>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</si>
  <si>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</si>
  <si>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</si>
  <si>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</si>
  <si>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</si>
  <si>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</si>
  <si>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</si>
  <si>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</si>
  <si>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</si>
  <si>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</si>
  <si>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</si>
  <si>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</si>
  <si>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</si>
  <si>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</si>
  <si>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</si>
  <si>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</si>
  <si>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</si>
  <si>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</si>
  <si>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</si>
  <si>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</si>
  <si>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</si>
  <si>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</si>
  <si>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</si>
  <si>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</si>
  <si>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</si>
  <si>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</si>
  <si>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</si>
  <si>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</si>
  <si>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</si>
  <si>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</si>
  <si>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</si>
  <si>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</si>
  <si>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</si>
  <si>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</si>
  <si>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</si>
  <si>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</si>
  <si>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</si>
  <si>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</si>
  <si>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</si>
  <si>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</si>
  <si>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</si>
  <si>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</si>
  <si>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</si>
  <si>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</si>
  <si>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</si>
  <si>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</si>
  <si>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</si>
  <si>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</si>
  <si>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</si>
  <si>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</si>
  <si>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</si>
  <si>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</si>
  <si>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</si>
  <si>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</si>
  <si>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</si>
  <si>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</si>
  <si>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</si>
  <si>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</si>
  <si>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</si>
  <si>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</si>
  <si>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</si>
  <si>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</si>
  <si>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</si>
  <si>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</si>
  <si>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</si>
  <si>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</si>
  <si>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</si>
  <si>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</si>
  <si>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</si>
  <si>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</si>
  <si>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</si>
  <si>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</si>
  <si>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</si>
  <si>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</si>
  <si>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</si>
  <si>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</si>
  <si>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</si>
  <si>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</si>
  <si>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</si>
  <si>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</si>
  <si>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</si>
  <si>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</si>
  <si>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</si>
  <si>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</si>
  <si>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</si>
  <si>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</si>
  <si>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</si>
  <si>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</si>
  <si>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</si>
  <si>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</si>
  <si>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</si>
  <si>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</si>
  <si>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</si>
  <si>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</si>
  <si>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</si>
  <si>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</si>
  <si>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</si>
  <si>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</si>
  <si>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</si>
  <si>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</si>
  <si>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</si>
  <si>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</si>
  <si>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</si>
  <si>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</si>
  <si>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</si>
  <si>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</si>
  <si>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</si>
  <si>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</si>
  <si>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</si>
  <si>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</si>
  <si>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</si>
  <si>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</si>
  <si>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</si>
  <si>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</si>
  <si>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</si>
  <si>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</si>
  <si>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</si>
  <si>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</si>
  <si>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</si>
  <si>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</si>
  <si>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</si>
  <si>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</si>
  <si>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</si>
  <si>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</si>
  <si>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</si>
  <si>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</si>
  <si>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</si>
  <si>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</si>
  <si>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</si>
  <si>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</si>
  <si>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</si>
  <si>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</si>
  <si>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</si>
  <si>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</si>
  <si>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</si>
  <si>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</si>
  <si>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</si>
  <si>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</si>
  <si>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</si>
  <si>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</si>
  <si>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</si>
  <si>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</si>
  <si>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</si>
  <si>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</si>
  <si>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</si>
  <si>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</si>
  <si>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</si>
  <si>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</si>
  <si>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</si>
  <si>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</si>
  <si>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</si>
  <si>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</si>
  <si>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</si>
  <si>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</si>
  <si>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</si>
  <si>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</si>
  <si>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</si>
  <si>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</si>
  <si>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</si>
  <si>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</si>
  <si>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</si>
  <si>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</si>
  <si>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</si>
  <si>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</si>
  <si>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</si>
  <si>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</si>
  <si>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</si>
  <si>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</si>
  <si>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</si>
  <si>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</si>
  <si>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</si>
  <si>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</si>
  <si>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</si>
  <si>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</si>
  <si>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</si>
  <si>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</si>
  <si>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</si>
  <si>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</si>
  <si>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</si>
  <si>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</si>
  <si>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</si>
  <si>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</si>
  <si>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</si>
  <si>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</si>
  <si>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</si>
  <si>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</si>
  <si>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</si>
  <si>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</si>
  <si>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</si>
  <si>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</si>
  <si>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</si>
  <si>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</si>
  <si>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</si>
  <si>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</si>
  <si>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</si>
  <si>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</si>
  <si>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</si>
  <si>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</si>
  <si>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</si>
  <si>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</si>
  <si>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</si>
  <si>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</si>
  <si>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</si>
  <si>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</si>
  <si>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</si>
  <si>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</si>
  <si>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</si>
  <si>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</si>
  <si>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</si>
  <si>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</si>
  <si>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</si>
  <si>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</si>
  <si>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</si>
  <si>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</si>
  <si>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</si>
  <si>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</si>
  <si>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</si>
  <si>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</si>
  <si>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</si>
  <si>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</si>
  <si>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</si>
  <si>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</si>
  <si>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</si>
  <si>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</si>
  <si>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</si>
  <si>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</si>
  <si>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</si>
  <si>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</si>
  <si>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</si>
  <si>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</si>
  <si>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</si>
  <si>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</si>
  <si>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</si>
  <si>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</si>
  <si>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</si>
  <si>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</si>
  <si>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</si>
  <si>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</si>
  <si>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</si>
  <si>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</si>
  <si>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</si>
  <si>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</si>
  <si>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</si>
  <si>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</si>
  <si>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</si>
  <si>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</si>
  <si>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</si>
  <si>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</si>
  <si>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</si>
  <si>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</si>
  <si>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</si>
  <si>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</si>
  <si>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</si>
  <si>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</si>
  <si>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</si>
  <si>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</si>
  <si>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</si>
  <si>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</si>
  <si>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</si>
  <si>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</si>
  <si>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</si>
  <si>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</si>
  <si>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</si>
  <si>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</si>
  <si>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</si>
  <si>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</si>
  <si>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</si>
  <si>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</si>
  <si>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</si>
  <si>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</si>
  <si>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</si>
  <si>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</si>
  <si>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</si>
  <si>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</si>
  <si>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</si>
  <si>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</si>
  <si>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</si>
  <si>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</si>
  <si>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</si>
  <si>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</si>
  <si>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</si>
  <si>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</si>
  <si>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</si>
  <si>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</si>
  <si>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</si>
  <si>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</si>
  <si>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</si>
  <si>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</si>
  <si>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</si>
  <si>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</si>
  <si>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</si>
  <si>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</si>
  <si>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</si>
  <si>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</si>
  <si>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</si>
  <si>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</si>
  <si>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</si>
  <si>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</si>
  <si>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</si>
  <si>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</si>
  <si>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</si>
  <si>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</si>
  <si>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</si>
  <si>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</si>
  <si>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</si>
  <si>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</si>
  <si>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</si>
  <si>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</si>
  <si>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</si>
  <si>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</si>
  <si>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</si>
  <si>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</si>
  <si>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</si>
  <si>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</si>
  <si>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</si>
  <si>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</si>
  <si>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</si>
  <si>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</si>
  <si>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</si>
  <si>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</si>
  <si>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</si>
  <si>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</si>
  <si>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</si>
  <si>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</si>
  <si>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</si>
  <si>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</si>
  <si>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</si>
  <si>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</si>
  <si>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</si>
  <si>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</si>
  <si>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</si>
  <si>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</si>
  <si>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</si>
  <si>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</si>
  <si>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</si>
  <si>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</si>
  <si>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</si>
  <si>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</si>
  <si>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</si>
  <si>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</si>
  <si>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</si>
  <si>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</si>
  <si>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</si>
  <si>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</si>
  <si>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</si>
  <si>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</si>
  <si>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</si>
  <si>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</si>
  <si>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</si>
  <si>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</si>
  <si>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</si>
  <si>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</si>
  <si>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</si>
  <si>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</si>
  <si>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</si>
  <si>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</si>
  <si>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</si>
  <si>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</si>
  <si>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</si>
  <si>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</si>
  <si>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</si>
  <si>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</si>
  <si>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</si>
  <si>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</si>
  <si>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</si>
  <si>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</si>
  <si>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</si>
  <si>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</si>
  <si>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</si>
  <si>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</si>
  <si>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</si>
  <si>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</si>
  <si>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</si>
  <si>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</si>
  <si>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</si>
  <si>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</si>
  <si>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</si>
  <si>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</si>
  <si>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</si>
  <si>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</si>
  <si>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</si>
  <si>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</si>
  <si>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</si>
  <si>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</si>
  <si>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</si>
  <si>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</si>
  <si>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</si>
  <si>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</si>
  <si>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</si>
  <si>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</si>
  <si>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</si>
  <si>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</si>
  <si>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</si>
  <si>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</si>
  <si>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</si>
  <si>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</si>
  <si>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</si>
  <si>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</si>
  <si>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</si>
  <si>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</si>
  <si>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</si>
  <si>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</si>
  <si>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</si>
  <si>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</si>
  <si>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</si>
  <si>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</si>
  <si>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</si>
  <si>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</si>
  <si>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</si>
  <si>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</si>
  <si>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</si>
  <si>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</si>
  <si>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</si>
  <si>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</si>
  <si>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</si>
  <si>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</si>
  <si>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</si>
  <si>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</si>
  <si>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</si>
  <si>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</si>
  <si>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</si>
  <si>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</si>
  <si>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</si>
  <si>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</si>
  <si>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</si>
  <si>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</si>
  <si>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</si>
  <si>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</si>
  <si>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</si>
  <si>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</si>
  <si>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</si>
  <si>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</si>
  <si>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</si>
  <si>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</si>
  <si>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</si>
  <si>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</si>
  <si>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</si>
  <si>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</si>
  <si>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</si>
  <si>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</si>
  <si>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</si>
  <si>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</si>
  <si>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</si>
  <si>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</si>
  <si>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</si>
  <si>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</si>
  <si>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</si>
  <si>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</si>
  <si>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</si>
  <si>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</si>
  <si>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</si>
  <si>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</si>
  <si>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</si>
  <si>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</si>
  <si>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</si>
  <si>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</si>
  <si>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</si>
  <si>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</si>
  <si>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</si>
  <si>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</si>
  <si>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</si>
  <si>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</si>
  <si>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</si>
  <si>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</si>
  <si>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</si>
  <si>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</si>
  <si>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</si>
  <si>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</si>
  <si>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</si>
  <si>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</si>
  <si>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</si>
  <si>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</si>
  <si>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</si>
  <si>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</si>
  <si>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</si>
  <si>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</si>
  <si>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</si>
  <si>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</si>
  <si>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</si>
  <si>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</si>
  <si>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</si>
  <si>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</si>
  <si>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</si>
  <si>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</si>
  <si>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</si>
  <si>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</si>
  <si>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</si>
  <si>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</si>
  <si>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</si>
  <si>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</si>
  <si>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</si>
  <si>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</si>
  <si>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</si>
  <si>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</si>
  <si>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</si>
  <si>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</si>
  <si>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</si>
  <si>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</si>
  <si>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</si>
  <si>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</si>
  <si>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</si>
  <si>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</si>
  <si>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</si>
  <si>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</si>
  <si>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</si>
  <si>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</si>
  <si>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</si>
  <si>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</si>
  <si>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</si>
  <si>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</si>
  <si>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</si>
  <si>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</si>
  <si>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</si>
  <si>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</si>
  <si>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</si>
  <si>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</si>
  <si>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</si>
  <si>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</si>
  <si>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</si>
  <si>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</si>
  <si>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</si>
  <si>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</si>
  <si>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</si>
  <si>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</si>
  <si>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</si>
  <si>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</si>
  <si>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</si>
  <si>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</si>
  <si>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</si>
  <si>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</si>
  <si>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</si>
  <si>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</si>
  <si>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</si>
  <si>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</si>
  <si>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</si>
  <si>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</si>
  <si>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</si>
  <si>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</si>
  <si>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</si>
  <si>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</si>
  <si>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</si>
  <si>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</si>
  <si>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</si>
  <si>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</si>
  <si>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</si>
  <si>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</si>
  <si>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</si>
  <si>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</si>
  <si>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</si>
  <si>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</si>
  <si>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</si>
  <si>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</si>
  <si>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</si>
  <si>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</si>
  <si>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</si>
  <si>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</si>
  <si>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</si>
  <si>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</si>
  <si>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</si>
  <si>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</si>
  <si>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</si>
  <si>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</si>
  <si>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</si>
  <si>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</si>
  <si>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</si>
  <si>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</si>
  <si>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</si>
  <si>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</si>
  <si>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</si>
  <si>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</si>
  <si>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</si>
  <si>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</si>
  <si>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</si>
  <si>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</si>
  <si>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</si>
  <si>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</si>
  <si>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</si>
  <si>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</si>
  <si>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</si>
  <si>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</si>
  <si>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</si>
  <si>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</si>
  <si>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</si>
  <si>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</si>
  <si>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</si>
  <si>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</si>
  <si>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</si>
  <si>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</si>
  <si>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</si>
  <si>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</si>
  <si>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</si>
  <si>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</si>
  <si>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</si>
  <si>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</si>
  <si>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</si>
  <si>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</si>
  <si>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</si>
  <si>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</si>
  <si>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</si>
  <si>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</si>
  <si>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</si>
  <si>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</si>
  <si>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</si>
  <si>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</si>
  <si>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</si>
  <si>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</si>
  <si>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</si>
  <si>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</si>
  <si>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</si>
  <si>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</si>
  <si>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</si>
  <si>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</si>
  <si>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</si>
  <si>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</si>
  <si>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</si>
  <si>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</si>
  <si>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</si>
  <si>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</si>
  <si>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</si>
  <si>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</si>
  <si>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</si>
  <si>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</si>
  <si>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</si>
  <si>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</si>
  <si>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</si>
  <si>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</si>
  <si>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</si>
  <si>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</si>
  <si>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</si>
  <si>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</si>
  <si>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</si>
  <si>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</si>
  <si>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</si>
  <si>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</si>
  <si>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</si>
  <si>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</si>
  <si>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</si>
  <si>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</si>
  <si>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</si>
  <si>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</si>
  <si>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</si>
  <si>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</si>
  <si>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</si>
  <si>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</si>
  <si>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</si>
  <si>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</si>
  <si>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</si>
  <si>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</si>
  <si>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</si>
  <si>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</si>
  <si>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</si>
  <si>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</si>
  <si>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</si>
  <si>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</si>
  <si>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</si>
  <si>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</si>
  <si>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</si>
  <si>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</si>
  <si>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</si>
  <si>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</si>
  <si>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</si>
  <si>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</si>
  <si>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</si>
  <si>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</si>
  <si>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</si>
  <si>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</si>
  <si>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</si>
  <si>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</si>
  <si>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</si>
  <si>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</si>
  <si>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</si>
  <si>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</si>
  <si>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</si>
  <si>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</si>
  <si>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</si>
  <si>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</si>
  <si>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</si>
  <si>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</si>
  <si>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</si>
  <si>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</si>
  <si>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</si>
  <si>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</si>
  <si>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</si>
  <si>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</si>
  <si>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</si>
  <si>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</si>
  <si>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</si>
  <si>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</si>
  <si>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</si>
  <si>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</si>
  <si>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</si>
  <si>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</si>
  <si>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</si>
  <si>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</si>
  <si>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</si>
  <si>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</si>
  <si>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</si>
  <si>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</si>
  <si>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</si>
  <si>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</si>
  <si>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</si>
  <si>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</si>
  <si>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</si>
  <si>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</si>
  <si>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</si>
  <si>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</si>
  <si>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</si>
  <si>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</si>
  <si>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</si>
  <si>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</si>
  <si>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</si>
  <si>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</si>
  <si>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</si>
  <si>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</si>
  <si>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</si>
  <si>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</si>
  <si>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</si>
  <si>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</si>
  <si>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</si>
  <si>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</si>
  <si>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</si>
  <si>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</si>
  <si>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</si>
  <si>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</si>
  <si>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</si>
  <si>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</si>
  <si>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</si>
  <si>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</si>
  <si>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</si>
  <si>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</si>
  <si>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</si>
  <si>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</si>
  <si>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</si>
  <si>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</si>
  <si>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</si>
  <si>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</si>
  <si>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</si>
  <si>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</si>
  <si>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</si>
  <si>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</si>
  <si>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</si>
  <si>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</si>
  <si>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</si>
  <si>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</si>
  <si>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</si>
  <si>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</si>
  <si>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</si>
  <si>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</si>
  <si>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</si>
  <si>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</si>
  <si>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</si>
  <si>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</si>
  <si>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</si>
  <si>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</si>
  <si>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</si>
  <si>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</si>
  <si>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</si>
  <si>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</si>
  <si>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</si>
  <si>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</si>
  <si>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</si>
  <si>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</si>
  <si>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</si>
  <si>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</si>
  <si>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</si>
  <si>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</si>
  <si>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</si>
  <si>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</si>
  <si>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</si>
  <si>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</si>
  <si>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</si>
  <si>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</si>
  <si>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</si>
  <si>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</si>
  <si>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</si>
  <si>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</si>
  <si>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</si>
  <si>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</si>
  <si>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</si>
  <si>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</si>
  <si>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</si>
  <si>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</si>
  <si>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</si>
  <si>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</si>
  <si>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</si>
  <si>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</si>
  <si>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</si>
  <si>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</si>
  <si>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</si>
  <si>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</si>
  <si>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</si>
  <si>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</si>
  <si>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</si>
  <si>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</si>
  <si>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</si>
  <si>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</si>
  <si>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</si>
  <si>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</si>
  <si>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</si>
  <si>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</si>
  <si>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</si>
  <si>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</si>
  <si>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</si>
  <si>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</si>
  <si>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</si>
  <si>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</si>
  <si>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</si>
  <si>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</si>
  <si>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</si>
  <si>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</si>
  <si>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</si>
  <si>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</si>
  <si>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</si>
  <si>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</si>
  <si>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</si>
  <si>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</si>
  <si>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</si>
  <si>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</si>
  <si>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</si>
  <si>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</si>
  <si>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</si>
  <si>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</si>
  <si>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</si>
  <si>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</si>
  <si>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</si>
  <si>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</si>
  <si>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</si>
  <si>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</si>
  <si>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</si>
  <si>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</si>
  <si>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</si>
  <si>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</si>
  <si>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</si>
  <si>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</si>
  <si>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</si>
  <si>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</si>
  <si>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</si>
  <si>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</si>
  <si>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</si>
  <si>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</si>
  <si>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</si>
  <si>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</si>
  <si>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</si>
  <si>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</si>
  <si>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</si>
  <si>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</si>
  <si>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</si>
  <si>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</si>
  <si>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</si>
  <si>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</si>
  <si>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</si>
  <si>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</si>
  <si>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</si>
  <si>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</si>
  <si>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</si>
  <si>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</si>
  <si>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</si>
  <si>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</si>
  <si>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</si>
  <si>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</si>
  <si>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</si>
  <si>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</si>
  <si>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</si>
  <si>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</si>
  <si>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</si>
  <si>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</si>
  <si>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</si>
  <si>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</si>
  <si>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</si>
  <si>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</si>
  <si>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</si>
  <si>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</si>
  <si>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</si>
  <si>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</si>
  <si>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</si>
  <si>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</si>
  <si>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</si>
  <si>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</si>
  <si>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</si>
  <si>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</si>
  <si>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</si>
  <si>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</si>
  <si>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</si>
  <si>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</si>
  <si>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</si>
  <si>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</si>
  <si>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</si>
  <si>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</si>
  <si>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</si>
  <si>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</si>
  <si>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</si>
  <si>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</si>
  <si>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</si>
  <si>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</si>
  <si>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</si>
  <si>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</si>
  <si>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</si>
  <si>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</si>
  <si>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</si>
  <si>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</si>
  <si>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</si>
  <si>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</si>
  <si>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</si>
  <si>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</si>
  <si>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</si>
  <si>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</si>
  <si>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</si>
  <si>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</si>
  <si>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</si>
  <si>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</si>
  <si>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</si>
  <si>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</si>
  <si>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</si>
  <si>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</si>
  <si>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</si>
  <si>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</si>
  <si>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</si>
  <si>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</si>
  <si>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</si>
  <si>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</si>
  <si>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</si>
  <si>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</si>
  <si>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</si>
  <si>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</si>
  <si>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</si>
  <si>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</si>
  <si>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</si>
  <si>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</si>
  <si>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</si>
  <si>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</si>
  <si>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</si>
  <si>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</si>
  <si>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</si>
  <si>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</si>
  <si>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</si>
  <si>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</si>
  <si>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</si>
  <si>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</si>
  <si>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</si>
  <si>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</si>
  <si>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</si>
  <si>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</si>
  <si>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</si>
  <si>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</si>
  <si>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</si>
  <si>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</si>
  <si>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</si>
  <si>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</si>
  <si>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</si>
  <si>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</si>
  <si>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</si>
  <si>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</si>
  <si>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</si>
  <si>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</si>
  <si>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</si>
  <si>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</si>
  <si>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</si>
  <si>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</si>
  <si>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</si>
  <si>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</si>
  <si>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</si>
  <si>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</si>
  <si>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</si>
  <si>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</si>
  <si>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</si>
  <si>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</si>
  <si>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</si>
  <si>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</si>
  <si>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</si>
  <si>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</si>
  <si>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</si>
  <si>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</si>
  <si>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</si>
  <si>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</si>
  <si>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</si>
  <si>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</si>
  <si>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</si>
  <si>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</si>
  <si>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</si>
  <si>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</si>
  <si>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</si>
  <si>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</si>
  <si>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</si>
  <si>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</si>
  <si>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</si>
  <si>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</si>
  <si>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</si>
  <si>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</si>
  <si>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</si>
  <si>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</si>
  <si>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</si>
  <si>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</si>
  <si>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</si>
  <si>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</si>
  <si>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</si>
  <si>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</si>
  <si>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</si>
  <si>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</si>
  <si>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</si>
  <si>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</si>
  <si>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</si>
  <si>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</si>
  <si>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</si>
  <si>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</si>
  <si>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</si>
  <si>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</si>
  <si>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</si>
  <si>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</si>
  <si>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</si>
  <si>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</si>
  <si>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</si>
  <si>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</si>
  <si>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</si>
  <si>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</si>
  <si>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</si>
  <si>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</si>
  <si>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</si>
  <si>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</si>
  <si>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</si>
  <si>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</si>
  <si>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</si>
  <si>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</si>
  <si>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</si>
  <si>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</si>
  <si>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</si>
  <si>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</si>
  <si>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</si>
  <si>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</si>
  <si>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</si>
  <si>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</si>
  <si>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</si>
  <si>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</si>
  <si>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</si>
  <si>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</si>
  <si>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</si>
  <si>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</si>
  <si>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</si>
  <si>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</si>
  <si>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</si>
  <si>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</si>
  <si>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</si>
  <si>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</si>
  <si>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</si>
  <si>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</si>
  <si>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</si>
  <si>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</si>
  <si>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</si>
  <si>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</si>
  <si>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</si>
  <si>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</si>
  <si>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</si>
  <si>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</si>
  <si>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</si>
  <si>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</si>
  <si>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</si>
  <si>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</si>
  <si>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</si>
  <si>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</si>
  <si>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</si>
  <si>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</si>
  <si>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</si>
  <si>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</si>
  <si>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</si>
  <si>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</si>
  <si>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</si>
  <si>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</si>
  <si>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</si>
  <si>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</si>
  <si>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</si>
  <si>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</si>
  <si>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</si>
  <si>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</si>
  <si>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</si>
  <si>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</si>
  <si>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</si>
  <si>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</si>
  <si>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</si>
  <si>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</si>
  <si>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</si>
  <si>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</si>
  <si>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</si>
  <si>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</si>
  <si>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</si>
  <si>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</si>
  <si>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</si>
  <si>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</si>
  <si>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</si>
  <si>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</si>
  <si>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</si>
  <si>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</si>
  <si>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</si>
  <si>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</si>
  <si>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</si>
  <si>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</si>
  <si>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</si>
  <si>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</si>
  <si>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</si>
  <si>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</si>
  <si>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</si>
  <si>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</si>
  <si>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</si>
  <si>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</si>
  <si>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</si>
  <si>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</si>
  <si>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</si>
  <si>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</si>
  <si>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</si>
  <si>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</si>
  <si>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</si>
  <si>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</si>
  <si>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</si>
  <si>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</si>
  <si>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</si>
  <si>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</si>
  <si>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</si>
  <si>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</si>
  <si>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</si>
  <si>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</si>
  <si>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</si>
  <si>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</si>
  <si>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</si>
  <si>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</si>
  <si>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</si>
  <si>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</si>
  <si>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</si>
  <si>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</si>
  <si>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</si>
  <si>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</si>
  <si>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</si>
  <si>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</si>
  <si>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</si>
  <si>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</si>
  <si>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</si>
  <si>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</si>
  <si>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</si>
  <si>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</si>
  <si>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</si>
  <si>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</si>
  <si>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</si>
  <si>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</si>
  <si>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</si>
  <si>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</si>
  <si>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</si>
  <si>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</si>
  <si>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</si>
  <si>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</si>
  <si>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</si>
  <si>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</si>
  <si>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</si>
  <si>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</si>
  <si>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</si>
  <si>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</si>
  <si>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</si>
  <si>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</si>
  <si>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</si>
  <si>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</si>
  <si>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</si>
  <si>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</si>
  <si>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</si>
  <si>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</si>
  <si>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</si>
  <si>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</si>
  <si>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</si>
  <si>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</si>
  <si>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</si>
  <si>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</si>
  <si>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</si>
  <si>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</si>
  <si>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</si>
  <si>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</si>
  <si>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</si>
  <si>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</si>
  <si>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</si>
  <si>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</si>
  <si>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</si>
  <si>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</si>
  <si>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</si>
  <si>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</si>
  <si>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</si>
  <si>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</si>
  <si>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</si>
  <si>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</si>
  <si>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</si>
  <si>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</si>
  <si>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</si>
  <si>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</si>
  <si>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</si>
  <si>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</si>
  <si>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</si>
  <si>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</si>
  <si>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</si>
  <si>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</si>
  <si>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</si>
  <si>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</si>
  <si>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</si>
  <si>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</si>
  <si>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</si>
  <si>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</si>
  <si>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</si>
  <si>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</si>
  <si>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</si>
  <si>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</si>
  <si>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</si>
  <si>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</si>
  <si>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</si>
  <si>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</si>
  <si>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</si>
  <si>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</si>
  <si>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</si>
  <si>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</si>
  <si>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</si>
  <si>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</si>
  <si>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</si>
  <si>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</si>
  <si>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</si>
  <si>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</si>
  <si>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</si>
  <si>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</si>
  <si>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</si>
  <si>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</si>
  <si>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</si>
  <si>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</si>
  <si>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</si>
  <si>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</si>
  <si>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</si>
  <si>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</si>
  <si>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</si>
  <si>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</si>
  <si>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</si>
  <si>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</si>
  <si>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</si>
  <si>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</si>
  <si>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</si>
  <si>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</si>
  <si>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</si>
  <si>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</si>
  <si>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</si>
  <si>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</si>
  <si>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</si>
  <si>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</si>
  <si>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</si>
  <si>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</si>
  <si>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</si>
  <si>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</si>
  <si>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</si>
  <si>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</si>
  <si>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</si>
  <si>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</si>
  <si>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</si>
  <si>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</si>
  <si>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</si>
  <si>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</si>
  <si>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</si>
  <si>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</si>
  <si>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</si>
  <si>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</si>
  <si>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</si>
  <si>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</si>
  <si>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</si>
  <si>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</si>
  <si>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</si>
  <si>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</si>
  <si>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</si>
  <si>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</si>
  <si>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</si>
  <si>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</si>
  <si>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</si>
  <si>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</si>
  <si>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</si>
  <si>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</si>
  <si>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</si>
  <si>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</si>
  <si>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</si>
  <si>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</si>
  <si>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</si>
  <si>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</si>
  <si>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</si>
  <si>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</si>
  <si>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</si>
  <si>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</si>
  <si>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</si>
  <si>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</si>
  <si>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</si>
  <si>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</si>
  <si>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</si>
  <si>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</si>
  <si>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</si>
  <si>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</si>
  <si>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</si>
  <si>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</si>
  <si>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</si>
  <si>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</si>
  <si>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</si>
  <si>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</si>
  <si>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</si>
  <si>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</si>
  <si>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</si>
  <si>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</si>
  <si>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</si>
  <si>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</si>
  <si>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</si>
  <si>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</si>
  <si>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</si>
  <si>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</si>
  <si>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</si>
  <si>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</si>
  <si>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</si>
  <si>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</si>
  <si>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</si>
  <si>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</si>
  <si>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</si>
  <si>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</si>
  <si>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</si>
  <si>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</si>
  <si>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</si>
  <si>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</si>
  <si>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</si>
  <si>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</si>
  <si>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</si>
  <si>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</si>
  <si>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</si>
  <si>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</si>
  <si>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</si>
  <si>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</si>
  <si>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</si>
  <si>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</si>
  <si>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</si>
  <si>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</si>
  <si>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</si>
  <si>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</si>
  <si>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</si>
  <si>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</si>
  <si>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</si>
  <si>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</si>
  <si>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</si>
  <si>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</si>
  <si>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</si>
  <si>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</si>
  <si>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</si>
  <si>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</si>
  <si>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</si>
  <si>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</si>
  <si>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</si>
  <si>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</si>
  <si>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</si>
  <si>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</si>
  <si>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</si>
  <si>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</si>
  <si>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</si>
  <si>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</si>
  <si>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</si>
  <si>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</si>
  <si>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</si>
  <si>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</si>
  <si>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</si>
  <si>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</si>
  <si>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</si>
  <si>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</si>
  <si>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</si>
  <si>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</si>
  <si>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</si>
  <si>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</si>
  <si>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</si>
  <si>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</si>
  <si>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</si>
  <si>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</si>
  <si>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</si>
  <si>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</si>
  <si>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</si>
  <si>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</si>
  <si>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</si>
  <si>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</si>
  <si>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</si>
  <si>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</si>
  <si>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</si>
  <si>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</si>
  <si>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</si>
  <si>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</si>
  <si>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</si>
  <si>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</si>
  <si>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</si>
  <si>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</si>
  <si>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</si>
  <si>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</si>
  <si>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</si>
  <si>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</si>
  <si>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</si>
  <si>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</si>
  <si>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</si>
  <si>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</si>
  <si>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</si>
  <si>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</si>
  <si>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</si>
  <si>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</si>
  <si>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</si>
  <si>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</si>
  <si>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</si>
  <si>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</si>
  <si>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</si>
  <si>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</si>
  <si>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</si>
  <si>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</si>
  <si>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</si>
  <si>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</si>
  <si>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</si>
  <si>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</si>
  <si>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</si>
  <si>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</si>
  <si>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</si>
  <si>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</si>
  <si>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</si>
  <si>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</si>
  <si>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</si>
  <si>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</si>
  <si>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</si>
  <si>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</si>
  <si>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</si>
  <si>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</si>
  <si>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</si>
  <si>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</si>
  <si>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</si>
  <si>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</si>
  <si>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</si>
  <si>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</si>
  <si>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</si>
  <si>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</si>
  <si>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</si>
  <si>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</si>
  <si>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</si>
  <si>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</si>
  <si>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</si>
  <si>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</si>
  <si>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</si>
  <si>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</si>
  <si>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</si>
  <si>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</si>
  <si>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</si>
  <si>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</si>
  <si>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</si>
  <si>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</si>
  <si>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</si>
  <si>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</si>
  <si>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</si>
  <si>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</si>
  <si>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</si>
  <si>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</si>
  <si>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</si>
  <si>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</si>
  <si>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</si>
  <si>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</si>
  <si>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</si>
  <si>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</si>
  <si>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</si>
  <si>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</si>
  <si>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</si>
  <si>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</si>
  <si>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</si>
  <si>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</si>
  <si>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</si>
  <si>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</si>
  <si>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</si>
  <si>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</si>
  <si>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</si>
  <si>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</si>
  <si>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</si>
  <si>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</si>
  <si>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</si>
  <si>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</si>
  <si>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</si>
  <si>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</si>
  <si>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</si>
  <si>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</si>
  <si>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</si>
  <si>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</si>
  <si>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</si>
  <si>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</si>
  <si>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</si>
  <si>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</si>
  <si>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</si>
  <si>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</si>
  <si>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</si>
  <si>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</si>
  <si>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</si>
  <si>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</si>
  <si>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</si>
  <si>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</si>
  <si>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</si>
  <si>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</si>
  <si>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</si>
  <si>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</si>
  <si>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</si>
  <si>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</si>
  <si>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</si>
  <si>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</si>
  <si>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</si>
  <si>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</si>
  <si>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</si>
  <si>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</si>
  <si>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</si>
  <si>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</si>
  <si>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</si>
  <si>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</si>
  <si>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</si>
  <si>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</si>
  <si>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</si>
  <si>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</si>
  <si>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</si>
  <si>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</si>
  <si>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</si>
  <si>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</si>
  <si>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</si>
  <si>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</si>
  <si>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</si>
  <si>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</si>
  <si>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</si>
  <si>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</si>
  <si>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</si>
  <si>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</si>
  <si>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</si>
  <si>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</si>
  <si>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</si>
  <si>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</si>
  <si>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</si>
  <si>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</si>
  <si>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</si>
  <si>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</si>
  <si>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</si>
  <si>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</si>
  <si>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</si>
  <si>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</si>
  <si>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</si>
  <si>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</si>
  <si>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</si>
  <si>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</si>
  <si>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</si>
  <si>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</si>
  <si>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</si>
  <si>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</si>
  <si>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</si>
  <si>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</si>
  <si>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</si>
  <si>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</si>
  <si>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</si>
  <si>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</si>
  <si>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</si>
  <si>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</si>
  <si>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</si>
  <si>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</si>
  <si>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</si>
  <si>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</si>
  <si>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</si>
  <si>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</si>
  <si>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</si>
  <si>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</si>
  <si>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</si>
  <si>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</si>
  <si>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</si>
  <si>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</si>
  <si>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</si>
  <si>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</si>
  <si>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</si>
  <si>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</si>
  <si>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</si>
  <si>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</si>
  <si>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</si>
  <si>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</si>
  <si>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</si>
  <si>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</si>
  <si>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</si>
  <si>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</si>
  <si>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</si>
  <si>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</si>
  <si>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</si>
  <si>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</si>
  <si>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</si>
  <si>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</si>
  <si>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</si>
  <si>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</si>
  <si>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</si>
  <si>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</si>
  <si>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</si>
  <si>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</si>
  <si>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</si>
  <si>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</si>
  <si>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</si>
  <si>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</si>
  <si>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</si>
  <si>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</si>
  <si>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</si>
  <si>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</si>
  <si>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</si>
  <si>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</si>
  <si>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</si>
  <si>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</si>
  <si>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</si>
  <si>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</si>
  <si>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</si>
  <si>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</si>
  <si>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</si>
  <si>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</si>
  <si>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</si>
  <si>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</si>
  <si>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</si>
  <si>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</si>
  <si>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</si>
  <si>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</si>
  <si>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</si>
  <si>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</si>
  <si>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</si>
  <si>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</si>
  <si>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</si>
  <si>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</si>
  <si>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</si>
  <si>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</si>
  <si>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</si>
  <si>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</si>
  <si>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</si>
  <si>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</si>
  <si>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</si>
  <si>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</si>
  <si>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</si>
  <si>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</si>
  <si>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</si>
  <si>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</si>
  <si>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</si>
  <si>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</si>
  <si>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</si>
  <si>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</si>
  <si>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</si>
  <si>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</si>
  <si>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</si>
  <si>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</si>
  <si>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</si>
  <si>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</si>
  <si>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</si>
  <si>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</si>
  <si>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</si>
  <si>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</si>
  <si>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</si>
  <si>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</si>
  <si>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</si>
  <si>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</si>
  <si>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</si>
  <si>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</si>
  <si>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</si>
  <si>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</si>
  <si>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</si>
  <si>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</si>
  <si>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</si>
  <si>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</si>
  <si>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</si>
  <si>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</si>
  <si>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</si>
  <si>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</si>
  <si>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</si>
  <si>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</si>
  <si>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</si>
  <si>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</si>
  <si>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</si>
  <si>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</si>
  <si>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</si>
  <si>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</si>
  <si>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</si>
  <si>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</si>
  <si>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</si>
  <si>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</si>
  <si>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</si>
  <si>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</si>
  <si>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</si>
  <si>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</si>
  <si>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</si>
  <si>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</si>
  <si>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</si>
  <si>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</si>
  <si>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</si>
  <si>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</si>
  <si>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</si>
  <si>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</si>
  <si>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</si>
  <si>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</si>
  <si>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</si>
  <si>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</si>
  <si>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</si>
  <si>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</si>
  <si>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</si>
  <si>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</si>
  <si>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</si>
  <si>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</si>
  <si>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</si>
  <si>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</si>
  <si>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</si>
  <si>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</si>
  <si>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</si>
  <si>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</si>
  <si>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</si>
  <si>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</si>
  <si>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</si>
  <si>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</si>
  <si>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</si>
  <si>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</si>
  <si>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</si>
  <si>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</si>
  <si>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</si>
  <si>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</si>
  <si>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</si>
  <si>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</si>
  <si>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January 28, 2022 Version</t>
  </si>
  <si>
    <t>*This is the difference between the project county's basis limit and the median county basis limit.  See Application sheet Threshold Basis Limits Table.
All counties' 4% credit threshold basis limits are available on the TCAC website.</t>
  </si>
  <si>
    <t xml:space="preserve">The Kelsey Civic Center </t>
  </si>
  <si>
    <t>The Kelsey Civic Center, L.P.</t>
  </si>
  <si>
    <t>San Francisco Mayor's Office of Housing and Community Development</t>
  </si>
  <si>
    <t>Eric Shaw</t>
  </si>
  <si>
    <t xml:space="preserve">1 South Van Ness Avenue, 5th Floor </t>
  </si>
  <si>
    <t>Director</t>
  </si>
  <si>
    <t>(415) 701-5528</t>
  </si>
  <si>
    <t>(415) 701-5501</t>
  </si>
  <si>
    <t>eric.shaw@sfgov.org</t>
  </si>
  <si>
    <t>CDLAC-TCAC Joint Application (submitting concurrently)</t>
  </si>
  <si>
    <t>240 Van Ness Avenue</t>
  </si>
  <si>
    <t xml:space="preserve">0811/20, 0811/19, 0811/16, 0811/21 (to be consolidated in to future 0811/204) </t>
  </si>
  <si>
    <t>Low Resource</t>
  </si>
  <si>
    <t>40%/60% Average Income</t>
  </si>
  <si>
    <t>1256 Market Street</t>
  </si>
  <si>
    <t>CA</t>
  </si>
  <si>
    <t>Fiona Ruddy</t>
  </si>
  <si>
    <t>415.355.7160</t>
  </si>
  <si>
    <t>415.355.7101</t>
  </si>
  <si>
    <t>fiona.ruddy@mercyhousing.org</t>
  </si>
  <si>
    <t xml:space="preserve">Mercy Housing Calwest </t>
  </si>
  <si>
    <t>Mercy Housing Calwest</t>
  </si>
  <si>
    <t>Mercy Kelsey Civic Center, LLC</t>
  </si>
  <si>
    <t>Managing GP</t>
  </si>
  <si>
    <t>The Kelsey Civic Center LLC</t>
  </si>
  <si>
    <t>The Kelsey</t>
  </si>
  <si>
    <t>1460 Mission Street</t>
  </si>
  <si>
    <t>Mercy Housing California</t>
  </si>
  <si>
    <t xml:space="preserve">Project Developer </t>
  </si>
  <si>
    <t>San Francisco, CA 94102</t>
  </si>
  <si>
    <t>Barbara Gualco</t>
  </si>
  <si>
    <t>415.355.7100</t>
  </si>
  <si>
    <t>bgualco@mercyhousing.org</t>
  </si>
  <si>
    <t>Micaela Connery</t>
  </si>
  <si>
    <t>micaela@thekelsey.org</t>
  </si>
  <si>
    <t>Santos Prescott and Associates</t>
  </si>
  <si>
    <t>Bruce Prescott</t>
  </si>
  <si>
    <t>bruce@santosprescott.com</t>
  </si>
  <si>
    <t>Gubb &amp; Barshay LLP</t>
  </si>
  <si>
    <t>505 14th Street, Suite 450</t>
  </si>
  <si>
    <t>Oakland, CA 94612</t>
  </si>
  <si>
    <t>Evan Gross</t>
  </si>
  <si>
    <t>egross@gubbandbarshay.com</t>
  </si>
  <si>
    <t>Cahill Contractors LLC</t>
  </si>
  <si>
    <t>425 California Street, Suite 2200</t>
  </si>
  <si>
    <t>San Francisco, CA 94104</t>
  </si>
  <si>
    <t xml:space="preserve">Arash Baradaran </t>
  </si>
  <si>
    <t>415.908.3767</t>
  </si>
  <si>
    <t>415.781.6600</t>
  </si>
  <si>
    <t xml:space="preserve">415.677.0628 </t>
  </si>
  <si>
    <t>abaradaran@cahill-sf.com</t>
  </si>
  <si>
    <t>Stok</t>
  </si>
  <si>
    <t>26 O’Farrell St, Fl. 2</t>
  </si>
  <si>
    <t>San Francisco, CA 94108</t>
  </si>
  <si>
    <t>Michelle Tang</t>
  </si>
  <si>
    <t>michellet@stok.com</t>
  </si>
  <si>
    <t>To Be Determined</t>
  </si>
  <si>
    <t>CohnReznick, LLP</t>
  </si>
  <si>
    <t>525 North Tyson Street, Suite 1000</t>
  </si>
  <si>
    <t xml:space="preserve">619.489.5449 </t>
  </si>
  <si>
    <t>Charlotte, NC 28202</t>
  </si>
  <si>
    <t>Nic Mathias</t>
  </si>
  <si>
    <t>704-900-2013</t>
  </si>
  <si>
    <t>704-900-2014</t>
  </si>
  <si>
    <t>nic.mathias@cohnreznick.com</t>
  </si>
  <si>
    <t>California Housing Partnership</t>
  </si>
  <si>
    <t>369 Pine Street, Suite 300</t>
  </si>
  <si>
    <t>Mengxin Zhou</t>
  </si>
  <si>
    <t xml:space="preserve">415.433.6804 </t>
  </si>
  <si>
    <t>mzhou@chpc.net</t>
  </si>
  <si>
    <t>Newport Realty Advisors</t>
  </si>
  <si>
    <t>2601 Chestnut Street #1</t>
  </si>
  <si>
    <t>San Francisco, CA 94123</t>
  </si>
  <si>
    <t>Charlie Castro</t>
  </si>
  <si>
    <t>415.835.6060</t>
  </si>
  <si>
    <t>charlie@newportrealtyadvisors.com</t>
  </si>
  <si>
    <t>Mercy Housing Management Group</t>
  </si>
  <si>
    <t>Jacquie Hoffman</t>
  </si>
  <si>
    <t>jhoffman@mercyhousing.org</t>
  </si>
  <si>
    <t>TBD</t>
  </si>
  <si>
    <t>Secured by Leasehold Interest</t>
  </si>
  <si>
    <t>Inner City Infill Site</t>
  </si>
  <si>
    <t>C-3-G (Downtown - General) District</t>
  </si>
  <si>
    <t>C-3-G (Downtown - General) District (70-X Height and Bulk District)</t>
  </si>
  <si>
    <t xml:space="preserve">The project provides 110 lower income units and qualifies for up to 50% additional density, three incentives and concessions and waivers from development standards pursuant to CA Govt. Code Section 65915 (the State Density Bonus Law). </t>
  </si>
  <si>
    <t xml:space="preserve">70' height district. Project was granted a waiver from height limit pursuant to State Density Bonus Law. </t>
  </si>
  <si>
    <t>No parking requirement per local jurisdiction</t>
  </si>
  <si>
    <t>SB 35 Approval</t>
  </si>
  <si>
    <t xml:space="preserve">Sponsor Loan - The Kelsey </t>
  </si>
  <si>
    <t>Housing and Community Development - IIG</t>
  </si>
  <si>
    <t>Federal Homeloan Bank AHP</t>
  </si>
  <si>
    <t xml:space="preserve">City and County of San Francisco </t>
  </si>
  <si>
    <t xml:space="preserve">415.413.3902 </t>
  </si>
  <si>
    <t>California Energy Commission Utility Allowance Calculator Tool Version 2.0.0</t>
  </si>
  <si>
    <t>SF MOHCD</t>
  </si>
  <si>
    <t>Costs Deferred Until Conversion</t>
  </si>
  <si>
    <t>Limited Partner Equity</t>
  </si>
  <si>
    <t>Variable</t>
  </si>
  <si>
    <t>Y</t>
  </si>
  <si>
    <t>Fixed</t>
  </si>
  <si>
    <t>HCD AHSC</t>
  </si>
  <si>
    <t>Section 811 PRA</t>
  </si>
  <si>
    <t>Misc. Admin</t>
  </si>
  <si>
    <t>Payroll Taxes/Benefits</t>
  </si>
  <si>
    <t>HVAC</t>
  </si>
  <si>
    <t>Misc. Tax/License</t>
  </si>
  <si>
    <t>Other Operating Expenses (Misc. Tax/License):</t>
  </si>
  <si>
    <t>HCD AHSC Min. Payment</t>
  </si>
  <si>
    <t>FHLB AHP</t>
  </si>
  <si>
    <t>Kelsey Commercial Space Purchase</t>
  </si>
  <si>
    <t>Other: Construction Lender Expenses</t>
  </si>
  <si>
    <t>Other: Borrower Legal</t>
  </si>
  <si>
    <t>Other: Additional Operating Reserve</t>
  </si>
  <si>
    <t>Other: Accrued Interest on soft loans during construction</t>
  </si>
  <si>
    <t>Other: AHSC Consultant</t>
  </si>
  <si>
    <t>Other: Public Art</t>
  </si>
  <si>
    <t>Administrative GP</t>
  </si>
  <si>
    <t>2 Commercial Tenants</t>
  </si>
  <si>
    <t xml:space="preserve">1430 sq ft of commercial space located on Grove Street elevation. To be long term master leased (55+ year lease) to a non-for profit tenant with the ultimate use as a disability community cultural center. </t>
  </si>
  <si>
    <t>560 Mission Street, Floor 03</t>
  </si>
  <si>
    <t>James Vossoughi</t>
  </si>
  <si>
    <t>Construction Loan - Tax Exempt</t>
  </si>
  <si>
    <t>30-day LIBOR</t>
  </si>
  <si>
    <t>415.315.6708</t>
  </si>
  <si>
    <t>Construction Loan - Taxable</t>
  </si>
  <si>
    <t xml:space="preserve">1 S Van Ness Ave Ste 5. </t>
  </si>
  <si>
    <t>San Francisco, CA, 94103</t>
  </si>
  <si>
    <t>Anne Romero</t>
  </si>
  <si>
    <t xml:space="preserve">415.701.5525 </t>
  </si>
  <si>
    <t>1228 Folsom Street, Suite 102</t>
  </si>
  <si>
    <t>San Francisco, CA 94103</t>
  </si>
  <si>
    <t>San Francisco, CA 94105</t>
  </si>
  <si>
    <t>Soft Loan</t>
  </si>
  <si>
    <t>Accrued Interest on Soft Loans</t>
  </si>
  <si>
    <t xml:space="preserve">Soft Loan </t>
  </si>
  <si>
    <t xml:space="preserve">Deferred Interest Soft Loan </t>
  </si>
  <si>
    <t>LP Equity</t>
  </si>
  <si>
    <t>2020 W. El Camino Avenue, Suite 670</t>
  </si>
  <si>
    <t>Sacramento, CA 95833</t>
  </si>
  <si>
    <t>Terri R. Wright</t>
  </si>
  <si>
    <t>(916) 776-7749</t>
  </si>
  <si>
    <t xml:space="preserve">Permanent Mortgage </t>
  </si>
  <si>
    <t>1 S Van Ness Ave Ste 5</t>
  </si>
  <si>
    <t>N</t>
  </si>
  <si>
    <t>2 bedroom</t>
  </si>
  <si>
    <t>Ramie Dare</t>
  </si>
  <si>
    <t>Vice President</t>
  </si>
  <si>
    <t>The Kelsey Civic Center, LP</t>
  </si>
  <si>
    <t>Preconstruction MOU with Cahill Contractors LLC (February 2, 2022.) Please see agreement for detail (box below locked)</t>
  </si>
  <si>
    <t xml:space="preserve">Site Permit </t>
  </si>
  <si>
    <t>55 y</t>
  </si>
  <si>
    <t xml:space="preserve">75 y </t>
  </si>
  <si>
    <t>9/1/2022 (anticipated - $15,000 per year)</t>
  </si>
  <si>
    <t>Phase I</t>
  </si>
  <si>
    <t>Phase II/Site Mitigation Plan</t>
  </si>
  <si>
    <t>The Site is within the Maher Ordinance boundary limits and therefore subject to the requirements of Article 22A of the San Francisco Public Health Code (Maher Ordinance). Phase II results indicate the presence of Tetrachloroethene in soil vapor samples. The proposed structure at the Site will be designed to mitigate against potential vapor intrusion from the soil gas into indoor air with the inclusion of a spray-applied vapor barrier designed by a professional engineer registered in the State of California. The Site is underlain by approximately 4.5 to 8.0 feet of fill material containing elevated concentrations of heavy metals. An environmental health and safety plan will outline proper material handling procedures and health and safety requirements to minimize worker and public exposure to hazardous materials during construction.</t>
  </si>
  <si>
    <t>Tax Exempt Construction Loan/Chase</t>
  </si>
  <si>
    <t>Taxable Cosntruction Loan/Chase</t>
  </si>
  <si>
    <t>Provided</t>
  </si>
  <si>
    <t>Not Applicable</t>
  </si>
  <si>
    <t>&gt;/=80%</t>
  </si>
  <si>
    <t>Deferred Costs</t>
  </si>
  <si>
    <t>March</t>
  </si>
  <si>
    <t>, 2022 at</t>
  </si>
  <si>
    <t>William Wilcox</t>
  </si>
  <si>
    <t>william.wilcox@sfgov.org</t>
  </si>
  <si>
    <t xml:space="preserve">No on site car parking, 56 indoor bike parking spaces </t>
  </si>
  <si>
    <t>GP Capital</t>
  </si>
  <si>
    <t xml:space="preserve">Micaela Connery </t>
  </si>
  <si>
    <t>The Kelsey Sponsor Loan</t>
  </si>
  <si>
    <t>Tax-Exempt Perm Loan</t>
  </si>
  <si>
    <t xml:space="preserve">GP Capital </t>
  </si>
  <si>
    <t>Other (Annual Issuer Fee):</t>
  </si>
  <si>
    <t>Other (Annual Trustee Fee):</t>
  </si>
  <si>
    <t>Other: Perm Lender Expenses</t>
  </si>
  <si>
    <t>City and County of San Francisco Administrative Code</t>
  </si>
  <si>
    <t>Doug Shoemaker</t>
  </si>
  <si>
    <t>President</t>
  </si>
  <si>
    <t xml:space="preserve">540.878.8505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</si>
</sst>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b/>
      <sz val="9"/>
      <color rgb="FF000000"/>
      <name val="Tahoma"/>
      <family val="2"/>
    </font>
    <font>
      <sz val="9"/>
      <color rgb="FF000000"/>
      <name val="Tahoma"/>
      <family val="2"/>
    </font>
    <font>
      <sz val="10"/>
      <color rgb="FF000000"/>
      <name val="Arial"/>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7152">
    <xf numFmtId="0" fontId="0" fillId="0" borderId="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8" fillId="37" borderId="18" applyNumberFormat="0" applyAlignment="0" applyProtection="0"/>
    <xf numFmtId="0" fontId="88" fillId="37" borderId="18" applyNumberFormat="0" applyAlignment="0" applyProtection="0"/>
    <xf numFmtId="0" fontId="89" fillId="38"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5"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80"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5"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72"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25" fillId="0" borderId="0" applyFont="0" applyFill="0" applyBorder="0" applyAlignment="0" applyProtection="0"/>
    <xf numFmtId="0" fontId="90" fillId="0" borderId="0" applyNumberFormat="0" applyFill="0" applyBorder="0" applyAlignment="0" applyProtection="0"/>
    <xf numFmtId="0" fontId="91" fillId="39"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40"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6" fillId="0" borderId="23" applyNumberFormat="0" applyFill="0" applyAlignment="0" applyProtection="0"/>
    <xf numFmtId="0" fontId="97" fillId="41"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5" fillId="0" borderId="0"/>
    <xf numFmtId="0" fontId="25"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5" fillId="0" borderId="0"/>
    <xf numFmtId="0" fontId="85" fillId="0" borderId="0"/>
    <xf numFmtId="0" fontId="25"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61" fillId="0" borderId="0">
      <alignment vertical="top"/>
    </xf>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16" fillId="0" borderId="0" applyProtection="0">
      <protection locked="0"/>
    </xf>
    <xf numFmtId="0" fontId="25" fillId="0" borderId="0" applyProtection="0">
      <protection locked="0"/>
    </xf>
    <xf numFmtId="0" fontId="25" fillId="0" borderId="0" applyProtection="0">
      <protection locked="0"/>
    </xf>
    <xf numFmtId="0" fontId="62" fillId="0" borderId="0"/>
    <xf numFmtId="0" fontId="16" fillId="0" borderId="0"/>
    <xf numFmtId="0" fontId="25" fillId="0" borderId="0"/>
    <xf numFmtId="0" fontId="77"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77"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100" fillId="37" borderId="25" applyNumberFormat="0" applyAlignment="0" applyProtection="0"/>
    <xf numFmtId="0" fontId="100" fillId="37" borderId="25" applyNumberFormat="0" applyAlignment="0" applyProtection="0"/>
    <xf numFmtId="0" fontId="21"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6" fillId="0" borderId="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9" fontId="16" fillId="0" borderId="0" applyFont="0" applyFill="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0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1" fillId="0" borderId="0" applyNumberFormat="0" applyFill="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16" fillId="0" borderId="0" applyBorder="0"/>
    <xf numFmtId="43" fontId="164"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1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cellStyleXfs>
  <cellXfs count="337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3" fillId="0" borderId="0" xfId="0" applyFont="1"/>
    <xf numFmtId="0" fontId="16" fillId="0" borderId="0" xfId="0" applyFont="1"/>
    <xf numFmtId="0" fontId="25" fillId="0" borderId="0" xfId="0" applyFont="1" applyProtection="1"/>
    <xf numFmtId="0" fontId="0" fillId="0" borderId="4" xfId="0" applyBorder="1"/>
    <xf numFmtId="0" fontId="0" fillId="0" borderId="0" xfId="0" applyAlignment="1"/>
    <xf numFmtId="0" fontId="25" fillId="0" borderId="0" xfId="0" applyFont="1" applyAlignment="1">
      <alignment horizontal="center"/>
    </xf>
    <xf numFmtId="0" fontId="1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3" fillId="0" borderId="4" xfId="0" applyFont="1" applyBorder="1"/>
    <xf numFmtId="164" fontId="0" fillId="0" borderId="0" xfId="0" applyNumberFormat="1" applyFill="1" applyBorder="1" applyAlignment="1" applyProtection="1">
      <alignment horizontal="right"/>
    </xf>
    <xf numFmtId="0" fontId="25" fillId="0" borderId="0" xfId="0" applyFont="1" applyFill="1" applyBorder="1" applyAlignment="1" applyProtection="1">
      <alignment horizontal="center"/>
    </xf>
    <xf numFmtId="0" fontId="23" fillId="0" borderId="0" xfId="0" applyFont="1" applyFill="1" applyBorder="1" applyAlignment="1" applyProtection="1">
      <alignment horizontal="center"/>
    </xf>
    <xf numFmtId="0" fontId="16" fillId="0" borderId="0" xfId="543" applyFont="1" applyAlignment="1" applyProtection="1"/>
    <xf numFmtId="0" fontId="16" fillId="0" borderId="0" xfId="0" applyFont="1" applyFill="1"/>
    <xf numFmtId="0" fontId="23" fillId="0" borderId="0" xfId="0" applyFont="1" applyAlignment="1" applyProtection="1">
      <alignment horizontal="center"/>
    </xf>
    <xf numFmtId="0" fontId="25" fillId="0" borderId="0" xfId="0" applyFont="1" applyAlignment="1" applyProtection="1">
      <alignment horizontal="left" vertical="top" wrapText="1"/>
    </xf>
    <xf numFmtId="0" fontId="0" fillId="0" borderId="0" xfId="0" applyBorder="1" applyProtection="1"/>
    <xf numFmtId="0" fontId="31" fillId="0" borderId="0" xfId="0" applyFont="1" applyProtection="1"/>
    <xf numFmtId="0" fontId="24" fillId="0" borderId="0" xfId="0" applyFont="1" applyAlignment="1" applyProtection="1">
      <alignment vertical="top"/>
    </xf>
    <xf numFmtId="0" fontId="24" fillId="0" borderId="0" xfId="0" applyFont="1" applyAlignment="1" applyProtection="1">
      <alignment vertical="top" wrapText="1"/>
    </xf>
    <xf numFmtId="0" fontId="25" fillId="0" borderId="0" xfId="0" applyFont="1" applyAlignment="1" applyProtection="1">
      <alignment horizontal="left" indent="4"/>
    </xf>
    <xf numFmtId="0" fontId="25" fillId="0" borderId="0" xfId="0" applyFont="1" applyAlignment="1" applyProtection="1"/>
    <xf numFmtId="0" fontId="24" fillId="0" borderId="0" xfId="0" applyFont="1" applyAlignment="1" applyProtection="1">
      <alignment horizontal="left" vertical="top"/>
    </xf>
    <xf numFmtId="0" fontId="0" fillId="0" borderId="0" xfId="0" applyAlignment="1" applyProtection="1"/>
    <xf numFmtId="0" fontId="24" fillId="0" borderId="0" xfId="0" applyFont="1" applyAlignment="1" applyProtection="1">
      <alignment horizontal="left"/>
    </xf>
    <xf numFmtId="0" fontId="24" fillId="0" borderId="0" xfId="0" applyFont="1" applyAlignment="1" applyProtection="1"/>
    <xf numFmtId="0" fontId="24" fillId="0" borderId="0" xfId="0" applyFont="1" applyProtection="1"/>
    <xf numFmtId="0" fontId="36" fillId="0" borderId="0" xfId="543" applyFont="1" applyFill="1" applyProtection="1"/>
    <xf numFmtId="0" fontId="23" fillId="0" borderId="0" xfId="0" applyFont="1" applyFill="1" applyBorder="1" applyProtection="1"/>
    <xf numFmtId="1" fontId="24" fillId="0" borderId="0" xfId="0" applyNumberFormat="1" applyFont="1" applyBorder="1" applyAlignment="1" applyProtection="1">
      <alignment horizontal="left"/>
    </xf>
    <xf numFmtId="0" fontId="0" fillId="0" borderId="0" xfId="0" applyFill="1" applyProtection="1"/>
    <xf numFmtId="0" fontId="26" fillId="0" borderId="0" xfId="0" applyFont="1" applyProtection="1"/>
    <xf numFmtId="1" fontId="24" fillId="0" borderId="0" xfId="0" applyNumberFormat="1" applyFont="1" applyBorder="1" applyAlignment="1" applyProtection="1">
      <alignment horizontal="right"/>
    </xf>
    <xf numFmtId="0" fontId="0" fillId="0" borderId="0" xfId="0" applyBorder="1" applyAlignment="1" applyProtection="1">
      <alignment horizontal="right"/>
    </xf>
    <xf numFmtId="1" fontId="24" fillId="0" borderId="0" xfId="0" applyNumberFormat="1" applyFont="1" applyFill="1" applyBorder="1" applyAlignment="1" applyProtection="1">
      <alignment horizontal="left"/>
    </xf>
    <xf numFmtId="0" fontId="0" fillId="0" borderId="0" xfId="0" applyBorder="1" applyAlignment="1" applyProtection="1">
      <alignment horizontal="left"/>
    </xf>
    <xf numFmtId="0" fontId="24" fillId="0" borderId="0" xfId="0" applyFont="1" applyBorder="1" applyAlignment="1" applyProtection="1">
      <alignment horizontal="left"/>
    </xf>
    <xf numFmtId="0" fontId="24" fillId="0" borderId="0" xfId="0" applyFont="1" applyFill="1" applyBorder="1" applyAlignment="1" applyProtection="1">
      <alignment horizontal="left"/>
    </xf>
    <xf numFmtId="0" fontId="35" fillId="0" borderId="0" xfId="0" applyFont="1" applyBorder="1" applyProtection="1"/>
    <xf numFmtId="0" fontId="28" fillId="0" borderId="0" xfId="0" applyFont="1" applyBorder="1" applyProtection="1"/>
    <xf numFmtId="0" fontId="23" fillId="0" borderId="0" xfId="0" applyFont="1" applyBorder="1" applyProtection="1"/>
    <xf numFmtId="0" fontId="23" fillId="0" borderId="0" xfId="0" applyFont="1" applyProtection="1"/>
    <xf numFmtId="0" fontId="16" fillId="0" borderId="0" xfId="543" applyFont="1" applyProtection="1"/>
    <xf numFmtId="172" fontId="16" fillId="0" borderId="0" xfId="543" applyNumberFormat="1" applyFont="1" applyAlignment="1" applyProtection="1"/>
    <xf numFmtId="9" fontId="16" fillId="0" borderId="0" xfId="543" applyNumberFormat="1" applyFont="1" applyAlignment="1" applyProtection="1">
      <alignment horizontal="left"/>
    </xf>
    <xf numFmtId="168" fontId="16" fillId="0" borderId="0" xfId="543" applyNumberFormat="1" applyFont="1" applyProtection="1"/>
    <xf numFmtId="168" fontId="16" fillId="0" borderId="0" xfId="543" applyNumberFormat="1" applyFont="1" applyFill="1" applyProtection="1"/>
    <xf numFmtId="0" fontId="16" fillId="0" borderId="0" xfId="543" applyFont="1" applyFill="1" applyProtection="1"/>
    <xf numFmtId="0" fontId="25" fillId="0" borderId="0" xfId="0" applyFont="1" applyBorder="1" applyProtection="1"/>
    <xf numFmtId="0" fontId="16" fillId="0" borderId="0" xfId="0" applyFont="1" applyProtection="1"/>
    <xf numFmtId="0" fontId="25" fillId="0" borderId="0" xfId="0" applyFont="1" applyBorder="1" applyAlignment="1" applyProtection="1">
      <alignment horizontal="right"/>
    </xf>
    <xf numFmtId="0" fontId="25" fillId="0" borderId="0" xfId="0" applyFont="1" applyFill="1" applyBorder="1" applyProtection="1"/>
    <xf numFmtId="0" fontId="39" fillId="0" borderId="0" xfId="0" applyFont="1" applyProtection="1"/>
    <xf numFmtId="0" fontId="25" fillId="0" borderId="0" xfId="0" applyFont="1" applyFill="1" applyBorder="1" applyAlignment="1" applyProtection="1">
      <alignment horizontal="left"/>
    </xf>
    <xf numFmtId="0" fontId="27" fillId="0" borderId="0" xfId="0" applyFont="1" applyFill="1" applyBorder="1" applyProtection="1"/>
    <xf numFmtId="0" fontId="29" fillId="0" borderId="0" xfId="0" applyFont="1" applyProtection="1"/>
    <xf numFmtId="0" fontId="23" fillId="0" borderId="6" xfId="0" applyFont="1" applyBorder="1" applyAlignment="1" applyProtection="1">
      <alignment horizontal="center"/>
    </xf>
    <xf numFmtId="0" fontId="26" fillId="0" borderId="0" xfId="0" applyFont="1" applyFill="1" applyBorder="1" applyProtection="1"/>
    <xf numFmtId="0" fontId="3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3" fillId="0" borderId="1" xfId="0" applyFont="1" applyBorder="1" applyAlignment="1" applyProtection="1">
      <alignment horizontal="center" wrapText="1"/>
    </xf>
    <xf numFmtId="0" fontId="23" fillId="0" borderId="8" xfId="0" applyFont="1" applyBorder="1" applyAlignment="1" applyProtection="1">
      <alignment horizontal="center" wrapText="1"/>
    </xf>
    <xf numFmtId="0" fontId="2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3" fillId="0" borderId="4" xfId="0" applyFont="1" applyBorder="1" applyAlignment="1" applyProtection="1">
      <alignment horizontal="center"/>
    </xf>
    <xf numFmtId="0" fontId="32" fillId="0" borderId="3" xfId="0" applyFont="1" applyFill="1" applyBorder="1" applyAlignment="1" applyProtection="1">
      <alignment horizontal="left"/>
    </xf>
    <xf numFmtId="0" fontId="32" fillId="0" borderId="9" xfId="0" applyFont="1" applyFill="1" applyBorder="1" applyAlignment="1" applyProtection="1">
      <alignment horizontal="left"/>
    </xf>
    <xf numFmtId="0" fontId="23" fillId="0" borderId="4" xfId="0" applyFont="1" applyBorder="1" applyAlignment="1" applyProtection="1">
      <alignment horizontal="right"/>
    </xf>
    <xf numFmtId="0" fontId="23" fillId="0" borderId="5" xfId="0" applyFont="1" applyBorder="1" applyAlignment="1" applyProtection="1">
      <alignment horizontal="right"/>
    </xf>
    <xf numFmtId="0" fontId="32" fillId="0" borderId="0" xfId="0" applyFont="1" applyFill="1" applyBorder="1" applyAlignment="1" applyProtection="1">
      <alignment horizontal="left"/>
    </xf>
    <xf numFmtId="0" fontId="0" fillId="0" borderId="0" xfId="0" applyFill="1" applyBorder="1" applyAlignment="1" applyProtection="1"/>
    <xf numFmtId="0" fontId="23" fillId="0" borderId="0" xfId="0" applyFont="1" applyBorder="1" applyAlignment="1" applyProtection="1">
      <alignment horizontal="right"/>
    </xf>
    <xf numFmtId="0" fontId="0" fillId="0" borderId="0" xfId="0" applyFill="1" applyBorder="1" applyAlignment="1" applyProtection="1">
      <alignment horizontal="right"/>
    </xf>
    <xf numFmtId="0" fontId="23" fillId="0" borderId="0" xfId="0" applyFont="1" applyFill="1" applyBorder="1" applyAlignment="1" applyProtection="1">
      <alignment horizontal="right"/>
    </xf>
    <xf numFmtId="0" fontId="23" fillId="0" borderId="0" xfId="0" applyFont="1" applyFill="1" applyBorder="1" applyAlignment="1" applyProtection="1">
      <alignment horizontal="left"/>
    </xf>
    <xf numFmtId="0" fontId="2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5" fillId="0" borderId="11" xfId="0" applyFont="1" applyBorder="1" applyAlignment="1" applyProtection="1">
      <alignment horizontal="left"/>
    </xf>
    <xf numFmtId="0" fontId="2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3" fillId="0" borderId="0" xfId="0" applyFont="1" applyAlignment="1" applyProtection="1"/>
    <xf numFmtId="0" fontId="25" fillId="0" borderId="3" xfId="0" applyFont="1" applyBorder="1" applyProtection="1"/>
    <xf numFmtId="0" fontId="25" fillId="0" borderId="0" xfId="543" applyFont="1" applyProtection="1"/>
    <xf numFmtId="0" fontId="41" fillId="0" borderId="0" xfId="543" applyFont="1" applyAlignment="1" applyProtection="1"/>
    <xf numFmtId="49" fontId="16" fillId="0" borderId="0" xfId="543" applyNumberFormat="1" applyFont="1" applyProtection="1"/>
    <xf numFmtId="0" fontId="39" fillId="0" borderId="0" xfId="543" applyFont="1" applyProtection="1"/>
    <xf numFmtId="168" fontId="36" fillId="0" borderId="6" xfId="543" applyNumberFormat="1" applyFont="1" applyFill="1" applyBorder="1" applyAlignment="1" applyProtection="1">
      <alignment horizontal="left"/>
    </xf>
    <xf numFmtId="168" fontId="36" fillId="0" borderId="6" xfId="543" applyNumberFormat="1" applyFont="1" applyFill="1" applyBorder="1" applyAlignment="1" applyProtection="1">
      <alignment horizontal="center"/>
    </xf>
    <xf numFmtId="0" fontId="16" fillId="0" borderId="8" xfId="543" applyFont="1" applyBorder="1" applyProtection="1"/>
    <xf numFmtId="0" fontId="36" fillId="0" borderId="0" xfId="543" applyFont="1" applyBorder="1" applyAlignment="1" applyProtection="1">
      <alignment horizontal="center"/>
    </xf>
    <xf numFmtId="0" fontId="16" fillId="0" borderId="0" xfId="543" applyFont="1" applyBorder="1" applyProtection="1"/>
    <xf numFmtId="0" fontId="35" fillId="0" borderId="9" xfId="543" applyFont="1" applyBorder="1" applyAlignment="1" applyProtection="1">
      <alignment horizontal="left" vertical="top" wrapText="1"/>
    </xf>
    <xf numFmtId="0" fontId="35" fillId="0" borderId="6" xfId="543" applyFont="1" applyBorder="1" applyAlignment="1" applyProtection="1">
      <alignment horizontal="center" vertical="top" wrapText="1"/>
    </xf>
    <xf numFmtId="0" fontId="16" fillId="0" borderId="9" xfId="543" applyFont="1" applyBorder="1" applyProtection="1"/>
    <xf numFmtId="0" fontId="16" fillId="0" borderId="10" xfId="543" applyFont="1" applyBorder="1" applyProtection="1"/>
    <xf numFmtId="0" fontId="16" fillId="0" borderId="1" xfId="543" applyFont="1" applyBorder="1" applyProtection="1"/>
    <xf numFmtId="0" fontId="36" fillId="0" borderId="2" xfId="543" applyFont="1" applyBorder="1" applyAlignment="1" applyProtection="1">
      <alignment horizontal="center"/>
    </xf>
    <xf numFmtId="0" fontId="38" fillId="0" borderId="8" xfId="543" applyFont="1" applyBorder="1" applyAlignment="1" applyProtection="1">
      <alignment horizontal="left" vertical="top" wrapText="1"/>
    </xf>
    <xf numFmtId="0" fontId="35" fillId="0" borderId="0" xfId="543" applyFont="1" applyBorder="1" applyAlignment="1" applyProtection="1">
      <alignment horizontal="center" vertical="top" wrapText="1"/>
    </xf>
    <xf numFmtId="0" fontId="16" fillId="0" borderId="12" xfId="543" applyFont="1" applyBorder="1" applyProtection="1"/>
    <xf numFmtId="0" fontId="38" fillId="0" borderId="0" xfId="543" applyFont="1" applyBorder="1" applyAlignment="1" applyProtection="1">
      <alignment horizontal="center" vertical="top" wrapText="1"/>
    </xf>
    <xf numFmtId="0" fontId="38" fillId="0" borderId="9" xfId="543" applyFont="1" applyBorder="1" applyAlignment="1" applyProtection="1">
      <alignment horizontal="left" vertical="top" wrapText="1"/>
    </xf>
    <xf numFmtId="0" fontId="16" fillId="0" borderId="2" xfId="543" applyFont="1" applyBorder="1" applyProtection="1"/>
    <xf numFmtId="0" fontId="16" fillId="0" borderId="7" xfId="543" applyFont="1" applyBorder="1" applyProtection="1"/>
    <xf numFmtId="172" fontId="16" fillId="0" borderId="0" xfId="543" applyNumberFormat="1" applyFont="1" applyProtection="1"/>
    <xf numFmtId="172" fontId="16" fillId="0" borderId="0" xfId="543" applyNumberFormat="1" applyFont="1" applyBorder="1" applyAlignment="1" applyProtection="1"/>
    <xf numFmtId="0" fontId="35" fillId="0" borderId="0" xfId="543" applyFont="1" applyAlignment="1" applyProtection="1"/>
    <xf numFmtId="0" fontId="16" fillId="0" borderId="0" xfId="543" applyFont="1" applyFill="1" applyAlignment="1" applyProtection="1">
      <alignment horizontal="center"/>
    </xf>
    <xf numFmtId="0" fontId="25" fillId="0" borderId="0" xfId="0" applyFont="1" applyFill="1" applyProtection="1"/>
    <xf numFmtId="0" fontId="41" fillId="0" borderId="0" xfId="543" applyFont="1" applyProtection="1"/>
    <xf numFmtId="0" fontId="25" fillId="0" borderId="0" xfId="0" applyFont="1" applyAlignment="1" applyProtection="1">
      <alignment horizontal="center"/>
    </xf>
    <xf numFmtId="0" fontId="24" fillId="0" borderId="6" xfId="543" applyFont="1" applyBorder="1" applyAlignment="1" applyProtection="1">
      <alignment vertical="top" wrapText="1"/>
    </xf>
    <xf numFmtId="0" fontId="23" fillId="0" borderId="0" xfId="0" applyFont="1" applyAlignment="1" applyProtection="1">
      <alignment horizontal="left"/>
    </xf>
    <xf numFmtId="0" fontId="25" fillId="0" borderId="0" xfId="0" applyFont="1" applyAlignment="1" applyProtection="1">
      <alignment horizontal="left"/>
    </xf>
    <xf numFmtId="0" fontId="23" fillId="0" borderId="0" xfId="0" applyFont="1" applyAlignment="1" applyProtection="1">
      <alignment horizontal="right"/>
    </xf>
    <xf numFmtId="0" fontId="25" fillId="0" borderId="0" xfId="0" applyFont="1" applyAlignment="1" applyProtection="1">
      <alignment horizontal="right"/>
    </xf>
    <xf numFmtId="0" fontId="2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5" fillId="0" borderId="0" xfId="0" applyNumberFormat="1" applyFont="1" applyAlignment="1" applyProtection="1"/>
    <xf numFmtId="0" fontId="23" fillId="0" borderId="6" xfId="0" applyFont="1" applyBorder="1" applyAlignment="1" applyProtection="1">
      <alignment horizontal="right"/>
    </xf>
    <xf numFmtId="0" fontId="22" fillId="0" borderId="0" xfId="0" applyFont="1" applyFill="1" applyBorder="1" applyAlignment="1" applyProtection="1">
      <alignment horizontal="center" vertical="center"/>
    </xf>
    <xf numFmtId="0" fontId="23" fillId="0" borderId="0" xfId="0" applyFont="1" applyAlignment="1" applyProtection="1">
      <alignment vertical="top"/>
    </xf>
    <xf numFmtId="166" fontId="0" fillId="0" borderId="0" xfId="0" applyNumberFormat="1" applyFill="1" applyBorder="1" applyAlignment="1" applyProtection="1">
      <alignment horizontal="right"/>
    </xf>
    <xf numFmtId="0" fontId="25" fillId="0" borderId="0" xfId="0" applyFont="1" applyBorder="1" applyAlignment="1" applyProtection="1">
      <alignment horizontal="left"/>
    </xf>
    <xf numFmtId="0" fontId="0" fillId="0" borderId="4" xfId="0" applyFill="1" applyBorder="1" applyProtection="1"/>
    <xf numFmtId="0" fontId="25" fillId="0" borderId="0" xfId="0" applyFont="1"/>
    <xf numFmtId="0" fontId="25" fillId="0" borderId="0" xfId="0" applyFont="1" applyBorder="1"/>
    <xf numFmtId="0" fontId="25" fillId="0" borderId="0" xfId="0" applyFont="1" applyAlignment="1">
      <alignment horizontal="left"/>
    </xf>
    <xf numFmtId="0" fontId="46" fillId="0" borderId="0" xfId="0" applyFont="1"/>
    <xf numFmtId="0" fontId="33" fillId="0" borderId="0" xfId="0" applyFont="1"/>
    <xf numFmtId="0" fontId="23" fillId="0" borderId="0" xfId="0" applyNumberFormat="1" applyFont="1"/>
    <xf numFmtId="0" fontId="16" fillId="0" borderId="0" xfId="0" applyFont="1" applyBorder="1"/>
    <xf numFmtId="0" fontId="17" fillId="0" borderId="0" xfId="244" applyBorder="1" applyProtection="1"/>
    <xf numFmtId="0" fontId="17" fillId="0" borderId="0" xfId="244" applyFill="1" applyBorder="1" applyAlignment="1">
      <alignment horizontal="center" vertical="center"/>
    </xf>
    <xf numFmtId="0" fontId="16" fillId="0" borderId="3" xfId="543" applyFont="1" applyBorder="1" applyProtection="1"/>
    <xf numFmtId="0" fontId="38" fillId="0" borderId="4" xfId="543" applyNumberFormat="1" applyFont="1" applyBorder="1" applyAlignment="1" applyProtection="1">
      <alignment horizontal="right" vertical="top" wrapText="1"/>
    </xf>
    <xf numFmtId="0" fontId="25" fillId="0" borderId="6" xfId="0" applyFont="1" applyBorder="1" applyProtection="1"/>
    <xf numFmtId="0" fontId="25" fillId="0" borderId="2" xfId="0" applyFont="1" applyBorder="1" applyProtection="1"/>
    <xf numFmtId="0" fontId="25" fillId="0" borderId="7" xfId="0" applyFont="1" applyBorder="1" applyProtection="1"/>
    <xf numFmtId="0" fontId="25" fillId="0" borderId="12" xfId="0" applyFont="1" applyBorder="1" applyProtection="1"/>
    <xf numFmtId="0" fontId="25" fillId="0" borderId="9" xfId="0" applyFont="1" applyBorder="1" applyProtection="1"/>
    <xf numFmtId="0" fontId="25" fillId="0" borderId="10" xfId="0" applyFont="1" applyBorder="1" applyProtection="1"/>
    <xf numFmtId="0" fontId="30" fillId="0" borderId="6" xfId="0" applyFont="1" applyBorder="1" applyAlignment="1" applyProtection="1">
      <alignment vertical="top" wrapText="1"/>
    </xf>
    <xf numFmtId="0" fontId="30" fillId="0" borderId="5" xfId="0" applyFont="1" applyBorder="1" applyAlignment="1" applyProtection="1">
      <alignment vertical="top" wrapText="1"/>
    </xf>
    <xf numFmtId="0" fontId="30" fillId="0" borderId="4" xfId="0" applyFont="1" applyBorder="1" applyAlignment="1" applyProtection="1">
      <alignment vertical="top" wrapText="1"/>
    </xf>
    <xf numFmtId="0" fontId="3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3" fillId="0" borderId="2" xfId="0" applyFont="1" applyBorder="1" applyProtection="1"/>
    <xf numFmtId="0" fontId="25" fillId="0" borderId="0" xfId="0" applyFont="1" applyAlignment="1" applyProtection="1">
      <alignment vertical="top"/>
    </xf>
    <xf numFmtId="0" fontId="25" fillId="0" borderId="0" xfId="0" applyFont="1" applyAlignment="1" applyProtection="1">
      <alignment vertical="top" wrapText="1"/>
    </xf>
    <xf numFmtId="0" fontId="25" fillId="0" borderId="0" xfId="0" applyNumberFormat="1" applyFont="1" applyAlignment="1" applyProtection="1">
      <alignment horizontal="left" vertical="top"/>
    </xf>
    <xf numFmtId="0" fontId="25" fillId="0" borderId="0" xfId="0" applyNumberFormat="1" applyFont="1" applyProtection="1"/>
    <xf numFmtId="0" fontId="16" fillId="0" borderId="0" xfId="0" applyFont="1" applyBorder="1" applyProtection="1"/>
    <xf numFmtId="0" fontId="16" fillId="0" borderId="0" xfId="0" applyFont="1" applyBorder="1" applyAlignment="1" applyProtection="1"/>
    <xf numFmtId="0" fontId="16" fillId="0" borderId="0" xfId="0" applyFont="1" applyBorder="1" applyAlignment="1" applyProtection="1">
      <alignment horizontal="left"/>
    </xf>
    <xf numFmtId="0" fontId="16" fillId="0" borderId="0" xfId="0" applyFont="1" applyAlignment="1" applyProtection="1">
      <alignment vertical="top"/>
    </xf>
    <xf numFmtId="0" fontId="16" fillId="0" borderId="0" xfId="0" applyFont="1" applyAlignment="1" applyProtection="1"/>
    <xf numFmtId="0" fontId="25" fillId="0" borderId="0" xfId="0" applyFont="1" applyFill="1"/>
    <xf numFmtId="0" fontId="23" fillId="0" borderId="0" xfId="0" applyFont="1" applyFill="1"/>
    <xf numFmtId="0" fontId="45" fillId="0" borderId="0" xfId="0" applyFont="1"/>
    <xf numFmtId="0" fontId="16" fillId="0" borderId="3" xfId="0" applyFont="1" applyBorder="1" applyProtection="1"/>
    <xf numFmtId="0" fontId="1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30" fillId="3" borderId="4" xfId="0" applyFont="1" applyFill="1" applyBorder="1" applyAlignment="1" applyProtection="1">
      <alignment vertical="top" wrapText="1"/>
    </xf>
    <xf numFmtId="0" fontId="30" fillId="3" borderId="5" xfId="0" applyFont="1" applyFill="1" applyBorder="1" applyAlignment="1" applyProtection="1">
      <alignment vertical="top" wrapText="1"/>
    </xf>
    <xf numFmtId="0" fontId="48" fillId="0" borderId="0" xfId="0" applyFont="1"/>
    <xf numFmtId="0" fontId="25" fillId="0" borderId="4" xfId="0" applyFont="1" applyBorder="1"/>
    <xf numFmtId="0" fontId="23" fillId="0" borderId="4" xfId="0" applyFont="1" applyFill="1" applyBorder="1"/>
    <xf numFmtId="0" fontId="23" fillId="0" borderId="0" xfId="0" applyFont="1" applyBorder="1"/>
    <xf numFmtId="0" fontId="23" fillId="0" borderId="0" xfId="0" applyFont="1" applyFill="1" applyBorder="1"/>
    <xf numFmtId="0" fontId="23" fillId="0" borderId="2" xfId="0" applyFont="1" applyBorder="1" applyAlignment="1" applyProtection="1">
      <alignment horizontal="center"/>
    </xf>
    <xf numFmtId="0" fontId="23" fillId="0" borderId="0" xfId="0" applyFont="1" applyBorder="1" applyAlignment="1" applyProtection="1">
      <alignment horizontal="center" vertical="center" wrapText="1"/>
    </xf>
    <xf numFmtId="0" fontId="23" fillId="0" borderId="7" xfId="543" applyFont="1" applyBorder="1" applyAlignment="1" applyProtection="1">
      <alignment horizontal="right"/>
    </xf>
    <xf numFmtId="0" fontId="24" fillId="0" borderId="9" xfId="543" applyFont="1" applyBorder="1" applyProtection="1"/>
    <xf numFmtId="0" fontId="25" fillId="0" borderId="6" xfId="543" applyFont="1" applyBorder="1" applyProtection="1"/>
    <xf numFmtId="0" fontId="24" fillId="0" borderId="6" xfId="543" applyFont="1" applyBorder="1" applyAlignment="1" applyProtection="1">
      <alignment horizontal="right"/>
    </xf>
    <xf numFmtId="0" fontId="23" fillId="0" borderId="0" xfId="0" applyFont="1" applyBorder="1" applyAlignment="1" applyProtection="1">
      <alignment horizontal="center" vertical="center"/>
    </xf>
    <xf numFmtId="0" fontId="25" fillId="0" borderId="0" xfId="0" applyFont="1" applyBorder="1" applyAlignment="1" applyProtection="1">
      <alignment horizontal="left" vertical="center"/>
    </xf>
    <xf numFmtId="0" fontId="0" fillId="0" borderId="0" xfId="0" applyBorder="1" applyAlignment="1" applyProtection="1"/>
    <xf numFmtId="0" fontId="25" fillId="0" borderId="0" xfId="0" applyFont="1" applyFill="1" applyBorder="1" applyAlignment="1" applyProtection="1">
      <alignment horizontal="left" vertical="center"/>
    </xf>
    <xf numFmtId="0" fontId="25" fillId="0" borderId="0" xfId="0" applyNumberFormat="1" applyFont="1" applyAlignment="1" applyProtection="1">
      <alignment vertical="top"/>
    </xf>
    <xf numFmtId="0" fontId="54" fillId="0" borderId="3" xfId="0" applyFont="1" applyBorder="1" applyAlignment="1" applyProtection="1">
      <alignment horizontal="left" vertical="top"/>
    </xf>
    <xf numFmtId="0" fontId="54" fillId="0" borderId="13" xfId="0" applyFont="1" applyBorder="1" applyAlignment="1" applyProtection="1">
      <alignment horizontal="center" wrapText="1"/>
    </xf>
    <xf numFmtId="0" fontId="54" fillId="0" borderId="13" xfId="0" applyFont="1" applyFill="1" applyBorder="1" applyAlignment="1" applyProtection="1">
      <alignment horizontal="center" vertical="top" wrapText="1"/>
    </xf>
    <xf numFmtId="0" fontId="54" fillId="2" borderId="13" xfId="0" applyFont="1" applyFill="1" applyBorder="1" applyAlignment="1" applyProtection="1">
      <alignment horizontal="center" wrapText="1"/>
    </xf>
    <xf numFmtId="0" fontId="55" fillId="2" borderId="11" xfId="0" applyFont="1" applyFill="1" applyBorder="1" applyAlignment="1" applyProtection="1">
      <alignment horizontal="left" vertical="top" wrapText="1"/>
    </xf>
    <xf numFmtId="0" fontId="56" fillId="4" borderId="11" xfId="0" applyFont="1" applyFill="1" applyBorder="1" applyAlignment="1" applyProtection="1">
      <alignment vertical="top" wrapText="1"/>
    </xf>
    <xf numFmtId="0" fontId="56" fillId="2" borderId="11" xfId="0" applyFont="1" applyFill="1" applyBorder="1" applyAlignment="1" applyProtection="1">
      <alignment vertical="top" wrapText="1"/>
    </xf>
    <xf numFmtId="0" fontId="56" fillId="0" borderId="11" xfId="0" applyFont="1" applyBorder="1" applyAlignment="1" applyProtection="1">
      <alignment vertical="top" wrapText="1"/>
    </xf>
    <xf numFmtId="0" fontId="56" fillId="0" borderId="11" xfId="0" applyFont="1" applyBorder="1" applyAlignment="1" applyProtection="1">
      <alignment horizontal="right" vertical="top" wrapText="1"/>
    </xf>
    <xf numFmtId="168" fontId="56" fillId="0" borderId="11" xfId="0" applyNumberFormat="1" applyFont="1" applyFill="1" applyBorder="1" applyAlignment="1" applyProtection="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pplyProtection="1">
      <alignment horizontal="center" vertical="top" wrapText="1"/>
    </xf>
    <xf numFmtId="0" fontId="54" fillId="0" borderId="11" xfId="0" applyFont="1" applyBorder="1" applyAlignment="1" applyProtection="1">
      <alignment horizontal="right" vertical="top" wrapText="1"/>
    </xf>
    <xf numFmtId="168" fontId="54" fillId="0" borderId="11" xfId="0" applyNumberFormat="1" applyFont="1" applyFill="1" applyBorder="1" applyAlignment="1" applyProtection="1">
      <alignment vertical="top" wrapText="1"/>
    </xf>
    <xf numFmtId="168" fontId="56" fillId="4" borderId="11" xfId="0" applyNumberFormat="1" applyFont="1" applyFill="1" applyBorder="1" applyAlignment="1" applyProtection="1">
      <alignment vertical="top" wrapText="1"/>
    </xf>
    <xf numFmtId="0" fontId="56" fillId="5" borderId="11" xfId="0" applyFont="1" applyFill="1" applyBorder="1" applyAlignment="1" applyProtection="1">
      <alignment horizontal="right" vertical="top" wrapText="1"/>
      <protection locked="0"/>
    </xf>
    <xf numFmtId="0" fontId="54" fillId="2" borderId="11" xfId="0" applyFont="1" applyFill="1" applyBorder="1" applyAlignment="1" applyProtection="1">
      <alignment vertical="top" wrapText="1"/>
    </xf>
    <xf numFmtId="0" fontId="54" fillId="0" borderId="11" xfId="0" applyFont="1" applyBorder="1" applyAlignment="1" applyProtection="1">
      <alignment vertical="top" wrapText="1"/>
    </xf>
    <xf numFmtId="0" fontId="19" fillId="0" borderId="11" xfId="0" applyFont="1" applyBorder="1" applyAlignment="1" applyProtection="1">
      <alignment horizontal="right" vertical="top" wrapText="1"/>
    </xf>
    <xf numFmtId="0" fontId="56" fillId="0" borderId="11" xfId="0" applyFont="1" applyFill="1" applyBorder="1" applyAlignment="1" applyProtection="1">
      <alignment horizontal="right" vertical="top" wrapText="1"/>
      <protection locked="0"/>
    </xf>
    <xf numFmtId="0" fontId="54" fillId="0" borderId="0" xfId="0" applyFont="1" applyBorder="1" applyAlignment="1" applyProtection="1">
      <alignment horizontal="left" vertical="top"/>
    </xf>
    <xf numFmtId="0" fontId="56" fillId="0" borderId="0" xfId="0" applyFont="1" applyBorder="1" applyAlignment="1" applyProtection="1">
      <alignment horizontal="left" vertical="top"/>
    </xf>
    <xf numFmtId="0" fontId="56" fillId="0" borderId="0" xfId="0" applyFont="1" applyBorder="1" applyAlignment="1" applyProtection="1">
      <alignment vertical="top" wrapText="1"/>
    </xf>
    <xf numFmtId="0" fontId="56" fillId="0" borderId="0" xfId="0" applyFont="1" applyBorder="1" applyAlignment="1" applyProtection="1">
      <alignment vertical="top"/>
    </xf>
    <xf numFmtId="0" fontId="54" fillId="0" borderId="0" xfId="0" applyFont="1" applyBorder="1" applyAlignment="1" applyProtection="1">
      <alignment horizontal="right" vertical="top"/>
    </xf>
    <xf numFmtId="0" fontId="56" fillId="2" borderId="0" xfId="0" applyFont="1" applyFill="1" applyBorder="1" applyAlignment="1" applyProtection="1">
      <alignment vertical="top" wrapText="1"/>
    </xf>
    <xf numFmtId="0" fontId="54" fillId="0" borderId="0" xfId="0" applyFont="1" applyBorder="1" applyAlignment="1" applyProtection="1">
      <alignment vertical="top"/>
    </xf>
    <xf numFmtId="168" fontId="5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6" fillId="0" borderId="0" xfId="0" applyFont="1" applyFill="1" applyBorder="1" applyAlignment="1" applyProtection="1"/>
    <xf numFmtId="166" fontId="25" fillId="0" borderId="0" xfId="0" applyNumberFormat="1" applyFont="1" applyFill="1" applyBorder="1" applyAlignment="1" applyProtection="1">
      <alignment horizontal="left"/>
    </xf>
    <xf numFmtId="0" fontId="16" fillId="0" borderId="0" xfId="0" applyFont="1" applyFill="1" applyProtection="1"/>
    <xf numFmtId="0" fontId="16" fillId="0" borderId="0" xfId="0" applyFont="1" applyFill="1" applyBorder="1" applyProtection="1"/>
    <xf numFmtId="0" fontId="57" fillId="0" borderId="0" xfId="0" applyFont="1" applyFill="1" applyBorder="1" applyProtection="1"/>
    <xf numFmtId="0" fontId="16" fillId="0" borderId="0" xfId="244" applyFont="1" applyFill="1" applyBorder="1" applyAlignment="1" applyProtection="1">
      <alignment horizontal="left"/>
    </xf>
    <xf numFmtId="0" fontId="47" fillId="0" borderId="0" xfId="0" applyFont="1" applyFill="1" applyAlignment="1" applyProtection="1"/>
    <xf numFmtId="0" fontId="47" fillId="0" borderId="0" xfId="0" applyFont="1" applyFill="1" applyProtection="1"/>
    <xf numFmtId="0" fontId="47" fillId="0" borderId="0" xfId="244" applyFont="1" applyFill="1" applyBorder="1" applyAlignment="1" applyProtection="1">
      <alignment horizontal="left"/>
    </xf>
    <xf numFmtId="0" fontId="22" fillId="3" borderId="11" xfId="0" applyFont="1" applyFill="1" applyBorder="1" applyAlignment="1" applyProtection="1">
      <alignment vertical="top"/>
    </xf>
    <xf numFmtId="0" fontId="0" fillId="7" borderId="0" xfId="0" applyFill="1"/>
    <xf numFmtId="0" fontId="45" fillId="0" borderId="0" xfId="0" applyFont="1" applyFill="1"/>
    <xf numFmtId="0" fontId="0" fillId="0" borderId="0" xfId="0" applyAlignment="1">
      <alignment horizontal="left"/>
    </xf>
    <xf numFmtId="0" fontId="45" fillId="0" borderId="0" xfId="0" applyNumberFormat="1" applyFont="1"/>
    <xf numFmtId="0" fontId="0" fillId="0" borderId="0" xfId="0" applyBorder="1" applyAlignment="1"/>
    <xf numFmtId="0" fontId="36" fillId="0" borderId="0" xfId="0" applyFont="1" applyFill="1"/>
    <xf numFmtId="0" fontId="59" fillId="0" borderId="0" xfId="0" applyFont="1"/>
    <xf numFmtId="0" fontId="16" fillId="0" borderId="0" xfId="0" applyFont="1" applyFill="1" applyBorder="1" applyAlignment="1" applyProtection="1">
      <alignment horizontal="left"/>
    </xf>
    <xf numFmtId="0" fontId="34" fillId="0" borderId="0" xfId="0" applyFont="1" applyAlignment="1" applyProtection="1">
      <alignment horizontal="center"/>
    </xf>
    <xf numFmtId="0" fontId="34" fillId="0" borderId="0" xfId="0" applyFont="1" applyAlignment="1" applyProtection="1"/>
    <xf numFmtId="0" fontId="34" fillId="0" borderId="0" xfId="0" applyFont="1" applyFill="1" applyAlignment="1" applyProtection="1">
      <alignment horizontal="center"/>
    </xf>
    <xf numFmtId="0" fontId="34" fillId="0" borderId="0" xfId="0" applyFont="1" applyAlignment="1" applyProtection="1">
      <alignment horizontal="left"/>
    </xf>
    <xf numFmtId="0" fontId="34" fillId="0" borderId="0" xfId="0" applyFont="1" applyProtection="1"/>
    <xf numFmtId="49" fontId="23" fillId="0" borderId="0" xfId="0" applyNumberFormat="1" applyFont="1" applyAlignment="1" applyProtection="1">
      <alignment horizontal="center"/>
    </xf>
    <xf numFmtId="0" fontId="51" fillId="0" borderId="0" xfId="0" applyFont="1" applyAlignment="1" applyProtection="1">
      <alignment horizontal="center"/>
    </xf>
    <xf numFmtId="0" fontId="50" fillId="0" borderId="0" xfId="244" applyFont="1" applyAlignment="1" applyProtection="1">
      <alignment horizontal="center"/>
    </xf>
    <xf numFmtId="0" fontId="25" fillId="0" borderId="0" xfId="0" quotePrefix="1" applyFont="1" applyAlignment="1" applyProtection="1">
      <alignment horizontal="left"/>
    </xf>
    <xf numFmtId="0" fontId="23" fillId="0" borderId="0" xfId="0" applyFont="1" applyBorder="1" applyAlignment="1" applyProtection="1"/>
    <xf numFmtId="0" fontId="25" fillId="0" borderId="0" xfId="0" applyFont="1" applyBorder="1" applyAlignment="1" applyProtection="1">
      <alignment horizontal="center"/>
    </xf>
    <xf numFmtId="49" fontId="25" fillId="0" borderId="0" xfId="0" applyNumberFormat="1" applyFont="1" applyAlignment="1" applyProtection="1">
      <alignment horizontal="center"/>
    </xf>
    <xf numFmtId="0" fontId="34" fillId="0" borderId="0" xfId="0" applyFont="1" applyBorder="1" applyAlignment="1" applyProtection="1">
      <alignment horizontal="center"/>
    </xf>
    <xf numFmtId="0" fontId="23" fillId="0" borderId="0" xfId="0" quotePrefix="1" applyFont="1" applyAlignment="1" applyProtection="1">
      <alignment horizontal="center"/>
    </xf>
    <xf numFmtId="49" fontId="0" fillId="0" borderId="0" xfId="0" applyNumberFormat="1" applyProtection="1"/>
    <xf numFmtId="0" fontId="48" fillId="0" borderId="0" xfId="0" applyFont="1" applyAlignment="1" applyProtection="1">
      <alignment horizontal="left"/>
    </xf>
    <xf numFmtId="49" fontId="25" fillId="0" borderId="0" xfId="0" applyNumberFormat="1" applyFont="1" applyProtection="1"/>
    <xf numFmtId="49" fontId="0" fillId="0" borderId="0" xfId="0" applyNumberFormat="1" applyFill="1" applyProtection="1"/>
    <xf numFmtId="0" fontId="25" fillId="0" borderId="0" xfId="0" applyFont="1" applyFill="1" applyAlignment="1" applyProtection="1">
      <alignment horizontal="center"/>
    </xf>
    <xf numFmtId="0" fontId="25" fillId="0" borderId="0" xfId="0" applyFont="1" applyFill="1" applyAlignment="1" applyProtection="1">
      <alignment horizontal="left"/>
    </xf>
    <xf numFmtId="49" fontId="25" fillId="0" borderId="0" xfId="0" applyNumberFormat="1" applyFont="1" applyFill="1" applyProtection="1"/>
    <xf numFmtId="49" fontId="23" fillId="0" borderId="0" xfId="0" applyNumberFormat="1" applyFont="1" applyAlignment="1" applyProtection="1">
      <alignment horizontal="left"/>
    </xf>
    <xf numFmtId="0" fontId="34" fillId="0" borderId="0" xfId="0" applyFont="1" applyBorder="1" applyAlignment="1" applyProtection="1">
      <alignment horizontal="left"/>
    </xf>
    <xf numFmtId="0" fontId="25" fillId="0" borderId="0" xfId="0" applyFont="1" applyFill="1" applyAlignment="1" applyProtection="1">
      <alignment horizontal="left" vertical="top"/>
    </xf>
    <xf numFmtId="0" fontId="24" fillId="0" borderId="0" xfId="0" applyFont="1" applyFill="1" applyAlignment="1" applyProtection="1">
      <alignment horizontal="left" vertical="top"/>
    </xf>
    <xf numFmtId="0" fontId="25" fillId="0" borderId="0" xfId="0" applyFont="1" applyFill="1" applyAlignment="1" applyProtection="1"/>
    <xf numFmtId="168" fontId="2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5" fillId="0" borderId="0" xfId="0" applyNumberFormat="1" applyFont="1" applyFill="1" applyBorder="1" applyAlignment="1" applyProtection="1">
      <alignment horizontal="left" vertical="top" wrapText="1"/>
    </xf>
    <xf numFmtId="0" fontId="53" fillId="0" borderId="3" xfId="0" applyFont="1" applyBorder="1" applyProtection="1"/>
    <xf numFmtId="168" fontId="0" fillId="0" borderId="0" xfId="0" applyNumberFormat="1" applyFill="1" applyBorder="1" applyAlignment="1" applyProtection="1">
      <alignment horizontal="center"/>
    </xf>
    <xf numFmtId="0" fontId="36" fillId="0" borderId="0" xfId="0" applyFont="1" applyFill="1" applyAlignment="1">
      <alignment vertical="top" wrapText="1"/>
    </xf>
    <xf numFmtId="0" fontId="54" fillId="0" borderId="4" xfId="0" applyFont="1" applyBorder="1" applyAlignment="1" applyProtection="1">
      <alignment horizontal="right"/>
    </xf>
    <xf numFmtId="0" fontId="61" fillId="0" borderId="0" xfId="0" applyFont="1"/>
    <xf numFmtId="3" fontId="25" fillId="0" borderId="0" xfId="0" applyNumberFormat="1" applyFont="1" applyFill="1" applyBorder="1" applyAlignment="1" applyProtection="1">
      <alignment horizontal="center"/>
    </xf>
    <xf numFmtId="168" fontId="16" fillId="0" borderId="0" xfId="0" applyNumberFormat="1" applyFont="1" applyFill="1" applyBorder="1" applyAlignment="1" applyProtection="1">
      <alignment horizontal="left" vertical="top"/>
    </xf>
    <xf numFmtId="168" fontId="25" fillId="0" borderId="0" xfId="0" applyNumberFormat="1" applyFont="1" applyFill="1" applyBorder="1" applyAlignment="1" applyProtection="1">
      <alignment horizontal="left" vertical="top"/>
    </xf>
    <xf numFmtId="0" fontId="25" fillId="0" borderId="0" xfId="0" applyFont="1" applyAlignment="1" applyProtection="1">
      <alignment horizontal="center" vertical="center"/>
    </xf>
    <xf numFmtId="0" fontId="25" fillId="0" borderId="0" xfId="0" applyFont="1" applyAlignment="1">
      <alignment horizontal="center" vertical="center"/>
    </xf>
    <xf numFmtId="0" fontId="25" fillId="0" borderId="0" xfId="0" applyFont="1" applyAlignment="1">
      <alignment vertical="center"/>
    </xf>
    <xf numFmtId="0" fontId="0" fillId="0" borderId="0" xfId="0" applyAlignment="1">
      <alignment vertical="center"/>
    </xf>
    <xf numFmtId="0" fontId="56" fillId="0" borderId="11" xfId="0" applyFont="1" applyBorder="1" applyAlignment="1" applyProtection="1">
      <alignment horizontal="right" vertical="top"/>
    </xf>
    <xf numFmtId="0" fontId="56" fillId="0" borderId="0" xfId="0" applyFont="1" applyBorder="1" applyAlignment="1" applyProtection="1">
      <alignment horizontal="right" vertical="top" wrapText="1"/>
    </xf>
    <xf numFmtId="0" fontId="56" fillId="2" borderId="12" xfId="0" applyFont="1" applyFill="1" applyBorder="1" applyAlignment="1" applyProtection="1">
      <alignment vertical="top" wrapText="1"/>
    </xf>
    <xf numFmtId="0" fontId="56" fillId="0" borderId="14" xfId="0" applyFont="1" applyBorder="1" applyAlignment="1" applyProtection="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Fill="1" applyBorder="1" applyAlignment="1" applyProtection="1">
      <alignment vertical="top"/>
    </xf>
    <xf numFmtId="168" fontId="56" fillId="6" borderId="11" xfId="0" applyNumberFormat="1" applyFont="1" applyFill="1" applyBorder="1" applyAlignment="1" applyProtection="1">
      <alignment horizontal="center" vertical="top"/>
    </xf>
    <xf numFmtId="0" fontId="23" fillId="0" borderId="0" xfId="542" applyFont="1" applyAlignment="1" applyProtection="1">
      <protection locked="0"/>
    </xf>
    <xf numFmtId="0" fontId="16" fillId="0" borderId="0" xfId="539" applyAlignment="1" applyProtection="1"/>
    <xf numFmtId="0" fontId="36" fillId="8" borderId="0" xfId="539" applyFont="1" applyFill="1" applyAlignment="1" applyProtection="1">
      <alignment horizontal="centerContinuous"/>
    </xf>
    <xf numFmtId="0" fontId="16" fillId="0" borderId="0" xfId="539" applyProtection="1"/>
    <xf numFmtId="0" fontId="47" fillId="0" borderId="0" xfId="0" applyFont="1" applyProtection="1"/>
    <xf numFmtId="4" fontId="25" fillId="0" borderId="0" xfId="0" applyNumberFormat="1" applyFont="1" applyProtection="1"/>
    <xf numFmtId="0" fontId="34" fillId="0" borderId="0" xfId="0" applyFont="1" applyFill="1" applyAlignment="1">
      <alignment horizontal="center"/>
    </xf>
    <xf numFmtId="49" fontId="23" fillId="0" borderId="0" xfId="0" applyNumberFormat="1" applyFont="1" applyAlignment="1">
      <alignment horizontal="center"/>
    </xf>
    <xf numFmtId="0" fontId="23" fillId="0" borderId="0" xfId="0" applyFont="1" applyAlignment="1">
      <alignment horizontal="left"/>
    </xf>
    <xf numFmtId="49" fontId="25" fillId="0" borderId="0" xfId="0" applyNumberFormat="1" applyFont="1" applyAlignment="1">
      <alignment horizontal="center"/>
    </xf>
    <xf numFmtId="0" fontId="23" fillId="0" borderId="0" xfId="543" applyFont="1" applyProtection="1"/>
    <xf numFmtId="0" fontId="26" fillId="0" borderId="0" xfId="0" applyFont="1" applyFill="1" applyBorder="1" applyAlignment="1" applyProtection="1"/>
    <xf numFmtId="0" fontId="25" fillId="0" borderId="0" xfId="543" applyFont="1" applyAlignment="1" applyProtection="1">
      <alignment horizontal="left"/>
    </xf>
    <xf numFmtId="0" fontId="25" fillId="0" borderId="0" xfId="543" applyFont="1" applyFill="1" applyAlignment="1" applyProtection="1">
      <alignment horizontal="left"/>
    </xf>
    <xf numFmtId="0" fontId="25" fillId="0" borderId="15" xfId="0" applyFont="1" applyBorder="1" applyProtection="1"/>
    <xf numFmtId="0" fontId="25" fillId="0" borderId="11" xfId="0" applyFont="1" applyBorder="1" applyProtection="1"/>
    <xf numFmtId="2" fontId="39" fillId="0" borderId="11" xfId="0" applyNumberFormat="1" applyFont="1" applyBorder="1" applyProtection="1"/>
    <xf numFmtId="0" fontId="16" fillId="0" borderId="0" xfId="0" applyFont="1" applyProtection="1">
      <protection locked="0"/>
    </xf>
    <xf numFmtId="0" fontId="64" fillId="0" borderId="0" xfId="0" applyFont="1" applyAlignment="1">
      <alignment horizontal="center"/>
    </xf>
    <xf numFmtId="0" fontId="25" fillId="0" borderId="0" xfId="271"/>
    <xf numFmtId="0" fontId="23" fillId="0" borderId="0" xfId="271" applyFont="1"/>
    <xf numFmtId="0" fontId="25" fillId="0" borderId="0" xfId="271" applyFont="1"/>
    <xf numFmtId="0" fontId="25" fillId="0" borderId="0" xfId="271" applyFill="1"/>
    <xf numFmtId="0" fontId="25" fillId="0" borderId="0" xfId="271" applyFont="1" applyFill="1"/>
    <xf numFmtId="0" fontId="23" fillId="0" borderId="0" xfId="271" applyFont="1" applyFill="1"/>
    <xf numFmtId="0" fontId="25" fillId="0" borderId="0" xfId="271" applyAlignment="1">
      <alignment horizontal="left"/>
    </xf>
    <xf numFmtId="0" fontId="25" fillId="0" borderId="0" xfId="271" applyFill="1" applyAlignment="1">
      <alignment horizontal="left"/>
    </xf>
    <xf numFmtId="0" fontId="17" fillId="0" borderId="0" xfId="244" applyFill="1" applyBorder="1" applyProtection="1">
      <protection locked="0"/>
    </xf>
    <xf numFmtId="0" fontId="23" fillId="0" borderId="0" xfId="271" applyFont="1" applyProtection="1"/>
    <xf numFmtId="168" fontId="23" fillId="0" borderId="2" xfId="543" applyNumberFormat="1" applyFont="1" applyFill="1" applyBorder="1" applyAlignment="1" applyProtection="1">
      <alignment horizontal="center" vertical="center"/>
    </xf>
    <xf numFmtId="0" fontId="0" fillId="0" borderId="5" xfId="0" applyFill="1" applyBorder="1" applyProtection="1"/>
    <xf numFmtId="0" fontId="38" fillId="0" borderId="0" xfId="543" applyNumberFormat="1" applyFont="1" applyBorder="1" applyAlignment="1" applyProtection="1">
      <alignment horizontal="right" vertical="top" wrapText="1"/>
    </xf>
    <xf numFmtId="0" fontId="36" fillId="0" borderId="2" xfId="543" applyNumberFormat="1" applyFont="1" applyBorder="1" applyAlignment="1" applyProtection="1">
      <alignment horizontal="right" vertical="top" wrapText="1"/>
    </xf>
    <xf numFmtId="0" fontId="21" fillId="0" borderId="0" xfId="0" applyFont="1"/>
    <xf numFmtId="0" fontId="66" fillId="0" borderId="0" xfId="0" applyFont="1"/>
    <xf numFmtId="0" fontId="64" fillId="0" borderId="0" xfId="0" applyFont="1"/>
    <xf numFmtId="0" fontId="36" fillId="0" borderId="0" xfId="543" applyNumberFormat="1" applyFont="1" applyBorder="1" applyAlignment="1" applyProtection="1">
      <alignment horizontal="right" vertical="top" wrapText="1"/>
    </xf>
    <xf numFmtId="0" fontId="23"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25" fillId="0" borderId="0" xfId="544" applyNumberFormat="1" applyFont="1" applyBorder="1" applyAlignment="1" applyProtection="1">
      <alignment horizontal="right" vertical="top" wrapText="1"/>
    </xf>
    <xf numFmtId="0" fontId="23" fillId="0" borderId="0" xfId="0" applyFont="1" applyAlignment="1">
      <alignment horizontal="center"/>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0" fillId="0" borderId="0" xfId="0" applyNumberFormat="1" applyAlignment="1">
      <alignment horizontal="center"/>
    </xf>
    <xf numFmtId="3" fontId="25" fillId="0" borderId="0" xfId="0" applyNumberFormat="1" applyFont="1"/>
    <xf numFmtId="3" fontId="25" fillId="0" borderId="0" xfId="0" applyNumberFormat="1" applyFont="1" applyAlignment="1">
      <alignment horizontal="center"/>
    </xf>
    <xf numFmtId="0" fontId="65" fillId="0" borderId="0" xfId="0" applyFont="1"/>
    <xf numFmtId="168" fontId="21" fillId="0" borderId="0" xfId="0" applyNumberFormat="1" applyFont="1"/>
    <xf numFmtId="10" fontId="21" fillId="0" borderId="0" xfId="0" applyNumberFormat="1" applyFont="1" applyAlignment="1">
      <alignment horizontal="center"/>
    </xf>
    <xf numFmtId="3" fontId="68" fillId="0" borderId="0" xfId="0" applyNumberFormat="1" applyFont="1"/>
    <xf numFmtId="3" fontId="21" fillId="0" borderId="0" xfId="0" applyNumberFormat="1" applyFont="1"/>
    <xf numFmtId="168" fontId="65" fillId="0" borderId="0" xfId="0" applyNumberFormat="1" applyFont="1"/>
    <xf numFmtId="168" fontId="6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168"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Fill="1" applyAlignment="1">
      <alignment horizontal="center"/>
    </xf>
    <xf numFmtId="0" fontId="64" fillId="0" borderId="6" xfId="0" applyFont="1" applyBorder="1" applyAlignment="1">
      <alignment horizontal="center"/>
    </xf>
    <xf numFmtId="3" fontId="68" fillId="0" borderId="6" xfId="0" applyNumberFormat="1" applyFont="1" applyBorder="1"/>
    <xf numFmtId="172" fontId="25" fillId="0" borderId="0" xfId="0" applyNumberFormat="1" applyFont="1" applyAlignment="1">
      <alignment horizontal="center"/>
    </xf>
    <xf numFmtId="10" fontId="69" fillId="0" borderId="0" xfId="0" applyNumberFormat="1" applyFont="1" applyAlignment="1">
      <alignment horizontal="center"/>
    </xf>
    <xf numFmtId="172" fontId="25" fillId="0" borderId="0" xfId="0" applyNumberFormat="1" applyFont="1" applyFill="1" applyAlignment="1">
      <alignment horizontal="center"/>
    </xf>
    <xf numFmtId="4" fontId="25" fillId="0" borderId="0" xfId="271" applyNumberFormat="1" applyFont="1" applyAlignment="1" applyProtection="1">
      <alignment horizontal="left"/>
    </xf>
    <xf numFmtId="0" fontId="25" fillId="0" borderId="0" xfId="271" applyFont="1" applyAlignment="1" applyProtection="1">
      <alignment horizontal="center"/>
    </xf>
    <xf numFmtId="0" fontId="0" fillId="0" borderId="0" xfId="0" applyAlignment="1">
      <alignment horizontal="right"/>
    </xf>
    <xf numFmtId="0" fontId="25" fillId="0" borderId="0" xfId="0" applyFont="1" applyBorder="1" applyAlignment="1" applyProtection="1"/>
    <xf numFmtId="0" fontId="25" fillId="9" borderId="6" xfId="0" applyFont="1" applyFill="1" applyBorder="1" applyAlignment="1" applyProtection="1"/>
    <xf numFmtId="0" fontId="25" fillId="0" borderId="0" xfId="271" applyFont="1" applyProtection="1"/>
    <xf numFmtId="0" fontId="25" fillId="0" borderId="0" xfId="271" applyProtection="1"/>
    <xf numFmtId="0" fontId="25" fillId="0" borderId="0" xfId="271" applyBorder="1" applyProtection="1"/>
    <xf numFmtId="0" fontId="23" fillId="0" borderId="0" xfId="271" applyFont="1" applyBorder="1" applyProtection="1"/>
    <xf numFmtId="0" fontId="25" fillId="0" borderId="0" xfId="271" applyFont="1" applyBorder="1" applyProtection="1"/>
    <xf numFmtId="0" fontId="25" fillId="0" borderId="0" xfId="271" applyFont="1" applyFill="1" applyBorder="1" applyProtection="1"/>
    <xf numFmtId="0" fontId="25" fillId="0" borderId="4" xfId="271" applyFont="1" applyBorder="1" applyProtection="1"/>
    <xf numFmtId="0" fontId="25" fillId="0" borderId="6" xfId="271" applyFont="1" applyBorder="1" applyProtection="1"/>
    <xf numFmtId="0" fontId="39" fillId="0" borderId="0" xfId="0" applyFont="1" applyFill="1" applyBorder="1" applyProtection="1"/>
    <xf numFmtId="0" fontId="25" fillId="0" borderId="1" xfId="0" applyFont="1" applyBorder="1" applyProtection="1"/>
    <xf numFmtId="168" fontId="25" fillId="0" borderId="3" xfId="0" applyNumberFormat="1" applyFont="1" applyFill="1" applyBorder="1" applyAlignment="1" applyProtection="1">
      <alignment vertical="top"/>
    </xf>
    <xf numFmtId="168" fontId="25" fillId="0" borderId="4" xfId="0" applyNumberFormat="1" applyFont="1" applyFill="1" applyBorder="1" applyAlignment="1" applyProtection="1">
      <alignment vertical="top"/>
    </xf>
    <xf numFmtId="168" fontId="25" fillId="0" borderId="5" xfId="0" applyNumberFormat="1" applyFont="1" applyFill="1" applyBorder="1" applyAlignment="1" applyProtection="1">
      <alignment vertical="top"/>
    </xf>
    <xf numFmtId="168" fontId="25" fillId="0" borderId="8" xfId="0" applyNumberFormat="1" applyFont="1" applyFill="1" applyBorder="1" applyAlignment="1" applyProtection="1">
      <alignment vertical="top"/>
    </xf>
    <xf numFmtId="168" fontId="25" fillId="0" borderId="0" xfId="0" applyNumberFormat="1" applyFont="1" applyFill="1" applyBorder="1" applyAlignment="1" applyProtection="1">
      <alignment vertical="top"/>
    </xf>
    <xf numFmtId="0" fontId="25" fillId="0" borderId="0" xfId="0" applyNumberFormat="1" applyFont="1" applyFill="1" applyBorder="1" applyAlignment="1" applyProtection="1">
      <alignment horizontal="right" vertical="top"/>
    </xf>
    <xf numFmtId="0" fontId="2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NumberFormat="1" applyFont="1" applyFill="1" applyBorder="1" applyAlignment="1" applyProtection="1">
      <alignment horizontal="left" vertical="top"/>
      <protection locked="0"/>
    </xf>
    <xf numFmtId="0" fontId="25" fillId="5" borderId="5" xfId="0" applyNumberFormat="1" applyFont="1" applyFill="1" applyBorder="1" applyAlignment="1" applyProtection="1">
      <alignment horizontal="left" vertical="top"/>
      <protection locked="0"/>
    </xf>
    <xf numFmtId="0" fontId="51" fillId="0" borderId="0" xfId="0" applyFont="1" applyFill="1" applyAlignment="1" applyProtection="1">
      <alignment horizontal="center"/>
    </xf>
    <xf numFmtId="0" fontId="25" fillId="0" borderId="0" xfId="271" applyFont="1" applyAlignment="1">
      <alignment horizontal="left"/>
    </xf>
    <xf numFmtId="0" fontId="25" fillId="0" borderId="0" xfId="271" applyFont="1" applyFill="1" applyAlignment="1" applyProtection="1"/>
    <xf numFmtId="0" fontId="25" fillId="0" borderId="0" xfId="0" applyFont="1" applyFill="1" applyBorder="1" applyAlignment="1" applyProtection="1"/>
    <xf numFmtId="4" fontId="51" fillId="0" borderId="0" xfId="0" applyNumberFormat="1" applyFont="1" applyAlignment="1" applyProtection="1">
      <alignment horizontal="center"/>
    </xf>
    <xf numFmtId="4" fontId="25" fillId="0" borderId="0" xfId="0" applyNumberFormat="1" applyFont="1" applyAlignment="1" applyProtection="1">
      <alignment horizontal="center"/>
    </xf>
    <xf numFmtId="4" fontId="0" fillId="0" borderId="0" xfId="0" applyNumberFormat="1" applyFill="1" applyProtection="1"/>
    <xf numFmtId="0" fontId="35" fillId="0" borderId="1" xfId="543" applyFont="1" applyBorder="1" applyAlignment="1" applyProtection="1">
      <alignment horizontal="left" vertical="top" wrapText="1"/>
    </xf>
    <xf numFmtId="0" fontId="35" fillId="0" borderId="12" xfId="543" applyFont="1" applyBorder="1" applyAlignment="1" applyProtection="1">
      <alignment horizontal="center" vertical="top" wrapText="1"/>
    </xf>
    <xf numFmtId="0" fontId="35" fillId="0" borderId="8" xfId="543" applyFont="1" applyBorder="1" applyAlignment="1" applyProtection="1">
      <alignment horizontal="left" vertical="top" wrapText="1"/>
    </xf>
    <xf numFmtId="0" fontId="30" fillId="3" borderId="4" xfId="271" applyFont="1" applyFill="1" applyBorder="1" applyAlignment="1" applyProtection="1">
      <alignment vertical="top" wrapText="1"/>
    </xf>
    <xf numFmtId="0" fontId="22" fillId="3" borderId="11" xfId="271" applyFont="1" applyFill="1" applyBorder="1" applyAlignment="1" applyProtection="1">
      <alignment vertical="top"/>
    </xf>
    <xf numFmtId="0" fontId="23" fillId="0" borderId="9" xfId="271" applyFont="1" applyBorder="1" applyAlignment="1" applyProtection="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pplyProtection="1">
      <alignment horizontal="center" wrapText="1"/>
    </xf>
    <xf numFmtId="0" fontId="48" fillId="2" borderId="11" xfId="271" applyFont="1" applyFill="1" applyBorder="1" applyAlignment="1" applyProtection="1">
      <alignment horizontal="left" vertical="top" wrapText="1"/>
    </xf>
    <xf numFmtId="0" fontId="25" fillId="0" borderId="11" xfId="271" applyFont="1" applyBorder="1" applyAlignment="1" applyProtection="1">
      <alignment vertical="top" wrapText="1"/>
      <protection locked="0"/>
    </xf>
    <xf numFmtId="168" fontId="25" fillId="5" borderId="11" xfId="271" applyNumberFormat="1" applyFont="1" applyFill="1" applyBorder="1" applyAlignment="1" applyProtection="1">
      <alignment vertical="top" wrapText="1"/>
      <protection locked="0"/>
    </xf>
    <xf numFmtId="0" fontId="25" fillId="5" borderId="3" xfId="271" applyFont="1" applyFill="1" applyBorder="1" applyAlignment="1" applyProtection="1">
      <alignment vertical="top" wrapText="1"/>
      <protection locked="0"/>
    </xf>
    <xf numFmtId="0" fontId="25" fillId="5" borderId="11" xfId="271" applyFont="1" applyFill="1" applyBorder="1" applyAlignment="1" applyProtection="1">
      <alignment vertical="top" wrapText="1"/>
      <protection locked="0"/>
    </xf>
    <xf numFmtId="0" fontId="25" fillId="0" borderId="11" xfId="271" applyFont="1" applyBorder="1" applyAlignment="1" applyProtection="1">
      <alignment horizontal="right" vertical="top" wrapText="1"/>
    </xf>
    <xf numFmtId="168" fontId="25"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25" fillId="5" borderId="11" xfId="271" applyFont="1" applyFill="1" applyBorder="1" applyAlignment="1" applyProtection="1">
      <alignment horizontal="right" vertical="top" wrapText="1"/>
      <protection locked="0"/>
    </xf>
    <xf numFmtId="168" fontId="23" fillId="0" borderId="11" xfId="271" applyNumberFormat="1" applyFont="1" applyFill="1" applyBorder="1" applyAlignment="1" applyProtection="1">
      <alignment vertical="top" wrapText="1"/>
    </xf>
    <xf numFmtId="0" fontId="33" fillId="0" borderId="11" xfId="271" applyFont="1" applyBorder="1" applyAlignment="1" applyProtection="1">
      <alignment horizontal="right" vertical="top" wrapText="1"/>
    </xf>
    <xf numFmtId="0" fontId="25" fillId="0" borderId="11" xfId="271" applyFont="1" applyFill="1" applyBorder="1" applyAlignment="1" applyProtection="1">
      <alignment horizontal="right" vertical="top" wrapText="1"/>
    </xf>
    <xf numFmtId="0" fontId="30" fillId="0" borderId="0" xfId="271" applyFont="1" applyBorder="1" applyAlignment="1" applyProtection="1">
      <alignment horizontal="right" vertical="top" wrapText="1"/>
      <protection locked="0"/>
    </xf>
    <xf numFmtId="0" fontId="30" fillId="0" borderId="0" xfId="271" applyFont="1" applyBorder="1" applyAlignment="1" applyProtection="1">
      <alignment vertical="top" wrapText="1"/>
      <protection locked="0"/>
    </xf>
    <xf numFmtId="0" fontId="25" fillId="0" borderId="5" xfId="271" applyFont="1" applyBorder="1" applyAlignment="1" applyProtection="1">
      <alignment vertical="top" wrapText="1"/>
      <protection locked="0"/>
    </xf>
    <xf numFmtId="0" fontId="23" fillId="0" borderId="3" xfId="271" applyFont="1" applyBorder="1" applyAlignment="1" applyProtection="1">
      <alignment horizontal="left" vertical="top"/>
    </xf>
    <xf numFmtId="0" fontId="25" fillId="0" borderId="4" xfId="271" applyFont="1" applyBorder="1" applyAlignment="1" applyProtection="1">
      <alignment horizontal="left" vertical="top"/>
      <protection locked="0"/>
    </xf>
    <xf numFmtId="0" fontId="25" fillId="0" borderId="4" xfId="271" applyFont="1" applyBorder="1" applyAlignment="1" applyProtection="1">
      <alignment vertical="top" wrapText="1"/>
      <protection locked="0"/>
    </xf>
    <xf numFmtId="0" fontId="30" fillId="0" borderId="0" xfId="271" applyFont="1" applyBorder="1" applyAlignment="1" applyProtection="1">
      <alignment vertical="top" wrapText="1"/>
    </xf>
    <xf numFmtId="0" fontId="25" fillId="0" borderId="4" xfId="271" applyFont="1" applyBorder="1" applyAlignment="1" applyProtection="1">
      <alignment vertical="top" wrapText="1"/>
    </xf>
    <xf numFmtId="0" fontId="48" fillId="2" borderId="11" xfId="271" applyFont="1" applyFill="1" applyBorder="1" applyAlignment="1" applyProtection="1">
      <alignment horizontal="left" vertical="top" wrapText="1"/>
      <protection locked="0"/>
    </xf>
    <xf numFmtId="0" fontId="53" fillId="0" borderId="11" xfId="0" applyFont="1" applyBorder="1" applyAlignment="1" applyProtection="1">
      <alignment horizontal="right" vertical="top" wrapText="1"/>
    </xf>
    <xf numFmtId="0" fontId="62" fillId="0" borderId="0" xfId="542" applyProtection="1"/>
    <xf numFmtId="0" fontId="25" fillId="0" borderId="0" xfId="0" applyFont="1" applyFill="1" applyAlignment="1">
      <alignment horizontal="center"/>
    </xf>
    <xf numFmtId="0" fontId="25" fillId="0" borderId="0" xfId="271" applyFont="1" applyFill="1" applyAlignment="1">
      <alignment horizontal="left"/>
    </xf>
    <xf numFmtId="0" fontId="25" fillId="0" borderId="0" xfId="271" applyFont="1" applyBorder="1"/>
    <xf numFmtId="0" fontId="25" fillId="8" borderId="0" xfId="542" quotePrefix="1" applyFont="1" applyFill="1" applyAlignment="1" applyProtection="1">
      <alignment horizontal="left"/>
    </xf>
    <xf numFmtId="0" fontId="16" fillId="0" borderId="0" xfId="0" applyFont="1" applyAlignment="1" applyProtection="1">
      <alignment horizontal="left"/>
    </xf>
    <xf numFmtId="0" fontId="25" fillId="8" borderId="0" xfId="542" applyFont="1" applyFill="1" applyProtection="1"/>
    <xf numFmtId="0" fontId="33" fillId="8" borderId="0" xfId="542" applyFont="1" applyFill="1" applyAlignment="1" applyProtection="1"/>
    <xf numFmtId="0" fontId="53" fillId="0" borderId="11" xfId="271" applyFont="1" applyFill="1" applyBorder="1" applyAlignment="1" applyProtection="1">
      <alignment horizontal="right" vertical="top"/>
    </xf>
    <xf numFmtId="0" fontId="53" fillId="0" borderId="11" xfId="271" applyFont="1" applyFill="1" applyBorder="1" applyAlignment="1" applyProtection="1">
      <alignment horizontal="right" vertical="top" wrapText="1"/>
    </xf>
    <xf numFmtId="0" fontId="25" fillId="0" borderId="0" xfId="271" applyFont="1" applyFill="1" applyAlignment="1" applyProtection="1">
      <alignment horizontal="left" vertical="top"/>
    </xf>
    <xf numFmtId="0" fontId="25" fillId="0" borderId="0" xfId="271" applyNumberFormat="1" applyFont="1" applyFill="1" applyAlignment="1" applyProtection="1">
      <alignment horizontal="left" vertical="top"/>
    </xf>
    <xf numFmtId="0" fontId="23" fillId="0" borderId="0" xfId="271" applyFont="1" applyAlignment="1" applyProtection="1">
      <alignment horizontal="right"/>
    </xf>
    <xf numFmtId="0" fontId="24" fillId="0" borderId="0" xfId="271" applyFont="1" applyFill="1" applyBorder="1" applyAlignment="1" applyProtection="1">
      <alignment horizontal="center"/>
    </xf>
    <xf numFmtId="5" fontId="25" fillId="0" borderId="0" xfId="542" applyNumberFormat="1" applyFont="1" applyProtection="1"/>
    <xf numFmtId="1" fontId="25" fillId="0" borderId="15" xfId="271" applyNumberFormat="1" applyFont="1" applyBorder="1" applyProtection="1"/>
    <xf numFmtId="1" fontId="25" fillId="0" borderId="14" xfId="271" applyNumberFormat="1" applyFont="1" applyBorder="1" applyProtection="1"/>
    <xf numFmtId="0" fontId="24" fillId="0" borderId="6" xfId="271" applyFont="1" applyFill="1" applyBorder="1" applyAlignment="1" applyProtection="1">
      <alignment horizontal="left"/>
    </xf>
    <xf numFmtId="0" fontId="24" fillId="0" borderId="6" xfId="271" applyFont="1" applyFill="1" applyBorder="1" applyAlignment="1" applyProtection="1">
      <alignment horizontal="right"/>
    </xf>
    <xf numFmtId="165" fontId="25" fillId="0" borderId="0" xfId="271" applyNumberFormat="1" applyFont="1" applyProtection="1"/>
    <xf numFmtId="170" fontId="25" fillId="0" borderId="14" xfId="271" applyNumberFormat="1" applyFont="1" applyBorder="1" applyProtection="1"/>
    <xf numFmtId="1" fontId="23" fillId="0" borderId="11" xfId="271" applyNumberFormat="1" applyFont="1" applyBorder="1" applyProtection="1"/>
    <xf numFmtId="165" fontId="23" fillId="0" borderId="11" xfId="271" applyNumberFormat="1" applyFont="1" applyBorder="1" applyProtection="1"/>
    <xf numFmtId="3" fontId="56" fillId="0" borderId="11" xfId="0" applyNumberFormat="1" applyFont="1" applyBorder="1" applyAlignment="1" applyProtection="1">
      <alignment vertical="top" wrapText="1"/>
    </xf>
    <xf numFmtId="166" fontId="25" fillId="0" borderId="0" xfId="0" applyNumberFormat="1" applyFont="1" applyFill="1" applyBorder="1" applyAlignment="1" applyProtection="1"/>
    <xf numFmtId="0" fontId="0" fillId="0" borderId="0" xfId="0" applyAlignment="1" applyProtection="1">
      <protection locked="0"/>
    </xf>
    <xf numFmtId="0" fontId="25" fillId="0" borderId="0" xfId="271" applyFont="1" applyAlignment="1" applyProtection="1">
      <alignment horizontal="left"/>
    </xf>
    <xf numFmtId="49" fontId="0" fillId="0" borderId="0" xfId="0" applyNumberFormat="1" applyFill="1"/>
    <xf numFmtId="49" fontId="25" fillId="0" borderId="0" xfId="0" applyNumberFormat="1" applyFont="1" applyFill="1" applyAlignment="1">
      <alignment horizontal="center"/>
    </xf>
    <xf numFmtId="49" fontId="25" fillId="0" borderId="0" xfId="0" applyNumberFormat="1" applyFont="1" applyFill="1"/>
    <xf numFmtId="0" fontId="23" fillId="0" borderId="0" xfId="271" applyFont="1" applyFill="1" applyAlignment="1">
      <alignment horizontal="left"/>
    </xf>
    <xf numFmtId="0" fontId="21" fillId="0" borderId="0" xfId="0" applyFont="1" applyProtection="1">
      <protection locked="0"/>
    </xf>
    <xf numFmtId="0" fontId="21" fillId="0" borderId="0" xfId="271" applyFont="1" applyBorder="1" applyProtection="1">
      <protection locked="0"/>
    </xf>
    <xf numFmtId="0" fontId="21" fillId="0" borderId="11" xfId="253" applyFont="1" applyFill="1" applyBorder="1" applyAlignment="1" applyProtection="1">
      <alignment horizontal="center" wrapText="1"/>
      <protection locked="0"/>
    </xf>
    <xf numFmtId="168" fontId="21" fillId="0" borderId="0" xfId="271" applyNumberFormat="1" applyFont="1" applyBorder="1" applyProtection="1">
      <protection locked="0"/>
    </xf>
    <xf numFmtId="3" fontId="21" fillId="10" borderId="11" xfId="271" applyNumberFormat="1" applyFont="1" applyFill="1" applyBorder="1" applyProtection="1">
      <protection locked="0"/>
    </xf>
    <xf numFmtId="49" fontId="25" fillId="0" borderId="0" xfId="271" applyNumberFormat="1" applyFont="1"/>
    <xf numFmtId="4" fontId="25" fillId="0" borderId="0" xfId="271" applyNumberFormat="1" applyFont="1" applyFill="1" applyAlignment="1" applyProtection="1">
      <alignment horizontal="left"/>
    </xf>
    <xf numFmtId="0" fontId="0" fillId="0" borderId="0" xfId="0" applyFont="1" applyProtection="1"/>
    <xf numFmtId="0" fontId="29" fillId="0" borderId="1" xfId="0" applyFont="1" applyBorder="1" applyProtection="1"/>
    <xf numFmtId="0" fontId="16" fillId="0" borderId="2" xfId="0" applyFont="1" applyFill="1" applyBorder="1" applyAlignment="1" applyProtection="1">
      <alignment horizontal="left"/>
    </xf>
    <xf numFmtId="0" fontId="16" fillId="0" borderId="2" xfId="0" applyFont="1" applyBorder="1" applyProtection="1"/>
    <xf numFmtId="0" fontId="29" fillId="0" borderId="8" xfId="0" applyFont="1" applyBorder="1" applyProtection="1"/>
    <xf numFmtId="0" fontId="29" fillId="0" borderId="9" xfId="0" applyFont="1" applyBorder="1" applyProtection="1"/>
    <xf numFmtId="0" fontId="23" fillId="0" borderId="0" xfId="0" applyFont="1" applyBorder="1" applyAlignment="1" applyProtection="1">
      <alignment horizontal="left" vertical="top"/>
    </xf>
    <xf numFmtId="49" fontId="23" fillId="0" borderId="0" xfId="0" applyNumberFormat="1" applyFont="1" applyFill="1" applyAlignment="1">
      <alignment horizontal="center"/>
    </xf>
    <xf numFmtId="49" fontId="23" fillId="0" borderId="0" xfId="0" applyNumberFormat="1" applyFont="1" applyFill="1" applyAlignment="1" applyProtection="1">
      <alignment horizontal="center"/>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0" fontId="33" fillId="0" borderId="0" xfId="0" applyFont="1" applyFill="1"/>
    <xf numFmtId="172" fontId="25" fillId="5" borderId="0" xfId="0" applyNumberFormat="1" applyFont="1" applyFill="1" applyAlignment="1">
      <alignment horizontal="center"/>
    </xf>
    <xf numFmtId="1" fontId="25" fillId="0" borderId="0" xfId="0" applyNumberFormat="1" applyFont="1" applyFill="1" applyBorder="1" applyAlignment="1" applyProtection="1">
      <alignment horizontal="center"/>
    </xf>
    <xf numFmtId="0" fontId="23" fillId="0" borderId="0" xfId="271" applyFont="1" applyBorder="1" applyAlignment="1" applyProtection="1">
      <alignment horizontal="right"/>
    </xf>
    <xf numFmtId="0" fontId="25" fillId="0" borderId="0" xfId="271" applyFont="1" applyFill="1" applyAlignment="1" applyProtection="1">
      <alignment horizontal="left"/>
      <protection locked="0"/>
    </xf>
    <xf numFmtId="0" fontId="25" fillId="0" borderId="0" xfId="0" applyFont="1" applyFill="1" applyAlignment="1" applyProtection="1">
      <alignment horizontal="left"/>
      <protection locked="0"/>
    </xf>
    <xf numFmtId="0" fontId="75" fillId="0" borderId="0" xfId="0" applyFont="1" applyBorder="1" applyAlignment="1" applyProtection="1">
      <alignment horizontal="left" vertical="center"/>
    </xf>
    <xf numFmtId="0" fontId="25" fillId="0" borderId="0" xfId="271" applyBorder="1"/>
    <xf numFmtId="0" fontId="35" fillId="0" borderId="2" xfId="543" applyFont="1" applyBorder="1" applyAlignment="1" applyProtection="1">
      <alignment horizontal="center" vertical="top" wrapText="1"/>
    </xf>
    <xf numFmtId="49" fontId="46" fillId="0" borderId="0" xfId="0" applyNumberFormat="1" applyFont="1" applyFill="1" applyBorder="1" applyAlignment="1">
      <alignment horizontal="center"/>
    </xf>
    <xf numFmtId="49" fontId="46" fillId="0" borderId="0" xfId="0" applyNumberFormat="1" applyFont="1" applyFill="1" applyBorder="1" applyAlignment="1" applyProtection="1">
      <alignment horizontal="center"/>
    </xf>
    <xf numFmtId="0" fontId="23" fillId="0" borderId="0" xfId="0" applyFont="1" applyFill="1" applyProtection="1"/>
    <xf numFmtId="0" fontId="25" fillId="0" borderId="0" xfId="271" applyFont="1" applyFill="1" applyBorder="1" applyAlignment="1" applyProtection="1">
      <alignment horizontal="left"/>
    </xf>
    <xf numFmtId="0" fontId="51" fillId="0" borderId="0" xfId="271" applyFont="1" applyAlignment="1" applyProtection="1">
      <alignment horizontal="center"/>
    </xf>
    <xf numFmtId="49" fontId="25" fillId="0" borderId="0" xfId="271" applyNumberFormat="1" applyAlignment="1">
      <alignment horizontal="center"/>
    </xf>
    <xf numFmtId="0" fontId="53" fillId="0" borderId="11" xfId="271" applyFont="1" applyBorder="1" applyAlignment="1" applyProtection="1">
      <alignment horizontal="right" vertical="top"/>
    </xf>
    <xf numFmtId="0" fontId="53" fillId="0" borderId="0" xfId="0" applyFont="1" applyProtection="1"/>
    <xf numFmtId="5" fontId="79" fillId="0" borderId="11" xfId="541" applyNumberFormat="1" applyFont="1" applyFill="1" applyBorder="1" applyAlignment="1" applyProtection="1">
      <alignment horizontal="center"/>
    </xf>
    <xf numFmtId="5" fontId="79" fillId="43"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25" fillId="0" borderId="0" xfId="0" applyFont="1" applyBorder="1" applyAlignment="1" applyProtection="1">
      <alignment vertical="top" wrapText="1"/>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3" fillId="2" borderId="0" xfId="0" applyFont="1" applyFill="1" applyBorder="1" applyAlignment="1" applyProtection="1">
      <alignment vertical="top" wrapText="1"/>
    </xf>
    <xf numFmtId="0" fontId="81" fillId="0" borderId="13" xfId="0" applyFont="1" applyBorder="1" applyAlignment="1" applyProtection="1">
      <alignment vertical="top" wrapText="1"/>
    </xf>
    <xf numFmtId="0" fontId="30" fillId="0" borderId="0" xfId="0" applyFont="1" applyBorder="1" applyAlignment="1" applyProtection="1">
      <alignment vertical="top" wrapText="1"/>
    </xf>
    <xf numFmtId="0" fontId="81" fillId="2" borderId="13" xfId="0" applyFont="1" applyFill="1" applyBorder="1" applyAlignment="1" applyProtection="1">
      <alignment vertical="top" wrapText="1"/>
    </xf>
    <xf numFmtId="0" fontId="81" fillId="0" borderId="0" xfId="0" applyFont="1" applyBorder="1" applyAlignment="1" applyProtection="1">
      <alignment vertical="top" wrapText="1"/>
    </xf>
    <xf numFmtId="0" fontId="81" fillId="2" borderId="0" xfId="0" applyFont="1" applyFill="1" applyBorder="1" applyAlignment="1" applyProtection="1">
      <alignment vertical="top" wrapText="1"/>
    </xf>
    <xf numFmtId="0" fontId="53" fillId="0" borderId="0" xfId="0" applyFont="1" applyBorder="1" applyAlignment="1" applyProtection="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pplyProtection="1">
      <alignment horizontal="right" vertical="top" wrapText="1"/>
    </xf>
    <xf numFmtId="0" fontId="25" fillId="0" borderId="0" xfId="0" applyFont="1" applyAlignment="1">
      <alignment vertical="top"/>
    </xf>
    <xf numFmtId="0" fontId="23" fillId="0" borderId="0" xfId="0" applyFont="1" applyBorder="1" applyAlignment="1" applyProtection="1">
      <alignment horizontal="left" vertical="top" wrapText="1"/>
    </xf>
    <xf numFmtId="0" fontId="25" fillId="0" borderId="0" xfId="0" applyFont="1" applyBorder="1" applyAlignment="1" applyProtection="1">
      <alignment horizontal="right" vertical="top" wrapText="1"/>
    </xf>
    <xf numFmtId="0" fontId="25" fillId="0" borderId="0" xfId="0" applyFont="1" applyBorder="1" applyAlignment="1" applyProtection="1">
      <alignment horizontal="left" vertical="top"/>
    </xf>
    <xf numFmtId="10" fontId="25" fillId="5" borderId="6" xfId="0" applyNumberFormat="1" applyFont="1" applyFill="1" applyBorder="1" applyAlignment="1" applyProtection="1">
      <alignment horizontal="center" vertical="top" wrapText="1"/>
      <protection locked="0"/>
    </xf>
    <xf numFmtId="0" fontId="64" fillId="0" borderId="0" xfId="0" applyFont="1" applyBorder="1" applyAlignment="1" applyProtection="1">
      <alignment horizontal="left" vertical="center"/>
    </xf>
    <xf numFmtId="0" fontId="23" fillId="0" borderId="2" xfId="543" applyFont="1" applyBorder="1" applyAlignment="1" applyProtection="1">
      <alignment horizontal="center"/>
    </xf>
    <xf numFmtId="0" fontId="0" fillId="0" borderId="0" xfId="543" applyNumberFormat="1" applyFont="1" applyProtection="1"/>
    <xf numFmtId="0" fontId="17" fillId="0" borderId="0" xfId="244" quotePrefix="1" applyAlignment="1" applyProtection="1">
      <alignment horizontal="left"/>
    </xf>
    <xf numFmtId="168" fontId="53"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104" fillId="0" borderId="0" xfId="0" applyFont="1" applyBorder="1" applyAlignment="1" applyProtection="1">
      <alignment horizontal="left" vertical="top"/>
    </xf>
    <xf numFmtId="0" fontId="105" fillId="0" borderId="0" xfId="0" applyFont="1" applyBorder="1" applyAlignment="1" applyProtection="1">
      <alignment horizontal="left" vertical="top"/>
    </xf>
    <xf numFmtId="0" fontId="74" fillId="0" borderId="0" xfId="0" applyFont="1"/>
    <xf numFmtId="0" fontId="23" fillId="8" borderId="11" xfId="542" applyFont="1" applyFill="1" applyBorder="1" applyAlignment="1" applyProtection="1">
      <alignment horizontal="left"/>
    </xf>
    <xf numFmtId="0" fontId="23" fillId="8" borderId="11" xfId="542" applyFont="1" applyFill="1" applyBorder="1" applyAlignment="1" applyProtection="1">
      <alignment horizontal="center"/>
    </xf>
    <xf numFmtId="0" fontId="63" fillId="8" borderId="11" xfId="542" applyFont="1" applyFill="1" applyBorder="1" applyAlignment="1" applyProtection="1">
      <alignment horizontal="left"/>
    </xf>
    <xf numFmtId="0" fontId="63" fillId="0" borderId="11" xfId="542" applyFont="1" applyBorder="1" applyAlignment="1" applyProtection="1">
      <alignment horizontal="left"/>
    </xf>
    <xf numFmtId="0" fontId="30" fillId="0" borderId="0" xfId="271" applyFont="1" applyFill="1" applyBorder="1" applyAlignment="1" applyProtection="1">
      <alignment vertical="top" wrapText="1"/>
      <protection locked="0"/>
    </xf>
    <xf numFmtId="0" fontId="23" fillId="0" borderId="0" xfId="271" applyFont="1" applyFill="1" applyBorder="1" applyAlignment="1" applyProtection="1">
      <alignment horizontal="center" wrapText="1"/>
      <protection locked="0"/>
    </xf>
    <xf numFmtId="0" fontId="23" fillId="0" borderId="0" xfId="271" applyFont="1" applyBorder="1" applyAlignment="1" applyProtection="1">
      <alignment horizontal="center" wrapText="1"/>
      <protection locked="0"/>
    </xf>
    <xf numFmtId="0" fontId="25" fillId="0" borderId="0" xfId="271" applyFont="1" applyFill="1" applyBorder="1" applyAlignment="1" applyProtection="1">
      <alignment vertical="top" wrapText="1"/>
      <protection locked="0"/>
    </xf>
    <xf numFmtId="0" fontId="25" fillId="0" borderId="0" xfId="271" applyFont="1" applyBorder="1" applyAlignment="1" applyProtection="1">
      <alignment vertical="top" wrapText="1"/>
      <protection locked="0"/>
    </xf>
    <xf numFmtId="0" fontId="23" fillId="0" borderId="0" xfId="271" applyFont="1" applyFill="1" applyBorder="1" applyAlignment="1" applyProtection="1">
      <alignment vertical="top" wrapText="1"/>
      <protection locked="0"/>
    </xf>
    <xf numFmtId="0" fontId="23" fillId="0" borderId="0" xfId="271" applyFont="1" applyBorder="1" applyAlignment="1" applyProtection="1">
      <alignment vertical="top" wrapText="1"/>
      <protection locked="0"/>
    </xf>
    <xf numFmtId="0" fontId="23" fillId="0" borderId="8" xfId="271" applyFont="1" applyFill="1" applyBorder="1" applyAlignment="1" applyProtection="1">
      <alignment horizontal="center" wrapText="1"/>
      <protection locked="0"/>
    </xf>
    <xf numFmtId="0" fontId="25" fillId="0" borderId="8" xfId="271" applyFont="1" applyFill="1" applyBorder="1" applyAlignment="1" applyProtection="1">
      <alignment vertical="top" wrapText="1"/>
      <protection locked="0"/>
    </xf>
    <xf numFmtId="0" fontId="23" fillId="0" borderId="8" xfId="271" applyFont="1" applyFill="1" applyBorder="1" applyAlignment="1" applyProtection="1">
      <alignment vertical="top" wrapText="1"/>
      <protection locked="0"/>
    </xf>
    <xf numFmtId="0" fontId="25" fillId="0" borderId="8" xfId="271" applyFont="1" applyBorder="1" applyAlignment="1" applyProtection="1">
      <alignment vertical="top" wrapText="1"/>
      <protection locked="0"/>
    </xf>
    <xf numFmtId="0" fontId="25" fillId="0" borderId="0" xfId="0" applyFont="1" applyAlignment="1" applyProtection="1">
      <alignment horizontal="center"/>
    </xf>
    <xf numFmtId="0" fontId="25" fillId="0" borderId="0" xfId="0" applyFont="1" applyAlignment="1" applyProtection="1">
      <alignment horizontal="center"/>
    </xf>
    <xf numFmtId="0" fontId="16" fillId="0" borderId="0" xfId="0" applyFont="1" applyAlignment="1">
      <alignment horizontal="center"/>
    </xf>
    <xf numFmtId="0" fontId="16" fillId="0" borderId="0" xfId="0" applyFont="1" applyFill="1" applyAlignment="1">
      <alignment horizontal="center"/>
    </xf>
    <xf numFmtId="0" fontId="25" fillId="0" borderId="0" xfId="0" applyFont="1" applyAlignment="1" applyProtection="1">
      <alignment horizontal="center"/>
    </xf>
    <xf numFmtId="0" fontId="30" fillId="0" borderId="8" xfId="570" applyFont="1" applyBorder="1" applyAlignment="1" applyProtection="1">
      <alignment vertical="top" wrapText="1"/>
    </xf>
    <xf numFmtId="0" fontId="30" fillId="0" borderId="0" xfId="570" applyFont="1" applyBorder="1" applyAlignment="1" applyProtection="1">
      <alignment vertical="top" wrapText="1"/>
    </xf>
    <xf numFmtId="0" fontId="55" fillId="2" borderId="11" xfId="570" applyFont="1" applyFill="1" applyBorder="1" applyAlignment="1" applyProtection="1">
      <alignment horizontal="left" vertical="top" wrapText="1"/>
    </xf>
    <xf numFmtId="6" fontId="53" fillId="4" borderId="11" xfId="570" applyNumberFormat="1" applyFont="1" applyFill="1" applyBorder="1" applyAlignment="1" applyProtection="1">
      <alignment vertical="top" wrapText="1"/>
    </xf>
    <xf numFmtId="0" fontId="53" fillId="0" borderId="8" xfId="570" applyFont="1" applyBorder="1" applyAlignment="1" applyProtection="1">
      <alignment vertical="top" wrapText="1"/>
    </xf>
    <xf numFmtId="0" fontId="53" fillId="0" borderId="0" xfId="570" applyFont="1" applyBorder="1" applyAlignment="1" applyProtection="1">
      <alignment vertical="top" wrapText="1"/>
    </xf>
    <xf numFmtId="6" fontId="53" fillId="0" borderId="11" xfId="570" applyNumberFormat="1" applyFont="1" applyFill="1" applyBorder="1" applyAlignment="1" applyProtection="1">
      <alignment vertical="top" wrapText="1"/>
    </xf>
    <xf numFmtId="6" fontId="53" fillId="5" borderId="11" xfId="570" applyNumberFormat="1" applyFont="1" applyFill="1" applyBorder="1" applyAlignment="1" applyProtection="1">
      <alignment vertical="top" wrapText="1"/>
      <protection locked="0"/>
    </xf>
    <xf numFmtId="6" fontId="53" fillId="6" borderId="11" xfId="570" applyNumberFormat="1" applyFont="1" applyFill="1" applyBorder="1" applyAlignment="1" applyProtection="1">
      <alignment horizontal="center" vertical="top" wrapText="1"/>
    </xf>
    <xf numFmtId="0" fontId="53" fillId="0" borderId="11" xfId="570" applyFont="1" applyBorder="1" applyAlignment="1" applyProtection="1">
      <alignment horizontal="right" vertical="top" wrapText="1"/>
    </xf>
    <xf numFmtId="0" fontId="54" fillId="0" borderId="11" xfId="570" applyFont="1" applyBorder="1" applyAlignment="1" applyProtection="1">
      <alignment horizontal="right" vertical="top" wrapText="1"/>
    </xf>
    <xf numFmtId="0" fontId="53" fillId="0" borderId="11" xfId="570" applyFont="1" applyFill="1" applyBorder="1" applyAlignment="1" applyProtection="1">
      <alignment horizontal="right" vertical="top"/>
    </xf>
    <xf numFmtId="0" fontId="53" fillId="0" borderId="11" xfId="570" applyFont="1" applyFill="1" applyBorder="1" applyAlignment="1" applyProtection="1">
      <alignment horizontal="right" vertical="top" wrapText="1"/>
    </xf>
    <xf numFmtId="6" fontId="54" fillId="0" borderId="11" xfId="570" applyNumberFormat="1" applyFont="1" applyFill="1" applyBorder="1" applyAlignment="1" applyProtection="1">
      <alignment vertical="top" wrapText="1"/>
    </xf>
    <xf numFmtId="0" fontId="54" fillId="0" borderId="11" xfId="570" applyFont="1" applyFill="1" applyBorder="1" applyAlignment="1" applyProtection="1">
      <alignment horizontal="right" vertical="top" wrapText="1"/>
    </xf>
    <xf numFmtId="0" fontId="54" fillId="0" borderId="8" xfId="570" applyFont="1" applyBorder="1" applyAlignment="1" applyProtection="1">
      <alignment vertical="top" wrapText="1"/>
    </xf>
    <xf numFmtId="0" fontId="54" fillId="0" borderId="0" xfId="570" applyFont="1" applyBorder="1" applyAlignment="1" applyProtection="1">
      <alignment vertical="top" wrapText="1"/>
    </xf>
    <xf numFmtId="0" fontId="19" fillId="0" borderId="11" xfId="570" applyFont="1" applyBorder="1" applyAlignment="1" applyProtection="1">
      <alignment horizontal="right" vertical="top" wrapText="1"/>
    </xf>
    <xf numFmtId="0" fontId="54" fillId="0" borderId="0" xfId="570" applyFont="1" applyBorder="1" applyAlignment="1" applyProtection="1">
      <alignment horizontal="left" vertical="top"/>
    </xf>
    <xf numFmtId="6" fontId="53" fillId="0" borderId="0" xfId="570" applyNumberFormat="1" applyFont="1" applyBorder="1" applyAlignment="1" applyProtection="1">
      <alignment horizontal="left" vertical="top"/>
    </xf>
    <xf numFmtId="0" fontId="105" fillId="0" borderId="0" xfId="570" applyFont="1" applyBorder="1" applyAlignment="1" applyProtection="1">
      <alignment horizontal="left" vertical="top"/>
    </xf>
    <xf numFmtId="6" fontId="53" fillId="0" borderId="0" xfId="570" applyNumberFormat="1" applyFont="1" applyBorder="1" applyAlignment="1" applyProtection="1">
      <alignment vertical="top" wrapText="1"/>
    </xf>
    <xf numFmtId="6" fontId="54" fillId="0" borderId="11" xfId="570" applyNumberFormat="1" applyFont="1" applyBorder="1" applyAlignment="1" applyProtection="1">
      <alignment vertical="top" wrapText="1"/>
    </xf>
    <xf numFmtId="0" fontId="53" fillId="0" borderId="0" xfId="570" applyFont="1" applyBorder="1" applyAlignment="1" applyProtection="1">
      <alignment horizontal="left" vertical="top"/>
    </xf>
    <xf numFmtId="0" fontId="53" fillId="0" borderId="12" xfId="570" applyFont="1" applyBorder="1" applyAlignment="1" applyProtection="1">
      <alignment vertical="top" wrapText="1"/>
    </xf>
    <xf numFmtId="0" fontId="23" fillId="0" borderId="0" xfId="570" applyFont="1" applyBorder="1" applyAlignment="1" applyProtection="1">
      <alignment horizontal="left" vertical="top"/>
    </xf>
    <xf numFmtId="0" fontId="108" fillId="0" borderId="0" xfId="570" applyFont="1" applyBorder="1" applyAlignment="1" applyProtection="1">
      <alignment horizontal="left" vertical="top"/>
    </xf>
    <xf numFmtId="0" fontId="64" fillId="0" borderId="0" xfId="570" applyFont="1" applyFill="1" applyBorder="1" applyAlignment="1" applyProtection="1">
      <alignment horizontal="left" vertical="center"/>
    </xf>
    <xf numFmtId="0" fontId="31" fillId="0" borderId="0" xfId="570" applyFont="1" applyFill="1" applyBorder="1" applyAlignment="1" applyProtection="1">
      <alignment vertical="top" wrapText="1"/>
    </xf>
    <xf numFmtId="0" fontId="31" fillId="0" borderId="0" xfId="570" applyFont="1" applyBorder="1" applyAlignment="1" applyProtection="1">
      <alignment vertical="top" wrapText="1"/>
    </xf>
    <xf numFmtId="0" fontId="31" fillId="0" borderId="12" xfId="570" applyFont="1" applyBorder="1" applyAlignment="1" applyProtection="1">
      <alignment vertical="top" wrapText="1"/>
    </xf>
    <xf numFmtId="0" fontId="31" fillId="0" borderId="8" xfId="570" applyFont="1" applyBorder="1" applyAlignment="1" applyProtection="1">
      <alignment vertical="top" wrapText="1"/>
    </xf>
    <xf numFmtId="0" fontId="53" fillId="0" borderId="0" xfId="570" applyFont="1" applyFill="1" applyBorder="1" applyAlignment="1" applyProtection="1">
      <alignment vertical="top"/>
    </xf>
    <xf numFmtId="0" fontId="53" fillId="0" borderId="0" xfId="570" applyFont="1" applyFill="1" applyBorder="1" applyAlignment="1" applyProtection="1">
      <alignment vertical="top" wrapText="1"/>
    </xf>
    <xf numFmtId="168" fontId="53" fillId="0" borderId="0" xfId="570" applyNumberFormat="1" applyFont="1" applyFill="1" applyBorder="1" applyAlignment="1" applyProtection="1">
      <alignment horizontal="right" vertical="top" wrapText="1"/>
      <protection locked="0"/>
    </xf>
    <xf numFmtId="0" fontId="16" fillId="0" borderId="0" xfId="570" applyFont="1" applyFill="1" applyBorder="1" applyAlignment="1" applyProtection="1">
      <alignment vertical="top" wrapText="1"/>
    </xf>
    <xf numFmtId="0" fontId="16" fillId="0" borderId="0" xfId="570" applyFont="1" applyFill="1" applyBorder="1" applyAlignment="1">
      <alignment vertical="top"/>
    </xf>
    <xf numFmtId="0" fontId="53" fillId="0" borderId="0" xfId="570" applyFont="1" applyFill="1" applyBorder="1" applyAlignment="1" applyProtection="1">
      <alignment horizontal="right" vertical="top" wrapText="1"/>
    </xf>
    <xf numFmtId="0" fontId="23" fillId="0" borderId="0" xfId="570" applyFont="1" applyFill="1" applyBorder="1" applyAlignment="1" applyProtection="1">
      <alignment horizontal="left" vertical="top" wrapText="1"/>
    </xf>
    <xf numFmtId="168" fontId="53" fillId="0" borderId="0" xfId="570" applyNumberFormat="1" applyFont="1" applyFill="1" applyBorder="1" applyAlignment="1" applyProtection="1">
      <alignment horizontal="right" vertical="top" wrapText="1"/>
    </xf>
    <xf numFmtId="0" fontId="16" fillId="0" borderId="0" xfId="570" applyFont="1" applyFill="1" applyBorder="1" applyAlignment="1" applyProtection="1">
      <alignment horizontal="left" vertical="top" wrapText="1"/>
      <protection locked="0"/>
    </xf>
    <xf numFmtId="0" fontId="16" fillId="0" borderId="0" xfId="570" applyFont="1" applyFill="1" applyBorder="1" applyAlignment="1" applyProtection="1">
      <alignment horizontal="right" vertical="top" wrapText="1"/>
    </xf>
    <xf numFmtId="0" fontId="16" fillId="0" borderId="0" xfId="570" applyFont="1" applyFill="1" applyBorder="1" applyAlignment="1" applyProtection="1">
      <alignment horizontal="left" vertical="top"/>
    </xf>
    <xf numFmtId="0" fontId="23" fillId="0" borderId="0" xfId="570" applyFont="1" applyFill="1" applyBorder="1" applyAlignment="1" applyProtection="1">
      <alignment horizontal="left" vertical="top"/>
    </xf>
    <xf numFmtId="0" fontId="81" fillId="0" borderId="0" xfId="570" applyFont="1" applyBorder="1" applyAlignment="1" applyProtection="1">
      <alignment vertical="top" wrapText="1"/>
    </xf>
    <xf numFmtId="0" fontId="81" fillId="0" borderId="12" xfId="570" applyFont="1" applyBorder="1" applyAlignment="1" applyProtection="1">
      <alignment vertical="top" wrapText="1"/>
    </xf>
    <xf numFmtId="0" fontId="81" fillId="0" borderId="8" xfId="570" applyFont="1" applyBorder="1" applyAlignment="1" applyProtection="1">
      <alignment vertical="top" wrapText="1"/>
    </xf>
    <xf numFmtId="0" fontId="30" fillId="0" borderId="0" xfId="570" applyFont="1" applyFill="1" applyBorder="1" applyAlignment="1" applyProtection="1">
      <alignment vertical="top" wrapText="1"/>
    </xf>
    <xf numFmtId="0" fontId="16" fillId="0" borderId="0" xfId="570" applyFont="1" applyBorder="1" applyAlignment="1" applyProtection="1">
      <alignment horizontal="right" vertical="top" wrapText="1"/>
    </xf>
    <xf numFmtId="0" fontId="16" fillId="0" borderId="0" xfId="570" applyFont="1" applyBorder="1" applyAlignment="1" applyProtection="1">
      <alignment vertical="top" wrapText="1"/>
    </xf>
    <xf numFmtId="0" fontId="30" fillId="0" borderId="0" xfId="570" applyFont="1" applyBorder="1" applyAlignment="1" applyProtection="1">
      <alignment horizontal="right" vertical="top" wrapText="1"/>
    </xf>
    <xf numFmtId="0" fontId="81" fillId="0" borderId="0" xfId="570" applyFont="1" applyBorder="1" applyAlignment="1" applyProtection="1">
      <alignment horizontal="right" vertical="top" wrapText="1"/>
    </xf>
    <xf numFmtId="0" fontId="54" fillId="0" borderId="3" xfId="570" applyFont="1" applyBorder="1" applyAlignment="1" applyProtection="1">
      <alignment horizontal="left"/>
    </xf>
    <xf numFmtId="0" fontId="54" fillId="0" borderId="13" xfId="570" applyFont="1" applyBorder="1" applyAlignment="1" applyProtection="1">
      <alignment horizontal="center" wrapText="1"/>
    </xf>
    <xf numFmtId="0" fontId="54" fillId="0" borderId="13" xfId="570" applyFont="1" applyFill="1" applyBorder="1" applyAlignment="1" applyProtection="1">
      <alignment horizontal="center" wrapText="1"/>
    </xf>
    <xf numFmtId="0" fontId="54" fillId="0" borderId="8" xfId="570" applyFont="1" applyBorder="1" applyAlignment="1" applyProtection="1">
      <alignment horizontal="center" wrapText="1"/>
    </xf>
    <xf numFmtId="0" fontId="54" fillId="0" borderId="0" xfId="570" applyFont="1" applyBorder="1" applyAlignment="1" applyProtection="1">
      <alignment horizontal="center" wrapText="1"/>
    </xf>
    <xf numFmtId="0" fontId="16" fillId="0" borderId="0" xfId="570" applyFont="1"/>
    <xf numFmtId="0" fontId="16" fillId="0" borderId="0" xfId="570"/>
    <xf numFmtId="0" fontId="16" fillId="0" borderId="0" xfId="570" applyFill="1"/>
    <xf numFmtId="0" fontId="16" fillId="0" borderId="0" xfId="570" applyBorder="1" applyProtection="1"/>
    <xf numFmtId="0" fontId="22" fillId="0" borderId="0" xfId="570" applyFont="1" applyFill="1" applyBorder="1" applyAlignment="1">
      <alignment horizontal="center" vertical="center"/>
    </xf>
    <xf numFmtId="0" fontId="16" fillId="0" borderId="0" xfId="570" applyFont="1" applyFill="1"/>
    <xf numFmtId="0" fontId="23" fillId="0" borderId="0" xfId="570" applyFont="1"/>
    <xf numFmtId="0" fontId="16" fillId="0" borderId="1" xfId="570" applyBorder="1"/>
    <xf numFmtId="0" fontId="16" fillId="0" borderId="2" xfId="570" applyBorder="1"/>
    <xf numFmtId="0" fontId="16" fillId="0" borderId="8" xfId="570" applyBorder="1"/>
    <xf numFmtId="0" fontId="16" fillId="0" borderId="0" xfId="570" applyBorder="1"/>
    <xf numFmtId="0" fontId="16" fillId="0" borderId="9" xfId="570" applyBorder="1"/>
    <xf numFmtId="0" fontId="16" fillId="0" borderId="6" xfId="570" applyBorder="1"/>
    <xf numFmtId="0" fontId="24" fillId="0" borderId="0" xfId="570" applyFont="1"/>
    <xf numFmtId="0" fontId="16" fillId="0" borderId="7" xfId="570" applyBorder="1"/>
    <xf numFmtId="0" fontId="16" fillId="0" borderId="12" xfId="570" applyBorder="1"/>
    <xf numFmtId="0" fontId="16" fillId="0" borderId="10" xfId="570" applyBorder="1"/>
    <xf numFmtId="0" fontId="24" fillId="0" borderId="0" xfId="570" applyNumberFormat="1" applyFont="1" applyAlignment="1">
      <alignment vertical="top" wrapText="1"/>
    </xf>
    <xf numFmtId="0" fontId="16" fillId="0" borderId="0" xfId="570" applyFill="1" applyAlignment="1">
      <alignment horizontal="right"/>
    </xf>
    <xf numFmtId="0" fontId="16" fillId="0" borderId="0" xfId="570" applyFill="1" applyBorder="1"/>
    <xf numFmtId="0" fontId="16" fillId="0" borderId="0" xfId="570" applyFont="1" applyBorder="1" applyAlignment="1">
      <alignment wrapText="1"/>
    </xf>
    <xf numFmtId="0" fontId="16" fillId="0" borderId="0" xfId="570" applyFont="1" applyFill="1" applyAlignment="1">
      <alignment vertical="center"/>
    </xf>
    <xf numFmtId="0" fontId="16" fillId="0" borderId="0" xfId="570" applyFill="1" applyAlignment="1">
      <alignment vertical="center"/>
    </xf>
    <xf numFmtId="0" fontId="40" fillId="0" borderId="0" xfId="570" applyFont="1" applyFill="1" applyBorder="1" applyAlignment="1">
      <alignment vertical="center" wrapText="1"/>
    </xf>
    <xf numFmtId="0" fontId="34" fillId="0" borderId="0" xfId="570" applyFont="1" applyAlignment="1">
      <alignment vertical="top" wrapText="1"/>
    </xf>
    <xf numFmtId="0" fontId="16" fillId="0" borderId="0" xfId="570" applyFill="1" applyAlignment="1">
      <alignment wrapText="1"/>
    </xf>
    <xf numFmtId="0" fontId="23" fillId="0" borderId="0" xfId="570" applyFont="1" applyFill="1"/>
    <xf numFmtId="0" fontId="23" fillId="0" borderId="0" xfId="570" applyFont="1" applyFill="1" applyAlignment="1">
      <alignment horizontal="left" vertical="top"/>
    </xf>
    <xf numFmtId="0" fontId="23" fillId="0" borderId="0" xfId="570" applyFont="1" applyFill="1" applyAlignment="1">
      <alignment vertical="top" wrapText="1"/>
    </xf>
    <xf numFmtId="0" fontId="23" fillId="0" borderId="0" xfId="570" applyFont="1" applyAlignment="1">
      <alignment vertical="top" wrapText="1"/>
    </xf>
    <xf numFmtId="0" fontId="24" fillId="0" borderId="0" xfId="570" applyFont="1" applyAlignment="1">
      <alignment horizontal="left" vertical="top" wrapText="1"/>
    </xf>
    <xf numFmtId="164" fontId="16" fillId="0" borderId="0" xfId="570" applyNumberFormat="1" applyFill="1" applyBorder="1" applyAlignment="1">
      <alignment horizontal="right"/>
    </xf>
    <xf numFmtId="0" fontId="53" fillId="0" borderId="0" xfId="570" applyFont="1" applyFill="1" applyBorder="1" applyAlignment="1">
      <alignment vertical="top" wrapText="1"/>
    </xf>
    <xf numFmtId="0" fontId="16" fillId="0" borderId="0" xfId="570" applyBorder="1" applyAlignment="1"/>
    <xf numFmtId="168" fontId="16" fillId="0" borderId="0" xfId="570" applyNumberFormat="1" applyFill="1" applyBorder="1" applyAlignment="1">
      <alignment horizontal="right"/>
    </xf>
    <xf numFmtId="0" fontId="106" fillId="0" borderId="0" xfId="570" applyFont="1" applyFill="1" applyBorder="1" applyAlignment="1">
      <alignment horizontal="left" vertical="top" wrapText="1"/>
    </xf>
    <xf numFmtId="0" fontId="23" fillId="0" borderId="0" xfId="570" applyFont="1" applyBorder="1"/>
    <xf numFmtId="168" fontId="16" fillId="0" borderId="0" xfId="570" applyNumberFormat="1" applyFill="1" applyBorder="1" applyAlignment="1">
      <alignment wrapText="1"/>
    </xf>
    <xf numFmtId="0" fontId="16" fillId="0" borderId="0" xfId="570" applyFont="1" applyBorder="1"/>
    <xf numFmtId="0" fontId="21" fillId="0" borderId="0" xfId="0" applyFont="1" applyProtection="1"/>
    <xf numFmtId="0" fontId="21" fillId="0" borderId="11" xfId="253" applyFont="1" applyFill="1" applyBorder="1" applyAlignment="1" applyProtection="1">
      <alignment horizontal="center" wrapText="1"/>
    </xf>
    <xf numFmtId="0" fontId="21" fillId="0" borderId="0" xfId="253" applyFont="1" applyFill="1" applyBorder="1" applyAlignment="1" applyProtection="1">
      <alignment horizontal="center" wrapText="1"/>
    </xf>
    <xf numFmtId="3" fontId="21" fillId="0" borderId="11" xfId="271" applyNumberFormat="1" applyFont="1" applyFill="1" applyBorder="1" applyProtection="1"/>
    <xf numFmtId="3" fontId="21" fillId="0" borderId="0" xfId="271" applyNumberFormat="1" applyFont="1" applyProtection="1"/>
    <xf numFmtId="3" fontId="21" fillId="0" borderId="11" xfId="271" applyNumberFormat="1" applyFont="1" applyBorder="1" applyProtection="1"/>
    <xf numFmtId="3" fontId="21" fillId="0" borderId="0" xfId="271" applyNumberFormat="1" applyFont="1" applyBorder="1" applyProtection="1"/>
    <xf numFmtId="0" fontId="65" fillId="0" borderId="0" xfId="271" applyFont="1" applyAlignment="1" applyProtection="1">
      <alignment horizontal="left"/>
    </xf>
    <xf numFmtId="0" fontId="65" fillId="0" borderId="0" xfId="271" applyFont="1" applyAlignment="1" applyProtection="1">
      <alignment horizontal="right"/>
    </xf>
    <xf numFmtId="168" fontId="21" fillId="0" borderId="11" xfId="271" applyNumberFormat="1" applyFont="1" applyBorder="1" applyProtection="1"/>
    <xf numFmtId="168" fontId="21" fillId="0" borderId="0" xfId="271" applyNumberFormat="1" applyFont="1" applyBorder="1" applyProtection="1"/>
    <xf numFmtId="0" fontId="21" fillId="0" borderId="0" xfId="271" applyFont="1" applyProtection="1"/>
    <xf numFmtId="3" fontId="21" fillId="10" borderId="11" xfId="271" applyNumberFormat="1" applyFont="1" applyFill="1" applyBorder="1" applyAlignment="1" applyProtection="1">
      <alignment horizontal="center"/>
      <protection locked="0"/>
    </xf>
    <xf numFmtId="0" fontId="53" fillId="0" borderId="0" xfId="570" applyFont="1" applyBorder="1" applyAlignment="1">
      <alignment horizontal="left"/>
    </xf>
    <xf numFmtId="0" fontId="16" fillId="0" borderId="3" xfId="570" applyBorder="1"/>
    <xf numFmtId="0" fontId="16" fillId="5" borderId="3" xfId="570" applyFill="1" applyBorder="1"/>
    <xf numFmtId="0" fontId="16" fillId="0" borderId="0" xfId="570"/>
    <xf numFmtId="0" fontId="16" fillId="0" borderId="0" xfId="570" applyFont="1"/>
    <xf numFmtId="0" fontId="34" fillId="0" borderId="0" xfId="0" applyFont="1" applyAlignment="1" applyProtection="1">
      <alignment horizontal="center"/>
    </xf>
    <xf numFmtId="0" fontId="34" fillId="0" borderId="0" xfId="0" applyFont="1" applyFill="1" applyAlignment="1" applyProtection="1">
      <alignment horizontal="center"/>
    </xf>
    <xf numFmtId="0" fontId="23" fillId="0" borderId="0" xfId="0" applyFont="1" applyAlignment="1" applyProtection="1">
      <alignment horizontal="center"/>
    </xf>
    <xf numFmtId="0" fontId="25" fillId="0" borderId="0" xfId="0" applyFont="1" applyAlignment="1" applyProtection="1">
      <alignment horizontal="center"/>
    </xf>
    <xf numFmtId="0" fontId="0" fillId="0" borderId="0" xfId="0" applyFill="1"/>
    <xf numFmtId="0" fontId="1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6" fillId="0" borderId="0" xfId="0" applyFont="1" applyFill="1" applyBorder="1"/>
    <xf numFmtId="0" fontId="0" fillId="0" borderId="0" xfId="0" applyFont="1" applyFill="1" applyBorder="1" applyProtection="1"/>
    <xf numFmtId="0" fontId="23" fillId="0" borderId="0" xfId="0" applyFont="1" applyAlignment="1" applyProtection="1">
      <alignment horizontal="center"/>
    </xf>
    <xf numFmtId="0" fontId="25" fillId="0" borderId="0" xfId="0" applyFont="1" applyAlignment="1" applyProtection="1">
      <alignment horizontal="center"/>
    </xf>
    <xf numFmtId="0" fontId="106" fillId="0" borderId="0" xfId="0" applyFont="1" applyFill="1" applyBorder="1" applyAlignment="1">
      <alignment vertical="top" wrapText="1"/>
    </xf>
    <xf numFmtId="0" fontId="53" fillId="0" borderId="0" xfId="271" applyFont="1" applyAlignment="1" applyProtection="1">
      <alignment vertical="top" wrapText="1"/>
    </xf>
    <xf numFmtId="0" fontId="16" fillId="0" borderId="0" xfId="570"/>
    <xf numFmtId="0" fontId="16" fillId="0" borderId="0" xfId="570" applyFont="1" applyFill="1"/>
    <xf numFmtId="4" fontId="16" fillId="0" borderId="0" xfId="1193" applyNumberFormat="1" applyFont="1" applyFill="1" applyAlignment="1" applyProtection="1">
      <alignment horizontal="left" vertical="top" wrapText="1"/>
    </xf>
    <xf numFmtId="0" fontId="16" fillId="0" borderId="0" xfId="0" applyFont="1" applyFill="1" applyAlignment="1">
      <alignment horizontal="left" vertical="top" wrapText="1"/>
    </xf>
    <xf numFmtId="0" fontId="16" fillId="0" borderId="0" xfId="271" applyFont="1" applyAlignment="1">
      <alignment horizontal="left" vertical="top" wrapText="1"/>
    </xf>
    <xf numFmtId="0" fontId="16" fillId="0" borderId="0" xfId="0" applyFont="1" applyBorder="1" applyAlignment="1" applyProtection="1">
      <alignment horizontal="center"/>
    </xf>
    <xf numFmtId="0" fontId="16" fillId="0" borderId="0" xfId="0" applyFont="1" applyFill="1" applyAlignment="1">
      <alignment horizontal="left" vertical="top" wrapText="1"/>
    </xf>
    <xf numFmtId="0" fontId="25" fillId="0" borderId="0" xfId="0" applyFont="1" applyAlignment="1" applyProtection="1">
      <alignment horizontal="center"/>
    </xf>
    <xf numFmtId="0" fontId="16" fillId="0" borderId="0" xfId="271" applyFont="1" applyFill="1" applyAlignment="1">
      <alignment horizontal="left" vertical="top" wrapText="1"/>
    </xf>
    <xf numFmtId="0" fontId="16" fillId="0" borderId="0" xfId="0" applyFont="1" applyFill="1" applyAlignment="1" applyProtection="1">
      <alignment horizontal="left" vertical="top" wrapText="1"/>
    </xf>
    <xf numFmtId="0" fontId="23" fillId="0" borderId="12" xfId="543" applyFont="1" applyBorder="1" applyAlignment="1" applyProtection="1">
      <alignment horizontal="right"/>
    </xf>
    <xf numFmtId="0" fontId="35" fillId="0" borderId="0" xfId="543" applyFont="1" applyFill="1" applyBorder="1" applyAlignment="1" applyProtection="1">
      <alignment horizontal="center"/>
    </xf>
    <xf numFmtId="0" fontId="16" fillId="0" borderId="0" xfId="0" applyFont="1" applyAlignment="1">
      <alignment horizontal="left"/>
    </xf>
    <xf numFmtId="0" fontId="25" fillId="0" borderId="0" xfId="0" applyFont="1" applyAlignment="1" applyProtection="1">
      <alignment horizontal="center"/>
    </xf>
    <xf numFmtId="0" fontId="0" fillId="0" borderId="0" xfId="0" applyProtection="1"/>
    <xf numFmtId="0" fontId="51" fillId="0" borderId="0" xfId="0" applyFont="1" applyAlignment="1" applyProtection="1">
      <alignment horizontal="center"/>
    </xf>
    <xf numFmtId="0" fontId="0" fillId="5" borderId="6" xfId="0" applyFill="1" applyBorder="1" applyAlignment="1" applyProtection="1">
      <protection locked="0"/>
    </xf>
    <xf numFmtId="0" fontId="16" fillId="0" borderId="0" xfId="0" applyFont="1" applyAlignment="1">
      <alignment horizontal="left" vertical="top" wrapText="1"/>
    </xf>
    <xf numFmtId="0" fontId="0" fillId="0" borderId="0" xfId="0" applyProtection="1"/>
    <xf numFmtId="0" fontId="5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51" fillId="0" borderId="0" xfId="0" applyFont="1" applyAlignment="1" applyProtection="1">
      <alignment horizontal="center"/>
    </xf>
    <xf numFmtId="0" fontId="0" fillId="5" borderId="6" xfId="0" applyFill="1" applyBorder="1" applyAlignment="1" applyProtection="1">
      <protection locked="0"/>
    </xf>
    <xf numFmtId="0" fontId="1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3" fillId="0" borderId="0" xfId="0" applyNumberFormat="1" applyFont="1" applyAlignment="1" applyProtection="1">
      <alignment horizontal="center"/>
    </xf>
    <xf numFmtId="0" fontId="23" fillId="0" borderId="0" xfId="0" applyFont="1" applyBorder="1" applyAlignment="1" applyProtection="1"/>
    <xf numFmtId="0" fontId="16" fillId="0" borderId="0" xfId="570"/>
    <xf numFmtId="4" fontId="16" fillId="0" borderId="0" xfId="570" applyNumberFormat="1" applyFont="1" applyFill="1" applyAlignment="1" applyProtection="1">
      <alignment horizontal="left"/>
    </xf>
    <xf numFmtId="4" fontId="16" fillId="0" borderId="0" xfId="570" applyNumberFormat="1" applyFont="1" applyFill="1" applyAlignment="1" applyProtection="1">
      <alignment horizontal="left"/>
    </xf>
    <xf numFmtId="0" fontId="16" fillId="0" borderId="0" xfId="570" applyFont="1" applyAlignment="1">
      <alignment horizontal="left" vertical="top" wrapText="1"/>
    </xf>
    <xf numFmtId="0" fontId="16" fillId="0" borderId="0" xfId="570" applyFont="1" applyFill="1" applyAlignment="1">
      <alignment horizontal="left" vertical="top" wrapText="1"/>
    </xf>
    <xf numFmtId="0" fontId="16" fillId="0" borderId="0" xfId="570" applyFont="1" applyBorder="1" applyAlignment="1">
      <alignment horizontal="left"/>
    </xf>
    <xf numFmtId="0" fontId="16" fillId="0" borderId="0" xfId="0" applyFont="1" applyAlignment="1">
      <alignment horizontal="left" vertical="top" wrapText="1"/>
    </xf>
    <xf numFmtId="0" fontId="16" fillId="0" borderId="0" xfId="0" applyFont="1" applyAlignment="1" applyProtection="1">
      <alignment horizontal="left" vertical="top" wrapText="1"/>
    </xf>
    <xf numFmtId="0" fontId="16" fillId="0" borderId="0" xfId="0" applyFont="1" applyAlignment="1">
      <alignment horizontal="left"/>
    </xf>
    <xf numFmtId="0" fontId="25" fillId="0" borderId="0" xfId="0" applyFont="1" applyAlignment="1" applyProtection="1">
      <alignment horizontal="center"/>
    </xf>
    <xf numFmtId="0" fontId="16" fillId="0" borderId="0" xfId="1193" applyFont="1" applyFill="1" applyAlignment="1" applyProtection="1">
      <alignment horizontal="left"/>
    </xf>
    <xf numFmtId="0" fontId="16" fillId="0" borderId="0" xfId="1193" applyFont="1" applyFill="1" applyAlignment="1">
      <alignment horizontal="left"/>
    </xf>
    <xf numFmtId="0" fontId="16" fillId="0" borderId="0" xfId="0" applyFont="1" applyBorder="1" applyAlignment="1">
      <alignment horizontal="left"/>
    </xf>
    <xf numFmtId="0" fontId="23" fillId="0" borderId="0" xfId="570" applyFont="1" applyBorder="1" applyAlignment="1" applyProtection="1">
      <alignment horizontal="left"/>
    </xf>
    <xf numFmtId="0" fontId="16" fillId="0" borderId="0" xfId="0" applyFont="1" applyBorder="1" applyAlignment="1">
      <alignment horizontal="left" vertical="top" wrapText="1"/>
    </xf>
    <xf numFmtId="0" fontId="45" fillId="0" borderId="0" xfId="1193" applyFont="1"/>
    <xf numFmtId="0" fontId="53" fillId="0" borderId="11" xfId="0" applyFont="1" applyBorder="1" applyAlignment="1" applyProtection="1">
      <alignment horizontal="right" vertical="center"/>
    </xf>
    <xf numFmtId="0" fontId="53" fillId="0" borderId="11" xfId="570" applyFont="1" applyBorder="1" applyAlignment="1" applyProtection="1">
      <alignment horizontal="right" vertical="top"/>
    </xf>
    <xf numFmtId="0" fontId="16" fillId="0" borderId="0" xfId="0" applyFont="1" applyFill="1" applyAlignment="1">
      <alignment horizontal="left" vertical="top" wrapText="1"/>
    </xf>
    <xf numFmtId="0" fontId="16" fillId="0" borderId="0" xfId="1193" applyFont="1" applyFill="1"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4" fillId="0" borderId="0" xfId="570" applyNumberFormat="1" applyFont="1" applyBorder="1" applyAlignment="1" applyProtection="1">
      <alignment horizontal="right" vertical="top"/>
    </xf>
    <xf numFmtId="0" fontId="25" fillId="0" borderId="0" xfId="0" applyFont="1" applyAlignment="1" applyProtection="1">
      <alignment horizontal="center"/>
    </xf>
    <xf numFmtId="0" fontId="16" fillId="0" borderId="0" xfId="0" applyFont="1" applyAlignment="1">
      <alignment vertical="top" wrapText="1"/>
    </xf>
    <xf numFmtId="0" fontId="25" fillId="0" borderId="0" xfId="0" applyFont="1" applyAlignment="1" applyProtection="1">
      <alignment horizontal="center"/>
    </xf>
    <xf numFmtId="168" fontId="25" fillId="0" borderId="0" xfId="0" applyNumberFormat="1" applyFont="1" applyFill="1" applyBorder="1" applyAlignment="1" applyProtection="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Border="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xf>
    <xf numFmtId="0" fontId="16" fillId="0" borderId="0" xfId="0" applyFont="1" applyBorder="1" applyAlignment="1">
      <alignment vertical="top" wrapText="1"/>
    </xf>
    <xf numFmtId="0" fontId="16" fillId="0" borderId="0" xfId="570" applyAlignment="1">
      <alignment wrapText="1"/>
    </xf>
    <xf numFmtId="0" fontId="16" fillId="0" borderId="0" xfId="1193" applyFont="1" applyAlignment="1"/>
    <xf numFmtId="0" fontId="16" fillId="0" borderId="0" xfId="570" applyFont="1" applyAlignment="1">
      <alignment wrapText="1"/>
    </xf>
    <xf numFmtId="0" fontId="16" fillId="0" borderId="0" xfId="0" applyFont="1" applyAlignment="1">
      <alignment wrapText="1"/>
    </xf>
    <xf numFmtId="0" fontId="45" fillId="0" borderId="0" xfId="0" applyFont="1" applyFill="1" applyAlignment="1">
      <alignment vertical="top" wrapText="1"/>
    </xf>
    <xf numFmtId="0" fontId="45" fillId="0" borderId="0" xfId="0" applyFont="1" applyAlignment="1">
      <alignment horizontal="left" vertical="top"/>
    </xf>
    <xf numFmtId="0" fontId="45" fillId="0" borderId="0" xfId="0" applyFont="1" applyFill="1" applyAlignment="1">
      <alignment vertical="top"/>
    </xf>
    <xf numFmtId="0" fontId="16" fillId="0" borderId="0" xfId="1193" applyFont="1" applyAlignment="1">
      <alignment horizontal="left" vertical="top" wrapText="1"/>
    </xf>
    <xf numFmtId="4" fontId="16" fillId="0" borderId="0" xfId="570" applyNumberFormat="1" applyFont="1" applyFill="1" applyAlignment="1" applyProtection="1">
      <alignment horizontal="left"/>
    </xf>
    <xf numFmtId="0" fontId="16" fillId="0" borderId="0" xfId="570" applyFont="1" applyFill="1" applyAlignment="1">
      <alignment horizontal="left" vertical="top" wrapText="1"/>
    </xf>
    <xf numFmtId="0" fontId="17" fillId="0" borderId="0" xfId="244" quotePrefix="1" applyAlignment="1" applyProtection="1">
      <alignment horizontal="left"/>
    </xf>
    <xf numFmtId="4" fontId="16" fillId="0" borderId="0" xfId="1193" applyNumberFormat="1" applyFont="1" applyFill="1" applyAlignment="1" applyProtection="1">
      <alignment horizontal="left" vertical="top" wrapText="1"/>
    </xf>
    <xf numFmtId="0" fontId="16" fillId="0" borderId="0" xfId="570" applyFont="1" applyAlignment="1">
      <alignment horizontal="left" vertical="top" wrapText="1"/>
    </xf>
    <xf numFmtId="0" fontId="16" fillId="0" borderId="0" xfId="570" applyFont="1" applyAlignment="1">
      <alignment horizontal="left"/>
    </xf>
    <xf numFmtId="0" fontId="16" fillId="0" borderId="0" xfId="1193" applyFont="1" applyAlignment="1" applyProtection="1">
      <alignment horizontal="left"/>
    </xf>
    <xf numFmtId="0" fontId="16" fillId="0" borderId="0" xfId="1193" applyFont="1" applyFill="1" applyAlignment="1" applyProtection="1">
      <alignment horizontal="left"/>
    </xf>
    <xf numFmtId="0" fontId="16" fillId="0" borderId="0" xfId="570" applyFont="1" applyAlignment="1" applyProtection="1">
      <alignment horizontal="center"/>
    </xf>
    <xf numFmtId="0" fontId="16" fillId="0" borderId="0" xfId="570" applyFont="1" applyProtection="1"/>
    <xf numFmtId="0" fontId="16" fillId="0" borderId="0" xfId="570" applyProtection="1"/>
    <xf numFmtId="0" fontId="16" fillId="0" borderId="0" xfId="570" applyFill="1" applyProtection="1"/>
    <xf numFmtId="0" fontId="34" fillId="0" borderId="0" xfId="570" applyFont="1" applyAlignment="1" applyProtection="1">
      <alignment horizontal="left"/>
    </xf>
    <xf numFmtId="0" fontId="34" fillId="0" borderId="0" xfId="570" applyFont="1" applyAlignment="1" applyProtection="1">
      <alignment horizontal="center"/>
    </xf>
    <xf numFmtId="0" fontId="23" fillId="0" borderId="0" xfId="570" applyFont="1" applyProtection="1"/>
    <xf numFmtId="49" fontId="23" fillId="0" borderId="0" xfId="570" applyNumberFormat="1" applyFont="1" applyAlignment="1" applyProtection="1">
      <alignment horizontal="center"/>
    </xf>
    <xf numFmtId="0" fontId="16" fillId="0" borderId="0" xfId="1193" applyFont="1"/>
    <xf numFmtId="0" fontId="51" fillId="0" borderId="0" xfId="570" applyFont="1" applyAlignment="1" applyProtection="1">
      <alignment horizontal="center"/>
    </xf>
    <xf numFmtId="0" fontId="16" fillId="5" borderId="6" xfId="570" applyFill="1" applyBorder="1" applyAlignment="1" applyProtection="1">
      <protection locked="0"/>
    </xf>
    <xf numFmtId="49" fontId="23" fillId="0" borderId="0" xfId="570" applyNumberFormat="1" applyFont="1" applyAlignment="1">
      <alignment horizontal="center"/>
    </xf>
    <xf numFmtId="0" fontId="16" fillId="0" borderId="0" xfId="570" applyFont="1" applyAlignment="1" applyProtection="1">
      <alignment horizontal="left"/>
    </xf>
    <xf numFmtId="0" fontId="16" fillId="0" borderId="0" xfId="570" applyFont="1" applyFill="1" applyAlignment="1" applyProtection="1">
      <alignment horizontal="center"/>
    </xf>
    <xf numFmtId="0" fontId="16" fillId="0" borderId="0" xfId="570" applyFont="1" applyFill="1" applyProtection="1"/>
    <xf numFmtId="0" fontId="16" fillId="0" borderId="0" xfId="1193" applyFont="1" applyAlignment="1">
      <alignment horizontal="left"/>
    </xf>
    <xf numFmtId="0" fontId="16" fillId="0" borderId="0" xfId="570" applyFont="1" applyAlignment="1">
      <alignment horizontal="center"/>
    </xf>
    <xf numFmtId="0" fontId="51" fillId="0" borderId="0" xfId="570" applyFont="1" applyFill="1" applyAlignment="1" applyProtection="1">
      <alignment horizontal="center"/>
    </xf>
    <xf numFmtId="0" fontId="16" fillId="0" borderId="0" xfId="570" applyFont="1" applyFill="1" applyAlignment="1">
      <alignment horizontal="center"/>
    </xf>
    <xf numFmtId="0" fontId="17" fillId="0" borderId="0" xfId="244" applyFont="1" applyAlignment="1" applyProtection="1">
      <alignment horizontal="center"/>
    </xf>
    <xf numFmtId="49" fontId="16" fillId="0" borderId="0" xfId="570" applyNumberFormat="1" applyFont="1" applyAlignment="1">
      <alignment horizontal="center"/>
    </xf>
    <xf numFmtId="0" fontId="16" fillId="0" borderId="0" xfId="570" applyFont="1" applyAlignment="1" applyProtection="1">
      <alignment horizontal="center" vertical="center"/>
    </xf>
    <xf numFmtId="0" fontId="16" fillId="0" borderId="0" xfId="570" applyFont="1" applyAlignment="1">
      <alignment horizontal="center" vertical="center"/>
    </xf>
    <xf numFmtId="0" fontId="16" fillId="0" borderId="0" xfId="570" applyFont="1" applyAlignment="1">
      <alignment vertical="center"/>
    </xf>
    <xf numFmtId="0" fontId="16" fillId="0" borderId="0" xfId="570" applyAlignment="1">
      <alignment vertical="center"/>
    </xf>
    <xf numFmtId="0" fontId="16" fillId="0" borderId="0" xfId="1193" applyFont="1" applyAlignment="1" applyProtection="1">
      <alignment horizontal="center"/>
    </xf>
    <xf numFmtId="0" fontId="16" fillId="0" borderId="0" xfId="1193"/>
    <xf numFmtId="0" fontId="16" fillId="0" borderId="0" xfId="1193" applyFont="1" applyBorder="1"/>
    <xf numFmtId="0" fontId="23" fillId="0" borderId="0" xfId="570" applyFont="1" applyAlignment="1" applyProtection="1">
      <alignment horizontal="center"/>
    </xf>
    <xf numFmtId="0" fontId="23" fillId="0" borderId="0" xfId="570" applyFont="1" applyBorder="1" applyAlignment="1" applyProtection="1"/>
    <xf numFmtId="0" fontId="16" fillId="0" borderId="0" xfId="570" applyFont="1" applyBorder="1" applyAlignment="1" applyProtection="1">
      <alignment horizontal="center"/>
    </xf>
    <xf numFmtId="0" fontId="16" fillId="0" borderId="0" xfId="570" applyFont="1" applyBorder="1" applyProtection="1"/>
    <xf numFmtId="0" fontId="23" fillId="0" borderId="0" xfId="570" applyFont="1" applyBorder="1" applyProtection="1"/>
    <xf numFmtId="0" fontId="16" fillId="0" borderId="0" xfId="570" applyFont="1" applyAlignment="1" applyProtection="1">
      <alignment horizontal="left" indent="4"/>
    </xf>
    <xf numFmtId="0" fontId="16" fillId="0" borderId="0" xfId="570" quotePrefix="1" applyFont="1" applyAlignment="1" applyProtection="1">
      <alignment horizontal="left"/>
    </xf>
    <xf numFmtId="0" fontId="34" fillId="0" borderId="0" xfId="570" applyFont="1" applyProtection="1"/>
    <xf numFmtId="0" fontId="16" fillId="0" borderId="0" xfId="1193" applyFont="1" applyFill="1" applyAlignment="1" applyProtection="1">
      <alignment horizontal="left"/>
      <protection locked="0"/>
    </xf>
    <xf numFmtId="0" fontId="16" fillId="0" borderId="0" xfId="570" applyFont="1" applyFill="1" applyAlignment="1" applyProtection="1">
      <alignment horizontal="left"/>
      <protection locked="0"/>
    </xf>
    <xf numFmtId="0" fontId="16" fillId="0" borderId="0" xfId="1193" applyFont="1" applyFill="1" applyBorder="1" applyAlignment="1" applyProtection="1">
      <alignment horizontal="left"/>
    </xf>
    <xf numFmtId="49" fontId="16" fillId="0" borderId="0" xfId="1193" applyNumberFormat="1" applyAlignment="1">
      <alignment horizontal="center"/>
    </xf>
    <xf numFmtId="0" fontId="51" fillId="0" borderId="0" xfId="1193" applyFont="1" applyAlignment="1" applyProtection="1">
      <alignment horizontal="center"/>
    </xf>
    <xf numFmtId="49" fontId="16" fillId="0" borderId="0" xfId="570" applyNumberFormat="1" applyFont="1" applyAlignment="1" applyProtection="1">
      <alignment horizontal="center"/>
    </xf>
    <xf numFmtId="0" fontId="16" fillId="0" borderId="0" xfId="570" applyFont="1" applyAlignment="1" applyProtection="1"/>
    <xf numFmtId="0" fontId="16" fillId="0" borderId="0" xfId="570" applyAlignment="1" applyProtection="1"/>
    <xf numFmtId="0" fontId="34" fillId="0" borderId="0" xfId="570" applyFont="1" applyFill="1" applyAlignment="1">
      <alignment horizontal="center"/>
    </xf>
    <xf numFmtId="0" fontId="23" fillId="0" borderId="0" xfId="1193" applyFont="1" applyFill="1" applyAlignment="1">
      <alignment horizontal="left"/>
    </xf>
    <xf numFmtId="49" fontId="23" fillId="0" borderId="0" xfId="570" applyNumberFormat="1" applyFont="1" applyFill="1" applyAlignment="1" applyProtection="1">
      <alignment horizontal="center"/>
    </xf>
    <xf numFmtId="0" fontId="23" fillId="0" borderId="0" xfId="570" applyFont="1" applyAlignment="1">
      <alignment horizontal="left"/>
    </xf>
    <xf numFmtId="0" fontId="23" fillId="0" borderId="0" xfId="570" applyFont="1" applyAlignment="1" applyProtection="1">
      <alignment horizontal="left"/>
    </xf>
    <xf numFmtId="4" fontId="16" fillId="0" borderId="0" xfId="1193" applyNumberFormat="1" applyFont="1" applyAlignment="1" applyProtection="1">
      <alignment horizontal="left"/>
    </xf>
    <xf numFmtId="0" fontId="34" fillId="0" borderId="0" xfId="570" applyFont="1" applyFill="1" applyAlignment="1" applyProtection="1">
      <alignment horizontal="center"/>
    </xf>
    <xf numFmtId="0" fontId="23" fillId="0" borderId="0" xfId="570" quotePrefix="1" applyFont="1" applyAlignment="1" applyProtection="1">
      <alignment horizontal="center"/>
    </xf>
    <xf numFmtId="0" fontId="34" fillId="0" borderId="0" xfId="570" applyFont="1" applyBorder="1" applyAlignment="1" applyProtection="1">
      <alignment horizontal="center"/>
    </xf>
    <xf numFmtId="0" fontId="16" fillId="0" borderId="0" xfId="570" applyFont="1" applyBorder="1" applyAlignment="1" applyProtection="1">
      <alignment horizontal="left"/>
    </xf>
    <xf numFmtId="49" fontId="16" fillId="0" borderId="0" xfId="570" applyNumberFormat="1" applyProtection="1"/>
    <xf numFmtId="0" fontId="48" fillId="0" borderId="0" xfId="570" applyFont="1" applyAlignment="1" applyProtection="1">
      <alignment horizontal="left"/>
    </xf>
    <xf numFmtId="0" fontId="16" fillId="0" borderId="0" xfId="570" applyFont="1" applyFill="1" applyBorder="1" applyProtection="1"/>
    <xf numFmtId="49" fontId="16" fillId="0" borderId="0" xfId="570" applyNumberFormat="1" applyFill="1" applyProtection="1"/>
    <xf numFmtId="0" fontId="16" fillId="0" borderId="0" xfId="570" applyFont="1" applyFill="1" applyAlignment="1" applyProtection="1">
      <alignment horizontal="left" vertical="top" wrapText="1"/>
    </xf>
    <xf numFmtId="49" fontId="16" fillId="0" borderId="0" xfId="570" applyNumberFormat="1" applyFont="1" applyProtection="1"/>
    <xf numFmtId="49" fontId="16" fillId="0" borderId="0" xfId="570" applyNumberFormat="1" applyFont="1" applyFill="1" applyProtection="1"/>
    <xf numFmtId="0" fontId="16" fillId="0" borderId="0" xfId="570" applyFont="1" applyFill="1" applyAlignment="1" applyProtection="1">
      <alignment horizontal="left"/>
    </xf>
    <xf numFmtId="4" fontId="51" fillId="0" borderId="0" xfId="570" applyNumberFormat="1" applyFont="1" applyAlignment="1" applyProtection="1">
      <alignment horizontal="center"/>
    </xf>
    <xf numFmtId="4" fontId="16" fillId="0" borderId="0" xfId="570" applyNumberFormat="1" applyFont="1" applyAlignment="1" applyProtection="1">
      <alignment horizontal="center"/>
    </xf>
    <xf numFmtId="4" fontId="16" fillId="0" borderId="0" xfId="570" applyNumberFormat="1" applyFont="1" applyProtection="1"/>
    <xf numFmtId="4" fontId="16" fillId="0" borderId="0" xfId="570" applyNumberFormat="1" applyFill="1" applyProtection="1"/>
    <xf numFmtId="0" fontId="34" fillId="0" borderId="0" xfId="570" applyFont="1" applyFill="1" applyAlignment="1">
      <alignment horizontal="left"/>
    </xf>
    <xf numFmtId="0" fontId="46" fillId="0" borderId="0" xfId="570" applyFont="1" applyFill="1" applyAlignment="1">
      <alignment horizontal="left"/>
    </xf>
    <xf numFmtId="0" fontId="17" fillId="0" borderId="0" xfId="244" applyNumberFormat="1" applyFill="1" applyAlignment="1" applyProtection="1">
      <alignment horizontal="left"/>
      <protection locked="0"/>
    </xf>
    <xf numFmtId="0" fontId="45" fillId="0" borderId="0" xfId="0" applyFont="1" applyAlignment="1">
      <alignment horizontal="left" vertical="top" wrapText="1"/>
    </xf>
    <xf numFmtId="0" fontId="53" fillId="0" borderId="11" xfId="0" applyFont="1" applyFill="1" applyBorder="1" applyAlignment="1" applyProtection="1">
      <alignment horizontal="right" vertical="top" wrapText="1"/>
      <protection locked="0"/>
    </xf>
    <xf numFmtId="168" fontId="56" fillId="45" borderId="11" xfId="0" applyNumberFormat="1" applyFont="1" applyFill="1" applyBorder="1" applyAlignment="1" applyProtection="1">
      <alignment vertical="top" wrapText="1"/>
    </xf>
    <xf numFmtId="0" fontId="16" fillId="0" borderId="11" xfId="271" applyFont="1" applyFill="1" applyBorder="1" applyAlignment="1" applyProtection="1">
      <alignment horizontal="right" vertical="top" wrapText="1"/>
    </xf>
    <xf numFmtId="0" fontId="16" fillId="0" borderId="11" xfId="271" applyFont="1" applyBorder="1" applyAlignment="1" applyProtection="1">
      <alignment horizontal="right" vertical="top" wrapText="1"/>
    </xf>
    <xf numFmtId="0" fontId="24" fillId="0" borderId="0" xfId="570" applyFont="1" applyBorder="1" applyAlignment="1">
      <alignment horizontal="left"/>
    </xf>
    <xf numFmtId="0" fontId="104" fillId="0" borderId="0" xfId="0" applyFont="1" applyBorder="1"/>
    <xf numFmtId="0" fontId="16" fillId="0" borderId="0" xfId="0" applyFont="1" applyFill="1" applyAlignment="1">
      <alignment vertical="top" wrapText="1"/>
    </xf>
    <xf numFmtId="0" fontId="115" fillId="0" borderId="0" xfId="0" applyFont="1" applyBorder="1" applyAlignment="1" applyProtection="1">
      <alignment horizontal="left" vertical="top"/>
    </xf>
    <xf numFmtId="0" fontId="116" fillId="0" borderId="0" xfId="0" applyFont="1" applyBorder="1" applyAlignment="1" applyProtection="1">
      <alignment horizontal="left" vertical="top"/>
    </xf>
    <xf numFmtId="0" fontId="35" fillId="0" borderId="0" xfId="0" applyFont="1" applyFill="1" applyProtection="1"/>
    <xf numFmtId="168" fontId="2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6" fillId="0" borderId="0" xfId="570" applyFont="1" applyAlignment="1">
      <alignment vertical="top" wrapText="1"/>
    </xf>
    <xf numFmtId="168" fontId="53" fillId="5" borderId="11" xfId="0" applyNumberFormat="1" applyFont="1" applyFill="1" applyBorder="1" applyAlignment="1" applyProtection="1">
      <alignment vertical="top" wrapText="1"/>
    </xf>
    <xf numFmtId="0" fontId="16" fillId="0" borderId="0" xfId="271" applyNumberFormat="1" applyFont="1" applyFill="1" applyAlignment="1" applyProtection="1">
      <alignment horizontal="left" vertical="top"/>
    </xf>
    <xf numFmtId="0" fontId="16" fillId="0" borderId="0" xfId="271" applyNumberFormat="1" applyFont="1" applyFill="1" applyBorder="1" applyAlignment="1" applyProtection="1">
      <alignment horizontal="left" vertical="top"/>
    </xf>
    <xf numFmtId="0" fontId="25" fillId="0" borderId="0" xfId="271" applyNumberFormat="1" applyFont="1" applyFill="1" applyBorder="1" applyAlignment="1" applyProtection="1">
      <alignment horizontal="left" vertical="top"/>
    </xf>
    <xf numFmtId="0" fontId="16" fillId="0" borderId="0" xfId="0" applyFont="1" applyAlignment="1"/>
    <xf numFmtId="0" fontId="16" fillId="0" borderId="0" xfId="0" applyFont="1" applyAlignment="1">
      <alignment vertical="top"/>
    </xf>
    <xf numFmtId="0" fontId="16" fillId="0" borderId="3" xfId="0" applyFont="1" applyFill="1" applyBorder="1" applyProtection="1"/>
    <xf numFmtId="0" fontId="53" fillId="0" borderId="0" xfId="570" applyFont="1" applyBorder="1" applyAlignment="1"/>
    <xf numFmtId="0" fontId="16" fillId="0" borderId="0" xfId="0" applyFont="1" applyBorder="1" applyAlignment="1" applyProtection="1">
      <alignment vertical="top" wrapText="1"/>
    </xf>
    <xf numFmtId="0" fontId="16" fillId="0" borderId="0" xfId="0" applyFont="1" applyBorder="1" applyAlignment="1" applyProtection="1">
      <alignment vertical="top"/>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left" vertical="top"/>
    </xf>
    <xf numFmtId="0" fontId="16" fillId="0" borderId="0" xfId="0" applyFont="1" applyAlignment="1" applyProtection="1">
      <alignment horizontal="left" vertical="top"/>
    </xf>
    <xf numFmtId="0" fontId="16" fillId="0" borderId="0" xfId="570" applyFont="1" applyBorder="1" applyAlignment="1">
      <alignment horizontal="left" vertical="top" wrapText="1"/>
    </xf>
    <xf numFmtId="4" fontId="16" fillId="0" borderId="0" xfId="1193" applyNumberFormat="1" applyFont="1" applyFill="1" applyAlignment="1" applyProtection="1">
      <alignment vertical="top" wrapText="1"/>
    </xf>
    <xf numFmtId="0" fontId="23" fillId="0" borderId="16" xfId="271" applyFont="1" applyFill="1" applyBorder="1" applyAlignment="1" applyProtection="1"/>
    <xf numFmtId="0" fontId="60" fillId="0" borderId="0" xfId="570" applyFont="1" applyProtection="1"/>
    <xf numFmtId="0" fontId="40" fillId="0" borderId="0" xfId="570" applyFont="1" applyBorder="1" applyProtection="1"/>
    <xf numFmtId="0" fontId="16" fillId="0" borderId="0" xfId="0" applyFont="1" applyBorder="1" applyAlignment="1" applyProtection="1">
      <protection locked="0"/>
    </xf>
    <xf numFmtId="0" fontId="16" fillId="0" borderId="0" xfId="0" applyFont="1" applyFill="1" applyAlignment="1" applyProtection="1">
      <alignment horizontal="left" vertical="top"/>
    </xf>
    <xf numFmtId="0" fontId="16" fillId="0" borderId="0" xfId="0" applyFont="1" applyFill="1" applyAlignment="1" applyProtection="1"/>
    <xf numFmtId="0" fontId="16" fillId="0" borderId="0" xfId="570" applyFont="1" applyBorder="1" applyAlignment="1">
      <alignment vertical="top" wrapText="1"/>
    </xf>
    <xf numFmtId="0" fontId="16" fillId="0" borderId="0" xfId="570" applyFont="1" applyBorder="1" applyAlignment="1">
      <alignment vertical="top"/>
    </xf>
    <xf numFmtId="0" fontId="0" fillId="0" borderId="0" xfId="0" applyAlignment="1" applyProtection="1"/>
    <xf numFmtId="0" fontId="16" fillId="0" borderId="0" xfId="1193" applyFont="1" applyFill="1" applyBorder="1" applyAlignment="1" applyProtection="1">
      <alignment horizontal="left" vertical="top" wrapText="1"/>
    </xf>
    <xf numFmtId="0" fontId="16" fillId="0" borderId="0" xfId="1193" applyFont="1" applyAlignment="1" applyProtection="1">
      <alignment vertical="top" wrapText="1"/>
    </xf>
    <xf numFmtId="49" fontId="16" fillId="0" borderId="0" xfId="1193" applyNumberFormat="1" applyFont="1" applyFill="1" applyAlignment="1">
      <alignment vertical="top" wrapText="1"/>
    </xf>
    <xf numFmtId="0" fontId="55" fillId="0" borderId="9" xfId="543" applyFont="1" applyBorder="1" applyAlignment="1" applyProtection="1">
      <alignment vertical="top"/>
    </xf>
    <xf numFmtId="0" fontId="16" fillId="0" borderId="0" xfId="0" applyFont="1" applyAlignment="1" applyProtection="1">
      <alignment horizontal="left" vertical="top"/>
    </xf>
    <xf numFmtId="0" fontId="16" fillId="0" borderId="0" xfId="0" applyNumberFormat="1" applyFont="1" applyFill="1" applyAlignment="1" applyProtection="1">
      <alignment horizontal="left" vertical="top"/>
    </xf>
    <xf numFmtId="0" fontId="16" fillId="0" borderId="0" xfId="0" applyNumberFormat="1" applyFont="1" applyAlignment="1" applyProtection="1">
      <alignment horizontal="left" vertical="top"/>
    </xf>
    <xf numFmtId="0" fontId="16" fillId="0" borderId="0" xfId="0" applyFont="1" applyAlignment="1">
      <alignment vertical="center"/>
    </xf>
    <xf numFmtId="0" fontId="16" fillId="0" borderId="0" xfId="0" applyFont="1" applyFill="1" applyProtection="1">
      <protection locked="0"/>
    </xf>
    <xf numFmtId="0" fontId="117" fillId="0" borderId="0" xfId="0" applyFont="1" applyBorder="1" applyProtection="1"/>
    <xf numFmtId="0" fontId="104" fillId="0" borderId="0" xfId="0" applyFont="1" applyProtection="1"/>
    <xf numFmtId="3" fontId="104" fillId="0" borderId="0" xfId="0" applyNumberFormat="1" applyFont="1"/>
    <xf numFmtId="0" fontId="104" fillId="0" borderId="0" xfId="0" applyFont="1" applyBorder="1" applyAlignment="1" applyProtection="1">
      <alignment horizontal="left"/>
    </xf>
    <xf numFmtId="168" fontId="118" fillId="0" borderId="0" xfId="0" applyNumberFormat="1" applyFont="1" applyFill="1" applyBorder="1" applyAlignment="1" applyProtection="1">
      <alignment horizontal="left" vertical="top"/>
    </xf>
    <xf numFmtId="0" fontId="104" fillId="0" borderId="0" xfId="0" applyFont="1" applyFill="1" applyBorder="1" applyProtection="1"/>
    <xf numFmtId="0" fontId="104" fillId="0" borderId="0" xfId="0" applyFont="1" applyBorder="1" applyAlignment="1" applyProtection="1">
      <alignment horizontal="left" vertical="center"/>
    </xf>
    <xf numFmtId="0" fontId="120" fillId="0" borderId="0" xfId="0" applyFont="1" applyProtection="1"/>
    <xf numFmtId="0" fontId="120" fillId="0" borderId="0" xfId="0" applyFont="1" applyBorder="1" applyProtection="1"/>
    <xf numFmtId="0" fontId="104" fillId="0" borderId="0" xfId="0" applyFont="1" applyBorder="1" applyProtection="1"/>
    <xf numFmtId="0" fontId="117" fillId="0" borderId="0" xfId="0" applyFont="1" applyProtection="1"/>
    <xf numFmtId="0" fontId="16" fillId="0" borderId="0" xfId="1193" applyFont="1" applyAlignment="1" applyProtection="1">
      <alignment horizontal="left"/>
    </xf>
    <xf numFmtId="172" fontId="16" fillId="0" borderId="8" xfId="543" applyNumberFormat="1" applyFont="1" applyBorder="1" applyProtection="1"/>
    <xf numFmtId="0" fontId="16" fillId="0" borderId="8" xfId="4496" applyFont="1" applyBorder="1" applyProtection="1"/>
    <xf numFmtId="0" fontId="16" fillId="0" borderId="0" xfId="4496" applyFont="1" applyProtection="1"/>
    <xf numFmtId="0" fontId="22" fillId="0" borderId="0" xfId="4496" applyFont="1" applyFill="1" applyBorder="1" applyAlignment="1" applyProtection="1">
      <alignment horizontal="center" vertical="center"/>
    </xf>
    <xf numFmtId="0" fontId="16" fillId="0" borderId="8" xfId="4496" applyFont="1" applyFill="1" applyBorder="1" applyProtection="1"/>
    <xf numFmtId="0" fontId="16" fillId="0" borderId="0" xfId="4496" applyFont="1" applyFill="1" applyProtection="1"/>
    <xf numFmtId="0" fontId="23" fillId="0" borderId="0" xfId="4496" applyFont="1" applyAlignment="1" applyProtection="1">
      <alignment horizontal="left"/>
    </xf>
    <xf numFmtId="0" fontId="23" fillId="0" borderId="0" xfId="4496" applyFont="1" applyProtection="1"/>
    <xf numFmtId="0" fontId="26" fillId="0" borderId="0" xfId="4496" applyFont="1" applyFill="1" applyBorder="1" applyAlignment="1" applyProtection="1">
      <alignment horizontal="center" vertical="center"/>
    </xf>
    <xf numFmtId="0" fontId="26" fillId="0" borderId="27" xfId="4496" applyFont="1" applyFill="1" applyBorder="1" applyAlignment="1" applyProtection="1">
      <alignment horizontal="center" vertical="center"/>
    </xf>
    <xf numFmtId="0" fontId="26" fillId="0" borderId="46" xfId="4496" applyFont="1" applyFill="1" applyBorder="1" applyAlignment="1" applyProtection="1">
      <alignment horizontal="center" vertical="center"/>
    </xf>
    <xf numFmtId="0" fontId="23" fillId="0" borderId="0" xfId="4496" applyFont="1" applyAlignment="1" applyProtection="1">
      <alignment horizontal="right"/>
    </xf>
    <xf numFmtId="0" fontId="34" fillId="0" borderId="0" xfId="4496" applyFont="1" applyFill="1" applyBorder="1" applyAlignment="1" applyProtection="1">
      <alignment horizontal="left" vertical="center"/>
    </xf>
    <xf numFmtId="0" fontId="16" fillId="0" borderId="0" xfId="1193" quotePrefix="1" applyNumberFormat="1" applyFont="1" applyAlignment="1" applyProtection="1">
      <alignment horizontal="center"/>
    </xf>
    <xf numFmtId="0" fontId="46" fillId="0" borderId="0" xfId="4496" applyFont="1" applyFill="1" applyBorder="1" applyAlignment="1" applyProtection="1">
      <alignment horizontal="left" vertical="center"/>
    </xf>
    <xf numFmtId="49" fontId="24" fillId="0" borderId="0" xfId="4496" applyNumberFormat="1" applyFont="1" applyFill="1" applyBorder="1" applyAlignment="1" applyProtection="1">
      <alignment horizontal="left" vertical="top"/>
    </xf>
    <xf numFmtId="0" fontId="16" fillId="0" borderId="47" xfId="4496" applyFont="1" applyFill="1" applyBorder="1" applyAlignment="1" applyProtection="1">
      <alignment horizontal="left" vertical="center"/>
    </xf>
    <xf numFmtId="0" fontId="26" fillId="0" borderId="48" xfId="4496" applyFont="1" applyFill="1" applyBorder="1" applyAlignment="1" applyProtection="1">
      <alignment horizontal="center" vertical="center"/>
    </xf>
    <xf numFmtId="0" fontId="24" fillId="0" borderId="0" xfId="4496" applyFont="1" applyProtection="1"/>
    <xf numFmtId="0" fontId="24" fillId="0" borderId="0" xfId="4496" applyFont="1" applyFill="1" applyBorder="1" applyAlignment="1" applyProtection="1">
      <alignment horizontal="left" vertical="top"/>
    </xf>
    <xf numFmtId="0" fontId="122" fillId="0" borderId="53" xfId="4497" applyFont="1" applyBorder="1" applyAlignment="1">
      <alignment horizontal="left" vertical="top"/>
    </xf>
    <xf numFmtId="0" fontId="121" fillId="0" borderId="0" xfId="4497" applyFont="1" applyBorder="1" applyAlignment="1">
      <alignment horizontal="left" vertical="top" wrapText="1"/>
    </xf>
    <xf numFmtId="0" fontId="121" fillId="0" borderId="54" xfId="4497" applyFont="1" applyBorder="1" applyAlignment="1">
      <alignment horizontal="left" vertical="top" wrapText="1"/>
    </xf>
    <xf numFmtId="0" fontId="16" fillId="0" borderId="0" xfId="4496" applyFont="1" applyFill="1" applyBorder="1" applyAlignment="1" applyProtection="1">
      <alignment horizontal="left" vertical="center"/>
    </xf>
    <xf numFmtId="0" fontId="123" fillId="0" borderId="0" xfId="4497" applyFont="1" applyAlignment="1">
      <alignment vertical="center"/>
    </xf>
    <xf numFmtId="0" fontId="121" fillId="0" borderId="0" xfId="4497" applyFont="1"/>
    <xf numFmtId="0" fontId="121" fillId="0" borderId="0" xfId="4497" applyFont="1" applyAlignment="1">
      <alignment vertical="center"/>
    </xf>
    <xf numFmtId="0" fontId="124" fillId="0" borderId="0" xfId="4497" applyFont="1" applyAlignment="1">
      <alignment vertical="center"/>
    </xf>
    <xf numFmtId="0" fontId="16" fillId="0" borderId="0" xfId="4497" applyFont="1" applyAlignment="1">
      <alignment vertical="center"/>
    </xf>
    <xf numFmtId="0" fontId="23" fillId="0" borderId="0" xfId="4496" applyFont="1" applyFill="1" applyProtection="1"/>
    <xf numFmtId="0" fontId="24" fillId="0" borderId="3" xfId="4496" applyFont="1" applyFill="1" applyBorder="1" applyAlignment="1" applyProtection="1">
      <alignment vertical="top" wrapText="1"/>
    </xf>
    <xf numFmtId="0" fontId="24" fillId="0" borderId="4" xfId="4496" applyFont="1" applyFill="1" applyBorder="1" applyAlignment="1" applyProtection="1">
      <alignment vertical="top" wrapText="1"/>
    </xf>
    <xf numFmtId="164" fontId="119" fillId="0" borderId="4" xfId="4496" applyNumberFormat="1" applyFill="1" applyBorder="1" applyAlignment="1" applyProtection="1">
      <alignment horizontal="right"/>
    </xf>
    <xf numFmtId="0" fontId="24" fillId="0" borderId="4" xfId="4496" applyFont="1" applyFill="1" applyBorder="1" applyAlignment="1" applyProtection="1"/>
    <xf numFmtId="0" fontId="23" fillId="0" borderId="5" xfId="4496" applyFont="1" applyFill="1" applyBorder="1" applyAlignment="1" applyProtection="1">
      <alignment horizontal="right"/>
    </xf>
    <xf numFmtId="0" fontId="16" fillId="0" borderId="16" xfId="4496" applyFont="1" applyFill="1" applyBorder="1" applyAlignment="1" applyProtection="1"/>
    <xf numFmtId="0" fontId="16" fillId="0" borderId="16" xfId="4496" applyFont="1" applyFill="1" applyBorder="1" applyAlignment="1" applyProtection="1">
      <alignment horizontal="left" vertical="top"/>
    </xf>
    <xf numFmtId="0" fontId="24" fillId="0" borderId="16" xfId="4496" applyFont="1" applyFill="1" applyBorder="1" applyAlignment="1" applyProtection="1">
      <alignment horizontal="left" vertical="top" wrapText="1"/>
    </xf>
    <xf numFmtId="0" fontId="24" fillId="0" borderId="45" xfId="4496" applyFont="1" applyFill="1" applyBorder="1" applyAlignment="1" applyProtection="1">
      <alignment horizontal="left" vertical="top" wrapText="1"/>
    </xf>
    <xf numFmtId="0" fontId="119" fillId="0" borderId="0" xfId="4496" applyBorder="1" applyProtection="1"/>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6" applyFont="1" applyFill="1" applyBorder="1" applyAlignment="1" applyProtection="1">
      <alignment horizontal="left" vertical="top" wrapText="1"/>
    </xf>
    <xf numFmtId="0" fontId="24" fillId="0" borderId="0" xfId="4496" applyFont="1" applyAlignment="1" applyProtection="1">
      <alignment horizontal="right" vertical="top"/>
    </xf>
    <xf numFmtId="0" fontId="16" fillId="0" borderId="0" xfId="4496" applyFont="1" applyFill="1" applyBorder="1" applyAlignment="1" applyProtection="1">
      <alignment vertical="center" wrapText="1"/>
    </xf>
    <xf numFmtId="0" fontId="121" fillId="0" borderId="53" xfId="4497" applyFont="1" applyBorder="1" applyAlignment="1">
      <alignment vertical="top" wrapText="1"/>
    </xf>
    <xf numFmtId="0" fontId="121" fillId="0" borderId="0" xfId="4497" applyFont="1" applyBorder="1" applyAlignment="1">
      <alignment vertical="top" wrapText="1"/>
    </xf>
    <xf numFmtId="10" fontId="121" fillId="0" borderId="0" xfId="4497" applyNumberFormat="1" applyFont="1" applyBorder="1" applyAlignment="1">
      <alignment vertical="top" wrapText="1"/>
    </xf>
    <xf numFmtId="0" fontId="121" fillId="0" borderId="54" xfId="4497" applyFont="1" applyBorder="1" applyAlignment="1">
      <alignment vertical="top" wrapText="1"/>
    </xf>
    <xf numFmtId="0" fontId="121" fillId="0" borderId="0" xfId="4497" applyFont="1" applyBorder="1" applyAlignment="1">
      <alignment vertical="top"/>
    </xf>
    <xf numFmtId="165" fontId="121" fillId="0" borderId="0" xfId="4497" applyNumberFormat="1" applyFont="1" applyBorder="1" applyAlignment="1">
      <alignment vertical="top" wrapText="1"/>
    </xf>
    <xf numFmtId="0" fontId="23" fillId="0" borderId="57" xfId="4496" applyFont="1" applyBorder="1" applyProtection="1"/>
    <xf numFmtId="0" fontId="23" fillId="0" borderId="58" xfId="4496" applyFont="1" applyBorder="1" applyProtection="1"/>
    <xf numFmtId="0" fontId="23" fillId="0" borderId="58" xfId="4496" applyFont="1" applyBorder="1" applyAlignment="1" applyProtection="1">
      <alignment horizontal="right"/>
    </xf>
    <xf numFmtId="0" fontId="23" fillId="0" borderId="59" xfId="4496" applyFont="1" applyBorder="1" applyAlignment="1" applyProtection="1">
      <alignment horizontal="right"/>
    </xf>
    <xf numFmtId="0" fontId="121" fillId="0" borderId="53" xfId="4497" applyFont="1" applyBorder="1" applyAlignment="1">
      <alignment horizontal="left" vertical="top" wrapText="1"/>
    </xf>
    <xf numFmtId="0" fontId="121" fillId="0" borderId="0" xfId="4497" applyFont="1" applyBorder="1" applyAlignment="1">
      <alignment horizontal="left" vertical="top"/>
    </xf>
    <xf numFmtId="0" fontId="26" fillId="0" borderId="57" xfId="4496" applyFont="1" applyFill="1" applyBorder="1" applyAlignment="1" applyProtection="1">
      <alignment horizontal="center" vertical="center"/>
    </xf>
    <xf numFmtId="0" fontId="26" fillId="0" borderId="58" xfId="4496" applyFont="1" applyFill="1" applyBorder="1" applyAlignment="1" applyProtection="1">
      <alignment horizontal="center" vertical="center"/>
    </xf>
    <xf numFmtId="0" fontId="26" fillId="0" borderId="59" xfId="4496" applyFont="1" applyFill="1" applyBorder="1" applyAlignment="1" applyProtection="1">
      <alignment horizontal="center" vertical="center"/>
    </xf>
    <xf numFmtId="0" fontId="23" fillId="0" borderId="0" xfId="4496" applyFont="1" applyAlignment="1" applyProtection="1">
      <alignment horizontal="center"/>
    </xf>
    <xf numFmtId="0" fontId="23" fillId="0" borderId="0" xfId="4496" applyFont="1" applyFill="1" applyBorder="1" applyProtection="1"/>
    <xf numFmtId="0" fontId="23" fillId="0" borderId="8" xfId="4496" applyFont="1" applyBorder="1" applyProtection="1"/>
    <xf numFmtId="0" fontId="23" fillId="0" borderId="0" xfId="4496" applyFont="1" applyFill="1" applyBorder="1" applyAlignment="1" applyProtection="1">
      <alignment horizontal="left"/>
    </xf>
    <xf numFmtId="0" fontId="24" fillId="0" borderId="0" xfId="4496" applyFont="1" applyFill="1" applyBorder="1" applyAlignment="1" applyProtection="1">
      <alignment horizontal="left"/>
    </xf>
    <xf numFmtId="0" fontId="23" fillId="0" borderId="0" xfId="4496" applyFont="1" applyFill="1" applyBorder="1" applyAlignment="1" applyProtection="1">
      <alignment horizontal="center" vertical="top"/>
    </xf>
    <xf numFmtId="0" fontId="16" fillId="0" borderId="0" xfId="4496" applyFont="1" applyBorder="1" applyProtection="1"/>
    <xf numFmtId="0" fontId="16" fillId="0" borderId="0" xfId="4496" applyNumberFormat="1" applyFont="1" applyAlignment="1" applyProtection="1">
      <alignment horizontal="center"/>
    </xf>
    <xf numFmtId="0" fontId="32" fillId="0" borderId="0" xfId="4496" applyFont="1" applyProtection="1"/>
    <xf numFmtId="0" fontId="16" fillId="0" borderId="0" xfId="1193" applyFont="1" applyBorder="1" applyProtection="1"/>
    <xf numFmtId="0" fontId="16" fillId="0" borderId="0" xfId="1193" applyNumberFormat="1" applyFont="1" applyAlignment="1" applyProtection="1">
      <alignment horizontal="center"/>
    </xf>
    <xf numFmtId="0" fontId="23" fillId="0" borderId="0" xfId="4496" applyFont="1" applyFill="1" applyAlignment="1" applyProtection="1">
      <alignment horizontal="left"/>
    </xf>
    <xf numFmtId="0" fontId="23" fillId="0" borderId="0" xfId="4496" applyFont="1" applyFill="1" applyAlignment="1" applyProtection="1">
      <alignment horizontal="center"/>
    </xf>
    <xf numFmtId="0" fontId="16" fillId="0" borderId="0" xfId="1193" applyFont="1" applyProtection="1"/>
    <xf numFmtId="0" fontId="32" fillId="0" borderId="0" xfId="4496" applyFont="1" applyFill="1" applyBorder="1" applyAlignment="1" applyProtection="1"/>
    <xf numFmtId="0" fontId="24" fillId="0" borderId="8" xfId="4496" applyFont="1" applyBorder="1" applyProtection="1"/>
    <xf numFmtId="0" fontId="24" fillId="0" borderId="8" xfId="4496" applyFont="1" applyFill="1" applyBorder="1" applyProtection="1"/>
    <xf numFmtId="0" fontId="24" fillId="0" borderId="0" xfId="4496" applyFont="1" applyFill="1" applyProtection="1"/>
    <xf numFmtId="0" fontId="53" fillId="0" borderId="8" xfId="4496" applyFont="1" applyFill="1" applyBorder="1" applyAlignment="1" applyProtection="1"/>
    <xf numFmtId="0" fontId="16" fillId="0" borderId="0" xfId="1193" applyFont="1" applyFill="1" applyProtection="1"/>
    <xf numFmtId="0" fontId="16" fillId="0" borderId="0" xfId="4496" applyFont="1" applyFill="1" applyBorder="1" applyAlignment="1" applyProtection="1">
      <alignment horizontal="center"/>
    </xf>
    <xf numFmtId="0" fontId="16" fillId="0" borderId="0" xfId="4496" applyFont="1" applyFill="1" applyBorder="1" applyProtection="1"/>
    <xf numFmtId="1" fontId="16" fillId="0" borderId="0" xfId="1193" applyNumberFormat="1" applyFont="1" applyProtection="1"/>
    <xf numFmtId="0" fontId="16" fillId="0" borderId="3" xfId="4496" applyFont="1" applyFill="1" applyBorder="1" applyProtection="1"/>
    <xf numFmtId="0" fontId="16" fillId="0" borderId="4" xfId="4496" applyFont="1" applyFill="1" applyBorder="1" applyProtection="1"/>
    <xf numFmtId="0" fontId="16" fillId="0" borderId="0" xfId="4496" applyNumberFormat="1" applyFont="1" applyFill="1" applyBorder="1" applyAlignment="1" applyProtection="1">
      <alignment horizontal="center"/>
    </xf>
    <xf numFmtId="0" fontId="16" fillId="0" borderId="0" xfId="1193" applyFont="1" applyAlignment="1" applyProtection="1">
      <alignment wrapText="1"/>
    </xf>
    <xf numFmtId="0" fontId="23" fillId="0" borderId="0" xfId="4496" applyFont="1" applyFill="1" applyBorder="1" applyAlignment="1" applyProtection="1"/>
    <xf numFmtId="0" fontId="24" fillId="0" borderId="0" xfId="4496" applyNumberFormat="1" applyFont="1" applyAlignment="1" applyProtection="1">
      <alignment vertical="top" wrapText="1"/>
    </xf>
    <xf numFmtId="0" fontId="24" fillId="0" borderId="0" xfId="1193" applyFont="1" applyProtection="1"/>
    <xf numFmtId="0" fontId="24" fillId="0" borderId="0" xfId="4496" applyNumberFormat="1" applyFont="1" applyFill="1" applyAlignment="1" applyProtection="1">
      <alignment vertical="top" wrapText="1"/>
    </xf>
    <xf numFmtId="0" fontId="16" fillId="0" borderId="0" xfId="4496" applyFont="1" applyFill="1" applyBorder="1" applyAlignment="1" applyProtection="1">
      <alignment horizontal="left"/>
    </xf>
    <xf numFmtId="0" fontId="24" fillId="0" borderId="3" xfId="4496" applyFont="1" applyFill="1" applyBorder="1" applyProtection="1"/>
    <xf numFmtId="0" fontId="24" fillId="0" borderId="4" xfId="4496" applyFont="1" applyFill="1" applyBorder="1" applyProtection="1"/>
    <xf numFmtId="0" fontId="16" fillId="0" borderId="4" xfId="4496" applyFont="1" applyFill="1" applyBorder="1" applyAlignment="1" applyProtection="1"/>
    <xf numFmtId="0" fontId="16" fillId="0" borderId="4" xfId="4496" applyFont="1" applyFill="1" applyBorder="1" applyAlignment="1" applyProtection="1">
      <alignment horizontal="right"/>
    </xf>
    <xf numFmtId="1" fontId="16" fillId="0" borderId="0" xfId="4496" applyNumberFormat="1" applyFont="1" applyFill="1" applyBorder="1" applyAlignment="1" applyProtection="1">
      <alignment horizontal="center"/>
    </xf>
    <xf numFmtId="0" fontId="53" fillId="0" borderId="0" xfId="4496" applyFont="1" applyFill="1" applyBorder="1" applyAlignment="1" applyProtection="1"/>
    <xf numFmtId="0" fontId="16" fillId="0" borderId="0" xfId="4496" applyFont="1" applyFill="1" applyBorder="1" applyAlignment="1" applyProtection="1"/>
    <xf numFmtId="0" fontId="16" fillId="0" borderId="0" xfId="4496" applyFont="1" applyFill="1" applyBorder="1" applyAlignment="1" applyProtection="1">
      <alignment horizontal="right"/>
    </xf>
    <xf numFmtId="0" fontId="24" fillId="0" borderId="0" xfId="4496" applyFont="1" applyBorder="1" applyProtection="1"/>
    <xf numFmtId="0" fontId="24" fillId="0" borderId="0" xfId="4496" applyFont="1" applyFill="1" applyBorder="1" applyProtection="1"/>
    <xf numFmtId="0" fontId="24" fillId="0" borderId="0" xfId="4496" applyFont="1" applyFill="1" applyBorder="1" applyAlignment="1" applyProtection="1">
      <alignment vertical="top" wrapText="1"/>
    </xf>
    <xf numFmtId="0" fontId="24" fillId="0" borderId="0" xfId="4496" applyNumberFormat="1" applyFont="1" applyFill="1" applyBorder="1" applyAlignment="1" applyProtection="1">
      <alignment vertical="top"/>
    </xf>
    <xf numFmtId="0" fontId="24" fillId="0" borderId="27" xfId="4496" applyFont="1" applyFill="1" applyBorder="1" applyProtection="1"/>
    <xf numFmtId="0" fontId="24" fillId="0" borderId="27" xfId="4496" applyFont="1" applyBorder="1" applyProtection="1"/>
    <xf numFmtId="0" fontId="23" fillId="0" borderId="0" xfId="4496" applyFont="1" applyFill="1" applyBorder="1" applyAlignment="1" applyProtection="1">
      <alignment vertical="top"/>
    </xf>
    <xf numFmtId="0" fontId="34" fillId="0" borderId="0" xfId="4496" applyFont="1" applyFill="1" applyBorder="1" applyAlignment="1" applyProtection="1">
      <alignment vertical="top" wrapText="1"/>
    </xf>
    <xf numFmtId="0" fontId="23" fillId="0" borderId="0" xfId="4496" applyFont="1" applyFill="1" applyBorder="1" applyAlignment="1" applyProtection="1">
      <alignment horizontal="left" vertical="top" wrapText="1"/>
    </xf>
    <xf numFmtId="0" fontId="23" fillId="0" borderId="0" xfId="4496" applyFont="1" applyFill="1" applyBorder="1" applyAlignment="1" applyProtection="1">
      <alignment horizontal="center"/>
    </xf>
    <xf numFmtId="0" fontId="16" fillId="0" borderId="0" xfId="4496" applyFont="1" applyFill="1" applyBorder="1" applyAlignment="1" applyProtection="1">
      <alignment horizontal="left" vertical="top"/>
    </xf>
    <xf numFmtId="0" fontId="34" fillId="0" borderId="0" xfId="4496" applyFont="1" applyFill="1" applyBorder="1" applyAlignment="1" applyProtection="1">
      <alignment vertical="top"/>
    </xf>
    <xf numFmtId="0" fontId="23" fillId="0" borderId="0" xfId="4496" applyFont="1" applyFill="1" applyBorder="1" applyAlignment="1" applyProtection="1">
      <alignment horizontal="right"/>
    </xf>
    <xf numFmtId="0" fontId="16" fillId="0" borderId="10" xfId="4496" applyFont="1" applyFill="1" applyBorder="1" applyAlignment="1" applyProtection="1">
      <alignment horizontal="center"/>
    </xf>
    <xf numFmtId="0" fontId="16" fillId="0" borderId="8" xfId="4496" applyFont="1" applyFill="1" applyBorder="1" applyAlignment="1" applyProtection="1"/>
    <xf numFmtId="0" fontId="16" fillId="0" borderId="16" xfId="4496" applyFont="1" applyFill="1" applyBorder="1" applyAlignment="1" applyProtection="1">
      <alignment horizontal="center"/>
    </xf>
    <xf numFmtId="0" fontId="32" fillId="0" borderId="16" xfId="4496" applyFont="1" applyFill="1" applyBorder="1" applyAlignment="1" applyProtection="1"/>
    <xf numFmtId="0" fontId="24" fillId="0" borderId="16" xfId="4496" applyFont="1" applyFill="1" applyBorder="1" applyAlignment="1" applyProtection="1"/>
    <xf numFmtId="0" fontId="24" fillId="0" borderId="16" xfId="4496" applyFont="1" applyFill="1" applyBorder="1" applyProtection="1"/>
    <xf numFmtId="0" fontId="24" fillId="0" borderId="16" xfId="4496" applyFont="1" applyBorder="1" applyProtection="1"/>
    <xf numFmtId="0" fontId="16" fillId="0" borderId="0" xfId="4497" applyFont="1" applyAlignment="1" applyProtection="1">
      <alignment vertical="top" wrapText="1"/>
    </xf>
    <xf numFmtId="0" fontId="23" fillId="0" borderId="0" xfId="1193" applyFont="1" applyAlignment="1" applyProtection="1">
      <alignment horizontal="right"/>
    </xf>
    <xf numFmtId="0" fontId="23" fillId="0" borderId="0" xfId="1193" applyFont="1" applyFill="1" applyAlignment="1" applyProtection="1">
      <alignment horizontal="right"/>
    </xf>
    <xf numFmtId="0" fontId="16" fillId="0" borderId="0" xfId="4497" applyFont="1" applyProtection="1"/>
    <xf numFmtId="0" fontId="16" fillId="0" borderId="0" xfId="4497" applyFont="1" applyAlignment="1" applyProtection="1">
      <alignment horizontal="left"/>
    </xf>
    <xf numFmtId="0" fontId="16" fillId="0" borderId="0" xfId="4497" applyFont="1" applyAlignment="1" applyProtection="1">
      <alignment horizontal="right"/>
    </xf>
    <xf numFmtId="0" fontId="24" fillId="0" borderId="0" xfId="4497" applyFont="1" applyAlignment="1" applyProtection="1">
      <alignment vertical="top" wrapText="1"/>
    </xf>
    <xf numFmtId="0" fontId="16" fillId="0" borderId="4" xfId="4497" applyFont="1" applyFill="1" applyBorder="1" applyProtection="1"/>
    <xf numFmtId="0" fontId="23" fillId="0" borderId="4" xfId="4497" applyFont="1" applyFill="1" applyBorder="1" applyAlignment="1" applyProtection="1">
      <alignment horizontal="right"/>
    </xf>
    <xf numFmtId="0" fontId="24" fillId="0" borderId="27" xfId="4496" applyFont="1" applyFill="1" applyBorder="1" applyAlignment="1" applyProtection="1"/>
    <xf numFmtId="0" fontId="24" fillId="0" borderId="27" xfId="4496" applyFont="1" applyFill="1" applyBorder="1" applyAlignment="1" applyProtection="1">
      <alignment horizontal="left" vertical="top"/>
    </xf>
    <xf numFmtId="0" fontId="16" fillId="0" borderId="27" xfId="4496" applyFont="1" applyFill="1" applyBorder="1" applyAlignment="1" applyProtection="1">
      <alignment horizontal="left" vertical="top"/>
    </xf>
    <xf numFmtId="0" fontId="23" fillId="0" borderId="27" xfId="4496" applyFont="1" applyFill="1" applyBorder="1" applyAlignment="1" applyProtection="1">
      <alignment horizontal="right"/>
    </xf>
    <xf numFmtId="0" fontId="16" fillId="0" borderId="27" xfId="4496" applyFont="1" applyFill="1" applyBorder="1" applyAlignment="1" applyProtection="1">
      <alignment horizontal="center"/>
    </xf>
    <xf numFmtId="0" fontId="16" fillId="0" borderId="46" xfId="4496" applyFont="1" applyFill="1" applyBorder="1" applyAlignment="1" applyProtection="1">
      <alignment horizontal="center"/>
    </xf>
    <xf numFmtId="0" fontId="24" fillId="0" borderId="0" xfId="4496" applyFont="1" applyFill="1" applyBorder="1" applyAlignment="1" applyProtection="1"/>
    <xf numFmtId="172" fontId="16" fillId="0" borderId="8" xfId="543" applyNumberFormat="1" applyFont="1" applyBorder="1" applyAlignment="1" applyProtection="1"/>
    <xf numFmtId="0" fontId="16" fillId="0" borderId="0" xfId="543" applyFont="1" applyFill="1" applyBorder="1" applyProtection="1"/>
    <xf numFmtId="0" fontId="16" fillId="0" borderId="0" xfId="543" applyFont="1" applyFill="1" applyBorder="1" applyAlignment="1" applyProtection="1"/>
    <xf numFmtId="168" fontId="16" fillId="0" borderId="0" xfId="543" applyNumberFormat="1" applyFont="1" applyFill="1" applyBorder="1" applyProtection="1"/>
    <xf numFmtId="0" fontId="32" fillId="0" borderId="0" xfId="4496" applyFont="1" applyFill="1" applyBorder="1" applyProtection="1"/>
    <xf numFmtId="164" fontId="24" fillId="0" borderId="0" xfId="4496" applyNumberFormat="1" applyFont="1" applyFill="1" applyBorder="1" applyAlignment="1" applyProtection="1">
      <alignment horizontal="left" vertical="top" wrapText="1"/>
    </xf>
    <xf numFmtId="0" fontId="27" fillId="0" borderId="0" xfId="4496" applyFont="1" applyFill="1" applyBorder="1" applyProtection="1"/>
    <xf numFmtId="0" fontId="24" fillId="0" borderId="0" xfId="4496" applyFont="1" applyAlignment="1" applyProtection="1">
      <alignment horizontal="right"/>
    </xf>
    <xf numFmtId="0" fontId="24" fillId="0" borderId="0" xfId="4496" applyNumberFormat="1" applyFont="1" applyFill="1" applyBorder="1" applyAlignment="1" applyProtection="1">
      <alignment vertical="top" wrapText="1"/>
    </xf>
    <xf numFmtId="0" fontId="24" fillId="0" borderId="0" xfId="4496" applyNumberFormat="1" applyFont="1" applyFill="1" applyBorder="1" applyAlignment="1" applyProtection="1"/>
    <xf numFmtId="0" fontId="24" fillId="0" borderId="3" xfId="4496" applyFont="1" applyFill="1" applyBorder="1" applyAlignment="1" applyProtection="1"/>
    <xf numFmtId="0" fontId="16" fillId="0" borderId="27" xfId="543" applyFont="1" applyBorder="1" applyProtection="1"/>
    <xf numFmtId="0" fontId="16" fillId="0" borderId="46" xfId="543" applyFont="1" applyBorder="1" applyProtection="1"/>
    <xf numFmtId="0" fontId="23" fillId="0" borderId="0" xfId="4496" applyFont="1" applyFill="1" applyBorder="1" applyAlignment="1" applyProtection="1">
      <alignment horizontal="left" vertical="top"/>
    </xf>
    <xf numFmtId="0" fontId="119" fillId="0" borderId="0" xfId="4496" applyBorder="1"/>
    <xf numFmtId="1" fontId="119" fillId="0" borderId="0" xfId="4496" applyNumberFormat="1" applyBorder="1"/>
    <xf numFmtId="168" fontId="16" fillId="0" borderId="0" xfId="543" applyNumberFormat="1" applyFont="1" applyBorder="1" applyProtection="1"/>
    <xf numFmtId="0" fontId="16" fillId="0" borderId="0" xfId="4496" applyFont="1" applyFill="1" applyBorder="1" applyAlignment="1" applyProtection="1">
      <alignment vertical="top" wrapText="1"/>
    </xf>
    <xf numFmtId="0" fontId="24" fillId="0" borderId="0" xfId="4496" applyFont="1" applyAlignment="1" applyProtection="1">
      <alignment vertical="top"/>
    </xf>
    <xf numFmtId="0" fontId="16" fillId="0" borderId="0" xfId="4496" applyFont="1" applyFill="1" applyBorder="1" applyAlignment="1" applyProtection="1">
      <alignment horizontal="left" vertical="top" wrapText="1"/>
    </xf>
    <xf numFmtId="0" fontId="119" fillId="0" borderId="0" xfId="4496"/>
    <xf numFmtId="0" fontId="16" fillId="0" borderId="50" xfId="4496" applyFont="1" applyFill="1" applyBorder="1" applyAlignment="1" applyProtection="1">
      <alignment vertical="top"/>
    </xf>
    <xf numFmtId="0" fontId="16" fillId="0" borderId="51" xfId="4496" applyFont="1" applyFill="1" applyBorder="1" applyAlignment="1" applyProtection="1">
      <alignment vertical="top"/>
    </xf>
    <xf numFmtId="0" fontId="16" fillId="0" borderId="52" xfId="4496" applyFont="1" applyFill="1" applyBorder="1" applyAlignment="1" applyProtection="1">
      <alignment vertical="top"/>
    </xf>
    <xf numFmtId="1" fontId="24" fillId="0" borderId="8" xfId="4496" applyNumberFormat="1" applyFont="1" applyBorder="1" applyProtection="1"/>
    <xf numFmtId="0" fontId="16" fillId="0" borderId="0" xfId="543" applyFont="1" applyAlignment="1" applyProtection="1">
      <alignment vertical="top"/>
    </xf>
    <xf numFmtId="0" fontId="24" fillId="0" borderId="51" xfId="4496" applyFont="1" applyFill="1" applyBorder="1" applyAlignment="1" applyProtection="1">
      <alignment horizontal="left" vertical="top"/>
    </xf>
    <xf numFmtId="0" fontId="24" fillId="0" borderId="52" xfId="4496" applyFont="1" applyFill="1" applyBorder="1" applyAlignment="1" applyProtection="1">
      <alignment horizontal="left" vertical="top"/>
    </xf>
    <xf numFmtId="0" fontId="24" fillId="0" borderId="0" xfId="4496" applyFont="1" applyAlignment="1" applyProtection="1"/>
    <xf numFmtId="0" fontId="16" fillId="0" borderId="8" xfId="543" applyFont="1" applyBorder="1" applyAlignment="1" applyProtection="1"/>
    <xf numFmtId="0" fontId="121" fillId="0" borderId="0" xfId="4497" applyFont="1" applyAlignment="1"/>
    <xf numFmtId="168" fontId="16" fillId="0" borderId="0" xfId="543" applyNumberFormat="1" applyFont="1" applyAlignment="1" applyProtection="1"/>
    <xf numFmtId="0" fontId="119" fillId="0" borderId="0" xfId="4496" applyFill="1" applyBorder="1" applyAlignment="1" applyProtection="1">
      <alignment horizontal="center"/>
      <protection locked="0"/>
    </xf>
    <xf numFmtId="0" fontId="16" fillId="0" borderId="53" xfId="4496" applyFont="1" applyFill="1" applyBorder="1" applyAlignment="1" applyProtection="1">
      <alignment vertical="top"/>
    </xf>
    <xf numFmtId="0" fontId="16" fillId="0" borderId="54" xfId="4496" applyFont="1" applyFill="1" applyBorder="1" applyAlignment="1" applyProtection="1">
      <alignment vertical="top" wrapText="1"/>
    </xf>
    <xf numFmtId="0" fontId="61" fillId="0" borderId="53" xfId="4496" applyFont="1" applyFill="1" applyBorder="1"/>
    <xf numFmtId="0" fontId="24" fillId="0" borderId="54" xfId="4496" applyFont="1" applyFill="1" applyBorder="1" applyAlignment="1" applyProtection="1">
      <alignment horizontal="left" vertical="top"/>
    </xf>
    <xf numFmtId="0" fontId="16" fillId="0" borderId="53" xfId="4496" applyFont="1" applyFill="1" applyBorder="1" applyAlignment="1" applyProtection="1">
      <alignment vertical="center" wrapText="1"/>
    </xf>
    <xf numFmtId="0" fontId="61" fillId="0" borderId="57" xfId="4496" applyFont="1" applyFill="1" applyBorder="1"/>
    <xf numFmtId="0" fontId="24" fillId="0" borderId="58" xfId="4496" applyFont="1" applyFill="1" applyBorder="1" applyAlignment="1" applyProtection="1">
      <alignment horizontal="left" vertical="top"/>
    </xf>
    <xf numFmtId="0" fontId="24" fillId="0" borderId="12" xfId="4496" applyFont="1" applyFill="1" applyBorder="1" applyProtection="1"/>
    <xf numFmtId="0" fontId="16" fillId="0" borderId="57" xfId="4496" applyFont="1" applyFill="1" applyBorder="1" applyAlignment="1" applyProtection="1">
      <alignment vertical="center"/>
    </xf>
    <xf numFmtId="0" fontId="16" fillId="0" borderId="58" xfId="4496" applyFont="1" applyFill="1" applyBorder="1" applyAlignment="1" applyProtection="1">
      <alignment vertical="top"/>
    </xf>
    <xf numFmtId="0" fontId="16" fillId="0" borderId="59" xfId="4496" applyFont="1" applyFill="1" applyBorder="1" applyAlignment="1" applyProtection="1">
      <alignment vertical="top"/>
    </xf>
    <xf numFmtId="172" fontId="16" fillId="0" borderId="0" xfId="543" applyNumberFormat="1" applyFont="1" applyFill="1" applyBorder="1" applyProtection="1"/>
    <xf numFmtId="0" fontId="16" fillId="0" borderId="0" xfId="4496" applyFont="1" applyFill="1" applyBorder="1" applyAlignment="1" applyProtection="1">
      <alignment vertical="top"/>
    </xf>
    <xf numFmtId="0" fontId="24" fillId="0" borderId="4" xfId="4496" applyFont="1" applyFill="1" applyBorder="1" applyAlignment="1" applyProtection="1">
      <alignment horizontal="left" vertical="top"/>
    </xf>
    <xf numFmtId="0" fontId="16" fillId="0" borderId="4" xfId="4496" applyFont="1" applyFill="1" applyBorder="1" applyAlignment="1" applyProtection="1">
      <alignment horizontal="left" vertical="top"/>
    </xf>
    <xf numFmtId="0" fontId="16" fillId="0" borderId="2" xfId="4496" applyFont="1" applyFill="1" applyBorder="1" applyAlignment="1" applyProtection="1"/>
    <xf numFmtId="0" fontId="24" fillId="0" borderId="2" xfId="4496" applyFont="1" applyBorder="1" applyProtection="1"/>
    <xf numFmtId="0" fontId="24" fillId="0" borderId="2" xfId="4496" applyFont="1" applyFill="1" applyBorder="1" applyAlignment="1" applyProtection="1"/>
    <xf numFmtId="0" fontId="24" fillId="0" borderId="2" xfId="4496" applyFont="1" applyFill="1" applyBorder="1" applyProtection="1"/>
    <xf numFmtId="0" fontId="16" fillId="0" borderId="2" xfId="4496" applyFont="1" applyFill="1" applyBorder="1" applyAlignment="1" applyProtection="1">
      <alignment horizontal="center"/>
    </xf>
    <xf numFmtId="0" fontId="24" fillId="0" borderId="7" xfId="4496" applyFont="1" applyBorder="1" applyProtection="1"/>
    <xf numFmtId="0" fontId="32" fillId="0" borderId="0" xfId="4496" applyFont="1" applyFill="1" applyBorder="1" applyAlignment="1" applyProtection="1">
      <alignment horizontal="right"/>
    </xf>
    <xf numFmtId="0" fontId="125" fillId="0" borderId="0" xfId="4496" applyFont="1" applyFill="1" applyBorder="1" applyAlignment="1" applyProtection="1">
      <alignment horizontal="left" vertical="top" wrapText="1"/>
    </xf>
    <xf numFmtId="0" fontId="32" fillId="0" borderId="0" xfId="4496" applyFont="1" applyFill="1" applyBorder="1" applyAlignment="1" applyProtection="1">
      <alignment horizontal="left" vertical="top"/>
    </xf>
    <xf numFmtId="0" fontId="24" fillId="0" borderId="0" xfId="4496" applyFont="1" applyFill="1" applyBorder="1" applyAlignment="1" applyProtection="1">
      <alignment vertical="top"/>
    </xf>
    <xf numFmtId="0" fontId="24" fillId="0" borderId="0" xfId="4496" applyFont="1" applyFill="1" applyBorder="1" applyAlignment="1" applyProtection="1">
      <alignment horizontal="right"/>
    </xf>
    <xf numFmtId="0" fontId="24" fillId="0" borderId="0" xfId="4496" quotePrefix="1" applyNumberFormat="1" applyFont="1" applyAlignment="1" applyProtection="1">
      <alignment horizontal="right"/>
    </xf>
    <xf numFmtId="0" fontId="16" fillId="0" borderId="0" xfId="4498" applyFont="1" applyAlignment="1" applyProtection="1"/>
    <xf numFmtId="0" fontId="24" fillId="0" borderId="0" xfId="4496" applyFont="1" applyFill="1" applyBorder="1" applyAlignment="1" applyProtection="1">
      <alignment horizontal="left" vertical="top" wrapText="1" shrinkToFit="1"/>
    </xf>
    <xf numFmtId="0" fontId="119" fillId="0" borderId="0" xfId="4496" applyAlignment="1">
      <alignment vertical="top" wrapText="1"/>
    </xf>
    <xf numFmtId="0" fontId="24" fillId="0" borderId="4" xfId="4496" applyFont="1" applyFill="1" applyBorder="1" applyAlignment="1" applyProtection="1">
      <alignment horizontal="left" vertical="top" wrapText="1" shrinkToFit="1"/>
    </xf>
    <xf numFmtId="0" fontId="32" fillId="0" borderId="8" xfId="4496" applyFont="1" applyBorder="1" applyProtection="1"/>
    <xf numFmtId="0" fontId="24" fillId="0" borderId="0" xfId="4496" applyFont="1" applyFill="1" applyBorder="1" applyAlignment="1" applyProtection="1">
      <alignment horizontal="center"/>
    </xf>
    <xf numFmtId="0" fontId="24" fillId="0" borderId="0" xfId="4496" quotePrefix="1" applyNumberFormat="1" applyFont="1" applyFill="1" applyAlignment="1" applyProtection="1">
      <alignment horizontal="right"/>
    </xf>
    <xf numFmtId="0" fontId="24" fillId="0" borderId="0" xfId="4496" quotePrefix="1" applyFont="1" applyFill="1" applyProtection="1"/>
    <xf numFmtId="0" fontId="24" fillId="0" borderId="0" xfId="4496" applyFont="1" applyFill="1" applyBorder="1" applyAlignment="1" applyProtection="1">
      <alignment horizontal="left" vertical="top" shrinkToFit="1"/>
    </xf>
    <xf numFmtId="0" fontId="46" fillId="0" borderId="0" xfId="4496" applyFont="1" applyProtection="1"/>
    <xf numFmtId="0" fontId="24" fillId="0" borderId="0" xfId="4496" applyNumberFormat="1" applyFont="1" applyAlignment="1" applyProtection="1">
      <alignment horizontal="right"/>
    </xf>
    <xf numFmtId="0" fontId="24" fillId="0" borderId="3" xfId="4496" applyFont="1" applyFill="1" applyBorder="1" applyAlignment="1" applyProtection="1">
      <alignment horizontal="center"/>
    </xf>
    <xf numFmtId="0" fontId="119" fillId="0" borderId="8" xfId="4496" applyBorder="1" applyProtection="1"/>
    <xf numFmtId="0" fontId="119" fillId="0" borderId="0" xfId="4496" applyProtection="1"/>
    <xf numFmtId="0" fontId="119" fillId="0" borderId="0" xfId="4496" applyFill="1" applyProtection="1"/>
    <xf numFmtId="0" fontId="23" fillId="0" borderId="8" xfId="4496" applyFont="1" applyFill="1" applyBorder="1" applyAlignment="1" applyProtection="1">
      <alignment vertical="top"/>
    </xf>
    <xf numFmtId="0" fontId="119" fillId="0" borderId="0" xfId="4496" applyFill="1" applyAlignment="1" applyProtection="1">
      <alignment vertical="top"/>
    </xf>
    <xf numFmtId="0" fontId="119" fillId="0" borderId="8" xfId="4496" applyFill="1" applyBorder="1" applyProtection="1"/>
    <xf numFmtId="172" fontId="16" fillId="0" borderId="8" xfId="543" applyNumberFormat="1" applyFont="1" applyFill="1" applyBorder="1" applyProtection="1"/>
    <xf numFmtId="0" fontId="23" fillId="0" borderId="4" xfId="4496" applyFont="1" applyFill="1" applyBorder="1" applyAlignment="1" applyProtection="1">
      <alignment horizontal="center" vertical="top"/>
    </xf>
    <xf numFmtId="0" fontId="125" fillId="0" borderId="0" xfId="4496" applyFont="1" applyFill="1" applyBorder="1" applyAlignment="1" applyProtection="1">
      <alignment horizontal="left" vertical="top"/>
    </xf>
    <xf numFmtId="0" fontId="125" fillId="0" borderId="4" xfId="4496" applyFont="1" applyFill="1" applyBorder="1" applyAlignment="1" applyProtection="1">
      <alignment horizontal="left" vertical="top"/>
    </xf>
    <xf numFmtId="0" fontId="16" fillId="0" borderId="0" xfId="4498" applyFont="1" applyProtection="1"/>
    <xf numFmtId="168" fontId="16" fillId="0" borderId="0" xfId="4498" applyNumberFormat="1" applyFont="1" applyProtection="1"/>
    <xf numFmtId="0" fontId="24" fillId="0" borderId="0" xfId="4496" quotePrefix="1" applyNumberFormat="1" applyFont="1" applyProtection="1"/>
    <xf numFmtId="1" fontId="24" fillId="0" borderId="0" xfId="4496" applyNumberFormat="1" applyFont="1" applyFill="1" applyBorder="1" applyAlignment="1" applyProtection="1">
      <alignment horizontal="center" vertical="top"/>
    </xf>
    <xf numFmtId="0" fontId="23" fillId="0" borderId="8" xfId="4496" applyFont="1" applyFill="1" applyBorder="1" applyAlignment="1" applyProtection="1"/>
    <xf numFmtId="0" fontId="129" fillId="0" borderId="0" xfId="4496" applyFont="1" applyAlignment="1">
      <alignment vertical="top" wrapText="1"/>
    </xf>
    <xf numFmtId="0" fontId="129" fillId="0" borderId="0" xfId="4496" applyFont="1" applyAlignment="1">
      <alignment horizontal="left" vertical="top" wrapText="1"/>
    </xf>
    <xf numFmtId="0" fontId="24" fillId="0" borderId="6" xfId="4496" applyFont="1" applyBorder="1" applyProtection="1"/>
    <xf numFmtId="1" fontId="24" fillId="0" borderId="8" xfId="4496" applyNumberFormat="1" applyFont="1" applyFill="1" applyBorder="1" applyAlignment="1" applyProtection="1">
      <alignment horizontal="center" vertical="top"/>
    </xf>
    <xf numFmtId="0" fontId="119" fillId="0" borderId="12" xfId="4496" applyFill="1" applyBorder="1" applyProtection="1"/>
    <xf numFmtId="0" fontId="24" fillId="0" borderId="9" xfId="4496" applyFont="1" applyBorder="1" applyProtection="1"/>
    <xf numFmtId="0" fontId="119" fillId="0" borderId="10" xfId="4496" applyFill="1" applyBorder="1" applyProtection="1"/>
    <xf numFmtId="0" fontId="32" fillId="0" borderId="3" xfId="4496" applyFont="1" applyBorder="1" applyProtection="1"/>
    <xf numFmtId="0" fontId="23" fillId="0" borderId="4" xfId="4496" applyFont="1" applyBorder="1" applyProtection="1"/>
    <xf numFmtId="0" fontId="119" fillId="0" borderId="0" xfId="4496" applyFill="1" applyBorder="1" applyProtection="1"/>
    <xf numFmtId="0" fontId="119" fillId="0" borderId="12" xfId="4496" applyFill="1" applyBorder="1" applyAlignment="1" applyProtection="1">
      <alignment vertical="top"/>
    </xf>
    <xf numFmtId="0" fontId="24" fillId="0" borderId="0" xfId="4496" applyFont="1" applyAlignment="1"/>
    <xf numFmtId="0" fontId="32" fillId="0" borderId="1" xfId="4496" applyFont="1" applyBorder="1" applyAlignment="1"/>
    <xf numFmtId="0" fontId="129" fillId="0" borderId="2" xfId="4496" applyFont="1" applyBorder="1" applyAlignment="1">
      <alignment horizontal="left" wrapText="1"/>
    </xf>
    <xf numFmtId="0" fontId="129" fillId="0" borderId="2" xfId="4496" applyFont="1" applyBorder="1" applyAlignment="1">
      <alignment horizontal="left"/>
    </xf>
    <xf numFmtId="0" fontId="129" fillId="0" borderId="7" xfId="4496" applyFont="1" applyBorder="1" applyAlignment="1">
      <alignment horizontal="left" wrapText="1"/>
    </xf>
    <xf numFmtId="0" fontId="129" fillId="0" borderId="0" xfId="4496" applyFont="1" applyAlignment="1">
      <alignment horizontal="left" wrapText="1"/>
    </xf>
    <xf numFmtId="0" fontId="32" fillId="0" borderId="9" xfId="4496" applyFont="1" applyBorder="1" applyProtection="1"/>
    <xf numFmtId="0" fontId="24" fillId="0" borderId="6" xfId="4496" applyFont="1" applyBorder="1" applyAlignment="1"/>
    <xf numFmtId="0" fontId="24" fillId="0" borderId="10" xfId="4496" applyFont="1" applyBorder="1" applyAlignment="1"/>
    <xf numFmtId="0" fontId="129" fillId="0" borderId="0" xfId="4496" applyFont="1" applyAlignment="1">
      <alignment wrapText="1"/>
    </xf>
    <xf numFmtId="0" fontId="32" fillId="0" borderId="9" xfId="4496" applyFont="1" applyBorder="1" applyAlignment="1" applyProtection="1">
      <alignment horizontal="center"/>
    </xf>
    <xf numFmtId="0" fontId="23" fillId="0" borderId="10" xfId="4496" applyFont="1" applyFill="1" applyBorder="1" applyProtection="1"/>
    <xf numFmtId="0" fontId="34" fillId="0" borderId="0" xfId="4496" applyFont="1" applyProtection="1"/>
    <xf numFmtId="0" fontId="24" fillId="0" borderId="50" xfId="4496" applyFont="1" applyBorder="1" applyProtection="1"/>
    <xf numFmtId="0" fontId="24" fillId="0" borderId="51" xfId="4496" applyFont="1" applyBorder="1" applyProtection="1"/>
    <xf numFmtId="1" fontId="24" fillId="0" borderId="51" xfId="4496" quotePrefix="1" applyNumberFormat="1" applyFont="1" applyFill="1" applyBorder="1" applyAlignment="1" applyProtection="1">
      <alignment horizontal="center" vertical="top"/>
    </xf>
    <xf numFmtId="0" fontId="23" fillId="0" borderId="51" xfId="4496" applyFont="1" applyBorder="1" applyAlignment="1" applyProtection="1"/>
    <xf numFmtId="0" fontId="23" fillId="0" borderId="52" xfId="4496" applyFont="1" applyBorder="1" applyAlignment="1" applyProtection="1">
      <alignment horizontal="center"/>
    </xf>
    <xf numFmtId="0" fontId="16" fillId="0" borderId="53" xfId="4496" applyFont="1" applyBorder="1" applyProtection="1"/>
    <xf numFmtId="1" fontId="24" fillId="0" borderId="0" xfId="4496" quotePrefix="1" applyNumberFormat="1" applyFont="1" applyFill="1" applyBorder="1" applyAlignment="1" applyProtection="1">
      <alignment horizontal="center" vertical="top"/>
    </xf>
    <xf numFmtId="0" fontId="23" fillId="0" borderId="0" xfId="4496" applyFont="1" applyBorder="1" applyAlignment="1" applyProtection="1"/>
    <xf numFmtId="0" fontId="23" fillId="0" borderId="54" xfId="4496" applyFont="1" applyBorder="1" applyAlignment="1" applyProtection="1">
      <alignment horizontal="center"/>
    </xf>
    <xf numFmtId="0" fontId="32" fillId="0" borderId="0" xfId="4496" applyFont="1" applyBorder="1" applyAlignment="1">
      <alignment vertical="top"/>
    </xf>
    <xf numFmtId="0" fontId="24" fillId="0" borderId="0" xfId="4496" applyFont="1" applyBorder="1" applyAlignment="1">
      <alignment vertical="top" wrapText="1"/>
    </xf>
    <xf numFmtId="0" fontId="24" fillId="0" borderId="61" xfId="4496" applyFont="1" applyBorder="1" applyProtection="1"/>
    <xf numFmtId="0" fontId="119" fillId="0" borderId="58" xfId="4496" applyFill="1" applyBorder="1" applyAlignment="1" applyProtection="1">
      <alignment horizontal="center"/>
    </xf>
    <xf numFmtId="1" fontId="24" fillId="0" borderId="58" xfId="4496" quotePrefix="1" applyNumberFormat="1" applyFont="1" applyFill="1" applyBorder="1" applyAlignment="1" applyProtection="1">
      <alignment horizontal="center" vertical="top"/>
    </xf>
    <xf numFmtId="0" fontId="32" fillId="0" borderId="58" xfId="4496" applyFont="1" applyBorder="1" applyAlignment="1">
      <alignment vertical="top"/>
    </xf>
    <xf numFmtId="0" fontId="24" fillId="0" borderId="58" xfId="4496" applyFont="1" applyBorder="1" applyAlignment="1">
      <alignment vertical="top" wrapText="1"/>
    </xf>
    <xf numFmtId="0" fontId="24" fillId="0" borderId="58" xfId="4496" applyFont="1" applyBorder="1" applyProtection="1"/>
    <xf numFmtId="0" fontId="23" fillId="0" borderId="58" xfId="4496" applyFont="1" applyBorder="1" applyAlignment="1" applyProtection="1">
      <alignment horizontal="center"/>
    </xf>
    <xf numFmtId="0" fontId="119" fillId="0" borderId="61" xfId="4496" applyBorder="1" applyProtection="1"/>
    <xf numFmtId="0" fontId="119" fillId="0" borderId="0" xfId="4496" applyFill="1" applyBorder="1" applyAlignment="1" applyProtection="1">
      <alignment horizontal="center"/>
    </xf>
    <xf numFmtId="0" fontId="16" fillId="0" borderId="53" xfId="543" applyFont="1" applyBorder="1" applyProtection="1"/>
    <xf numFmtId="0" fontId="24" fillId="0" borderId="54" xfId="4496" applyFont="1" applyBorder="1" applyProtection="1"/>
    <xf numFmtId="0" fontId="16" fillId="0" borderId="58" xfId="543" applyFont="1" applyBorder="1" applyProtection="1"/>
    <xf numFmtId="1" fontId="24" fillId="0" borderId="58" xfId="4496" applyNumberFormat="1" applyFont="1" applyFill="1" applyBorder="1" applyAlignment="1" applyProtection="1">
      <alignment horizontal="center" vertical="top"/>
    </xf>
    <xf numFmtId="0" fontId="32" fillId="0" borderId="58" xfId="4496" applyFont="1" applyBorder="1" applyAlignment="1">
      <alignment vertical="center"/>
    </xf>
    <xf numFmtId="0" fontId="119" fillId="0" borderId="58" xfId="4496" applyBorder="1" applyAlignment="1">
      <alignment vertical="top" wrapText="1"/>
    </xf>
    <xf numFmtId="0" fontId="16" fillId="0" borderId="58" xfId="4496" applyFont="1" applyBorder="1" applyProtection="1"/>
    <xf numFmtId="0" fontId="24" fillId="0" borderId="0" xfId="4496" applyFont="1" applyBorder="1" applyAlignment="1">
      <alignment horizontal="left" vertical="top" wrapText="1"/>
    </xf>
    <xf numFmtId="0" fontId="32" fillId="0" borderId="0" xfId="4496" applyFont="1" applyBorder="1" applyAlignment="1">
      <alignment vertical="center"/>
    </xf>
    <xf numFmtId="0" fontId="24" fillId="0" borderId="53" xfId="4496" applyFont="1" applyBorder="1" applyProtection="1"/>
    <xf numFmtId="0" fontId="16" fillId="0" borderId="57" xfId="543" applyFont="1" applyBorder="1" applyProtection="1"/>
    <xf numFmtId="0" fontId="24" fillId="0" borderId="58" xfId="4496" applyFont="1" applyBorder="1" applyAlignment="1">
      <alignment vertical="top"/>
    </xf>
    <xf numFmtId="0" fontId="24" fillId="0" borderId="59" xfId="4496" applyFont="1" applyBorder="1" applyProtection="1"/>
    <xf numFmtId="0" fontId="24" fillId="0" borderId="57" xfId="4496" applyFont="1" applyBorder="1" applyProtection="1"/>
    <xf numFmtId="0" fontId="24" fillId="0" borderId="0" xfId="4496" applyFont="1" applyAlignment="1">
      <alignment vertical="top" wrapText="1"/>
    </xf>
    <xf numFmtId="0" fontId="23" fillId="0" borderId="51" xfId="4496" applyFont="1" applyBorder="1" applyProtection="1"/>
    <xf numFmtId="0" fontId="16" fillId="0" borderId="51" xfId="4496" applyFont="1" applyBorder="1" applyProtection="1"/>
    <xf numFmtId="0" fontId="24" fillId="0" borderId="52" xfId="4496" applyFont="1" applyBorder="1" applyProtection="1"/>
    <xf numFmtId="0" fontId="16" fillId="0" borderId="50" xfId="543" applyFont="1" applyBorder="1" applyProtection="1"/>
    <xf numFmtId="0" fontId="16" fillId="0" borderId="51" xfId="543" applyFont="1" applyBorder="1" applyProtection="1"/>
    <xf numFmtId="0" fontId="16" fillId="0" borderId="52" xfId="543" applyFont="1" applyBorder="1" applyProtection="1"/>
    <xf numFmtId="0" fontId="23" fillId="0" borderId="0" xfId="4496" applyFont="1" applyBorder="1" applyProtection="1"/>
    <xf numFmtId="0" fontId="32" fillId="0" borderId="0" xfId="4496" applyNumberFormat="1" applyFont="1" applyBorder="1" applyAlignment="1">
      <alignment vertical="top"/>
    </xf>
    <xf numFmtId="0" fontId="24" fillId="0" borderId="0" xfId="4496" applyNumberFormat="1" applyFont="1" applyBorder="1" applyAlignment="1">
      <alignment vertical="top" wrapText="1"/>
    </xf>
    <xf numFmtId="0" fontId="32" fillId="0" borderId="0" xfId="4496" applyFont="1" applyBorder="1" applyProtection="1"/>
    <xf numFmtId="0" fontId="32" fillId="0" borderId="58" xfId="4496" applyNumberFormat="1" applyFont="1" applyBorder="1" applyAlignment="1">
      <alignment vertical="top"/>
    </xf>
    <xf numFmtId="0" fontId="24" fillId="0" borderId="58" xfId="4496" applyNumberFormat="1" applyFont="1" applyBorder="1" applyAlignment="1">
      <alignment vertical="top" wrapText="1"/>
    </xf>
    <xf numFmtId="0" fontId="24" fillId="0" borderId="62" xfId="4496" applyFont="1" applyBorder="1" applyProtection="1"/>
    <xf numFmtId="0" fontId="32" fillId="0" borderId="0" xfId="4496" applyNumberFormat="1" applyFont="1" applyAlignment="1">
      <alignment vertical="top"/>
    </xf>
    <xf numFmtId="0" fontId="24" fillId="0" borderId="0" xfId="4496" applyNumberFormat="1" applyFont="1" applyAlignment="1">
      <alignment vertical="top" wrapText="1"/>
    </xf>
    <xf numFmtId="0" fontId="24" fillId="0" borderId="0" xfId="4496" applyFont="1" applyBorder="1" applyAlignment="1">
      <alignment wrapText="1"/>
    </xf>
    <xf numFmtId="0" fontId="32" fillId="0" borderId="0" xfId="4496" applyFont="1" applyAlignment="1">
      <alignment vertical="top"/>
    </xf>
    <xf numFmtId="0" fontId="23" fillId="0" borderId="0" xfId="4496" applyFont="1" applyBorder="1" applyAlignment="1" applyProtection="1">
      <alignment horizontal="center" vertical="top"/>
    </xf>
    <xf numFmtId="0" fontId="23" fillId="0" borderId="54" xfId="4496" applyFont="1" applyBorder="1" applyAlignment="1" applyProtection="1">
      <alignment horizontal="center" vertical="top"/>
    </xf>
    <xf numFmtId="0" fontId="119" fillId="0" borderId="53" xfId="4496" applyFill="1" applyBorder="1" applyAlignment="1" applyProtection="1">
      <alignment horizontal="center"/>
    </xf>
    <xf numFmtId="172" fontId="16" fillId="0" borderId="0" xfId="543" applyNumberFormat="1" applyFont="1" applyBorder="1" applyProtection="1"/>
    <xf numFmtId="0" fontId="119" fillId="0" borderId="0" xfId="4496" applyBorder="1" applyAlignment="1" applyProtection="1">
      <alignment vertical="top" wrapText="1"/>
    </xf>
    <xf numFmtId="2" fontId="24" fillId="0" borderId="0" xfId="4496" applyNumberFormat="1" applyFont="1" applyFill="1" applyBorder="1" applyAlignment="1" applyProtection="1">
      <alignment horizontal="right"/>
    </xf>
    <xf numFmtId="0" fontId="23" fillId="0" borderId="0" xfId="4496" applyFont="1" applyBorder="1" applyAlignment="1" applyProtection="1">
      <alignment horizontal="center"/>
    </xf>
    <xf numFmtId="2" fontId="24" fillId="0" borderId="0" xfId="4496" applyNumberFormat="1" applyFont="1" applyBorder="1" applyAlignment="1" applyProtection="1">
      <alignment horizontal="right"/>
    </xf>
    <xf numFmtId="0" fontId="16" fillId="0" borderId="0" xfId="4496" applyFont="1" applyBorder="1" applyAlignment="1" applyProtection="1"/>
    <xf numFmtId="2" fontId="24" fillId="0" borderId="8" xfId="4496" applyNumberFormat="1" applyFont="1" applyFill="1" applyBorder="1" applyAlignment="1" applyProtection="1">
      <alignment horizontal="left"/>
    </xf>
    <xf numFmtId="0" fontId="24" fillId="0" borderId="8" xfId="4496" applyNumberFormat="1" applyFont="1" applyFill="1" applyBorder="1" applyAlignment="1" applyProtection="1">
      <alignment horizontal="right"/>
    </xf>
    <xf numFmtId="0" fontId="128" fillId="0" borderId="0" xfId="4496" applyFont="1" applyProtection="1"/>
    <xf numFmtId="0" fontId="119" fillId="0" borderId="57" xfId="4496" applyFill="1" applyBorder="1" applyAlignment="1" applyProtection="1">
      <alignment horizontal="center"/>
    </xf>
    <xf numFmtId="0" fontId="23" fillId="0" borderId="59" xfId="4496" applyFont="1" applyBorder="1" applyAlignment="1" applyProtection="1">
      <alignment horizontal="center"/>
    </xf>
    <xf numFmtId="0" fontId="16" fillId="0" borderId="8" xfId="4496" applyNumberFormat="1" applyFont="1" applyFill="1" applyBorder="1" applyAlignment="1" applyProtection="1"/>
    <xf numFmtId="0" fontId="24" fillId="0" borderId="0" xfId="4496" applyFont="1" applyAlignment="1" applyProtection="1">
      <alignment horizontal="left"/>
    </xf>
    <xf numFmtId="0" fontId="16" fillId="0" borderId="8" xfId="4496" applyNumberFormat="1" applyFont="1" applyBorder="1" applyAlignment="1" applyProtection="1"/>
    <xf numFmtId="9" fontId="24" fillId="0" borderId="0" xfId="4496" applyNumberFormat="1" applyFont="1" applyAlignment="1" applyProtection="1">
      <alignment horizontal="left"/>
    </xf>
    <xf numFmtId="0" fontId="24" fillId="0" borderId="50" xfId="4496" applyFont="1" applyFill="1" applyBorder="1" applyProtection="1"/>
    <xf numFmtId="0" fontId="24" fillId="0" borderId="51" xfId="4496" applyFont="1" applyFill="1" applyBorder="1" applyProtection="1"/>
    <xf numFmtId="0" fontId="16" fillId="0" borderId="17" xfId="543" applyFont="1" applyBorder="1" applyProtection="1"/>
    <xf numFmtId="0" fontId="16" fillId="0" borderId="16" xfId="543" applyFont="1" applyBorder="1" applyProtection="1"/>
    <xf numFmtId="0" fontId="24" fillId="0" borderId="0" xfId="4496" applyFont="1" applyAlignment="1" applyProtection="1">
      <alignment horizontal="center"/>
    </xf>
    <xf numFmtId="0" fontId="34" fillId="0" borderId="0" xfId="4496" applyFont="1" applyBorder="1" applyProtection="1"/>
    <xf numFmtId="0" fontId="16" fillId="0" borderId="51" xfId="4496" quotePrefix="1" applyFont="1" applyFill="1" applyBorder="1" applyAlignment="1" applyProtection="1">
      <alignment horizontal="center" vertical="top"/>
    </xf>
    <xf numFmtId="0" fontId="24" fillId="0" borderId="53" xfId="4496" applyFont="1" applyFill="1" applyBorder="1" applyAlignment="1" applyProtection="1">
      <alignment horizontal="left" vertical="top"/>
    </xf>
    <xf numFmtId="0" fontId="24" fillId="0" borderId="0" xfId="4496" applyFont="1" applyFill="1" applyBorder="1" applyAlignment="1" applyProtection="1">
      <alignment horizontal="center" vertical="top"/>
    </xf>
    <xf numFmtId="0" fontId="24" fillId="0" borderId="57" xfId="4496" applyFont="1" applyFill="1" applyBorder="1" applyAlignment="1" applyProtection="1">
      <alignment horizontal="left" vertical="top"/>
    </xf>
    <xf numFmtId="0" fontId="24" fillId="0" borderId="58" xfId="4496" applyFont="1" applyFill="1" applyBorder="1" applyAlignment="1" applyProtection="1">
      <alignment horizontal="center" vertical="top"/>
    </xf>
    <xf numFmtId="0" fontId="119" fillId="0" borderId="58" xfId="4496" applyFill="1" applyBorder="1" applyAlignment="1" applyProtection="1"/>
    <xf numFmtId="0" fontId="23" fillId="0" borderId="58" xfId="4496" applyFont="1" applyFill="1" applyBorder="1" applyAlignment="1" applyProtection="1">
      <alignment vertical="top"/>
    </xf>
    <xf numFmtId="0" fontId="23" fillId="0" borderId="58" xfId="4496" applyFont="1" applyFill="1" applyBorder="1" applyAlignment="1" applyProtection="1">
      <alignment horizontal="left" vertical="top"/>
    </xf>
    <xf numFmtId="0" fontId="119" fillId="0" borderId="0" xfId="4496" applyFill="1" applyBorder="1" applyAlignment="1" applyProtection="1"/>
    <xf numFmtId="0" fontId="23" fillId="0" borderId="51" xfId="4496" applyFont="1" applyFill="1" applyBorder="1" applyAlignment="1" applyProtection="1">
      <alignment horizontal="left" vertical="top"/>
    </xf>
    <xf numFmtId="0" fontId="23" fillId="0" borderId="53" xfId="4496" applyFont="1" applyBorder="1" applyAlignment="1" applyProtection="1">
      <alignment horizontal="left" vertical="top"/>
    </xf>
    <xf numFmtId="0" fontId="53" fillId="0" borderId="0" xfId="4496" applyFont="1" applyFill="1" applyBorder="1" applyAlignment="1" applyProtection="1">
      <alignment horizontal="left" vertical="top"/>
    </xf>
    <xf numFmtId="0" fontId="24" fillId="0" borderId="0" xfId="4496" quotePrefix="1" applyFont="1" applyFill="1" applyBorder="1" applyAlignment="1" applyProtection="1">
      <alignment horizontal="center" vertical="top"/>
    </xf>
    <xf numFmtId="0" fontId="54" fillId="0" borderId="0" xfId="4496" applyFont="1" applyFill="1" applyBorder="1" applyAlignment="1" applyProtection="1">
      <alignment horizontal="center"/>
    </xf>
    <xf numFmtId="0" fontId="53" fillId="0" borderId="0" xfId="4496" applyFont="1" applyBorder="1" applyProtection="1"/>
    <xf numFmtId="0" fontId="54" fillId="0" borderId="0" xfId="4496" applyFont="1" applyFill="1" applyBorder="1" applyAlignment="1" applyProtection="1">
      <alignment vertical="top"/>
    </xf>
    <xf numFmtId="0" fontId="106" fillId="0" borderId="0" xfId="4496" applyFont="1" applyBorder="1" applyProtection="1"/>
    <xf numFmtId="0" fontId="53" fillId="0" borderId="0" xfId="4496" applyFont="1" applyBorder="1" applyAlignment="1" applyProtection="1">
      <alignment vertical="top"/>
    </xf>
    <xf numFmtId="0" fontId="32" fillId="0" borderId="53" xfId="4496" applyFont="1" applyBorder="1" applyProtection="1"/>
    <xf numFmtId="2" fontId="24" fillId="0" borderId="8" xfId="4496" applyNumberFormat="1" applyFont="1" applyFill="1" applyBorder="1" applyAlignment="1" applyProtection="1">
      <alignment horizontal="right"/>
    </xf>
    <xf numFmtId="0" fontId="23" fillId="0" borderId="50" xfId="4496" applyFont="1" applyFill="1" applyBorder="1" applyAlignment="1" applyProtection="1">
      <alignment horizontal="left" vertical="top"/>
    </xf>
    <xf numFmtId="0" fontId="24" fillId="0" borderId="51" xfId="4496" applyFont="1" applyFill="1" applyBorder="1" applyAlignment="1" applyProtection="1"/>
    <xf numFmtId="0" fontId="53" fillId="0" borderId="51" xfId="4496" applyFont="1" applyFill="1" applyBorder="1" applyAlignment="1" applyProtection="1">
      <alignment horizontal="left" vertical="top"/>
    </xf>
    <xf numFmtId="0" fontId="119" fillId="0" borderId="53" xfId="4496" applyFill="1" applyBorder="1" applyAlignment="1" applyProtection="1"/>
    <xf numFmtId="0" fontId="106" fillId="0" borderId="0" xfId="4496" applyFont="1" applyFill="1" applyBorder="1" applyAlignment="1" applyProtection="1">
      <alignment horizontal="left" vertical="top"/>
    </xf>
    <xf numFmtId="0" fontId="119" fillId="0" borderId="58" xfId="4496" applyBorder="1" applyProtection="1"/>
    <xf numFmtId="1" fontId="23" fillId="0" borderId="58" xfId="4496" applyNumberFormat="1" applyFont="1" applyFill="1" applyBorder="1" applyAlignment="1" applyProtection="1">
      <alignment vertical="top"/>
    </xf>
    <xf numFmtId="172" fontId="23" fillId="0" borderId="8" xfId="543" applyNumberFormat="1" applyFont="1" applyBorder="1" applyProtection="1"/>
    <xf numFmtId="172" fontId="23" fillId="0" borderId="0" xfId="543" applyNumberFormat="1" applyFont="1" applyFill="1" applyBorder="1" applyProtection="1"/>
    <xf numFmtId="0" fontId="32" fillId="0" borderId="0" xfId="4496" applyFont="1" applyFill="1" applyBorder="1" applyAlignment="1" applyProtection="1">
      <alignment wrapText="1"/>
    </xf>
    <xf numFmtId="0" fontId="32" fillId="0" borderId="0" xfId="4496" applyNumberFormat="1" applyFont="1" applyFill="1" applyBorder="1" applyAlignment="1" applyProtection="1">
      <alignment horizontal="center"/>
    </xf>
    <xf numFmtId="0" fontId="32" fillId="0" borderId="0" xfId="4496" applyFont="1" applyFill="1" applyBorder="1" applyAlignment="1" applyProtection="1">
      <alignment vertical="center" wrapText="1"/>
    </xf>
    <xf numFmtId="0" fontId="24" fillId="0" borderId="0" xfId="4496" applyNumberFormat="1" applyFont="1" applyFill="1" applyBorder="1" applyAlignment="1" applyProtection="1">
      <alignment horizontal="center"/>
    </xf>
    <xf numFmtId="180" fontId="24" fillId="0" borderId="0" xfId="4496" applyNumberFormat="1" applyFont="1" applyFill="1" applyBorder="1" applyAlignment="1" applyProtection="1">
      <alignment horizontal="center"/>
    </xf>
    <xf numFmtId="1" fontId="24" fillId="0" borderId="0" xfId="4496" applyNumberFormat="1" applyFont="1" applyFill="1" applyBorder="1" applyAlignment="1" applyProtection="1">
      <alignment horizontal="center"/>
    </xf>
    <xf numFmtId="0" fontId="23" fillId="0" borderId="51" xfId="4496" applyFont="1" applyFill="1" applyBorder="1" applyAlignment="1" applyProtection="1">
      <alignment horizontal="center"/>
    </xf>
    <xf numFmtId="0" fontId="23" fillId="0" borderId="51" xfId="4496" applyFont="1" applyFill="1" applyBorder="1" applyAlignment="1" applyProtection="1">
      <alignment vertical="top"/>
    </xf>
    <xf numFmtId="0" fontId="16" fillId="0" borderId="53" xfId="543" applyFont="1" applyFill="1" applyBorder="1" applyProtection="1"/>
    <xf numFmtId="0" fontId="16" fillId="0" borderId="0" xfId="543" applyFont="1" applyBorder="1" applyAlignment="1" applyProtection="1"/>
    <xf numFmtId="0" fontId="24" fillId="0" borderId="54" xfId="4496" applyFont="1" applyFill="1" applyBorder="1" applyProtection="1"/>
    <xf numFmtId="0" fontId="23" fillId="0" borderId="53" xfId="4496" applyFont="1" applyFill="1" applyBorder="1" applyProtection="1"/>
    <xf numFmtId="0" fontId="16" fillId="0" borderId="54" xfId="543" applyFont="1" applyBorder="1" applyProtection="1"/>
    <xf numFmtId="49" fontId="24" fillId="0" borderId="0" xfId="4496" applyNumberFormat="1" applyFont="1" applyFill="1" applyBorder="1" applyAlignment="1" applyProtection="1">
      <alignment horizontal="left" vertical="center" wrapText="1"/>
    </xf>
    <xf numFmtId="0" fontId="16" fillId="0" borderId="57" xfId="4496" applyFont="1" applyFill="1" applyBorder="1" applyAlignment="1" applyProtection="1"/>
    <xf numFmtId="0" fontId="24" fillId="0" borderId="58" xfId="4496" applyFont="1" applyFill="1" applyBorder="1" applyProtection="1"/>
    <xf numFmtId="0" fontId="24" fillId="0" borderId="58" xfId="4496" applyFont="1" applyFill="1" applyBorder="1" applyAlignment="1" applyProtection="1">
      <alignment vertical="top" wrapText="1"/>
    </xf>
    <xf numFmtId="1" fontId="16" fillId="0" borderId="0" xfId="4496" applyNumberFormat="1" applyFont="1" applyFill="1" applyBorder="1" applyAlignment="1" applyProtection="1">
      <alignment vertical="center"/>
    </xf>
    <xf numFmtId="0" fontId="34" fillId="0" borderId="50" xfId="4496" applyFont="1" applyBorder="1" applyProtection="1"/>
    <xf numFmtId="0" fontId="24" fillId="0" borderId="51" xfId="4496" applyFont="1" applyFill="1" applyBorder="1" applyAlignment="1" applyProtection="1">
      <alignment horizontal="center" vertical="top"/>
    </xf>
    <xf numFmtId="0" fontId="24" fillId="0" borderId="51" xfId="4496" applyFont="1" applyFill="1" applyBorder="1" applyAlignment="1" applyProtection="1">
      <alignment vertical="top" wrapText="1"/>
    </xf>
    <xf numFmtId="0" fontId="24" fillId="0" borderId="51" xfId="4496" applyFont="1" applyFill="1" applyBorder="1" applyAlignment="1" applyProtection="1">
      <alignment horizontal="left" vertical="top" wrapText="1"/>
    </xf>
    <xf numFmtId="0" fontId="16" fillId="0" borderId="0" xfId="4496" quotePrefix="1" applyFont="1" applyFill="1" applyBorder="1" applyAlignment="1" applyProtection="1">
      <alignment horizontal="center" vertical="top"/>
    </xf>
    <xf numFmtId="0" fontId="16" fillId="0" borderId="53" xfId="4496" applyFont="1" applyFill="1" applyBorder="1" applyAlignment="1" applyProtection="1"/>
    <xf numFmtId="0" fontId="24" fillId="0" borderId="0" xfId="4496" applyNumberFormat="1" applyFont="1" applyProtection="1"/>
    <xf numFmtId="1" fontId="24" fillId="0" borderId="0" xfId="4496" quotePrefix="1" applyNumberFormat="1" applyFont="1" applyFill="1" applyBorder="1" applyAlignment="1" applyProtection="1">
      <alignment wrapText="1"/>
    </xf>
    <xf numFmtId="0" fontId="24" fillId="0" borderId="6" xfId="4496" applyFont="1" applyFill="1" applyBorder="1" applyAlignment="1" applyProtection="1">
      <alignment horizontal="right"/>
    </xf>
    <xf numFmtId="0" fontId="121" fillId="0" borderId="0" xfId="4497" applyFont="1" applyAlignment="1">
      <alignment wrapText="1"/>
    </xf>
    <xf numFmtId="0" fontId="16" fillId="0" borderId="0" xfId="4497" applyFont="1" applyBorder="1" applyAlignment="1" applyProtection="1">
      <alignment wrapText="1"/>
    </xf>
    <xf numFmtId="0" fontId="16" fillId="0" borderId="50" xfId="4496" applyNumberFormat="1" applyFont="1" applyBorder="1" applyAlignment="1">
      <alignment vertical="top"/>
    </xf>
    <xf numFmtId="0" fontId="32" fillId="0" borderId="51" xfId="4496" applyNumberFormat="1" applyFont="1" applyBorder="1" applyAlignment="1">
      <alignment vertical="top"/>
    </xf>
    <xf numFmtId="0" fontId="16" fillId="0" borderId="51" xfId="4497" applyFont="1" applyBorder="1" applyAlignment="1" applyProtection="1">
      <alignment wrapText="1"/>
    </xf>
    <xf numFmtId="0" fontId="23" fillId="0" borderId="51" xfId="4496" applyFont="1" applyFill="1" applyBorder="1" applyAlignment="1" applyProtection="1">
      <alignment horizontal="right"/>
    </xf>
    <xf numFmtId="0" fontId="16" fillId="0" borderId="52" xfId="4496" applyFont="1" applyFill="1" applyBorder="1" applyAlignment="1" applyProtection="1">
      <alignment horizontal="center"/>
    </xf>
    <xf numFmtId="0" fontId="16" fillId="0" borderId="53" xfId="4496" applyNumberFormat="1" applyFont="1" applyBorder="1" applyAlignment="1">
      <alignment horizontal="left" vertical="top"/>
    </xf>
    <xf numFmtId="0" fontId="16" fillId="0" borderId="0" xfId="4496" applyNumberFormat="1" applyFont="1" applyBorder="1" applyAlignment="1">
      <alignment horizontal="left" vertical="top"/>
    </xf>
    <xf numFmtId="0" fontId="16" fillId="0" borderId="54" xfId="4496" applyNumberFormat="1" applyFont="1" applyBorder="1" applyAlignment="1">
      <alignment horizontal="left" vertical="top"/>
    </xf>
    <xf numFmtId="0" fontId="16" fillId="0" borderId="54" xfId="4496" applyFont="1" applyFill="1" applyBorder="1" applyAlignment="1" applyProtection="1">
      <alignment horizontal="center"/>
    </xf>
    <xf numFmtId="0" fontId="16" fillId="0" borderId="59" xfId="4496" applyFont="1" applyFill="1" applyBorder="1" applyAlignment="1" applyProtection="1">
      <alignment horizontal="center"/>
    </xf>
    <xf numFmtId="0" fontId="16" fillId="0" borderId="0" xfId="4496" applyNumberFormat="1" applyFont="1" applyBorder="1" applyAlignment="1">
      <alignment vertical="top" wrapText="1"/>
    </xf>
    <xf numFmtId="0" fontId="23" fillId="0" borderId="0" xfId="1193" applyFont="1" applyAlignment="1" applyProtection="1">
      <alignment horizontal="left"/>
    </xf>
    <xf numFmtId="9" fontId="16" fillId="0" borderId="0" xfId="4497" applyNumberFormat="1" applyFont="1" applyFill="1" applyBorder="1" applyAlignment="1" applyProtection="1">
      <alignment horizontal="center"/>
    </xf>
    <xf numFmtId="1" fontId="16" fillId="0" borderId="0" xfId="543" applyNumberFormat="1" applyFont="1" applyProtection="1"/>
    <xf numFmtId="1" fontId="16" fillId="0" borderId="0" xfId="543" applyNumberFormat="1" applyFont="1" applyBorder="1" applyProtection="1"/>
    <xf numFmtId="0" fontId="24" fillId="0" borderId="1" xfId="4496" applyFont="1" applyBorder="1" applyProtection="1"/>
    <xf numFmtId="0" fontId="23" fillId="0" borderId="0" xfId="4496" applyFont="1" applyFill="1" applyBorder="1" applyAlignment="1" applyProtection="1">
      <alignment horizontal="center" wrapText="1"/>
    </xf>
    <xf numFmtId="0" fontId="23" fillId="0" borderId="9" xfId="4496" applyFont="1" applyFill="1" applyBorder="1" applyAlignment="1" applyProtection="1">
      <alignment horizontal="left"/>
    </xf>
    <xf numFmtId="0" fontId="24" fillId="0" borderId="10" xfId="4496" applyFont="1" applyBorder="1" applyProtection="1"/>
    <xf numFmtId="0" fontId="23" fillId="0" borderId="3" xfId="4496" applyFont="1" applyFill="1" applyBorder="1" applyAlignment="1" applyProtection="1">
      <alignment horizontal="left"/>
    </xf>
    <xf numFmtId="0" fontId="16" fillId="0" borderId="3" xfId="4496" applyFont="1" applyBorder="1" applyProtection="1"/>
    <xf numFmtId="0" fontId="23" fillId="0" borderId="0" xfId="4496" applyFont="1" applyBorder="1"/>
    <xf numFmtId="0" fontId="23" fillId="0" borderId="4" xfId="4496" applyFont="1" applyFill="1" applyBorder="1" applyAlignment="1" applyProtection="1">
      <alignment horizontal="left"/>
    </xf>
    <xf numFmtId="0" fontId="16" fillId="0" borderId="2" xfId="4496" applyFont="1" applyFill="1" applyBorder="1" applyAlignment="1" applyProtection="1">
      <alignment horizontal="left"/>
    </xf>
    <xf numFmtId="0" fontId="23" fillId="0" borderId="2" xfId="4496" applyFont="1" applyFill="1" applyBorder="1" applyAlignment="1" applyProtection="1">
      <alignment horizontal="left"/>
    </xf>
    <xf numFmtId="0" fontId="23" fillId="0" borderId="5" xfId="4496" applyFont="1" applyFill="1" applyBorder="1" applyAlignment="1" applyProtection="1">
      <alignment horizontal="left"/>
    </xf>
    <xf numFmtId="180" fontId="64" fillId="0" borderId="0" xfId="4496" applyNumberFormat="1" applyFont="1" applyFill="1" applyBorder="1" applyAlignment="1" applyProtection="1">
      <alignment horizontal="center" vertical="center"/>
    </xf>
    <xf numFmtId="0" fontId="16" fillId="0" borderId="12" xfId="4496" applyFont="1" applyFill="1" applyBorder="1" applyAlignment="1" applyProtection="1">
      <alignment vertical="top"/>
    </xf>
    <xf numFmtId="0" fontId="98" fillId="0" borderId="0" xfId="4497" applyFont="1"/>
    <xf numFmtId="0" fontId="98" fillId="0" borderId="0" xfId="4497" applyFont="1" applyAlignment="1">
      <alignment wrapText="1"/>
    </xf>
    <xf numFmtId="0" fontId="136" fillId="0" borderId="0" xfId="4497" applyFont="1"/>
    <xf numFmtId="0" fontId="98" fillId="0" borderId="0" xfId="4497" applyFont="1" applyBorder="1"/>
    <xf numFmtId="0" fontId="98" fillId="0" borderId="0" xfId="4497" applyFont="1" applyFill="1" applyBorder="1"/>
    <xf numFmtId="181" fontId="137" fillId="0" borderId="0" xfId="4499" applyNumberFormat="1" applyFont="1"/>
    <xf numFmtId="0" fontId="138" fillId="0" borderId="0" xfId="4497" applyFont="1" applyAlignment="1">
      <alignment vertical="center" wrapText="1"/>
    </xf>
    <xf numFmtId="49" fontId="98" fillId="0" borderId="0" xfId="4497" applyNumberFormat="1" applyFont="1" applyAlignment="1">
      <alignment horizontal="center"/>
    </xf>
    <xf numFmtId="168" fontId="98" fillId="0" borderId="0" xfId="4500" applyNumberFormat="1" applyFont="1" applyFill="1" applyBorder="1" applyAlignment="1">
      <alignment vertical="center"/>
    </xf>
    <xf numFmtId="0" fontId="98" fillId="0" borderId="0" xfId="4497" applyFont="1" applyAlignment="1">
      <alignment vertical="center"/>
    </xf>
    <xf numFmtId="9" fontId="98" fillId="0" borderId="0" xfId="4500" applyFont="1" applyFill="1" applyBorder="1" applyAlignment="1">
      <alignment vertical="center"/>
    </xf>
    <xf numFmtId="0" fontId="98" fillId="0" borderId="0" xfId="4497" applyFont="1" applyFill="1" applyBorder="1" applyAlignment="1">
      <alignment vertical="center"/>
    </xf>
    <xf numFmtId="0" fontId="98" fillId="0" borderId="0" xfId="4497" applyFont="1" applyFill="1" applyAlignment="1">
      <alignment vertical="center"/>
    </xf>
    <xf numFmtId="9" fontId="98" fillId="0" borderId="0" xfId="4500" applyFont="1" applyBorder="1" applyAlignment="1">
      <alignment vertical="center"/>
    </xf>
    <xf numFmtId="182" fontId="98" fillId="0" borderId="0" xfId="4497" applyNumberFormat="1" applyFont="1"/>
    <xf numFmtId="182" fontId="98" fillId="0" borderId="0" xfId="4497" applyNumberFormat="1" applyFont="1" applyFill="1" applyBorder="1"/>
    <xf numFmtId="0" fontId="98" fillId="0" borderId="0" xfId="4497" applyFont="1" applyAlignment="1">
      <alignment horizontal="center"/>
    </xf>
    <xf numFmtId="0" fontId="98" fillId="0" borderId="0" xfId="4497" applyFont="1" applyFill="1" applyBorder="1" applyAlignment="1">
      <alignment horizontal="center"/>
    </xf>
    <xf numFmtId="0" fontId="139" fillId="0" borderId="0" xfId="4497" applyFont="1" applyFill="1"/>
    <xf numFmtId="0" fontId="140" fillId="0" borderId="0" xfId="4497" applyFont="1" applyFill="1"/>
    <xf numFmtId="0" fontId="98" fillId="0" borderId="0" xfId="4497" applyFont="1" applyFill="1"/>
    <xf numFmtId="182" fontId="98" fillId="0" borderId="0" xfId="4497" applyNumberFormat="1" applyFont="1" applyFill="1" applyAlignment="1">
      <alignment horizontal="center"/>
    </xf>
    <xf numFmtId="182" fontId="98" fillId="0" borderId="0" xfId="4497" applyNumberFormat="1" applyFont="1" applyFill="1" applyBorder="1" applyAlignment="1">
      <alignment horizontal="center"/>
    </xf>
    <xf numFmtId="0" fontId="98" fillId="0" borderId="0" xfId="4497" applyFont="1" applyFill="1" applyAlignment="1">
      <alignment horizontal="center"/>
    </xf>
    <xf numFmtId="0" fontId="98" fillId="0" borderId="0" xfId="4497" applyFont="1" applyFill="1" applyAlignment="1">
      <alignment wrapText="1"/>
    </xf>
    <xf numFmtId="0" fontId="98" fillId="0" borderId="6" xfId="4497" applyFont="1" applyBorder="1" applyAlignment="1">
      <alignment horizontal="center"/>
    </xf>
    <xf numFmtId="0" fontId="98" fillId="0" borderId="0" xfId="4497" applyFont="1" applyFill="1" applyAlignment="1">
      <alignment horizontal="left"/>
    </xf>
    <xf numFmtId="2" fontId="98" fillId="0" borderId="0" xfId="4497" applyNumberFormat="1" applyFont="1" applyFill="1" applyAlignment="1">
      <alignment horizontal="center"/>
    </xf>
    <xf numFmtId="2" fontId="98" fillId="0" borderId="0" xfId="4497" applyNumberFormat="1" applyFont="1" applyFill="1" applyBorder="1" applyAlignment="1">
      <alignment horizontal="center"/>
    </xf>
    <xf numFmtId="2" fontId="98" fillId="0" borderId="0" xfId="4497" applyNumberFormat="1" applyFont="1" applyFill="1"/>
    <xf numFmtId="2" fontId="98" fillId="0" borderId="6" xfId="4497" applyNumberFormat="1" applyFont="1" applyFill="1" applyBorder="1"/>
    <xf numFmtId="181" fontId="98" fillId="0" borderId="0" xfId="4497" applyNumberFormat="1" applyFont="1"/>
    <xf numFmtId="0" fontId="136" fillId="0" borderId="0" xfId="4497" applyFont="1" applyFill="1" applyBorder="1"/>
    <xf numFmtId="7" fontId="136" fillId="0" borderId="0" xfId="4497" applyNumberFormat="1" applyFont="1" applyFill="1"/>
    <xf numFmtId="7" fontId="136" fillId="0" borderId="0" xfId="4497" applyNumberFormat="1" applyFont="1" applyFill="1" applyBorder="1"/>
    <xf numFmtId="165" fontId="137" fillId="0" borderId="0" xfId="4500" applyNumberFormat="1" applyFont="1"/>
    <xf numFmtId="165" fontId="137" fillId="0" borderId="0" xfId="4500" applyNumberFormat="1" applyFont="1" applyFill="1" applyBorder="1"/>
    <xf numFmtId="0" fontId="46" fillId="0" borderId="0" xfId="4496" applyFont="1" applyFill="1" applyBorder="1" applyAlignment="1" applyProtection="1">
      <alignment vertical="top" wrapText="1"/>
    </xf>
    <xf numFmtId="0" fontId="16" fillId="0" borderId="51" xfId="4496" applyFont="1" applyFill="1" applyBorder="1" applyAlignment="1" applyProtection="1">
      <alignment horizontal="left" vertical="top" wrapText="1"/>
    </xf>
    <xf numFmtId="0" fontId="16" fillId="0" borderId="51" xfId="4496" applyFont="1" applyFill="1" applyBorder="1" applyAlignment="1" applyProtection="1">
      <alignment horizontal="right"/>
    </xf>
    <xf numFmtId="0" fontId="16" fillId="0" borderId="52" xfId="4496" applyFont="1" applyFill="1" applyBorder="1" applyAlignment="1" applyProtection="1">
      <alignment horizontal="right"/>
    </xf>
    <xf numFmtId="0" fontId="16" fillId="0" borderId="54" xfId="4496" applyFont="1" applyFill="1" applyBorder="1" applyAlignment="1" applyProtection="1">
      <alignment horizontal="right"/>
    </xf>
    <xf numFmtId="0" fontId="16" fillId="0" borderId="58" xfId="4496" applyFont="1" applyFill="1" applyBorder="1" applyAlignment="1" applyProtection="1">
      <alignment horizontal="left" vertical="top" wrapText="1"/>
    </xf>
    <xf numFmtId="0" fontId="16" fillId="0" borderId="58" xfId="4496" applyFont="1" applyFill="1" applyBorder="1" applyAlignment="1" applyProtection="1">
      <alignment horizontal="right"/>
    </xf>
    <xf numFmtId="0" fontId="16" fillId="0" borderId="59" xfId="4496" applyFont="1" applyFill="1" applyBorder="1" applyAlignment="1" applyProtection="1">
      <alignment horizontal="right"/>
    </xf>
    <xf numFmtId="0" fontId="46" fillId="0" borderId="0" xfId="4496" applyFont="1" applyFill="1" applyBorder="1" applyAlignment="1" applyProtection="1">
      <alignment horizontal="left" vertical="top" wrapText="1"/>
    </xf>
    <xf numFmtId="0" fontId="23" fillId="0" borderId="0" xfId="1193" applyFont="1" applyFill="1" applyBorder="1" applyAlignment="1" applyProtection="1">
      <alignment horizontal="left"/>
    </xf>
    <xf numFmtId="0" fontId="16" fillId="0" borderId="0" xfId="1193" applyFont="1" applyAlignment="1" applyProtection="1">
      <alignment horizontal="left" vertical="top"/>
    </xf>
    <xf numFmtId="0" fontId="16" fillId="0" borderId="0" xfId="1193" applyFont="1" applyFill="1"/>
    <xf numFmtId="0" fontId="34" fillId="0" borderId="0" xfId="1193" applyFont="1" applyAlignment="1" applyProtection="1">
      <alignment horizontal="left" vertical="top"/>
    </xf>
    <xf numFmtId="0" fontId="16" fillId="0" borderId="0" xfId="1193" applyFont="1" applyAlignment="1" applyProtection="1">
      <alignment vertical="top"/>
    </xf>
    <xf numFmtId="0" fontId="16" fillId="0" borderId="0" xfId="1193" applyFont="1" applyAlignment="1" applyProtection="1"/>
    <xf numFmtId="168" fontId="16" fillId="0" borderId="0" xfId="1193" applyNumberFormat="1" applyFont="1" applyAlignment="1" applyProtection="1"/>
    <xf numFmtId="165" fontId="16" fillId="0" borderId="0" xfId="1193" applyNumberFormat="1" applyFont="1" applyFill="1" applyBorder="1" applyAlignment="1" applyProtection="1"/>
    <xf numFmtId="168" fontId="16" fillId="0" borderId="0" xfId="1193" applyNumberFormat="1" applyFont="1" applyFill="1" applyBorder="1" applyAlignment="1" applyProtection="1"/>
    <xf numFmtId="165" fontId="16" fillId="0" borderId="0" xfId="1193" applyNumberFormat="1" applyFont="1" applyFill="1" applyBorder="1" applyAlignment="1" applyProtection="1">
      <alignment horizontal="right"/>
    </xf>
    <xf numFmtId="0" fontId="16" fillId="0" borderId="0" xfId="1193" applyFont="1" applyFill="1" applyBorder="1" applyProtection="1"/>
    <xf numFmtId="0" fontId="16" fillId="0" borderId="0" xfId="1193" applyFont="1" applyFill="1" applyBorder="1" applyAlignment="1" applyProtection="1"/>
    <xf numFmtId="2" fontId="16" fillId="0" borderId="0" xfId="1193" applyNumberFormat="1" applyFont="1" applyFill="1" applyBorder="1" applyAlignment="1" applyProtection="1"/>
    <xf numFmtId="0" fontId="16" fillId="0" borderId="0" xfId="1193" applyFont="1" applyFill="1" applyBorder="1" applyAlignment="1" applyProtection="1">
      <alignment horizontal="center"/>
    </xf>
    <xf numFmtId="6" fontId="16" fillId="0" borderId="0" xfId="1193" applyNumberFormat="1" applyFont="1" applyFill="1" applyBorder="1" applyAlignment="1" applyProtection="1"/>
    <xf numFmtId="0" fontId="23" fillId="0" borderId="0" xfId="1193" applyFont="1" applyFill="1" applyBorder="1" applyAlignment="1" applyProtection="1"/>
    <xf numFmtId="0" fontId="46" fillId="0" borderId="0" xfId="1193" applyFont="1" applyFill="1" applyBorder="1" applyAlignment="1" applyProtection="1"/>
    <xf numFmtId="168" fontId="16" fillId="0" borderId="0" xfId="4496" applyNumberFormat="1" applyFont="1" applyFill="1" applyBorder="1" applyAlignment="1" applyProtection="1"/>
    <xf numFmtId="0" fontId="23" fillId="0" borderId="0" xfId="1193" applyFont="1" applyFill="1" applyBorder="1" applyAlignment="1" applyProtection="1">
      <alignment vertical="center"/>
    </xf>
    <xf numFmtId="0" fontId="117" fillId="0" borderId="0" xfId="1193" applyFont="1" applyBorder="1" applyAlignment="1" applyProtection="1">
      <alignment horizontal="left"/>
    </xf>
    <xf numFmtId="0" fontId="16" fillId="0" borderId="0" xfId="1193" applyFont="1" applyFill="1" applyBorder="1"/>
    <xf numFmtId="0" fontId="114" fillId="0" borderId="0" xfId="1193" applyFont="1" applyBorder="1" applyAlignment="1" applyProtection="1">
      <alignment horizontal="left"/>
    </xf>
    <xf numFmtId="0" fontId="16" fillId="0" borderId="0" xfId="1193" applyFont="1" applyBorder="1" applyAlignment="1" applyProtection="1">
      <alignment horizontal="center"/>
    </xf>
    <xf numFmtId="0" fontId="114" fillId="0" borderId="0" xfId="1193" applyFont="1" applyBorder="1" applyAlignment="1" applyProtection="1">
      <alignment horizontal="center"/>
    </xf>
    <xf numFmtId="168" fontId="16" fillId="0" borderId="0" xfId="1193" applyNumberFormat="1" applyFont="1" applyFill="1" applyAlignment="1" applyProtection="1">
      <alignment horizontal="center"/>
    </xf>
    <xf numFmtId="9" fontId="16" fillId="0" borderId="0" xfId="1193" applyNumberFormat="1" applyFont="1" applyFill="1" applyBorder="1" applyAlignment="1" applyProtection="1"/>
    <xf numFmtId="0" fontId="16" fillId="0" borderId="0" xfId="1193" applyFont="1" applyAlignment="1" applyProtection="1">
      <alignment horizontal="right"/>
    </xf>
    <xf numFmtId="0" fontId="16" fillId="0" borderId="53" xfId="4496" applyFont="1" applyFill="1" applyBorder="1" applyAlignment="1" applyProtection="1">
      <alignment horizontal="left"/>
    </xf>
    <xf numFmtId="0" fontId="23" fillId="0" borderId="0" xfId="1193" applyFont="1" applyBorder="1" applyProtection="1"/>
    <xf numFmtId="6" fontId="23" fillId="0" borderId="0" xfId="1193" applyNumberFormat="1" applyFont="1" applyBorder="1" applyAlignment="1" applyProtection="1">
      <alignment horizontal="right"/>
    </xf>
    <xf numFmtId="0" fontId="23" fillId="0" borderId="0" xfId="1193" applyFont="1" applyFill="1" applyBorder="1" applyAlignment="1" applyProtection="1">
      <alignment horizontal="right"/>
    </xf>
    <xf numFmtId="165" fontId="16" fillId="0" borderId="0" xfId="4496" applyNumberFormat="1" applyFont="1" applyFill="1" applyBorder="1" applyAlignment="1" applyProtection="1"/>
    <xf numFmtId="0" fontId="54" fillId="0" borderId="4" xfId="4496" applyFont="1" applyFill="1" applyBorder="1" applyProtection="1"/>
    <xf numFmtId="0" fontId="98" fillId="0" borderId="0" xfId="4497" applyFont="1" applyFill="1" applyAlignment="1"/>
    <xf numFmtId="1" fontId="98" fillId="0" borderId="0" xfId="4497" applyNumberFormat="1" applyFont="1" applyFill="1"/>
    <xf numFmtId="1" fontId="98" fillId="0" borderId="6" xfId="4497" applyNumberFormat="1" applyFont="1" applyFill="1" applyBorder="1"/>
    <xf numFmtId="0" fontId="36" fillId="0" borderId="0" xfId="543" applyNumberFormat="1" applyFont="1" applyFill="1" applyBorder="1" applyAlignment="1" applyProtection="1">
      <alignment vertical="center" wrapText="1"/>
    </xf>
    <xf numFmtId="168" fontId="98" fillId="0" borderId="0" xfId="4500" applyNumberFormat="1" applyFont="1" applyBorder="1" applyAlignment="1">
      <alignment vertical="center"/>
    </xf>
    <xf numFmtId="2" fontId="98" fillId="0" borderId="0" xfId="4497" applyNumberFormat="1" applyFont="1" applyFill="1" applyBorder="1"/>
    <xf numFmtId="175" fontId="98" fillId="0" borderId="0" xfId="4500" applyNumberFormat="1" applyFont="1" applyFill="1" applyBorder="1" applyAlignment="1">
      <alignment vertical="center"/>
    </xf>
    <xf numFmtId="1" fontId="23" fillId="0" borderId="13" xfId="271" applyNumberFormat="1" applyFont="1" applyBorder="1" applyProtection="1"/>
    <xf numFmtId="1" fontId="25" fillId="0" borderId="13" xfId="271" applyNumberFormat="1" applyFont="1" applyBorder="1" applyProtection="1"/>
    <xf numFmtId="0" fontId="23" fillId="0" borderId="0" xfId="271" applyFont="1" applyBorder="1" applyAlignment="1" applyProtection="1"/>
    <xf numFmtId="0" fontId="16" fillId="0" borderId="11" xfId="0" applyFont="1" applyBorder="1" applyProtection="1"/>
    <xf numFmtId="9" fontId="16" fillId="0" borderId="0" xfId="4496" applyNumberFormat="1" applyFont="1" applyFill="1" applyProtection="1"/>
    <xf numFmtId="165" fontId="121" fillId="0" borderId="0" xfId="4497" applyNumberFormat="1" applyFont="1" applyFill="1" applyBorder="1" applyAlignment="1">
      <alignment horizontal="center" vertical="top" wrapText="1"/>
    </xf>
    <xf numFmtId="0" fontId="121" fillId="0" borderId="0" xfId="4497" applyFont="1" applyFill="1" applyBorder="1" applyAlignment="1">
      <alignment vertical="top" wrapText="1"/>
    </xf>
    <xf numFmtId="0" fontId="121" fillId="0" borderId="54" xfId="4497" applyFont="1" applyFill="1" applyBorder="1" applyAlignment="1">
      <alignment vertical="top" wrapText="1"/>
    </xf>
    <xf numFmtId="168" fontId="121" fillId="0" borderId="0" xfId="4497" applyNumberFormat="1" applyFont="1" applyBorder="1" applyAlignment="1">
      <alignment vertical="top" wrapText="1"/>
    </xf>
    <xf numFmtId="165" fontId="121" fillId="0" borderId="65" xfId="4497" applyNumberFormat="1" applyFont="1" applyFill="1" applyBorder="1" applyAlignment="1">
      <alignment horizontal="center" vertical="top" wrapText="1"/>
    </xf>
    <xf numFmtId="165" fontId="121" fillId="0" borderId="53" xfId="4497" applyNumberFormat="1" applyFont="1" applyFill="1" applyBorder="1" applyAlignment="1">
      <alignment horizontal="left" vertical="top"/>
    </xf>
    <xf numFmtId="165" fontId="121" fillId="0" borderId="53" xfId="4497" applyNumberFormat="1" applyFont="1" applyFill="1" applyBorder="1" applyAlignment="1">
      <alignment horizontal="center" vertical="top" wrapText="1"/>
    </xf>
    <xf numFmtId="168" fontId="121" fillId="0" borderId="0" xfId="4497" applyNumberFormat="1" applyFont="1" applyBorder="1" applyAlignment="1">
      <alignment vertical="top"/>
    </xf>
    <xf numFmtId="0" fontId="121" fillId="0" borderId="0" xfId="4497" applyFont="1" applyFill="1" applyBorder="1" applyAlignment="1">
      <alignment vertical="top"/>
    </xf>
    <xf numFmtId="1" fontId="121" fillId="0" borderId="0" xfId="4497" applyNumberFormat="1" applyFont="1" applyBorder="1" applyAlignment="1">
      <alignment vertical="top" wrapText="1"/>
    </xf>
    <xf numFmtId="0" fontId="121" fillId="0" borderId="0" xfId="4497" applyFont="1" applyFill="1" applyBorder="1" applyAlignment="1">
      <alignment horizontal="left" vertical="top" wrapText="1"/>
    </xf>
    <xf numFmtId="164" fontId="24"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3" fillId="0" borderId="8" xfId="0" applyFont="1" applyBorder="1" applyAlignment="1" applyProtection="1">
      <alignment horizontal="center" vertical="center" wrapText="1"/>
    </xf>
    <xf numFmtId="0" fontId="23" fillId="0" borderId="0" xfId="0" applyFont="1" applyBorder="1" applyAlignment="1" applyProtection="1">
      <alignment horizontal="center" vertical="center" wrapText="1"/>
    </xf>
    <xf numFmtId="0" fontId="23" fillId="0" borderId="12" xfId="0" applyFont="1" applyBorder="1" applyAlignment="1" applyProtection="1">
      <alignment horizontal="center" vertical="center" wrapText="1"/>
    </xf>
    <xf numFmtId="0" fontId="23" fillId="0" borderId="5" xfId="0" applyFont="1" applyBorder="1" applyAlignment="1" applyProtection="1">
      <alignment horizontal="right"/>
    </xf>
    <xf numFmtId="168" fontId="25"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3" fillId="0" borderId="6" xfId="0" applyFont="1" applyBorder="1" applyAlignment="1" applyProtection="1">
      <alignment horizontal="center"/>
    </xf>
    <xf numFmtId="0" fontId="98"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23" fillId="0" borderId="0" xfId="0" applyFont="1" applyFill="1" applyAlignment="1" applyProtection="1">
      <alignment horizontal="center"/>
    </xf>
    <xf numFmtId="0" fontId="0" fillId="0" borderId="0" xfId="0" applyFill="1" applyAlignment="1" applyProtection="1"/>
    <xf numFmtId="0" fontId="23" fillId="0" borderId="5" xfId="0" applyFont="1" applyBorder="1" applyAlignment="1" applyProtection="1">
      <alignment horizontal="right"/>
    </xf>
    <xf numFmtId="0" fontId="25" fillId="0" borderId="3" xfId="0" applyFont="1" applyFill="1" applyBorder="1" applyAlignment="1" applyProtection="1">
      <alignment horizontal="center"/>
    </xf>
    <xf numFmtId="0" fontId="25" fillId="0" borderId="4" xfId="0" applyFont="1" applyFill="1" applyBorder="1" applyAlignment="1" applyProtection="1">
      <alignment horizontal="center"/>
    </xf>
    <xf numFmtId="0" fontId="25" fillId="0" borderId="5" xfId="0" applyFont="1" applyFill="1" applyBorder="1" applyAlignment="1" applyProtection="1">
      <alignment horizontal="center"/>
    </xf>
    <xf numFmtId="0" fontId="25" fillId="0" borderId="0" xfId="0" applyFont="1" applyFill="1" applyAlignment="1" applyProtection="1">
      <alignment horizontal="center"/>
    </xf>
    <xf numFmtId="0" fontId="23"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6" fillId="0" borderId="0" xfId="0" applyFont="1" applyAlignment="1" applyProtection="1">
      <alignment wrapText="1"/>
    </xf>
    <xf numFmtId="2" fontId="16" fillId="0" borderId="0" xfId="0" applyNumberFormat="1" applyFont="1" applyProtection="1"/>
    <xf numFmtId="0" fontId="16" fillId="0" borderId="3" xfId="0" applyFont="1" applyFill="1" applyBorder="1" applyAlignment="1" applyProtection="1"/>
    <xf numFmtId="0" fontId="0" fillId="0" borderId="4" xfId="0" applyFill="1" applyBorder="1" applyAlignment="1" applyProtection="1"/>
    <xf numFmtId="0" fontId="16" fillId="0" borderId="9" xfId="0" applyFont="1" applyBorder="1" applyAlignment="1" applyProtection="1">
      <alignment horizontal="left"/>
    </xf>
    <xf numFmtId="0" fontId="16" fillId="0" borderId="6" xfId="0" applyFont="1" applyBorder="1" applyProtection="1"/>
    <xf numFmtId="0" fontId="16" fillId="0" borderId="9" xfId="0" applyFont="1" applyFill="1" applyBorder="1" applyProtection="1"/>
    <xf numFmtId="0" fontId="49" fillId="0" borderId="0" xfId="0" applyFont="1" applyFill="1" applyBorder="1" applyAlignment="1" applyProtection="1">
      <alignment horizontal="center"/>
    </xf>
    <xf numFmtId="0" fontId="22" fillId="0" borderId="0" xfId="0" applyFont="1" applyFill="1" applyBorder="1" applyAlignment="1" applyProtection="1">
      <alignment horizontal="center" vertical="center" wrapText="1"/>
    </xf>
    <xf numFmtId="0" fontId="23" fillId="0" borderId="0" xfId="0" applyFont="1" applyFill="1" applyAlignment="1" applyProtection="1">
      <alignment vertical="top"/>
    </xf>
    <xf numFmtId="0" fontId="31" fillId="0" borderId="0" xfId="0" applyFont="1" applyFill="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vertical="top" wrapText="1"/>
    </xf>
    <xf numFmtId="0" fontId="24" fillId="0" borderId="0" xfId="0" applyFont="1" applyFill="1" applyAlignment="1" applyProtection="1">
      <alignment horizontal="left"/>
    </xf>
    <xf numFmtId="0" fontId="24" fillId="0" borderId="0" xfId="0" applyFont="1" applyFill="1" applyAlignment="1" applyProtection="1">
      <alignment vertical="top"/>
    </xf>
    <xf numFmtId="0" fontId="16" fillId="0" borderId="0" xfId="0" applyFont="1" applyFill="1" applyBorder="1" applyAlignment="1" applyProtection="1">
      <alignment horizontal="center"/>
    </xf>
    <xf numFmtId="0" fontId="23" fillId="0" borderId="0" xfId="271" applyFont="1" applyFill="1" applyBorder="1" applyAlignment="1" applyProtection="1"/>
    <xf numFmtId="0" fontId="23" fillId="0" borderId="0" xfId="271" applyFont="1" applyFill="1" applyBorder="1" applyAlignment="1" applyProtection="1">
      <alignment horizontal="right"/>
    </xf>
    <xf numFmtId="0" fontId="23" fillId="0" borderId="0" xfId="0" applyFont="1" applyFill="1" applyAlignment="1" applyProtection="1"/>
    <xf numFmtId="0" fontId="41" fillId="0" borderId="0" xfId="543" applyFont="1" applyFill="1" applyAlignment="1" applyProtection="1"/>
    <xf numFmtId="0" fontId="41" fillId="0" borderId="0" xfId="543" applyFont="1" applyFill="1" applyProtection="1"/>
    <xf numFmtId="0" fontId="23" fillId="0" borderId="3" xfId="0" applyFont="1" applyBorder="1" applyAlignment="1" applyProtection="1"/>
    <xf numFmtId="0" fontId="23" fillId="0" borderId="4" xfId="0" applyFont="1" applyBorder="1" applyAlignment="1" applyProtection="1"/>
    <xf numFmtId="0" fontId="23" fillId="0" borderId="5" xfId="0" applyFont="1" applyBorder="1" applyAlignment="1" applyProtection="1"/>
    <xf numFmtId="0" fontId="23" fillId="0" borderId="4" xfId="271" applyFont="1" applyBorder="1" applyAlignment="1" applyProtection="1"/>
    <xf numFmtId="0" fontId="23" fillId="0" borderId="3" xfId="271" applyFont="1" applyBorder="1" applyAlignment="1" applyProtection="1"/>
    <xf numFmtId="0" fontId="23" fillId="0" borderId="5" xfId="271" applyFont="1" applyBorder="1" applyAlignment="1" applyProtection="1"/>
    <xf numFmtId="0" fontId="16" fillId="0" borderId="58" xfId="4496" applyFont="1" applyFill="1" applyBorder="1" applyAlignment="1" applyProtection="1">
      <alignment vertical="center" wrapText="1"/>
    </xf>
    <xf numFmtId="0" fontId="16" fillId="0" borderId="59" xfId="4496" applyFont="1" applyFill="1" applyBorder="1" applyAlignment="1" applyProtection="1">
      <alignment vertical="center" wrapText="1"/>
    </xf>
    <xf numFmtId="0" fontId="16" fillId="0" borderId="0" xfId="4496" applyFont="1" applyFill="1" applyBorder="1" applyAlignment="1" applyProtection="1">
      <alignment horizontal="left" vertical="center" wrapText="1"/>
    </xf>
    <xf numFmtId="0" fontId="23" fillId="0" borderId="0" xfId="4496" applyFont="1" applyAlignment="1" applyProtection="1">
      <alignment horizontal="right"/>
    </xf>
    <xf numFmtId="0" fontId="23" fillId="0" borderId="0" xfId="4496" applyFont="1" applyFill="1" applyBorder="1" applyAlignment="1" applyProtection="1">
      <alignment horizontal="right"/>
    </xf>
    <xf numFmtId="0" fontId="23" fillId="0" borderId="0" xfId="4496" applyFont="1" applyFill="1" applyBorder="1" applyAlignment="1" applyProtection="1">
      <alignment horizontal="center" vertical="top"/>
    </xf>
    <xf numFmtId="0" fontId="16" fillId="0" borderId="0" xfId="4496" applyFont="1" applyFill="1" applyBorder="1" applyAlignment="1" applyProtection="1">
      <alignment horizontal="left" vertical="top" wrapText="1"/>
    </xf>
    <xf numFmtId="0" fontId="23" fillId="0" borderId="0" xfId="4496" applyFont="1" applyFill="1" applyBorder="1" applyAlignment="1" applyProtection="1">
      <alignment horizontal="left" vertical="top"/>
    </xf>
    <xf numFmtId="0" fontId="24" fillId="0" borderId="0" xfId="4496" applyFont="1" applyFill="1" applyBorder="1" applyAlignment="1" applyProtection="1">
      <alignment horizontal="center"/>
    </xf>
    <xf numFmtId="0" fontId="23" fillId="0" borderId="54" xfId="4496" applyFont="1" applyBorder="1" applyAlignment="1" applyProtection="1">
      <alignment horizontal="center"/>
    </xf>
    <xf numFmtId="0" fontId="23" fillId="0" borderId="0" xfId="4496" applyFont="1" applyFill="1" applyBorder="1" applyAlignment="1" applyProtection="1">
      <alignment horizontal="center"/>
    </xf>
    <xf numFmtId="0" fontId="23" fillId="0" borderId="3" xfId="0" applyFont="1" applyFill="1" applyBorder="1" applyAlignment="1" applyProtection="1"/>
    <xf numFmtId="0" fontId="23" fillId="0" borderId="4" xfId="0" applyFont="1" applyFill="1" applyBorder="1" applyAlignment="1" applyProtection="1"/>
    <xf numFmtId="0" fontId="23" fillId="0" borderId="5" xfId="0" applyFont="1" applyFill="1" applyBorder="1" applyAlignment="1" applyProtection="1"/>
    <xf numFmtId="168" fontId="21" fillId="44" borderId="0" xfId="0" applyNumberFormat="1" applyFont="1" applyFill="1"/>
    <xf numFmtId="0" fontId="39" fillId="0" borderId="0" xfId="0" applyFont="1" applyBorder="1" applyProtection="1"/>
    <xf numFmtId="1" fontId="16" fillId="0" borderId="0" xfId="543" applyNumberFormat="1" applyFont="1" applyBorder="1" applyAlignment="1" applyProtection="1"/>
    <xf numFmtId="0" fontId="16" fillId="0" borderId="0" xfId="543" applyFont="1" applyBorder="1" applyAlignment="1" applyProtection="1">
      <alignment horizontal="center"/>
    </xf>
    <xf numFmtId="9" fontId="24" fillId="0" borderId="0" xfId="543" applyNumberFormat="1" applyFont="1" applyBorder="1" applyAlignment="1" applyProtection="1">
      <alignment horizontal="center"/>
    </xf>
    <xf numFmtId="171" fontId="16" fillId="0" borderId="0" xfId="543" applyNumberFormat="1" applyFont="1" applyBorder="1" applyAlignment="1" applyProtection="1"/>
    <xf numFmtId="171" fontId="16" fillId="0" borderId="11" xfId="543" applyNumberFormat="1" applyFont="1" applyBorder="1" applyAlignment="1" applyProtection="1"/>
    <xf numFmtId="1" fontId="16" fillId="0" borderId="11" xfId="543" applyNumberFormat="1" applyFont="1" applyBorder="1" applyAlignment="1" applyProtection="1">
      <alignment horizontal="center"/>
    </xf>
    <xf numFmtId="0" fontId="42" fillId="0" borderId="8" xfId="543" applyFont="1" applyBorder="1" applyAlignment="1" applyProtection="1">
      <alignment vertical="center" wrapText="1"/>
    </xf>
    <xf numFmtId="0" fontId="42" fillId="0" borderId="0" xfId="543" applyFont="1" applyBorder="1" applyAlignment="1" applyProtection="1">
      <alignment vertical="center" wrapText="1"/>
    </xf>
    <xf numFmtId="0" fontId="42" fillId="0" borderId="12" xfId="543" applyFont="1" applyBorder="1" applyAlignment="1" applyProtection="1">
      <alignment vertical="center" wrapText="1"/>
    </xf>
    <xf numFmtId="0" fontId="42" fillId="0" borderId="9" xfId="543" applyFont="1" applyBorder="1" applyAlignment="1" applyProtection="1">
      <alignment vertical="center" wrapText="1"/>
    </xf>
    <xf numFmtId="0" fontId="42" fillId="0" borderId="6" xfId="543" applyFont="1" applyBorder="1" applyAlignment="1" applyProtection="1">
      <alignment vertical="center" wrapText="1"/>
    </xf>
    <xf numFmtId="0" fontId="42" fillId="0" borderId="10" xfId="543" applyFont="1" applyBorder="1" applyAlignment="1" applyProtection="1">
      <alignment vertical="center" wrapText="1"/>
    </xf>
    <xf numFmtId="0" fontId="43" fillId="0" borderId="8" xfId="543" applyFont="1" applyBorder="1" applyAlignment="1" applyProtection="1">
      <alignment vertical="center" wrapText="1"/>
    </xf>
    <xf numFmtId="0" fontId="43" fillId="0" borderId="0" xfId="543" applyFont="1" applyBorder="1" applyAlignment="1" applyProtection="1">
      <alignment vertical="center" wrapText="1"/>
    </xf>
    <xf numFmtId="0" fontId="43" fillId="0" borderId="12" xfId="543" applyFont="1" applyBorder="1" applyAlignment="1" applyProtection="1">
      <alignment vertical="center" wrapText="1"/>
    </xf>
    <xf numFmtId="0" fontId="43" fillId="0" borderId="9" xfId="543" applyFont="1" applyBorder="1" applyAlignment="1" applyProtection="1">
      <alignment vertical="center" wrapText="1"/>
    </xf>
    <xf numFmtId="0" fontId="43" fillId="0" borderId="6" xfId="543" applyFont="1" applyBorder="1" applyAlignment="1" applyProtection="1">
      <alignment vertical="center" wrapText="1"/>
    </xf>
    <xf numFmtId="0" fontId="43" fillId="0" borderId="10" xfId="543" applyFont="1" applyBorder="1" applyAlignment="1" applyProtection="1">
      <alignment vertical="center" wrapText="1"/>
    </xf>
    <xf numFmtId="0" fontId="36" fillId="0" borderId="12" xfId="543" applyFont="1" applyBorder="1" applyAlignment="1" applyProtection="1">
      <alignment horizontal="center" vertical="top"/>
    </xf>
    <xf numFmtId="0" fontId="37" fillId="0" borderId="7" xfId="543" applyFont="1" applyFill="1" applyBorder="1" applyAlignment="1" applyProtection="1"/>
    <xf numFmtId="0" fontId="16" fillId="0" borderId="12" xfId="543" quotePrefix="1" applyFont="1" applyFill="1" applyBorder="1" applyAlignment="1" applyProtection="1"/>
    <xf numFmtId="0" fontId="16" fillId="0" borderId="12" xfId="543" applyFont="1" applyFill="1" applyBorder="1" applyAlignment="1" applyProtection="1"/>
    <xf numFmtId="0" fontId="16" fillId="0" borderId="10" xfId="543" applyFont="1" applyFill="1" applyBorder="1" applyAlignment="1" applyProtection="1"/>
    <xf numFmtId="0" fontId="53" fillId="0" borderId="2" xfId="570" applyNumberFormat="1" applyFont="1" applyBorder="1" applyAlignment="1">
      <alignment vertical="top"/>
    </xf>
    <xf numFmtId="0" fontId="53" fillId="0" borderId="0" xfId="271" applyFont="1" applyFill="1" applyAlignment="1" applyProtection="1">
      <alignment vertical="top" wrapText="1"/>
    </xf>
    <xf numFmtId="184" fontId="98" fillId="0" borderId="0" xfId="4497" applyNumberFormat="1" applyFont="1" applyFill="1" applyAlignment="1">
      <alignment vertical="center" wrapText="1"/>
    </xf>
    <xf numFmtId="164" fontId="98" fillId="0" borderId="0" xfId="4497" applyNumberFormat="1" applyFont="1" applyFill="1" applyAlignment="1">
      <alignment vertical="center" wrapText="1"/>
    </xf>
    <xf numFmtId="164" fontId="98" fillId="0" borderId="0" xfId="4497" applyNumberFormat="1" applyFont="1" applyAlignment="1">
      <alignment wrapText="1"/>
    </xf>
    <xf numFmtId="0" fontId="16" fillId="0" borderId="0" xfId="4496" applyNumberFormat="1" applyFont="1" applyAlignment="1" applyProtection="1">
      <alignment vertical="top" wrapText="1"/>
    </xf>
    <xf numFmtId="0" fontId="16" fillId="0" borderId="0" xfId="1193" applyFont="1" applyFill="1" applyBorder="1" applyAlignment="1" applyProtection="1">
      <alignment vertical="top"/>
    </xf>
    <xf numFmtId="0" fontId="26" fillId="0" borderId="0" xfId="4496" applyFont="1" applyFill="1" applyBorder="1" applyProtection="1"/>
    <xf numFmtId="0" fontId="16" fillId="0" borderId="0" xfId="4496" applyFont="1" applyFill="1" applyBorder="1" applyAlignment="1" applyProtection="1">
      <alignment vertical="top" wrapText="1" shrinkToFit="1"/>
    </xf>
    <xf numFmtId="0" fontId="162" fillId="0" borderId="0" xfId="4496" applyFont="1" applyFill="1" applyBorder="1" applyAlignment="1" applyProtection="1"/>
    <xf numFmtId="0" fontId="26" fillId="0" borderId="0" xfId="4496" applyFont="1" applyFill="1" applyBorder="1" applyAlignment="1" applyProtection="1"/>
    <xf numFmtId="164" fontId="16" fillId="0" borderId="0" xfId="1193" applyNumberFormat="1" applyFont="1" applyFill="1" applyBorder="1" applyAlignment="1" applyProtection="1">
      <alignment horizontal="right"/>
    </xf>
    <xf numFmtId="164" fontId="16" fillId="0" borderId="0" xfId="4496" applyNumberFormat="1" applyFont="1" applyFill="1" applyBorder="1" applyAlignment="1" applyProtection="1">
      <alignment horizontal="right"/>
    </xf>
    <xf numFmtId="0" fontId="16" fillId="0" borderId="0" xfId="4496" applyFont="1" applyFill="1" applyBorder="1" applyAlignment="1" applyProtection="1">
      <alignment horizontal="left" vertical="top" wrapText="1" shrinkToFit="1"/>
    </xf>
    <xf numFmtId="0" fontId="16" fillId="0" borderId="0" xfId="4496" applyFont="1" applyAlignment="1">
      <alignment vertical="top" wrapText="1"/>
    </xf>
    <xf numFmtId="0" fontId="16" fillId="0" borderId="6" xfId="4496" applyFont="1" applyBorder="1" applyAlignment="1">
      <alignment vertical="top" wrapText="1"/>
    </xf>
    <xf numFmtId="0" fontId="16" fillId="0" borderId="0" xfId="4496" applyFont="1" applyBorder="1" applyAlignment="1">
      <alignment vertical="top" wrapText="1"/>
    </xf>
    <xf numFmtId="0" fontId="162" fillId="0" borderId="4" xfId="4496" applyFont="1" applyFill="1" applyBorder="1" applyAlignment="1" applyProtection="1"/>
    <xf numFmtId="0" fontId="16" fillId="0" borderId="4" xfId="4496" applyFont="1" applyFill="1" applyBorder="1" applyAlignment="1" applyProtection="1">
      <alignment horizontal="left" vertical="top" wrapText="1" shrinkToFit="1"/>
    </xf>
    <xf numFmtId="0" fontId="26" fillId="0" borderId="0" xfId="4496" applyFont="1" applyFill="1" applyBorder="1" applyAlignment="1" applyProtection="1">
      <alignment horizontal="left" vertical="top"/>
    </xf>
    <xf numFmtId="0" fontId="16" fillId="0" borderId="0" xfId="4496" applyFont="1" applyFill="1" applyBorder="1" applyAlignment="1" applyProtection="1">
      <alignment vertical="center" wrapText="1" shrinkToFit="1"/>
    </xf>
    <xf numFmtId="0" fontId="16" fillId="0" borderId="0" xfId="4496" applyFont="1" applyFill="1" applyBorder="1" applyAlignment="1" applyProtection="1">
      <alignment horizontal="left" vertical="top" shrinkToFit="1"/>
    </xf>
    <xf numFmtId="0" fontId="16" fillId="0" borderId="0" xfId="4496" applyFont="1" applyFill="1" applyBorder="1" applyAlignment="1" applyProtection="1">
      <alignment horizontal="left" vertical="center" shrinkToFit="1"/>
    </xf>
    <xf numFmtId="0" fontId="26" fillId="0" borderId="4" xfId="4496" applyFont="1" applyFill="1" applyBorder="1" applyProtection="1"/>
    <xf numFmtId="0" fontId="16" fillId="0" borderId="4" xfId="4496" applyFont="1" applyFill="1" applyBorder="1" applyAlignment="1" applyProtection="1">
      <alignment horizontal="left" vertical="top" shrinkToFit="1"/>
    </xf>
    <xf numFmtId="0" fontId="16" fillId="0" borderId="0" xfId="4496" applyFont="1" applyAlignment="1" applyProtection="1">
      <alignment vertical="center"/>
    </xf>
    <xf numFmtId="0" fontId="22" fillId="0" borderId="0" xfId="4496" applyFont="1" applyFill="1" applyBorder="1" applyAlignment="1" applyProtection="1"/>
    <xf numFmtId="0" fontId="26" fillId="0" borderId="0" xfId="4496" applyFont="1" applyFill="1" applyProtection="1"/>
    <xf numFmtId="0" fontId="34" fillId="0" borderId="0" xfId="4496" applyFont="1" applyFill="1" applyBorder="1" applyAlignment="1" applyProtection="1"/>
    <xf numFmtId="0" fontId="26" fillId="0" borderId="0" xfId="4496" applyFont="1" applyFill="1" applyBorder="1" applyAlignment="1" applyProtection="1">
      <alignment horizontal="center"/>
    </xf>
    <xf numFmtId="0" fontId="16" fillId="0" borderId="4" xfId="4496" applyFont="1" applyFill="1" applyBorder="1" applyAlignment="1" applyProtection="1">
      <alignment horizontal="left" vertical="top" wrapText="1"/>
    </xf>
    <xf numFmtId="44" fontId="16" fillId="0" borderId="0" xfId="708" applyFont="1" applyFill="1" applyBorder="1" applyAlignment="1" applyProtection="1">
      <alignment horizontal="left" vertical="top" wrapText="1"/>
    </xf>
    <xf numFmtId="44" fontId="16" fillId="0" borderId="4" xfId="708" applyFont="1" applyFill="1" applyBorder="1" applyAlignment="1" applyProtection="1">
      <alignment horizontal="left" vertical="top" wrapText="1"/>
    </xf>
    <xf numFmtId="164" fontId="34" fillId="0" borderId="0" xfId="4496" applyNumberFormat="1" applyFont="1" applyFill="1" applyBorder="1" applyAlignment="1" applyProtection="1">
      <alignment horizontal="left"/>
    </xf>
    <xf numFmtId="0" fontId="26" fillId="0" borderId="0" xfId="4496" applyFont="1" applyFill="1" applyBorder="1" applyAlignment="1" applyProtection="1">
      <alignment horizontal="left"/>
    </xf>
    <xf numFmtId="0" fontId="16" fillId="0" borderId="0" xfId="4496" applyFont="1" applyFill="1" applyBorder="1" applyAlignment="1" applyProtection="1">
      <alignment vertical="center"/>
    </xf>
    <xf numFmtId="0" fontId="16" fillId="0" borderId="4" xfId="4496" applyFont="1" applyFill="1" applyBorder="1" applyAlignment="1" applyProtection="1">
      <alignment vertical="top" wrapText="1"/>
    </xf>
    <xf numFmtId="0" fontId="26" fillId="0" borderId="4" xfId="4496" applyFont="1" applyFill="1" applyBorder="1" applyAlignment="1" applyProtection="1">
      <alignment horizontal="left" vertical="top"/>
    </xf>
    <xf numFmtId="0" fontId="16" fillId="0" borderId="0" xfId="4496" applyFont="1" applyFill="1" applyBorder="1" applyAlignment="1" applyProtection="1">
      <alignment horizontal="left" vertical="center" wrapText="1" shrinkToFit="1"/>
    </xf>
    <xf numFmtId="0" fontId="16" fillId="0" borderId="6" xfId="4496" applyFont="1" applyFill="1" applyBorder="1" applyAlignment="1" applyProtection="1">
      <alignment horizontal="left" vertical="top" wrapText="1"/>
    </xf>
    <xf numFmtId="0" fontId="24" fillId="0" borderId="0" xfId="4496" applyFont="1" applyBorder="1" applyAlignment="1"/>
    <xf numFmtId="0" fontId="32" fillId="0" borderId="0" xfId="4496" applyFont="1" applyFill="1" applyBorder="1" applyAlignment="1">
      <alignment horizontal="center"/>
    </xf>
    <xf numFmtId="2" fontId="117" fillId="0" borderId="0" xfId="0" applyNumberFormat="1" applyFont="1" applyFill="1" applyAlignment="1">
      <alignment horizontal="center"/>
    </xf>
    <xf numFmtId="9" fontId="16" fillId="0" borderId="0" xfId="4495"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168" fontId="16" fillId="0" borderId="0" xfId="0" applyNumberFormat="1" applyFont="1" applyFill="1"/>
    <xf numFmtId="3" fontId="16" fillId="0" borderId="0" xfId="0" applyNumberFormat="1" applyFont="1" applyFill="1" applyAlignment="1">
      <alignment horizontal="center"/>
    </xf>
    <xf numFmtId="3" fontId="16" fillId="0" borderId="0" xfId="0" applyNumberFormat="1" applyFont="1" applyFill="1"/>
    <xf numFmtId="3" fontId="16" fillId="0" borderId="0" xfId="0" applyNumberFormat="1" applyFont="1" applyAlignment="1">
      <alignment horizontal="center"/>
    </xf>
    <xf numFmtId="0" fontId="121" fillId="0" borderId="0" xfId="4497" applyFont="1" applyBorder="1" applyAlignment="1">
      <alignment vertical="center"/>
    </xf>
    <xf numFmtId="0" fontId="16" fillId="0" borderId="50" xfId="4496" applyFont="1" applyFill="1" applyBorder="1" applyAlignment="1" applyProtection="1">
      <alignment vertical="center"/>
    </xf>
    <xf numFmtId="0" fontId="16" fillId="0" borderId="51" xfId="4496" applyFont="1" applyFill="1" applyBorder="1" applyAlignment="1" applyProtection="1">
      <alignment vertical="center"/>
    </xf>
    <xf numFmtId="0" fontId="16" fillId="0" borderId="52" xfId="4496" applyFont="1" applyFill="1" applyBorder="1" applyAlignment="1" applyProtection="1">
      <alignment vertical="center"/>
    </xf>
    <xf numFmtId="0" fontId="16" fillId="0" borderId="54" xfId="4496" applyFont="1" applyFill="1" applyBorder="1" applyAlignment="1" applyProtection="1">
      <alignment vertical="center" wrapText="1"/>
    </xf>
    <xf numFmtId="0" fontId="16" fillId="0" borderId="53" xfId="4496" applyFont="1" applyFill="1" applyBorder="1" applyAlignment="1" applyProtection="1">
      <alignment vertical="top" wrapText="1"/>
    </xf>
    <xf numFmtId="0" fontId="16" fillId="0" borderId="8" xfId="543" applyFont="1" applyFill="1" applyBorder="1" applyProtection="1"/>
    <xf numFmtId="172" fontId="16" fillId="0" borderId="0" xfId="543" applyNumberFormat="1" applyFont="1" applyFill="1" applyProtection="1"/>
    <xf numFmtId="0" fontId="16" fillId="0" borderId="0" xfId="543" applyFont="1" applyFill="1" applyAlignment="1" applyProtection="1"/>
    <xf numFmtId="0" fontId="16" fillId="0" borderId="58" xfId="0" applyFont="1" applyBorder="1" applyAlignment="1">
      <alignment horizontal="left"/>
    </xf>
    <xf numFmtId="9" fontId="16" fillId="0" borderId="0" xfId="543" applyNumberFormat="1" applyFont="1" applyBorder="1" applyAlignment="1" applyProtection="1">
      <alignment horizontal="center"/>
    </xf>
    <xf numFmtId="0" fontId="48" fillId="0" borderId="0" xfId="4497" applyFont="1" applyProtection="1"/>
    <xf numFmtId="168" fontId="53" fillId="5" borderId="11" xfId="0" applyNumberFormat="1" applyFont="1" applyFill="1" applyBorder="1" applyAlignment="1" applyProtection="1">
      <alignment vertical="top" wrapText="1"/>
      <protection locked="0"/>
    </xf>
    <xf numFmtId="0" fontId="16" fillId="0" borderId="0" xfId="0" applyFont="1" applyAlignment="1">
      <alignment horizontal="left" vertical="top" wrapText="1"/>
    </xf>
    <xf numFmtId="0" fontId="16" fillId="0" borderId="0" xfId="0" applyFont="1" applyFill="1" applyAlignment="1">
      <alignment horizontal="left" vertical="top" wrapText="1"/>
    </xf>
    <xf numFmtId="0" fontId="16" fillId="0" borderId="0" xfId="0" applyFont="1" applyFill="1" applyAlignment="1">
      <alignment horizontal="left" wrapText="1"/>
    </xf>
    <xf numFmtId="0" fontId="23" fillId="0" borderId="0" xfId="0" applyFont="1" applyAlignment="1">
      <alignment horizontal="left" vertical="top" wrapText="1"/>
    </xf>
    <xf numFmtId="0" fontId="16" fillId="0" borderId="0" xfId="1193" applyFont="1" applyFill="1" applyAlignment="1">
      <alignment horizontal="left" vertical="top" wrapText="1"/>
    </xf>
    <xf numFmtId="0" fontId="16" fillId="0" borderId="0" xfId="0" applyFont="1" applyAlignment="1">
      <alignment horizontal="left"/>
    </xf>
    <xf numFmtId="0" fontId="16" fillId="0" borderId="0" xfId="0" applyFont="1" applyAlignment="1" applyProtection="1">
      <alignment horizontal="left"/>
    </xf>
    <xf numFmtId="0" fontId="34" fillId="0" borderId="0" xfId="0" applyFont="1" applyFill="1" applyAlignment="1">
      <alignment horizontal="left"/>
    </xf>
    <xf numFmtId="0" fontId="23" fillId="0" borderId="0" xfId="0" applyFont="1" applyAlignment="1">
      <alignment horizontal="left"/>
    </xf>
    <xf numFmtId="0" fontId="16" fillId="0" borderId="0" xfId="570" applyFont="1" applyAlignment="1">
      <alignment horizontal="left" vertical="top" wrapText="1"/>
    </xf>
    <xf numFmtId="0" fontId="16" fillId="0" borderId="0" xfId="570" applyFont="1" applyBorder="1" applyAlignment="1">
      <alignment horizontal="left" vertical="top"/>
    </xf>
    <xf numFmtId="0" fontId="34" fillId="0" borderId="0" xfId="0" applyFont="1" applyAlignment="1" applyProtection="1">
      <alignment horizontal="center"/>
    </xf>
    <xf numFmtId="0" fontId="34" fillId="0" borderId="0" xfId="0" applyFont="1" applyFill="1" applyAlignment="1">
      <alignment horizontal="center"/>
    </xf>
    <xf numFmtId="4" fontId="34" fillId="0" borderId="0" xfId="0" applyNumberFormat="1" applyFont="1" applyFill="1" applyAlignment="1" applyProtection="1">
      <alignment horizontal="left"/>
    </xf>
    <xf numFmtId="4" fontId="16" fillId="0" borderId="0" xfId="0" applyNumberFormat="1" applyFont="1" applyFill="1" applyAlignment="1" applyProtection="1">
      <alignment horizontal="left" vertical="top" wrapText="1"/>
    </xf>
    <xf numFmtId="0" fontId="16" fillId="0" borderId="0" xfId="570" applyFont="1" applyAlignment="1">
      <alignment horizontal="left" vertical="top"/>
    </xf>
    <xf numFmtId="0" fontId="23" fillId="0" borderId="0" xfId="570" applyFont="1" applyAlignment="1">
      <alignment horizontal="left" vertical="top"/>
    </xf>
    <xf numFmtId="0" fontId="23" fillId="0" borderId="4" xfId="0" applyFont="1" applyBorder="1" applyAlignment="1" applyProtection="1">
      <alignment horizontal="left"/>
    </xf>
    <xf numFmtId="0" fontId="16" fillId="0" borderId="0" xfId="0" applyFont="1" applyFill="1" applyAlignment="1">
      <alignment horizontal="left"/>
    </xf>
    <xf numFmtId="4" fontId="16" fillId="0" borderId="0" xfId="0" applyNumberFormat="1" applyFont="1" applyFill="1" applyAlignment="1" applyProtection="1">
      <alignment horizontal="left"/>
    </xf>
    <xf numFmtId="0" fontId="16" fillId="0" borderId="0" xfId="570" applyFont="1" applyAlignment="1" applyProtection="1">
      <alignment horizontal="left" vertical="top"/>
    </xf>
    <xf numFmtId="0" fontId="16" fillId="0" borderId="0" xfId="570" applyFont="1" applyAlignment="1" applyProtection="1">
      <alignment horizontal="left" vertical="top" wrapText="1"/>
    </xf>
    <xf numFmtId="0" fontId="23" fillId="0" borderId="0" xfId="0" applyFont="1" applyAlignment="1" applyProtection="1">
      <alignment horizontal="center"/>
    </xf>
    <xf numFmtId="0" fontId="16" fillId="0" borderId="0" xfId="0" applyFont="1" applyFill="1" applyAlignment="1" applyProtection="1">
      <alignment horizontal="center"/>
    </xf>
    <xf numFmtId="43" fontId="51" fillId="0" borderId="0" xfId="4505" applyFont="1" applyAlignment="1" applyProtection="1">
      <alignment horizontal="center"/>
    </xf>
    <xf numFmtId="43" fontId="16" fillId="0" borderId="0" xfId="4505" applyFont="1" applyAlignment="1" applyProtection="1">
      <alignment horizontal="center"/>
    </xf>
    <xf numFmtId="43" fontId="16" fillId="0" borderId="0" xfId="4505" applyFont="1" applyProtection="1"/>
    <xf numFmtId="0" fontId="23" fillId="0" borderId="0" xfId="0" applyFont="1" applyAlignment="1">
      <alignment vertical="top"/>
    </xf>
    <xf numFmtId="0" fontId="23" fillId="0" borderId="0" xfId="570" applyFont="1" applyAlignment="1" applyProtection="1">
      <alignment horizontal="left" vertical="top"/>
    </xf>
    <xf numFmtId="0" fontId="16" fillId="0" borderId="0" xfId="0" applyFont="1" applyBorder="1" applyAlignment="1">
      <alignment horizontal="center"/>
    </xf>
    <xf numFmtId="0" fontId="16" fillId="0" borderId="0" xfId="0" applyFont="1" applyFill="1" applyBorder="1" applyAlignment="1">
      <alignment horizontal="left"/>
    </xf>
    <xf numFmtId="0" fontId="16" fillId="0" borderId="0" xfId="0" applyFont="1" applyFill="1" applyBorder="1" applyAlignment="1">
      <alignment horizontal="center"/>
    </xf>
    <xf numFmtId="0" fontId="34" fillId="0" borderId="0" xfId="0" applyFont="1" applyBorder="1" applyAlignment="1">
      <alignment horizontal="center"/>
    </xf>
    <xf numFmtId="0" fontId="34" fillId="0" borderId="0" xfId="0" applyFont="1" applyFill="1" applyBorder="1" applyAlignment="1" applyProtection="1">
      <alignment horizontal="center"/>
    </xf>
    <xf numFmtId="0" fontId="34" fillId="0" borderId="0" xfId="0" applyFont="1" applyFill="1" applyBorder="1" applyAlignment="1">
      <alignment horizontal="center"/>
    </xf>
    <xf numFmtId="49" fontId="16" fillId="0" borderId="0" xfId="0" applyNumberFormat="1" applyFont="1"/>
    <xf numFmtId="49" fontId="16" fillId="0" borderId="0" xfId="0" applyNumberFormat="1" applyFont="1" applyFill="1"/>
    <xf numFmtId="49" fontId="16" fillId="0" borderId="0" xfId="0" applyNumberFormat="1" applyFont="1" applyAlignment="1">
      <alignment horizontal="center"/>
    </xf>
    <xf numFmtId="4" fontId="16" fillId="0" borderId="0" xfId="0" applyNumberFormat="1" applyFont="1" applyFill="1" applyAlignment="1" applyProtection="1">
      <alignment vertical="top" wrapText="1"/>
    </xf>
    <xf numFmtId="0" fontId="16" fillId="0" borderId="0" xfId="0" applyFont="1" applyAlignment="1" applyProtection="1">
      <alignment horizontal="center"/>
    </xf>
    <xf numFmtId="0" fontId="16" fillId="0" borderId="0" xfId="0" quotePrefix="1" applyFont="1"/>
    <xf numFmtId="49" fontId="16" fillId="0" borderId="0" xfId="0" applyNumberFormat="1" applyFont="1" applyFill="1" applyAlignment="1">
      <alignment horizontal="center"/>
    </xf>
    <xf numFmtId="0" fontId="46" fillId="0" borderId="0" xfId="0" applyFont="1" applyFill="1" applyAlignment="1">
      <alignment horizontal="left"/>
    </xf>
    <xf numFmtId="0" fontId="34" fillId="0" borderId="0" xfId="0" applyFont="1" applyAlignment="1">
      <alignment horizontal="center"/>
    </xf>
    <xf numFmtId="0" fontId="16" fillId="0" borderId="4" xfId="0" applyFont="1" applyBorder="1" applyAlignment="1">
      <alignment horizontal="left"/>
    </xf>
    <xf numFmtId="0" fontId="16" fillId="0" borderId="4" xfId="0" applyFont="1" applyFill="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3" applyFont="1" applyFill="1" applyAlignment="1">
      <alignment horizontal="left"/>
    </xf>
    <xf numFmtId="0" fontId="51" fillId="0" borderId="0" xfId="0" applyFont="1" applyFill="1" applyAlignment="1" applyProtection="1">
      <alignment horizontal="center" vertical="center"/>
    </xf>
    <xf numFmtId="49" fontId="23" fillId="0" borderId="0" xfId="0" applyNumberFormat="1" applyFont="1" applyFill="1" applyAlignment="1">
      <alignment horizontal="center" vertical="center"/>
    </xf>
    <xf numFmtId="49" fontId="16" fillId="0" borderId="0" xfId="0" applyNumberFormat="1" applyFont="1" applyFill="1" applyAlignment="1">
      <alignment vertical="center"/>
    </xf>
    <xf numFmtId="0" fontId="23" fillId="0" borderId="0" xfId="1193" applyFont="1" applyFill="1"/>
    <xf numFmtId="49" fontId="16" fillId="0" borderId="0" xfId="0" applyNumberFormat="1" applyFont="1" applyAlignment="1" applyProtection="1">
      <alignment horizontal="center"/>
    </xf>
    <xf numFmtId="0" fontId="16" fillId="0" borderId="0" xfId="0" applyFont="1" applyFill="1" applyBorder="1" applyAlignment="1" applyProtection="1">
      <alignment vertical="top"/>
    </xf>
    <xf numFmtId="49" fontId="16" fillId="0" borderId="0" xfId="0" applyNumberFormat="1" applyFont="1" applyFill="1" applyAlignment="1" applyProtection="1">
      <alignment horizontal="center"/>
    </xf>
    <xf numFmtId="4" fontId="16" fillId="0" borderId="0" xfId="0" applyNumberFormat="1" applyFont="1" applyAlignment="1" applyProtection="1">
      <alignment horizontal="center"/>
    </xf>
    <xf numFmtId="4" fontId="16" fillId="0" borderId="0" xfId="0" applyNumberFormat="1" applyFont="1" applyFill="1" applyProtection="1"/>
    <xf numFmtId="4" fontId="16" fillId="0" borderId="0" xfId="0" applyNumberFormat="1" applyFont="1" applyAlignment="1" applyProtection="1">
      <alignment horizontal="left"/>
    </xf>
    <xf numFmtId="4" fontId="16" fillId="0" borderId="0" xfId="0" applyNumberFormat="1" applyFont="1" applyProtection="1"/>
    <xf numFmtId="0" fontId="46" fillId="0" borderId="0" xfId="0" applyFont="1" applyFill="1" applyBorder="1"/>
    <xf numFmtId="10" fontId="16" fillId="0" borderId="0" xfId="4496" applyNumberFormat="1" applyFont="1" applyFill="1" applyProtection="1"/>
    <xf numFmtId="0" fontId="16" fillId="0" borderId="0" xfId="4496" applyFont="1" applyFill="1" applyAlignment="1" applyProtection="1">
      <alignment horizontal="center"/>
    </xf>
    <xf numFmtId="0" fontId="16" fillId="0" borderId="0" xfId="0" applyFont="1" applyFill="1" applyBorder="1" applyAlignment="1">
      <alignment vertical="top"/>
    </xf>
    <xf numFmtId="0" fontId="16" fillId="0" borderId="0" xfId="0" applyFont="1" applyFill="1" applyBorder="1" applyAlignment="1">
      <alignment vertical="center"/>
    </xf>
    <xf numFmtId="165" fontId="16" fillId="0" borderId="0" xfId="4496" applyNumberFormat="1" applyFont="1" applyFill="1" applyProtection="1"/>
    <xf numFmtId="0" fontId="16" fillId="0" borderId="0" xfId="570"/>
    <xf numFmtId="4" fontId="16" fillId="0" borderId="0" xfId="570" applyNumberFormat="1" applyFont="1" applyFill="1" applyAlignment="1" applyProtection="1">
      <alignment horizontal="left"/>
    </xf>
    <xf numFmtId="0" fontId="16" fillId="0" borderId="0" xfId="570" applyFont="1" applyProtection="1"/>
    <xf numFmtId="0" fontId="16" fillId="0" borderId="0" xfId="570" applyProtection="1"/>
    <xf numFmtId="0" fontId="16" fillId="0" borderId="0" xfId="570" applyFill="1" applyProtection="1"/>
    <xf numFmtId="0" fontId="23" fillId="0" borderId="0" xfId="570" applyFont="1" applyProtection="1"/>
    <xf numFmtId="0" fontId="16" fillId="5" borderId="6" xfId="570" applyFill="1" applyBorder="1" applyAlignment="1" applyProtection="1">
      <protection locked="0"/>
    </xf>
    <xf numFmtId="0" fontId="16" fillId="0" borderId="0" xfId="570" applyFont="1" applyFill="1" applyAlignment="1">
      <alignment horizontal="center"/>
    </xf>
    <xf numFmtId="0" fontId="16" fillId="0" borderId="0" xfId="1193"/>
    <xf numFmtId="0" fontId="16" fillId="0" borderId="0" xfId="1193" applyFont="1" applyAlignment="1" applyProtection="1">
      <alignment vertical="top" wrapText="1"/>
    </xf>
    <xf numFmtId="0" fontId="16" fillId="0" borderId="0" xfId="1193" applyFont="1" applyAlignment="1" applyProtection="1">
      <alignment horizontal="left" vertical="top" wrapText="1"/>
    </xf>
    <xf numFmtId="10" fontId="121" fillId="0" borderId="0" xfId="4497" applyNumberFormat="1" applyFont="1" applyFill="1" applyBorder="1" applyAlignment="1">
      <alignment horizontal="center" vertical="top" wrapText="1"/>
    </xf>
    <xf numFmtId="10" fontId="121" fillId="0" borderId="65" xfId="4497" applyNumberFormat="1" applyFont="1" applyFill="1" applyBorder="1" applyAlignment="1">
      <alignment horizontal="center" vertical="top" wrapText="1"/>
    </xf>
    <xf numFmtId="10" fontId="121" fillId="0" borderId="53" xfId="4497" applyNumberFormat="1" applyFont="1" applyFill="1" applyBorder="1" applyAlignment="1">
      <alignment horizontal="left" vertical="top"/>
    </xf>
    <xf numFmtId="0" fontId="23"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3" fillId="0" borderId="0" xfId="0" applyFont="1" applyBorder="1" applyAlignment="1" applyProtection="1">
      <alignment horizontal="center"/>
    </xf>
    <xf numFmtId="0" fontId="23" fillId="0" borderId="6" xfId="0" applyFont="1" applyBorder="1" applyAlignment="1" applyProtection="1">
      <alignment horizontal="center"/>
    </xf>
    <xf numFmtId="0" fontId="23" fillId="0" borderId="0" xfId="4496" applyFont="1" applyFill="1" applyBorder="1" applyAlignment="1" applyProtection="1">
      <alignment horizontal="center"/>
    </xf>
    <xf numFmtId="0" fontId="23" fillId="0" borderId="0" xfId="4496" applyFont="1" applyFill="1" applyBorder="1" applyAlignment="1" applyProtection="1">
      <alignment horizontal="right"/>
    </xf>
    <xf numFmtId="0" fontId="119" fillId="0" borderId="53" xfId="4496" applyFill="1" applyBorder="1" applyAlignment="1" applyProtection="1">
      <alignment horizontal="center"/>
    </xf>
    <xf numFmtId="0" fontId="119" fillId="0" borderId="0" xfId="4496" applyFill="1" applyBorder="1" applyAlignment="1" applyProtection="1">
      <alignment horizontal="center"/>
    </xf>
    <xf numFmtId="0" fontId="24" fillId="0" borderId="0" xfId="4496" applyFont="1" applyFill="1" applyBorder="1" applyAlignment="1" applyProtection="1">
      <alignment horizontal="left" vertical="top" wrapText="1"/>
    </xf>
    <xf numFmtId="0" fontId="23" fillId="0" borderId="0" xfId="4496" applyFont="1" applyFill="1" applyBorder="1" applyAlignment="1" applyProtection="1">
      <alignment horizontal="center" vertical="top"/>
    </xf>
    <xf numFmtId="0" fontId="24" fillId="0" borderId="0" xfId="4496" applyFont="1" applyFill="1" applyBorder="1" applyAlignment="1" applyProtection="1">
      <alignment horizontal="center"/>
    </xf>
    <xf numFmtId="0" fontId="16" fillId="0" borderId="0" xfId="543" applyFont="1" applyAlignment="1" applyProtection="1">
      <alignment horizontal="center"/>
    </xf>
    <xf numFmtId="0" fontId="23" fillId="0" borderId="0" xfId="4496" applyFont="1" applyFill="1" applyBorder="1" applyAlignment="1" applyProtection="1">
      <alignment horizontal="left" vertical="top"/>
    </xf>
    <xf numFmtId="0" fontId="16" fillId="0" borderId="0" xfId="1193" applyFont="1" applyAlignment="1" applyProtection="1">
      <alignment horizontal="right"/>
    </xf>
    <xf numFmtId="9" fontId="16" fillId="0" borderId="0" xfId="1193" quotePrefix="1" applyNumberFormat="1" applyFont="1" applyFill="1" applyBorder="1" applyAlignment="1" applyProtection="1">
      <alignment horizontal="center"/>
    </xf>
    <xf numFmtId="0" fontId="23" fillId="0" borderId="0" xfId="4496" applyFont="1" applyAlignment="1" applyProtection="1">
      <alignment horizontal="right"/>
    </xf>
    <xf numFmtId="0" fontId="121" fillId="0" borderId="0" xfId="4496" applyFont="1" applyFill="1" applyProtection="1"/>
    <xf numFmtId="10" fontId="121" fillId="0" borderId="0" xfId="4496" applyNumberFormat="1" applyFont="1" applyFill="1" applyProtection="1"/>
    <xf numFmtId="172" fontId="16" fillId="0" borderId="0" xfId="4496" applyNumberFormat="1" applyFont="1" applyFill="1" applyProtection="1"/>
    <xf numFmtId="0" fontId="16" fillId="0" borderId="0" xfId="543" applyFont="1" applyFill="1" applyBorder="1" applyAlignment="1" applyProtection="1">
      <alignment horizontal="center"/>
    </xf>
    <xf numFmtId="0" fontId="39" fillId="0" borderId="0" xfId="0" applyFont="1" applyBorder="1" applyAlignment="1" applyProtection="1">
      <alignment horizontal="center"/>
    </xf>
    <xf numFmtId="0" fontId="39" fillId="0" borderId="0" xfId="543" applyFont="1" applyBorder="1" applyProtection="1"/>
    <xf numFmtId="0" fontId="35" fillId="0" borderId="0" xfId="0" applyFont="1" applyFill="1" applyBorder="1" applyAlignment="1" applyProtection="1">
      <alignment horizontal="left"/>
    </xf>
    <xf numFmtId="0" fontId="0" fillId="0" borderId="10" xfId="0" applyFill="1" applyBorder="1" applyAlignment="1" applyProtection="1">
      <alignment horizontal="left"/>
    </xf>
    <xf numFmtId="0" fontId="53" fillId="0" borderId="11" xfId="0" applyFont="1" applyFill="1" applyBorder="1" applyAlignment="1" applyProtection="1">
      <alignment horizontal="right" vertical="top" wrapText="1"/>
    </xf>
    <xf numFmtId="0" fontId="56" fillId="0" borderId="11" xfId="0" applyFont="1" applyFill="1" applyBorder="1" applyAlignment="1" applyProtection="1">
      <alignment horizontal="right" vertical="top" wrapText="1"/>
    </xf>
    <xf numFmtId="1" fontId="16" fillId="0" borderId="0" xfId="1193" applyNumberFormat="1" applyFont="1" applyFill="1" applyBorder="1" applyAlignment="1" applyProtection="1">
      <alignment horizontal="center"/>
    </xf>
    <xf numFmtId="0" fontId="119" fillId="0" borderId="64" xfId="4496" applyFill="1" applyBorder="1" applyAlignment="1" applyProtection="1"/>
    <xf numFmtId="0" fontId="32" fillId="0" borderId="0" xfId="4496" applyNumberFormat="1" applyFont="1" applyFill="1" applyBorder="1" applyAlignment="1" applyProtection="1">
      <alignment vertical="top"/>
    </xf>
    <xf numFmtId="0" fontId="53" fillId="0" borderId="0" xfId="271" applyFont="1" applyFill="1" applyAlignment="1" applyProtection="1">
      <alignment vertical="top"/>
    </xf>
    <xf numFmtId="0" fontId="23" fillId="0" borderId="11" xfId="0" applyFont="1" applyBorder="1" applyAlignment="1" applyProtection="1">
      <alignment horizontal="right" vertical="top" wrapText="1"/>
    </xf>
    <xf numFmtId="0" fontId="25"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6" fillId="0" borderId="54" xfId="4496" applyFont="1" applyFill="1" applyBorder="1" applyAlignment="1" applyProtection="1">
      <alignment vertical="top"/>
    </xf>
    <xf numFmtId="0" fontId="25" fillId="0" borderId="0" xfId="0" applyFont="1" applyFill="1" applyBorder="1" applyAlignment="1" applyProtection="1">
      <alignment vertical="top"/>
    </xf>
    <xf numFmtId="9" fontId="25" fillId="0" borderId="0" xfId="0" applyNumberFormat="1" applyFont="1" applyFill="1" applyBorder="1" applyAlignment="1" applyProtection="1"/>
    <xf numFmtId="168" fontId="98" fillId="0" borderId="0" xfId="4500" applyNumberFormat="1" applyFont="1" applyFill="1" applyBorder="1" applyAlignment="1" applyProtection="1">
      <alignment vertical="center"/>
    </xf>
    <xf numFmtId="0" fontId="16" fillId="0" borderId="0" xfId="570" applyFont="1" applyAlignment="1">
      <alignment horizontal="left" vertical="top" wrapText="1"/>
    </xf>
    <xf numFmtId="0" fontId="16" fillId="0" borderId="16" xfId="570" applyFont="1" applyBorder="1" applyAlignment="1" applyProtection="1">
      <alignment horizontal="center"/>
    </xf>
    <xf numFmtId="0" fontId="16" fillId="0" borderId="0" xfId="570" applyAlignment="1">
      <alignment wrapText="1"/>
    </xf>
    <xf numFmtId="0" fontId="16" fillId="0" borderId="0" xfId="570" applyFont="1" applyAlignment="1"/>
    <xf numFmtId="0" fontId="16" fillId="0" borderId="0" xfId="570" applyFont="1" applyAlignment="1" applyProtection="1">
      <alignment horizontal="left" vertical="top"/>
    </xf>
    <xf numFmtId="0" fontId="16" fillId="0" borderId="0" xfId="1193" applyAlignment="1">
      <alignment vertical="top" wrapText="1"/>
    </xf>
    <xf numFmtId="164" fontId="16" fillId="0" borderId="57" xfId="4496" applyNumberFormat="1" applyFont="1" applyFill="1" applyBorder="1" applyAlignment="1" applyProtection="1">
      <alignment vertical="top" wrapText="1"/>
    </xf>
    <xf numFmtId="164" fontId="16" fillId="0" borderId="58" xfId="4496" applyNumberFormat="1" applyFont="1" applyFill="1" applyBorder="1" applyAlignment="1" applyProtection="1">
      <alignment vertical="top" wrapText="1"/>
    </xf>
    <xf numFmtId="164" fontId="16" fillId="0" borderId="59" xfId="4496" applyNumberFormat="1" applyFont="1" applyFill="1" applyBorder="1" applyAlignment="1" applyProtection="1">
      <alignment vertical="top" wrapText="1"/>
    </xf>
    <xf numFmtId="0" fontId="23" fillId="0" borderId="0" xfId="570" applyFont="1" applyFill="1" applyAlignment="1" applyProtection="1">
      <alignment horizontal="center"/>
    </xf>
    <xf numFmtId="0" fontId="23" fillId="0" borderId="0" xfId="570" applyFont="1" applyFill="1" applyProtection="1"/>
    <xf numFmtId="43" fontId="23" fillId="0" borderId="0" xfId="4505" applyFont="1" applyProtection="1"/>
    <xf numFmtId="0" fontId="23" fillId="0" borderId="0" xfId="570" applyFont="1" applyAlignment="1">
      <alignment vertical="center"/>
    </xf>
    <xf numFmtId="0" fontId="23" fillId="0" borderId="0" xfId="570" applyFont="1" applyAlignment="1" applyProtection="1"/>
    <xf numFmtId="49" fontId="23" fillId="0" borderId="0" xfId="570" applyNumberFormat="1" applyFont="1" applyProtection="1"/>
    <xf numFmtId="49" fontId="23" fillId="0" borderId="0" xfId="570" applyNumberFormat="1" applyFont="1" applyFill="1" applyProtection="1"/>
    <xf numFmtId="4" fontId="23" fillId="0" borderId="0" xfId="570" applyNumberFormat="1" applyFont="1" applyFill="1" applyProtection="1"/>
    <xf numFmtId="0" fontId="16" fillId="0" borderId="0" xfId="570" applyFont="1" applyAlignment="1" applyProtection="1">
      <alignment wrapText="1"/>
    </xf>
    <xf numFmtId="0" fontId="16" fillId="0" borderId="0" xfId="570" applyFont="1" applyBorder="1" applyAlignment="1">
      <alignment horizontal="left"/>
    </xf>
    <xf numFmtId="0" fontId="34" fillId="0" borderId="0" xfId="0" applyFont="1" applyAlignment="1" applyProtection="1">
      <alignment horizontal="center"/>
    </xf>
    <xf numFmtId="0" fontId="23" fillId="0" borderId="0" xfId="0" applyFont="1" applyFill="1" applyAlignment="1">
      <alignment horizontal="left" vertical="top" wrapText="1"/>
    </xf>
    <xf numFmtId="0" fontId="23" fillId="0" borderId="0" xfId="1193" applyFont="1" applyFill="1" applyAlignment="1">
      <alignment horizontal="left" vertical="top" wrapText="1"/>
    </xf>
    <xf numFmtId="0" fontId="16" fillId="0" borderId="0" xfId="0" applyFont="1" applyFill="1" applyBorder="1" applyAlignment="1">
      <alignment horizontal="left" wrapText="1"/>
    </xf>
    <xf numFmtId="0" fontId="23" fillId="0" borderId="0" xfId="570" quotePrefix="1" applyFont="1" applyProtection="1"/>
    <xf numFmtId="0" fontId="16" fillId="0" borderId="16" xfId="570" applyBorder="1" applyProtection="1"/>
    <xf numFmtId="0" fontId="23" fillId="0" borderId="16" xfId="570" applyFont="1" applyBorder="1" applyProtection="1"/>
    <xf numFmtId="0" fontId="16" fillId="0" borderId="4" xfId="570" applyBorder="1" applyProtection="1"/>
    <xf numFmtId="0" fontId="23" fillId="0" borderId="4" xfId="570" applyFont="1" applyBorder="1" applyProtection="1"/>
    <xf numFmtId="49" fontId="16" fillId="0" borderId="4" xfId="570" applyNumberFormat="1" applyBorder="1" applyProtection="1"/>
    <xf numFmtId="49" fontId="23" fillId="0" borderId="4" xfId="570" applyNumberFormat="1" applyFont="1" applyBorder="1" applyProtection="1"/>
    <xf numFmtId="0" fontId="168" fillId="0" borderId="0" xfId="0" applyFont="1" applyFill="1" applyBorder="1" applyProtection="1"/>
    <xf numFmtId="0" fontId="16" fillId="0" borderId="0" xfId="0" applyFont="1" applyBorder="1" applyAlignment="1" applyProtection="1">
      <alignment horizontal="right"/>
    </xf>
    <xf numFmtId="1" fontId="16" fillId="0" borderId="0" xfId="0" applyNumberFormat="1" applyFont="1" applyFill="1" applyBorder="1" applyAlignment="1" applyProtection="1">
      <alignment horizontal="center"/>
    </xf>
    <xf numFmtId="168" fontId="16" fillId="0" borderId="0" xfId="0" applyNumberFormat="1" applyFont="1" applyFill="1" applyBorder="1" applyAlignment="1" applyProtection="1">
      <alignment horizontal="center"/>
    </xf>
    <xf numFmtId="0" fontId="16" fillId="0" borderId="0" xfId="0" applyFont="1" applyFill="1" applyBorder="1" applyAlignment="1" applyProtection="1">
      <alignment horizontal="right"/>
    </xf>
    <xf numFmtId="0" fontId="23" fillId="0" borderId="0"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6" fillId="0" borderId="0" xfId="8720"/>
    <xf numFmtId="0" fontId="103" fillId="0" borderId="0" xfId="8720" applyFont="1"/>
    <xf numFmtId="0" fontId="6" fillId="49" borderId="67" xfId="8720" applyFill="1" applyBorder="1"/>
    <xf numFmtId="0" fontId="6" fillId="49" borderId="0" xfId="8720" applyFill="1"/>
    <xf numFmtId="0" fontId="102" fillId="49" borderId="41" xfId="8720" applyFont="1" applyFill="1" applyBorder="1" applyAlignment="1">
      <alignment horizontal="center"/>
    </xf>
    <xf numFmtId="0" fontId="102" fillId="49" borderId="0" xfId="8720" applyFont="1" applyFill="1"/>
    <xf numFmtId="183" fontId="0" fillId="49" borderId="0" xfId="8721" applyNumberFormat="1" applyFont="1" applyFill="1" applyBorder="1" applyAlignment="1"/>
    <xf numFmtId="183" fontId="103" fillId="49" borderId="0" xfId="8721" applyNumberFormat="1" applyFont="1" applyFill="1" applyBorder="1" applyAlignment="1"/>
    <xf numFmtId="183" fontId="150" fillId="49" borderId="0" xfId="8721" applyNumberFormat="1" applyFont="1" applyFill="1" applyBorder="1" applyAlignment="1"/>
    <xf numFmtId="0" fontId="6" fillId="49" borderId="41" xfId="8720" applyFill="1" applyBorder="1"/>
    <xf numFmtId="0" fontId="103" fillId="49" borderId="0" xfId="8720" applyFont="1" applyFill="1"/>
    <xf numFmtId="0" fontId="156" fillId="49" borderId="0" xfId="8720" applyFont="1" applyFill="1"/>
    <xf numFmtId="0" fontId="102" fillId="49" borderId="41" xfId="8720" applyFont="1" applyFill="1" applyBorder="1"/>
    <xf numFmtId="0" fontId="102" fillId="0" borderId="0" xfId="8720" applyFont="1"/>
    <xf numFmtId="0" fontId="102" fillId="45" borderId="0" xfId="8720" applyFont="1" applyFill="1"/>
    <xf numFmtId="0" fontId="6" fillId="45" borderId="0" xfId="8720" applyFill="1"/>
    <xf numFmtId="0" fontId="158" fillId="49" borderId="0" xfId="8720" applyFont="1" applyFill="1"/>
    <xf numFmtId="0" fontId="6" fillId="48" borderId="66" xfId="8720" applyFill="1" applyBorder="1"/>
    <xf numFmtId="0" fontId="6" fillId="48" borderId="29" xfId="8720" applyFill="1" applyBorder="1"/>
    <xf numFmtId="0" fontId="6" fillId="48" borderId="31" xfId="8720" applyFill="1" applyBorder="1"/>
    <xf numFmtId="0" fontId="6" fillId="48" borderId="67" xfId="8720" applyFill="1" applyBorder="1"/>
    <xf numFmtId="0" fontId="6" fillId="48" borderId="0" xfId="8720" applyFill="1"/>
    <xf numFmtId="0" fontId="6" fillId="48" borderId="41" xfId="8720" applyFill="1" applyBorder="1"/>
    <xf numFmtId="0" fontId="6" fillId="48" borderId="88" xfId="8720" applyFill="1" applyBorder="1"/>
    <xf numFmtId="0" fontId="6" fillId="48" borderId="42" xfId="8720" applyFill="1" applyBorder="1"/>
    <xf numFmtId="0" fontId="6" fillId="48" borderId="44" xfId="8720" applyFill="1" applyBorder="1"/>
    <xf numFmtId="0" fontId="147" fillId="48" borderId="4" xfId="8720" applyFont="1" applyFill="1" applyBorder="1" applyAlignment="1">
      <alignment horizontal="center"/>
    </xf>
    <xf numFmtId="0" fontId="147" fillId="48" borderId="81" xfId="8720" applyFont="1" applyFill="1" applyBorder="1" applyAlignment="1">
      <alignment horizontal="center"/>
    </xf>
    <xf numFmtId="0" fontId="102" fillId="49" borderId="67" xfId="8720" applyFont="1" applyFill="1" applyBorder="1"/>
    <xf numFmtId="49" fontId="102" fillId="49" borderId="67" xfId="8720" applyNumberFormat="1" applyFont="1" applyFill="1" applyBorder="1" applyAlignment="1">
      <alignment horizontal="right" vertical="top"/>
    </xf>
    <xf numFmtId="0" fontId="6" fillId="49" borderId="0" xfId="8720" applyFill="1" applyAlignment="1">
      <alignment vertical="top" wrapText="1"/>
    </xf>
    <xf numFmtId="0" fontId="6" fillId="49" borderId="88" xfId="8720" applyFill="1" applyBorder="1"/>
    <xf numFmtId="0" fontId="6" fillId="49" borderId="42" xfId="8720" applyFill="1" applyBorder="1"/>
    <xf numFmtId="0" fontId="6" fillId="49" borderId="44" xfId="8720" applyFill="1" applyBorder="1"/>
    <xf numFmtId="0" fontId="6" fillId="45" borderId="67" xfId="8720" applyFill="1" applyBorder="1"/>
    <xf numFmtId="0" fontId="6" fillId="45" borderId="41" xfId="8720" applyFill="1" applyBorder="1"/>
    <xf numFmtId="0" fontId="6" fillId="45" borderId="0" xfId="8720" applyFill="1" applyAlignment="1">
      <alignment horizontal="left"/>
    </xf>
    <xf numFmtId="0" fontId="6" fillId="45" borderId="88" xfId="8720" applyFill="1" applyBorder="1"/>
    <xf numFmtId="0" fontId="6" fillId="45" borderId="42" xfId="8720" applyFill="1" applyBorder="1"/>
    <xf numFmtId="0" fontId="6" fillId="45" borderId="44" xfId="8720" applyFill="1" applyBorder="1"/>
    <xf numFmtId="0" fontId="161" fillId="0" borderId="0" xfId="8720" applyFont="1"/>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53" fillId="5" borderId="11" xfId="0" applyFont="1" applyFill="1" applyBorder="1" applyAlignment="1" applyProtection="1">
      <alignment horizontal="right" vertical="top" wrapText="1"/>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22" fillId="3" borderId="0" xfId="0" applyFont="1" applyFill="1" applyBorder="1" applyAlignment="1" applyProtection="1">
      <alignment horizontal="center" vertical="center" wrapText="1"/>
    </xf>
    <xf numFmtId="0" fontId="22" fillId="3" borderId="16" xfId="0" applyFont="1" applyFill="1" applyBorder="1" applyAlignment="1" applyProtection="1">
      <alignment horizontal="center" vertical="center" wrapText="1"/>
    </xf>
    <xf numFmtId="0" fontId="16" fillId="0" borderId="0" xfId="0" applyFont="1" applyBorder="1" applyAlignment="1">
      <alignment horizontal="left" vertical="top" wrapText="1"/>
    </xf>
    <xf numFmtId="0" fontId="104" fillId="0" borderId="0" xfId="0" applyFont="1" applyAlignment="1">
      <alignment horizontal="left" vertical="top" wrapText="1"/>
    </xf>
    <xf numFmtId="0" fontId="16" fillId="0" borderId="0" xfId="0" applyFont="1" applyAlignment="1">
      <alignment horizontal="left" vertical="top" wrapText="1"/>
    </xf>
    <xf numFmtId="0" fontId="16" fillId="0" borderId="0" xfId="0" applyFont="1" applyFill="1" applyAlignment="1">
      <alignment horizontal="left" vertical="top" wrapText="1"/>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Fill="1" applyAlignment="1">
      <alignment horizontal="left" wrapText="1"/>
    </xf>
    <xf numFmtId="0" fontId="25" fillId="0" borderId="0" xfId="0" applyFont="1" applyFill="1" applyAlignment="1">
      <alignment horizontal="left" wrapText="1"/>
    </xf>
    <xf numFmtId="0" fontId="17" fillId="0" borderId="0" xfId="244" applyAlignment="1" applyProtection="1">
      <alignment horizontal="left"/>
    </xf>
    <xf numFmtId="0" fontId="17" fillId="0" borderId="0" xfId="244" applyBorder="1" applyAlignment="1" applyProtection="1">
      <alignment horizontal="left" vertical="top" wrapText="1"/>
    </xf>
    <xf numFmtId="0" fontId="16" fillId="0" borderId="0" xfId="1193" applyFont="1" applyAlignment="1">
      <alignment horizontal="left" vertical="top" wrapText="1"/>
    </xf>
    <xf numFmtId="0" fontId="23" fillId="0" borderId="0" xfId="0" applyFont="1" applyAlignment="1">
      <alignment horizontal="left" vertical="top" wrapText="1"/>
    </xf>
    <xf numFmtId="0" fontId="45" fillId="0" borderId="0" xfId="0" applyFont="1" applyFill="1" applyAlignment="1">
      <alignment horizontal="left" vertical="top" wrapText="1"/>
    </xf>
    <xf numFmtId="0" fontId="16" fillId="0" borderId="0" xfId="0" applyFont="1" applyAlignment="1">
      <alignment horizontal="left" wrapText="1"/>
    </xf>
    <xf numFmtId="0" fontId="16" fillId="0" borderId="0" xfId="1193" applyFont="1" applyFill="1" applyAlignment="1">
      <alignment horizontal="left" vertical="top" wrapText="1"/>
    </xf>
    <xf numFmtId="0" fontId="16" fillId="0" borderId="0" xfId="0" applyFont="1" applyAlignment="1">
      <alignment horizontal="left"/>
    </xf>
    <xf numFmtId="0" fontId="16" fillId="0" borderId="0" xfId="0" applyFont="1" applyAlignment="1" applyProtection="1">
      <alignment horizontal="left" vertical="top" wrapText="1"/>
    </xf>
    <xf numFmtId="0" fontId="16" fillId="0" borderId="0" xfId="0" applyFont="1" applyAlignment="1" applyProtection="1">
      <alignment horizontal="left"/>
    </xf>
    <xf numFmtId="0" fontId="34" fillId="0" borderId="0" xfId="1193" applyFont="1" applyAlignment="1" applyProtection="1">
      <alignment horizontal="left"/>
    </xf>
    <xf numFmtId="0" fontId="16" fillId="0" borderId="0" xfId="1193" applyFont="1" applyFill="1" applyAlignment="1" applyProtection="1">
      <alignment horizontal="left"/>
    </xf>
    <xf numFmtId="0" fontId="16" fillId="0" borderId="0" xfId="1193" applyFont="1" applyFill="1" applyAlignment="1" applyProtection="1">
      <alignment horizontal="left" vertical="top" wrapText="1"/>
    </xf>
    <xf numFmtId="4" fontId="16" fillId="0" borderId="0" xfId="1193" applyNumberFormat="1" applyFont="1" applyFill="1" applyAlignment="1" applyProtection="1">
      <alignment horizontal="left" vertical="top" wrapText="1"/>
    </xf>
    <xf numFmtId="0" fontId="23" fillId="0" borderId="4" xfId="570" applyFont="1" applyBorder="1" applyAlignment="1" applyProtection="1">
      <alignment horizontal="left"/>
    </xf>
    <xf numFmtId="0" fontId="34" fillId="0" borderId="0" xfId="0" applyFont="1" applyFill="1" applyAlignment="1">
      <alignment horizontal="left"/>
    </xf>
    <xf numFmtId="0" fontId="23" fillId="0" borderId="0" xfId="271" applyFont="1" applyFill="1" applyAlignment="1">
      <alignment horizontal="left" vertical="top" wrapText="1"/>
    </xf>
    <xf numFmtId="0" fontId="34" fillId="0" borderId="0" xfId="0" applyFont="1" applyAlignment="1">
      <alignment horizontal="left"/>
    </xf>
    <xf numFmtId="0" fontId="0" fillId="0" borderId="0" xfId="0" applyAlignment="1">
      <alignment horizontal="left" vertical="top" wrapText="1"/>
    </xf>
    <xf numFmtId="0" fontId="25" fillId="0" borderId="0" xfId="0" applyFont="1" applyAlignment="1" applyProtection="1">
      <alignment horizontal="left"/>
    </xf>
    <xf numFmtId="0" fontId="16" fillId="0" borderId="0" xfId="271" applyFont="1" applyFill="1" applyAlignment="1" applyProtection="1">
      <alignment horizontal="left" vertical="top" wrapText="1"/>
      <protection locked="0"/>
    </xf>
    <xf numFmtId="0" fontId="16" fillId="0" borderId="0" xfId="1193" applyFont="1" applyBorder="1" applyAlignment="1" applyProtection="1">
      <alignment horizontal="left" vertical="top" wrapText="1"/>
    </xf>
    <xf numFmtId="0" fontId="16" fillId="0" borderId="0" xfId="1193" applyFont="1" applyFill="1" applyBorder="1" applyAlignment="1" applyProtection="1">
      <alignment horizontal="left" vertical="top" wrapText="1"/>
    </xf>
    <xf numFmtId="0" fontId="16" fillId="0" borderId="0" xfId="1193" applyFont="1" applyAlignment="1" applyProtection="1">
      <alignment horizontal="left" vertical="top" wrapText="1"/>
    </xf>
    <xf numFmtId="0" fontId="17" fillId="0" borderId="0" xfId="244" applyAlignment="1">
      <alignment horizontal="left"/>
    </xf>
    <xf numFmtId="0" fontId="23" fillId="0" borderId="0" xfId="0" applyFont="1" applyAlignment="1">
      <alignment horizontal="left"/>
    </xf>
    <xf numFmtId="0" fontId="23" fillId="0" borderId="16" xfId="0" applyFont="1" applyFill="1" applyBorder="1" applyAlignment="1" applyProtection="1">
      <alignment horizontal="left"/>
    </xf>
    <xf numFmtId="0" fontId="16" fillId="0" borderId="27" xfId="0" applyFont="1" applyBorder="1" applyAlignment="1">
      <alignment horizontal="left"/>
    </xf>
    <xf numFmtId="0" fontId="16" fillId="0" borderId="0" xfId="1193" applyFont="1" applyAlignment="1" applyProtection="1">
      <alignment horizontal="left"/>
    </xf>
    <xf numFmtId="0" fontId="16" fillId="0" borderId="0" xfId="0" applyFont="1" applyFill="1" applyAlignment="1" applyProtection="1">
      <alignment horizontal="left" vertical="top" wrapText="1"/>
    </xf>
    <xf numFmtId="4" fontId="16" fillId="0" borderId="0" xfId="570" applyNumberFormat="1" applyFont="1" applyFill="1" applyAlignment="1" applyProtection="1">
      <alignment horizontal="left" vertical="top" wrapText="1"/>
    </xf>
    <xf numFmtId="0" fontId="34" fillId="0" borderId="0" xfId="570" applyFont="1" applyAlignment="1">
      <alignment horizontal="left"/>
    </xf>
    <xf numFmtId="0" fontId="16" fillId="0" borderId="0" xfId="570" applyFont="1" applyAlignment="1">
      <alignment horizontal="left" vertical="top" wrapText="1"/>
    </xf>
    <xf numFmtId="0" fontId="16" fillId="0" borderId="0" xfId="570" applyFont="1" applyFill="1" applyAlignment="1">
      <alignment horizontal="left" vertical="top" wrapText="1"/>
    </xf>
    <xf numFmtId="0" fontId="16" fillId="0" borderId="0" xfId="570" applyFont="1" applyAlignment="1">
      <alignment horizontal="left"/>
    </xf>
    <xf numFmtId="0" fontId="34" fillId="0" borderId="0" xfId="0" applyFont="1" applyBorder="1" applyAlignment="1">
      <alignment horizontal="left"/>
    </xf>
    <xf numFmtId="0" fontId="16" fillId="0" borderId="0" xfId="0" applyFont="1" applyBorder="1" applyAlignment="1">
      <alignment horizontal="left"/>
    </xf>
    <xf numFmtId="4" fontId="16" fillId="0" borderId="0" xfId="1193" applyNumberFormat="1" applyFont="1" applyAlignment="1" applyProtection="1">
      <alignment horizontal="left" vertical="top" wrapText="1"/>
    </xf>
    <xf numFmtId="0" fontId="34" fillId="0" borderId="0" xfId="570" applyFont="1" applyBorder="1" applyAlignment="1">
      <alignment horizontal="left" vertical="top" wrapText="1"/>
    </xf>
    <xf numFmtId="0" fontId="16" fillId="0" borderId="0" xfId="570" applyFont="1" applyBorder="1" applyAlignment="1">
      <alignment horizontal="left" vertical="top"/>
    </xf>
    <xf numFmtId="0" fontId="34" fillId="0" borderId="0" xfId="0" applyFont="1" applyAlignment="1" applyProtection="1">
      <alignment horizontal="left"/>
    </xf>
    <xf numFmtId="0" fontId="16" fillId="0" borderId="0" xfId="271" applyFont="1" applyAlignment="1">
      <alignment horizontal="left" vertical="top" wrapText="1"/>
    </xf>
    <xf numFmtId="0" fontId="25" fillId="0" borderId="0" xfId="0" applyFont="1" applyAlignment="1" applyProtection="1">
      <alignment horizontal="left" vertical="top"/>
    </xf>
    <xf numFmtId="0" fontId="34" fillId="0" borderId="0" xfId="0" applyFont="1" applyAlignment="1">
      <alignment horizontal="left" vertical="top" wrapText="1"/>
    </xf>
    <xf numFmtId="0" fontId="34" fillId="0" borderId="0" xfId="0" applyFont="1" applyAlignment="1" applyProtection="1">
      <alignment horizontal="center"/>
    </xf>
    <xf numFmtId="0" fontId="0" fillId="0" borderId="0" xfId="0" applyAlignment="1" applyProtection="1"/>
    <xf numFmtId="0" fontId="34" fillId="0" borderId="0" xfId="0" applyFont="1" applyFill="1" applyAlignment="1">
      <alignment horizontal="center"/>
    </xf>
    <xf numFmtId="0" fontId="0" fillId="0" borderId="0" xfId="0" applyFill="1" applyAlignment="1">
      <alignment horizontal="center"/>
    </xf>
    <xf numFmtId="0" fontId="23" fillId="0" borderId="0" xfId="0" applyFont="1" applyFill="1" applyAlignment="1" applyProtection="1">
      <alignment horizontal="center"/>
    </xf>
    <xf numFmtId="0" fontId="0" fillId="0" borderId="0" xfId="0" applyFill="1" applyAlignment="1" applyProtection="1"/>
    <xf numFmtId="0" fontId="23" fillId="0" borderId="4" xfId="570" applyFont="1" applyBorder="1" applyAlignment="1">
      <alignment horizontal="left"/>
    </xf>
    <xf numFmtId="49" fontId="16" fillId="0" borderId="0" xfId="0" applyNumberFormat="1" applyFont="1" applyFill="1" applyAlignment="1">
      <alignment horizontal="left" vertical="top" wrapText="1"/>
    </xf>
    <xf numFmtId="49" fontId="16" fillId="0" borderId="0" xfId="1193" applyNumberFormat="1" applyFont="1" applyFill="1" applyAlignment="1">
      <alignment horizontal="left" vertical="top" wrapText="1"/>
    </xf>
    <xf numFmtId="4" fontId="34" fillId="0" borderId="0" xfId="0" applyNumberFormat="1" applyFont="1" applyFill="1" applyAlignment="1" applyProtection="1">
      <alignment horizontal="left"/>
    </xf>
    <xf numFmtId="4" fontId="16" fillId="0" borderId="0" xfId="0" applyNumberFormat="1" applyFont="1" applyFill="1" applyAlignment="1" applyProtection="1">
      <alignment horizontal="left" vertical="top" wrapText="1"/>
    </xf>
    <xf numFmtId="4" fontId="17" fillId="0" borderId="0" xfId="244" applyNumberFormat="1" applyFill="1" applyAlignment="1" applyProtection="1">
      <alignment horizontal="left"/>
    </xf>
    <xf numFmtId="0" fontId="16" fillId="0" borderId="0" xfId="271" applyFont="1" applyFill="1" applyAlignment="1">
      <alignment horizontal="left" vertical="top" wrapText="1"/>
    </xf>
    <xf numFmtId="0" fontId="16" fillId="0" borderId="0" xfId="570" applyFont="1" applyFill="1" applyBorder="1" applyAlignment="1">
      <alignment horizontal="left" vertical="top"/>
    </xf>
    <xf numFmtId="0" fontId="16" fillId="0" borderId="0" xfId="570" applyFont="1" applyAlignment="1">
      <alignment horizontal="left" vertical="top"/>
    </xf>
    <xf numFmtId="0" fontId="23" fillId="0" borderId="0" xfId="570" applyFont="1" applyAlignment="1">
      <alignment horizontal="left" vertical="top"/>
    </xf>
    <xf numFmtId="0" fontId="16" fillId="0" borderId="0" xfId="0" applyFont="1" applyAlignment="1">
      <alignment horizontal="left" vertical="top"/>
    </xf>
    <xf numFmtId="4" fontId="16" fillId="0" borderId="0" xfId="0" applyNumberFormat="1" applyFont="1" applyAlignment="1" applyProtection="1">
      <alignment horizontal="left" vertical="top" wrapText="1"/>
    </xf>
    <xf numFmtId="0" fontId="17" fillId="0" borderId="0" xfId="244" quotePrefix="1" applyAlignment="1" applyProtection="1">
      <alignment horizontal="left"/>
    </xf>
    <xf numFmtId="0" fontId="23" fillId="0" borderId="4" xfId="0" applyFont="1" applyBorder="1" applyAlignment="1" applyProtection="1">
      <alignment horizontal="left"/>
    </xf>
    <xf numFmtId="0" fontId="23" fillId="0" borderId="4" xfId="570" applyFont="1" applyBorder="1" applyAlignment="1" applyProtection="1">
      <alignment horizontal="left" vertical="top"/>
    </xf>
    <xf numFmtId="0" fontId="16" fillId="0" borderId="0" xfId="0" applyFont="1" applyAlignment="1" applyProtection="1">
      <alignment horizontal="left" vertical="top"/>
    </xf>
    <xf numFmtId="0" fontId="23" fillId="0" borderId="4" xfId="570" applyFont="1" applyFill="1" applyBorder="1" applyAlignment="1" applyProtection="1">
      <alignment horizontal="left"/>
    </xf>
    <xf numFmtId="0" fontId="34" fillId="0" borderId="0" xfId="570" applyFont="1" applyFill="1" applyBorder="1" applyAlignment="1">
      <alignment horizontal="left" vertical="top"/>
    </xf>
    <xf numFmtId="0" fontId="34" fillId="0" borderId="0" xfId="0" applyFont="1" applyAlignment="1">
      <alignment horizontal="left" wrapText="1"/>
    </xf>
    <xf numFmtId="0" fontId="16" fillId="0" borderId="0" xfId="0" applyFont="1" applyFill="1" applyAlignment="1">
      <alignment horizontal="left"/>
    </xf>
    <xf numFmtId="4" fontId="16" fillId="0" borderId="0" xfId="570" applyNumberFormat="1" applyFont="1" applyFill="1" applyAlignment="1" applyProtection="1">
      <alignment horizontal="left"/>
    </xf>
    <xf numFmtId="4" fontId="34" fillId="0" borderId="0" xfId="570" applyNumberFormat="1" applyFont="1" applyFill="1" applyAlignment="1" applyProtection="1">
      <alignment horizontal="left" vertical="top" wrapText="1"/>
    </xf>
    <xf numFmtId="0" fontId="113" fillId="0" borderId="0" xfId="570" applyFont="1" applyAlignment="1">
      <alignment horizontal="center"/>
    </xf>
    <xf numFmtId="0" fontId="114" fillId="0" borderId="0" xfId="570" applyFont="1" applyAlignment="1"/>
    <xf numFmtId="0" fontId="16" fillId="0" borderId="0" xfId="570" applyFont="1" applyAlignment="1">
      <alignment wrapText="1"/>
    </xf>
    <xf numFmtId="0" fontId="16" fillId="0" borderId="0" xfId="570" applyAlignment="1">
      <alignment wrapText="1"/>
    </xf>
    <xf numFmtId="0" fontId="23" fillId="0" borderId="0" xfId="570" applyFont="1" applyAlignment="1">
      <alignment wrapText="1"/>
    </xf>
    <xf numFmtId="0" fontId="31" fillId="0" borderId="0" xfId="570" applyFont="1" applyAlignment="1">
      <alignment horizontal="center"/>
    </xf>
    <xf numFmtId="0" fontId="16" fillId="0" borderId="0" xfId="570" applyAlignment="1"/>
    <xf numFmtId="0" fontId="16" fillId="0" borderId="0" xfId="1193" applyFont="1" applyAlignment="1">
      <alignment vertical="top" wrapText="1"/>
    </xf>
    <xf numFmtId="0" fontId="16" fillId="0" borderId="0" xfId="1193" applyAlignment="1">
      <alignment vertical="top" wrapText="1"/>
    </xf>
    <xf numFmtId="0" fontId="16" fillId="0" borderId="0" xfId="570" applyFont="1" applyAlignment="1"/>
    <xf numFmtId="0" fontId="16" fillId="0" borderId="0" xfId="0" applyFont="1" applyFill="1" applyBorder="1" applyAlignment="1">
      <alignment horizontal="left" vertical="center" wrapText="1"/>
    </xf>
    <xf numFmtId="0" fontId="23" fillId="0" borderId="4" xfId="0" applyFont="1" applyFill="1" applyBorder="1" applyAlignment="1" applyProtection="1">
      <alignment horizontal="left"/>
    </xf>
    <xf numFmtId="0" fontId="16" fillId="0" borderId="0" xfId="0" applyFont="1" applyFill="1" applyBorder="1" applyAlignment="1">
      <alignment horizontal="left" wrapText="1"/>
    </xf>
    <xf numFmtId="0" fontId="23" fillId="0" borderId="0" xfId="0" applyFont="1" applyAlignment="1">
      <alignment horizontal="left" vertical="top"/>
    </xf>
    <xf numFmtId="0" fontId="16" fillId="0" borderId="0" xfId="570" applyAlignment="1" applyProtection="1">
      <alignment horizontal="left" wrapText="1"/>
    </xf>
    <xf numFmtId="0" fontId="16" fillId="0" borderId="0" xfId="0" applyFont="1" applyFill="1" applyBorder="1" applyAlignment="1">
      <alignment horizontal="left" vertical="top" wrapText="1"/>
    </xf>
    <xf numFmtId="4" fontId="16" fillId="0" borderId="0" xfId="0" applyNumberFormat="1" applyFont="1" applyFill="1" applyBorder="1" applyAlignment="1" applyProtection="1">
      <alignment horizontal="left"/>
    </xf>
    <xf numFmtId="0" fontId="34" fillId="0" borderId="0" xfId="0" applyFont="1" applyFill="1" applyBorder="1" applyAlignment="1">
      <alignment horizontal="left" vertical="top"/>
    </xf>
    <xf numFmtId="0" fontId="16" fillId="0" borderId="0" xfId="0" applyFont="1" applyFill="1" applyBorder="1" applyAlignment="1">
      <alignment horizontal="left" vertical="top"/>
    </xf>
    <xf numFmtId="4" fontId="16" fillId="0" borderId="0" xfId="0" applyNumberFormat="1" applyFont="1" applyFill="1" applyAlignment="1" applyProtection="1">
      <alignment horizontal="left"/>
    </xf>
    <xf numFmtId="4" fontId="16" fillId="0" borderId="0" xfId="0" applyNumberFormat="1" applyFont="1" applyAlignment="1" applyProtection="1">
      <alignment horizontal="left"/>
    </xf>
    <xf numFmtId="0" fontId="23" fillId="0" borderId="0" xfId="0" applyFont="1" applyFill="1" applyAlignment="1">
      <alignment horizontal="left" vertical="top" wrapText="1"/>
    </xf>
    <xf numFmtId="0" fontId="23" fillId="0" borderId="0" xfId="1193" applyFont="1" applyFill="1" applyAlignment="1">
      <alignment horizontal="left" vertical="top" wrapText="1"/>
    </xf>
    <xf numFmtId="49" fontId="23" fillId="0" borderId="0" xfId="0" applyNumberFormat="1" applyFont="1" applyAlignment="1">
      <alignment horizontal="left"/>
    </xf>
    <xf numFmtId="0" fontId="34" fillId="0" borderId="0" xfId="1193" applyFont="1" applyFill="1" applyAlignment="1">
      <alignment horizontal="left" vertical="top" wrapText="1"/>
    </xf>
    <xf numFmtId="49" fontId="23" fillId="0" borderId="0" xfId="0" applyNumberFormat="1" applyFont="1" applyAlignment="1">
      <alignment horizontal="left" vertical="top"/>
    </xf>
    <xf numFmtId="49" fontId="16" fillId="0" borderId="0" xfId="0" applyNumberFormat="1" applyFont="1" applyAlignment="1">
      <alignment horizontal="left" vertical="top" wrapText="1"/>
    </xf>
    <xf numFmtId="0" fontId="34" fillId="0" borderId="0" xfId="0" applyFont="1" applyFill="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0" applyFont="1" applyBorder="1" applyAlignment="1">
      <alignment horizontal="left" vertical="top"/>
    </xf>
    <xf numFmtId="0" fontId="34" fillId="0" borderId="0" xfId="570" applyFont="1" applyAlignment="1">
      <alignment horizontal="left" vertical="top" wrapText="1"/>
    </xf>
    <xf numFmtId="0" fontId="16" fillId="0" borderId="0" xfId="570" applyFont="1" applyAlignment="1" applyProtection="1">
      <alignment horizontal="left" vertical="top"/>
    </xf>
    <xf numFmtId="0" fontId="23" fillId="0" borderId="0" xfId="570" applyFont="1" applyAlignment="1">
      <alignment horizontal="left"/>
    </xf>
    <xf numFmtId="0" fontId="16" fillId="0" borderId="0" xfId="570" applyFont="1" applyAlignment="1" applyProtection="1">
      <alignment horizontal="left"/>
    </xf>
    <xf numFmtId="0" fontId="16" fillId="0" borderId="0" xfId="1193" applyFont="1" applyFill="1" applyAlignment="1">
      <alignment horizontal="left"/>
    </xf>
    <xf numFmtId="0" fontId="34" fillId="0" borderId="0" xfId="570" applyFont="1" applyBorder="1" applyAlignment="1">
      <alignment horizontal="left"/>
    </xf>
    <xf numFmtId="0" fontId="16" fillId="0" borderId="0" xfId="570" applyFont="1" applyBorder="1" applyAlignment="1">
      <alignment horizontal="left"/>
    </xf>
    <xf numFmtId="0" fontId="16" fillId="0" borderId="0" xfId="570" applyFont="1" applyAlignment="1" applyProtection="1">
      <alignment horizontal="left" vertical="top" wrapText="1"/>
    </xf>
    <xf numFmtId="0" fontId="23" fillId="0" borderId="16" xfId="570" applyFont="1" applyFill="1" applyBorder="1" applyAlignment="1" applyProtection="1">
      <alignment horizontal="left"/>
    </xf>
    <xf numFmtId="0" fontId="16" fillId="0" borderId="0" xfId="570" applyAlignment="1">
      <alignment horizontal="left" vertical="top" wrapText="1"/>
    </xf>
    <xf numFmtId="0" fontId="23" fillId="0" borderId="0" xfId="570" applyFont="1" applyFill="1" applyAlignment="1" applyProtection="1">
      <alignment horizontal="center"/>
    </xf>
    <xf numFmtId="0" fontId="16" fillId="0" borderId="0" xfId="570" applyFont="1" applyFill="1" applyAlignment="1" applyProtection="1"/>
    <xf numFmtId="0" fontId="16" fillId="0" borderId="0" xfId="1193" applyFont="1" applyAlignment="1">
      <alignment horizontal="left"/>
    </xf>
    <xf numFmtId="0" fontId="16" fillId="0" borderId="0" xfId="570" applyFont="1" applyBorder="1" applyAlignment="1">
      <alignment horizontal="left" vertical="top" wrapText="1"/>
    </xf>
    <xf numFmtId="0" fontId="17" fillId="0" borderId="0" xfId="244" applyNumberFormat="1" applyFill="1" applyAlignment="1" applyProtection="1">
      <alignment horizontal="left"/>
    </xf>
    <xf numFmtId="0" fontId="16" fillId="0" borderId="0" xfId="570" applyFont="1" applyFill="1" applyAlignment="1" applyProtection="1">
      <alignment horizontal="left" vertical="top" wrapText="1"/>
    </xf>
    <xf numFmtId="0" fontId="16" fillId="0" borderId="0" xfId="570" applyFill="1" applyAlignment="1" applyProtection="1"/>
    <xf numFmtId="0" fontId="34" fillId="0" borderId="0" xfId="570" applyFont="1" applyAlignment="1" applyProtection="1">
      <alignment horizontal="left"/>
    </xf>
    <xf numFmtId="0" fontId="34" fillId="0" borderId="0" xfId="570" applyFont="1" applyFill="1" applyAlignment="1">
      <alignment horizontal="center"/>
    </xf>
    <xf numFmtId="0" fontId="16" fillId="0" borderId="0" xfId="570" applyFill="1" applyAlignment="1">
      <alignment horizontal="center"/>
    </xf>
    <xf numFmtId="0" fontId="34" fillId="0" borderId="0" xfId="570" applyFont="1" applyAlignment="1">
      <alignment horizontal="left" wrapText="1"/>
    </xf>
    <xf numFmtId="0" fontId="23" fillId="0" borderId="4" xfId="0" applyFont="1" applyBorder="1" applyAlignment="1" applyProtection="1">
      <alignment horizontal="left" vertical="top"/>
    </xf>
    <xf numFmtId="4" fontId="34" fillId="0" borderId="0" xfId="0" applyNumberFormat="1" applyFont="1" applyFill="1" applyAlignment="1" applyProtection="1">
      <alignment horizontal="left" vertical="top" wrapText="1"/>
    </xf>
    <xf numFmtId="0" fontId="23" fillId="0" borderId="0" xfId="570" applyFont="1" applyAlignment="1">
      <alignment horizontal="left" vertical="top" wrapText="1"/>
    </xf>
    <xf numFmtId="4" fontId="16" fillId="0" borderId="0" xfId="570" applyNumberFormat="1" applyFont="1" applyAlignment="1" applyProtection="1">
      <alignment horizontal="left" vertical="top" wrapText="1"/>
    </xf>
    <xf numFmtId="0" fontId="16" fillId="0" borderId="0" xfId="1193" applyFont="1" applyFill="1" applyAlignment="1" applyProtection="1">
      <alignment horizontal="left" vertical="top" wrapText="1"/>
      <protection locked="0"/>
    </xf>
    <xf numFmtId="0" fontId="16" fillId="0" borderId="27" xfId="570" applyFont="1" applyBorder="1" applyAlignment="1">
      <alignment horizontal="left"/>
    </xf>
    <xf numFmtId="0" fontId="17" fillId="0" borderId="0" xfId="244" applyAlignment="1" applyProtection="1">
      <alignment horizontal="left" vertical="top" wrapText="1"/>
    </xf>
    <xf numFmtId="0" fontId="16" fillId="0" borderId="0" xfId="570" applyFont="1" applyFill="1" applyAlignment="1">
      <alignment horizontal="left"/>
    </xf>
    <xf numFmtId="0" fontId="34" fillId="0" borderId="0" xfId="570" applyFont="1" applyAlignment="1" applyProtection="1">
      <alignment horizontal="center"/>
    </xf>
    <xf numFmtId="0" fontId="23" fillId="0" borderId="0" xfId="570" applyFont="1" applyAlignment="1" applyProtection="1">
      <alignment horizontal="center"/>
    </xf>
    <xf numFmtId="0" fontId="16" fillId="0" borderId="15" xfId="570" applyBorder="1" applyAlignment="1" applyProtection="1">
      <alignment horizontal="center" vertical="top" wrapText="1"/>
    </xf>
    <xf numFmtId="0" fontId="16" fillId="0" borderId="14" xfId="570" applyBorder="1" applyAlignment="1" applyProtection="1">
      <alignment horizontal="center" vertical="top" wrapText="1"/>
    </xf>
    <xf numFmtId="0" fontId="16" fillId="0" borderId="13" xfId="570" applyBorder="1" applyAlignment="1" applyProtection="1">
      <alignment horizontal="center" vertical="top" wrapText="1"/>
    </xf>
    <xf numFmtId="0" fontId="16" fillId="0" borderId="0" xfId="1193" applyFont="1" applyAlignment="1" applyProtection="1">
      <alignment vertical="top" wrapText="1"/>
    </xf>
    <xf numFmtId="0" fontId="34" fillId="0" borderId="0" xfId="570" applyFont="1" applyFill="1" applyAlignment="1">
      <alignment horizontal="lef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5" fontId="25" fillId="0" borderId="1" xfId="0" applyNumberFormat="1" applyFont="1" applyBorder="1" applyAlignment="1" applyProtection="1">
      <alignment horizontal="right"/>
    </xf>
    <xf numFmtId="165" fontId="25" fillId="0" borderId="2" xfId="0" applyNumberFormat="1" applyFont="1" applyBorder="1" applyAlignment="1" applyProtection="1">
      <alignment horizontal="right"/>
    </xf>
    <xf numFmtId="165" fontId="25" fillId="0" borderId="7" xfId="0" applyNumberFormat="1" applyFont="1" applyBorder="1" applyAlignment="1" applyProtection="1">
      <alignment horizontal="right"/>
    </xf>
    <xf numFmtId="0" fontId="25" fillId="46" borderId="3" xfId="0" applyFont="1" applyFill="1" applyBorder="1" applyAlignment="1" applyProtection="1">
      <alignment horizontal="center"/>
    </xf>
    <xf numFmtId="0" fontId="25" fillId="46" borderId="4" xfId="0" applyFont="1" applyFill="1" applyBorder="1" applyAlignment="1" applyProtection="1">
      <alignment horizontal="center"/>
    </xf>
    <xf numFmtId="0" fontId="25" fillId="46" borderId="5" xfId="0" applyFont="1" applyFill="1" applyBorder="1" applyAlignment="1" applyProtection="1">
      <alignment horizontal="center"/>
    </xf>
    <xf numFmtId="0" fontId="39" fillId="0" borderId="3" xfId="0" applyFont="1" applyBorder="1" applyAlignment="1" applyProtection="1">
      <alignment horizontal="center"/>
    </xf>
    <xf numFmtId="0" fontId="39" fillId="0" borderId="4" xfId="0" applyFont="1" applyBorder="1" applyAlignment="1" applyProtection="1">
      <alignment horizontal="center"/>
    </xf>
    <xf numFmtId="0" fontId="39" fillId="0" borderId="5" xfId="0" applyFont="1" applyBorder="1" applyAlignment="1" applyProtection="1">
      <alignment horizontal="center"/>
    </xf>
    <xf numFmtId="0" fontId="25" fillId="46" borderId="11" xfId="0" applyFont="1" applyFill="1" applyBorder="1" applyAlignment="1" applyProtection="1">
      <alignment horizontal="center"/>
    </xf>
    <xf numFmtId="0" fontId="25" fillId="0" borderId="3" xfId="0" applyFont="1" applyBorder="1" applyAlignment="1" applyProtection="1">
      <alignment horizontal="center"/>
    </xf>
    <xf numFmtId="0" fontId="25" fillId="0" borderId="4" xfId="0" applyFont="1" applyBorder="1" applyAlignment="1" applyProtection="1">
      <alignment horizontal="center"/>
    </xf>
    <xf numFmtId="0" fontId="25" fillId="0" borderId="5" xfId="0" applyFont="1" applyBorder="1" applyAlignment="1" applyProtection="1">
      <alignment horizontal="center"/>
    </xf>
    <xf numFmtId="0" fontId="0" fillId="0" borderId="11" xfId="0" applyBorder="1" applyAlignment="1" applyProtection="1">
      <alignment horizontal="center"/>
    </xf>
    <xf numFmtId="0" fontId="25"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5" fillId="0" borderId="3" xfId="0" applyNumberFormat="1" applyFont="1" applyFill="1" applyBorder="1" applyAlignment="1" applyProtection="1">
      <alignment horizontal="center"/>
    </xf>
    <xf numFmtId="168" fontId="25" fillId="0" borderId="4" xfId="0" applyNumberFormat="1" applyFont="1" applyFill="1" applyBorder="1" applyAlignment="1" applyProtection="1">
      <alignment horizontal="center"/>
    </xf>
    <xf numFmtId="168" fontId="25" fillId="0" borderId="5" xfId="0" applyNumberFormat="1" applyFont="1" applyFill="1" applyBorder="1" applyAlignment="1" applyProtection="1">
      <alignment horizontal="center"/>
    </xf>
    <xf numFmtId="0" fontId="0" fillId="5" borderId="6" xfId="0" applyFill="1" applyBorder="1" applyAlignment="1" applyProtection="1">
      <alignment horizontal="center"/>
      <protection locked="0"/>
    </xf>
    <xf numFmtId="0" fontId="25" fillId="5" borderId="4"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25" fillId="2" borderId="11" xfId="0" applyFont="1" applyFill="1" applyBorder="1" applyAlignment="1" applyProtection="1">
      <alignment horizontal="center"/>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16" fillId="0" borderId="11" xfId="0" applyFont="1" applyBorder="1" applyAlignment="1" applyProtection="1">
      <alignment horizontal="center"/>
    </xf>
    <xf numFmtId="168" fontId="0" fillId="5" borderId="11" xfId="0" applyNumberForma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16"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44" borderId="4" xfId="0"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53" fillId="5" borderId="3" xfId="0" applyNumberFormat="1" applyFont="1" applyFill="1" applyBorder="1" applyAlignment="1" applyProtection="1">
      <alignment horizontal="center"/>
      <protection locked="0"/>
    </xf>
    <xf numFmtId="175" fontId="53" fillId="5" borderId="4" xfId="0" applyNumberFormat="1" applyFont="1" applyFill="1" applyBorder="1" applyAlignment="1" applyProtection="1">
      <alignment horizontal="center"/>
      <protection locked="0"/>
    </xf>
    <xf numFmtId="175" fontId="53"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172" fontId="23" fillId="0" borderId="2" xfId="0" applyNumberFormat="1" applyFont="1" applyBorder="1" applyAlignment="1" applyProtection="1">
      <alignment horizontal="center" wrapText="1"/>
    </xf>
    <xf numFmtId="172" fontId="23" fillId="0" borderId="7" xfId="0" applyNumberFormat="1" applyFont="1" applyBorder="1" applyAlignment="1" applyProtection="1">
      <alignment horizontal="center" wrapText="1"/>
    </xf>
    <xf numFmtId="172" fontId="23" fillId="0" borderId="0" xfId="0" applyNumberFormat="1" applyFont="1" applyBorder="1" applyAlignment="1" applyProtection="1">
      <alignment horizontal="center" wrapText="1"/>
    </xf>
    <xf numFmtId="172" fontId="23" fillId="0" borderId="12" xfId="0" applyNumberFormat="1" applyFont="1" applyBorder="1" applyAlignment="1" applyProtection="1">
      <alignment horizontal="center" wrapText="1"/>
    </xf>
    <xf numFmtId="172" fontId="23" fillId="0" borderId="6" xfId="0" applyNumberFormat="1" applyFont="1" applyBorder="1" applyAlignment="1" applyProtection="1">
      <alignment horizontal="center" wrapText="1"/>
    </xf>
    <xf numFmtId="172" fontId="23" fillId="0" borderId="10" xfId="0" applyNumberFormat="1"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6" fillId="0" borderId="11" xfId="543" applyFont="1" applyFill="1" applyBorder="1" applyAlignment="1" applyProtection="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pplyProtection="1">
      <alignment horizontal="left" vertical="center" wrapText="1"/>
    </xf>
    <xf numFmtId="0" fontId="23" fillId="0" borderId="2" xfId="543" applyFont="1" applyBorder="1" applyAlignment="1" applyProtection="1">
      <alignment horizontal="left" vertical="center" wrapText="1"/>
    </xf>
    <xf numFmtId="0" fontId="23" fillId="0" borderId="7" xfId="543" applyFont="1" applyBorder="1" applyAlignment="1" applyProtection="1">
      <alignment horizontal="left" vertical="center" wrapText="1"/>
    </xf>
    <xf numFmtId="0" fontId="16" fillId="0" borderId="8" xfId="543" applyFont="1" applyBorder="1" applyAlignment="1" applyProtection="1">
      <alignment horizontal="left" vertical="top" wrapText="1"/>
    </xf>
    <xf numFmtId="0" fontId="16" fillId="0" borderId="0" xfId="543" applyFont="1" applyBorder="1" applyAlignment="1" applyProtection="1">
      <alignment horizontal="left" vertical="top" wrapText="1"/>
    </xf>
    <xf numFmtId="0" fontId="16" fillId="0" borderId="12" xfId="543" applyFont="1" applyBorder="1" applyAlignment="1" applyProtection="1">
      <alignment horizontal="left" vertical="top" wrapText="1"/>
    </xf>
    <xf numFmtId="0" fontId="16" fillId="0" borderId="9" xfId="543" applyFont="1" applyBorder="1" applyAlignment="1" applyProtection="1">
      <alignment horizontal="left" vertical="top" wrapText="1"/>
    </xf>
    <xf numFmtId="0" fontId="16" fillId="0" borderId="6" xfId="543" applyFont="1" applyBorder="1" applyAlignment="1" applyProtection="1">
      <alignment horizontal="left" vertical="top" wrapText="1"/>
    </xf>
    <xf numFmtId="0" fontId="16" fillId="0" borderId="10" xfId="543" applyFont="1" applyBorder="1" applyAlignment="1" applyProtection="1">
      <alignment horizontal="left" vertical="top" wrapText="1"/>
    </xf>
    <xf numFmtId="1" fontId="16" fillId="0" borderId="3" xfId="543" applyNumberFormat="1" applyFont="1" applyFill="1" applyBorder="1" applyAlignment="1" applyProtection="1">
      <alignment horizontal="center"/>
    </xf>
    <xf numFmtId="1" fontId="16" fillId="0" borderId="4" xfId="543" applyNumberFormat="1" applyFont="1" applyFill="1" applyBorder="1" applyAlignment="1" applyProtection="1">
      <alignment horizontal="center"/>
    </xf>
    <xf numFmtId="1" fontId="1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168" fontId="16" fillId="0" borderId="1" xfId="543" applyNumberFormat="1" applyFont="1" applyFill="1" applyBorder="1" applyAlignment="1" applyProtection="1">
      <alignment horizontal="center" vertical="center"/>
    </xf>
    <xf numFmtId="168" fontId="16" fillId="0" borderId="2" xfId="543" applyNumberFormat="1" applyFont="1" applyFill="1" applyBorder="1" applyAlignment="1" applyProtection="1">
      <alignment horizontal="center" vertical="center"/>
    </xf>
    <xf numFmtId="168" fontId="16" fillId="0" borderId="7" xfId="543" applyNumberFormat="1" applyFont="1" applyFill="1" applyBorder="1" applyAlignment="1" applyProtection="1">
      <alignment horizontal="center" vertical="center"/>
    </xf>
    <xf numFmtId="168" fontId="16" fillId="0" borderId="8" xfId="543" applyNumberFormat="1" applyFont="1" applyFill="1" applyBorder="1" applyAlignment="1" applyProtection="1">
      <alignment horizontal="center" vertical="center"/>
    </xf>
    <xf numFmtId="168" fontId="16" fillId="0" borderId="0" xfId="543" applyNumberFormat="1" applyFont="1" applyFill="1" applyBorder="1" applyAlignment="1" applyProtection="1">
      <alignment horizontal="center" vertical="center"/>
    </xf>
    <xf numFmtId="168" fontId="16" fillId="0" borderId="12" xfId="543" applyNumberFormat="1" applyFont="1" applyFill="1" applyBorder="1" applyAlignment="1" applyProtection="1">
      <alignment horizontal="center" vertical="center"/>
    </xf>
    <xf numFmtId="168" fontId="16" fillId="0" borderId="9" xfId="543" applyNumberFormat="1" applyFont="1" applyFill="1" applyBorder="1" applyAlignment="1" applyProtection="1">
      <alignment horizontal="center" vertical="center"/>
    </xf>
    <xf numFmtId="168" fontId="16" fillId="0" borderId="6" xfId="543" applyNumberFormat="1" applyFont="1" applyFill="1" applyBorder="1" applyAlignment="1" applyProtection="1">
      <alignment horizontal="center" vertical="center"/>
    </xf>
    <xf numFmtId="168" fontId="16" fillId="0" borderId="10" xfId="543" applyNumberFormat="1" applyFont="1" applyFill="1" applyBorder="1" applyAlignment="1" applyProtection="1">
      <alignment horizontal="center" vertical="center"/>
    </xf>
    <xf numFmtId="168" fontId="16" fillId="5" borderId="1" xfId="543" applyNumberFormat="1" applyFont="1" applyFill="1" applyBorder="1" applyAlignment="1" applyProtection="1">
      <alignment horizontal="center" vertical="center"/>
      <protection locked="0"/>
    </xf>
    <xf numFmtId="168" fontId="16" fillId="5" borderId="2" xfId="543" applyNumberFormat="1" applyFont="1" applyFill="1" applyBorder="1" applyAlignment="1" applyProtection="1">
      <alignment horizontal="center" vertical="center"/>
      <protection locked="0"/>
    </xf>
    <xf numFmtId="168" fontId="16" fillId="5" borderId="7" xfId="543" applyNumberFormat="1" applyFont="1" applyFill="1" applyBorder="1" applyAlignment="1" applyProtection="1">
      <alignment horizontal="center" vertical="center"/>
      <protection locked="0"/>
    </xf>
    <xf numFmtId="168" fontId="16" fillId="5" borderId="8" xfId="543" applyNumberFormat="1" applyFont="1" applyFill="1" applyBorder="1" applyAlignment="1" applyProtection="1">
      <alignment horizontal="center" vertical="center"/>
      <protection locked="0"/>
    </xf>
    <xf numFmtId="168" fontId="16" fillId="5" borderId="0" xfId="543" applyNumberFormat="1" applyFont="1" applyFill="1" applyBorder="1" applyAlignment="1" applyProtection="1">
      <alignment horizontal="center" vertical="center"/>
      <protection locked="0"/>
    </xf>
    <xf numFmtId="168" fontId="16" fillId="5" borderId="12" xfId="543" applyNumberFormat="1" applyFont="1" applyFill="1" applyBorder="1" applyAlignment="1" applyProtection="1">
      <alignment horizontal="center" vertical="center"/>
      <protection locked="0"/>
    </xf>
    <xf numFmtId="168" fontId="16" fillId="5" borderId="9" xfId="543" applyNumberFormat="1" applyFont="1" applyFill="1" applyBorder="1" applyAlignment="1" applyProtection="1">
      <alignment horizontal="center" vertical="center"/>
      <protection locked="0"/>
    </xf>
    <xf numFmtId="168" fontId="16" fillId="5" borderId="6" xfId="543" applyNumberFormat="1" applyFont="1" applyFill="1" applyBorder="1" applyAlignment="1" applyProtection="1">
      <alignment horizontal="center" vertical="center"/>
      <protection locked="0"/>
    </xf>
    <xf numFmtId="168" fontId="16" fillId="5" borderId="10" xfId="543" applyNumberFormat="1" applyFont="1" applyFill="1" applyBorder="1" applyAlignment="1" applyProtection="1">
      <alignment horizontal="center" vertical="center"/>
      <protection locked="0"/>
    </xf>
    <xf numFmtId="0" fontId="37" fillId="0" borderId="3" xfId="543" applyFont="1" applyFill="1" applyBorder="1" applyAlignment="1" applyProtection="1">
      <alignment horizontal="center"/>
    </xf>
    <xf numFmtId="0" fontId="37" fillId="0" borderId="4" xfId="543" applyFont="1" applyFill="1" applyBorder="1" applyAlignment="1" applyProtection="1">
      <alignment horizontal="center"/>
    </xf>
    <xf numFmtId="0" fontId="37" fillId="0" borderId="5" xfId="543" applyFont="1" applyFill="1" applyBorder="1" applyAlignment="1" applyProtection="1">
      <alignment horizontal="center"/>
    </xf>
    <xf numFmtId="0" fontId="23" fillId="0" borderId="3" xfId="543" applyFont="1" applyFill="1" applyBorder="1" applyAlignment="1" applyProtection="1">
      <alignment horizontal="right"/>
    </xf>
    <xf numFmtId="0" fontId="23" fillId="0" borderId="4" xfId="543" applyFont="1" applyFill="1" applyBorder="1" applyAlignment="1" applyProtection="1">
      <alignment horizontal="right"/>
    </xf>
    <xf numFmtId="0" fontId="23" fillId="0" borderId="5" xfId="543" applyFont="1" applyFill="1" applyBorder="1" applyAlignment="1" applyProtection="1">
      <alignment horizontal="right"/>
    </xf>
    <xf numFmtId="0" fontId="16" fillId="0" borderId="8" xfId="543" applyFont="1" applyBorder="1" applyAlignment="1" applyProtection="1">
      <alignment horizontal="left" vertical="center" wrapText="1"/>
    </xf>
    <xf numFmtId="0" fontId="16" fillId="0" borderId="0" xfId="543" applyFont="1" applyBorder="1" applyAlignment="1" applyProtection="1">
      <alignment horizontal="left" vertical="center" wrapText="1"/>
    </xf>
    <xf numFmtId="0" fontId="16" fillId="0" borderId="12" xfId="543" applyFont="1" applyBorder="1" applyAlignment="1" applyProtection="1">
      <alignment horizontal="left" vertical="center" wrapText="1"/>
    </xf>
    <xf numFmtId="0" fontId="16"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23" fillId="0" borderId="8" xfId="543" applyFont="1" applyBorder="1" applyAlignment="1" applyProtection="1">
      <alignment horizontal="left" vertical="center" wrapText="1"/>
    </xf>
    <xf numFmtId="0" fontId="23" fillId="0" borderId="0" xfId="543" applyFont="1" applyBorder="1" applyAlignment="1" applyProtection="1">
      <alignment horizontal="left" vertical="center" wrapText="1"/>
    </xf>
    <xf numFmtId="0" fontId="23" fillId="0" borderId="12" xfId="543" applyFont="1" applyBorder="1" applyAlignment="1" applyProtection="1">
      <alignment horizontal="left" vertical="center" wrapText="1"/>
    </xf>
    <xf numFmtId="0" fontId="16" fillId="0" borderId="9" xfId="543" applyFont="1" applyBorder="1" applyAlignment="1" applyProtection="1">
      <alignment horizontal="left" vertical="center" wrapText="1"/>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43" fillId="0" borderId="8" xfId="543" applyFont="1" applyBorder="1" applyAlignment="1" applyProtection="1">
      <alignment horizontal="center" vertical="center" wrapText="1"/>
    </xf>
    <xf numFmtId="0" fontId="43" fillId="0" borderId="0" xfId="543" applyFont="1" applyBorder="1" applyAlignment="1" applyProtection="1">
      <alignment horizontal="center" vertical="center" wrapText="1"/>
    </xf>
    <xf numFmtId="0" fontId="43" fillId="0" borderId="12" xfId="543" applyFont="1" applyBorder="1" applyAlignment="1" applyProtection="1">
      <alignment horizontal="center" vertical="center" wrapText="1"/>
    </xf>
    <xf numFmtId="0" fontId="43" fillId="0" borderId="9" xfId="543" applyFont="1" applyBorder="1" applyAlignment="1" applyProtection="1">
      <alignment horizontal="center" vertical="center" wrapText="1"/>
    </xf>
    <xf numFmtId="0" fontId="43" fillId="0" borderId="6" xfId="543" applyFont="1" applyBorder="1" applyAlignment="1" applyProtection="1">
      <alignment horizontal="center" vertical="center" wrapText="1"/>
    </xf>
    <xf numFmtId="0" fontId="43" fillId="0" borderId="10" xfId="543" applyFont="1" applyBorder="1" applyAlignment="1" applyProtection="1">
      <alignment horizontal="center" vertical="center" wrapText="1"/>
    </xf>
    <xf numFmtId="0" fontId="42" fillId="0" borderId="8" xfId="543" applyFont="1" applyBorder="1" applyAlignment="1" applyProtection="1">
      <alignment horizontal="center" vertical="center" wrapText="1"/>
    </xf>
    <xf numFmtId="0" fontId="42" fillId="0" borderId="0" xfId="543" applyFont="1" applyBorder="1" applyAlignment="1" applyProtection="1">
      <alignment horizontal="center" vertical="center" wrapText="1"/>
    </xf>
    <xf numFmtId="0" fontId="42" fillId="0" borderId="12" xfId="543" applyFont="1" applyBorder="1" applyAlignment="1" applyProtection="1">
      <alignment horizontal="center" vertical="center" wrapText="1"/>
    </xf>
    <xf numFmtId="0" fontId="42" fillId="0" borderId="9" xfId="543" applyFont="1" applyBorder="1" applyAlignment="1" applyProtection="1">
      <alignment horizontal="center" vertical="center" wrapText="1"/>
    </xf>
    <xf numFmtId="0" fontId="42" fillId="0" borderId="6" xfId="543" applyFont="1" applyBorder="1" applyAlignment="1" applyProtection="1">
      <alignment horizontal="center" vertical="center" wrapText="1"/>
    </xf>
    <xf numFmtId="0" fontId="42" fillId="0" borderId="10" xfId="543" applyFont="1" applyBorder="1" applyAlignment="1" applyProtection="1">
      <alignment horizontal="center" vertical="center" wrapText="1"/>
    </xf>
    <xf numFmtId="0" fontId="23" fillId="0" borderId="1" xfId="543" applyFont="1" applyBorder="1" applyAlignment="1" applyProtection="1">
      <alignment horizontal="left" vertical="top" wrapText="1"/>
    </xf>
    <xf numFmtId="0" fontId="23" fillId="0" borderId="2" xfId="543" applyFont="1" applyBorder="1" applyAlignment="1" applyProtection="1">
      <alignment horizontal="left" vertical="top" wrapText="1"/>
    </xf>
    <xf numFmtId="0" fontId="23" fillId="0" borderId="7" xfId="543" applyFont="1" applyBorder="1" applyAlignment="1" applyProtection="1">
      <alignment horizontal="left" vertical="top" wrapText="1"/>
    </xf>
    <xf numFmtId="0" fontId="23" fillId="0" borderId="8" xfId="543" applyFont="1" applyBorder="1" applyAlignment="1" applyProtection="1">
      <alignment horizontal="left" vertical="top" wrapText="1"/>
    </xf>
    <xf numFmtId="0" fontId="23" fillId="0" borderId="0" xfId="543" applyFont="1" applyBorder="1" applyAlignment="1" applyProtection="1">
      <alignment horizontal="left" vertical="top" wrapText="1"/>
    </xf>
    <xf numFmtId="0" fontId="23" fillId="0" borderId="12" xfId="543" applyFont="1" applyBorder="1" applyAlignment="1" applyProtection="1">
      <alignment horizontal="left" vertical="top"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36" fillId="0" borderId="1" xfId="543" applyFont="1" applyFill="1" applyBorder="1" applyAlignment="1" applyProtection="1">
      <alignment horizontal="right"/>
    </xf>
    <xf numFmtId="0" fontId="36" fillId="0" borderId="2" xfId="543" applyFont="1" applyFill="1" applyBorder="1" applyAlignment="1" applyProtection="1">
      <alignment horizontal="right"/>
    </xf>
    <xf numFmtId="0" fontId="36" fillId="0" borderId="7" xfId="543" applyFont="1" applyFill="1" applyBorder="1" applyAlignment="1" applyProtection="1">
      <alignment horizontal="right"/>
    </xf>
    <xf numFmtId="168" fontId="16" fillId="11" borderId="3" xfId="543" applyNumberFormat="1" applyFont="1" applyFill="1" applyBorder="1" applyAlignment="1" applyProtection="1">
      <alignment horizontal="center"/>
    </xf>
    <xf numFmtId="168" fontId="16" fillId="11" borderId="4" xfId="543" applyNumberFormat="1" applyFont="1" applyFill="1" applyBorder="1" applyAlignment="1" applyProtection="1">
      <alignment horizontal="center"/>
    </xf>
    <xf numFmtId="168" fontId="16" fillId="11" borderId="5" xfId="543" applyNumberFormat="1" applyFont="1" applyFill="1" applyBorder="1" applyAlignment="1" applyProtection="1">
      <alignment horizontal="center"/>
    </xf>
    <xf numFmtId="0" fontId="16" fillId="2" borderId="3" xfId="543" applyFont="1" applyFill="1" applyBorder="1" applyAlignment="1" applyProtection="1">
      <alignment horizontal="center"/>
    </xf>
    <xf numFmtId="0" fontId="16" fillId="2" borderId="4" xfId="543" applyFont="1" applyFill="1" applyBorder="1" applyAlignment="1" applyProtection="1">
      <alignment horizontal="center"/>
    </xf>
    <xf numFmtId="0" fontId="16" fillId="2" borderId="5" xfId="543" applyFont="1" applyFill="1" applyBorder="1" applyAlignment="1" applyProtection="1">
      <alignment horizontal="center"/>
    </xf>
    <xf numFmtId="0" fontId="23" fillId="11" borderId="3" xfId="543" applyFont="1" applyFill="1" applyBorder="1" applyAlignment="1" applyProtection="1">
      <alignment horizontal="center"/>
    </xf>
    <xf numFmtId="0" fontId="23" fillId="11" borderId="4" xfId="543" applyFont="1" applyFill="1" applyBorder="1" applyAlignment="1" applyProtection="1">
      <alignment horizontal="center"/>
    </xf>
    <xf numFmtId="0" fontId="23" fillId="11" borderId="5" xfId="543" applyFont="1" applyFill="1" applyBorder="1" applyAlignment="1" applyProtection="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0" borderId="3" xfId="543" applyFont="1" applyFill="1" applyBorder="1" applyAlignment="1" applyProtection="1">
      <alignment horizontal="center"/>
    </xf>
    <xf numFmtId="0" fontId="16" fillId="0" borderId="4" xfId="543" applyFont="1" applyFill="1" applyBorder="1" applyAlignment="1" applyProtection="1">
      <alignment horizontal="center"/>
    </xf>
    <xf numFmtId="0" fontId="16" fillId="0" borderId="5" xfId="543" applyFont="1" applyFill="1" applyBorder="1" applyAlignment="1" applyProtection="1">
      <alignment horizontal="center"/>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3" fillId="0" borderId="1" xfId="0" applyFont="1" applyBorder="1" applyAlignment="1" applyProtection="1">
      <alignment horizontal="center" wrapText="1"/>
    </xf>
    <xf numFmtId="0" fontId="23" fillId="0" borderId="2" xfId="0" applyFont="1" applyBorder="1" applyAlignment="1" applyProtection="1">
      <alignment horizontal="center" wrapText="1"/>
    </xf>
    <xf numFmtId="0" fontId="23" fillId="0" borderId="8"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9" xfId="0" applyFont="1" applyBorder="1" applyAlignment="1" applyProtection="1">
      <alignment horizontal="center" wrapText="1"/>
    </xf>
    <xf numFmtId="0" fontId="23" fillId="0" borderId="6" xfId="0" applyFont="1" applyBorder="1" applyAlignment="1" applyProtection="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36" fillId="0" borderId="4" xfId="543" applyNumberFormat="1" applyFont="1" applyBorder="1" applyAlignment="1" applyProtection="1">
      <alignment horizontal="right" vertical="top" wrapText="1"/>
    </xf>
    <xf numFmtId="0" fontId="36" fillId="0" borderId="5" xfId="543" applyNumberFormat="1" applyFont="1" applyBorder="1" applyAlignment="1" applyProtection="1">
      <alignment horizontal="right" vertical="top" wrapText="1"/>
    </xf>
    <xf numFmtId="0" fontId="24" fillId="0" borderId="3" xfId="543" applyFont="1" applyFill="1" applyBorder="1" applyAlignment="1" applyProtection="1">
      <alignment horizontal="center"/>
    </xf>
    <xf numFmtId="0" fontId="24" fillId="0" borderId="5" xfId="543" applyFont="1" applyFill="1" applyBorder="1" applyAlignment="1" applyProtection="1">
      <alignment horizontal="center"/>
    </xf>
    <xf numFmtId="1" fontId="24" fillId="0" borderId="3" xfId="543" applyNumberFormat="1" applyFont="1" applyFill="1" applyBorder="1" applyAlignment="1" applyProtection="1">
      <alignment horizontal="center"/>
    </xf>
    <xf numFmtId="1" fontId="24" fillId="0" borderId="5" xfId="543" applyNumberFormat="1" applyFont="1" applyFill="1" applyBorder="1" applyAlignment="1" applyProtection="1">
      <alignment horizontal="center"/>
    </xf>
    <xf numFmtId="0" fontId="35" fillId="0" borderId="3" xfId="543" applyFont="1" applyFill="1" applyBorder="1" applyAlignment="1" applyProtection="1">
      <alignment horizontal="center"/>
    </xf>
    <xf numFmtId="0" fontId="35" fillId="0" borderId="5" xfId="543" applyFont="1" applyFill="1" applyBorder="1" applyAlignment="1" applyProtection="1">
      <alignment horizont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168" fontId="16" fillId="0" borderId="1" xfId="543" applyNumberFormat="1" applyFont="1" applyBorder="1" applyAlignment="1" applyProtection="1">
      <alignment horizontal="center" vertical="center"/>
    </xf>
    <xf numFmtId="168" fontId="16" fillId="0" borderId="2" xfId="543" applyNumberFormat="1" applyFont="1" applyBorder="1" applyAlignment="1" applyProtection="1">
      <alignment horizontal="center" vertical="center"/>
    </xf>
    <xf numFmtId="168" fontId="16" fillId="0" borderId="7" xfId="543" applyNumberFormat="1" applyFont="1" applyBorder="1" applyAlignment="1" applyProtection="1">
      <alignment horizontal="center" vertical="center"/>
    </xf>
    <xf numFmtId="168" fontId="16" fillId="0" borderId="8" xfId="543" applyNumberFormat="1" applyFont="1" applyBorder="1" applyAlignment="1" applyProtection="1">
      <alignment horizontal="center" vertical="center"/>
    </xf>
    <xf numFmtId="168" fontId="16" fillId="0" borderId="0" xfId="543" applyNumberFormat="1" applyFont="1" applyBorder="1" applyAlignment="1" applyProtection="1">
      <alignment horizontal="center" vertical="center"/>
    </xf>
    <xf numFmtId="168" fontId="16" fillId="0" borderId="12" xfId="543" applyNumberFormat="1" applyFont="1" applyBorder="1" applyAlignment="1" applyProtection="1">
      <alignment horizontal="center" vertical="center"/>
    </xf>
    <xf numFmtId="168" fontId="16" fillId="0" borderId="9" xfId="543" applyNumberFormat="1" applyFont="1" applyBorder="1" applyAlignment="1" applyProtection="1">
      <alignment horizontal="center" vertical="center"/>
    </xf>
    <xf numFmtId="168" fontId="16" fillId="0" borderId="6" xfId="543" applyNumberFormat="1" applyFont="1" applyBorder="1" applyAlignment="1" applyProtection="1">
      <alignment horizontal="center" vertical="center"/>
    </xf>
    <xf numFmtId="168" fontId="16" fillId="0" borderId="10" xfId="543" applyNumberFormat="1" applyFont="1" applyBorder="1" applyAlignment="1" applyProtection="1">
      <alignment horizontal="center" vertical="center"/>
    </xf>
    <xf numFmtId="168" fontId="23" fillId="0" borderId="3" xfId="543" applyNumberFormat="1" applyFont="1" applyFill="1" applyBorder="1" applyAlignment="1" applyProtection="1">
      <alignment horizontal="center" vertical="center"/>
    </xf>
    <xf numFmtId="168" fontId="23" fillId="0" borderId="4" xfId="543" applyNumberFormat="1" applyFont="1" applyFill="1" applyBorder="1" applyAlignment="1" applyProtection="1">
      <alignment horizontal="center" vertical="center"/>
    </xf>
    <xf numFmtId="168" fontId="23" fillId="0" borderId="5" xfId="543" applyNumberFormat="1" applyFont="1" applyFill="1" applyBorder="1" applyAlignment="1" applyProtection="1">
      <alignment horizontal="center" vertical="center"/>
    </xf>
    <xf numFmtId="0" fontId="16" fillId="0" borderId="8" xfId="0" applyFont="1" applyBorder="1" applyAlignment="1">
      <alignment horizontal="left" wrapText="1"/>
    </xf>
    <xf numFmtId="0" fontId="16" fillId="0" borderId="0"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2" fillId="3" borderId="0" xfId="0" applyFont="1" applyFill="1" applyBorder="1" applyAlignment="1" applyProtection="1">
      <alignment horizontal="center" vertical="center"/>
    </xf>
    <xf numFmtId="0" fontId="23" fillId="0" borderId="3" xfId="0" applyFont="1" applyFill="1" applyBorder="1" applyAlignment="1" applyProtection="1">
      <alignment horizontal="right"/>
    </xf>
    <xf numFmtId="0" fontId="23" fillId="0" borderId="4" xfId="0" applyFont="1" applyFill="1" applyBorder="1" applyAlignment="1" applyProtection="1">
      <alignment horizontal="right"/>
    </xf>
    <xf numFmtId="0" fontId="23" fillId="0" borderId="5" xfId="0" applyFont="1" applyFill="1" applyBorder="1" applyAlignment="1" applyProtection="1">
      <alignment horizontal="right"/>
    </xf>
    <xf numFmtId="0" fontId="25" fillId="0" borderId="1" xfId="0" applyFont="1" applyFill="1" applyBorder="1" applyAlignment="1" applyProtection="1">
      <alignment horizontal="center" vertical="top" wrapText="1"/>
    </xf>
    <xf numFmtId="0" fontId="25" fillId="0" borderId="2" xfId="0" applyFont="1" applyFill="1" applyBorder="1" applyAlignment="1" applyProtection="1">
      <alignment horizontal="center" vertical="top" wrapText="1"/>
    </xf>
    <xf numFmtId="0" fontId="25" fillId="0" borderId="7" xfId="0" applyFont="1" applyFill="1" applyBorder="1" applyAlignment="1" applyProtection="1">
      <alignment horizontal="center" vertical="top" wrapText="1"/>
    </xf>
    <xf numFmtId="0" fontId="25" fillId="0" borderId="8" xfId="0" applyFont="1" applyFill="1" applyBorder="1" applyAlignment="1" applyProtection="1">
      <alignment horizontal="center" vertical="top" wrapText="1"/>
    </xf>
    <xf numFmtId="0" fontId="25" fillId="0" borderId="0" xfId="0" applyFont="1" applyFill="1" applyBorder="1" applyAlignment="1" applyProtection="1">
      <alignment horizontal="center" vertical="top" wrapText="1"/>
    </xf>
    <xf numFmtId="0" fontId="25" fillId="0" borderId="12" xfId="0" applyFont="1" applyFill="1" applyBorder="1" applyAlignment="1" applyProtection="1">
      <alignment horizontal="center" vertical="top" wrapText="1"/>
    </xf>
    <xf numFmtId="0" fontId="25" fillId="0" borderId="9" xfId="0" applyFont="1" applyFill="1" applyBorder="1" applyAlignment="1" applyProtection="1">
      <alignment horizontal="center" vertical="top" wrapText="1"/>
    </xf>
    <xf numFmtId="0" fontId="25" fillId="0" borderId="6" xfId="0" applyFont="1" applyFill="1" applyBorder="1" applyAlignment="1" applyProtection="1">
      <alignment horizontal="center" vertical="top" wrapText="1"/>
    </xf>
    <xf numFmtId="0" fontId="25" fillId="0" borderId="10" xfId="0" applyFont="1" applyFill="1" applyBorder="1" applyAlignment="1" applyProtection="1">
      <alignment horizontal="center" vertical="top" wrapText="1"/>
    </xf>
    <xf numFmtId="0" fontId="16"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35" fillId="5" borderId="4" xfId="0" applyFont="1" applyFill="1" applyBorder="1" applyAlignment="1" applyProtection="1">
      <alignment horizontal="left"/>
      <protection locked="0"/>
    </xf>
    <xf numFmtId="0" fontId="35" fillId="5" borderId="5" xfId="0" applyFont="1" applyFill="1" applyBorder="1" applyAlignment="1" applyProtection="1">
      <alignment horizontal="left"/>
      <protection locked="0"/>
    </xf>
    <xf numFmtId="0" fontId="23" fillId="0" borderId="1" xfId="0" applyFont="1" applyBorder="1" applyAlignment="1" applyProtection="1">
      <alignment horizontal="center"/>
    </xf>
    <xf numFmtId="0" fontId="23" fillId="0" borderId="2" xfId="0" applyFont="1" applyBorder="1" applyAlignment="1" applyProtection="1">
      <alignment horizontal="center"/>
    </xf>
    <xf numFmtId="0" fontId="23" fillId="0" borderId="7" xfId="0" applyFont="1" applyBorder="1" applyAlignment="1" applyProtection="1">
      <alignment horizontal="center"/>
    </xf>
    <xf numFmtId="0" fontId="35" fillId="5" borderId="3" xfId="0" applyFont="1" applyFill="1" applyBorder="1" applyAlignment="1" applyProtection="1">
      <alignment horizontal="left"/>
      <protection locked="0"/>
    </xf>
    <xf numFmtId="0" fontId="4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32" fillId="0" borderId="1" xfId="0" applyFont="1" applyBorder="1" applyAlignment="1" applyProtection="1">
      <alignment horizontal="center" wrapText="1"/>
    </xf>
    <xf numFmtId="0" fontId="32" fillId="0" borderId="2" xfId="0" applyFont="1" applyBorder="1" applyAlignment="1" applyProtection="1">
      <alignment horizontal="center" wrapText="1"/>
    </xf>
    <xf numFmtId="0" fontId="32" fillId="0" borderId="7" xfId="0" applyFont="1" applyBorder="1" applyAlignment="1" applyProtection="1">
      <alignment horizontal="center" wrapText="1"/>
    </xf>
    <xf numFmtId="0" fontId="32" fillId="0" borderId="8" xfId="0" applyFont="1" applyBorder="1" applyAlignment="1" applyProtection="1">
      <alignment horizontal="center" wrapText="1"/>
    </xf>
    <xf numFmtId="0" fontId="32" fillId="0" borderId="0" xfId="0" applyFont="1" applyBorder="1" applyAlignment="1" applyProtection="1">
      <alignment horizontal="center" wrapText="1"/>
    </xf>
    <xf numFmtId="0" fontId="32" fillId="0" borderId="12" xfId="0" applyFont="1" applyBorder="1" applyAlignment="1" applyProtection="1">
      <alignment horizontal="center" wrapText="1"/>
    </xf>
    <xf numFmtId="0" fontId="32" fillId="0" borderId="9" xfId="0" applyFont="1" applyBorder="1" applyAlignment="1" applyProtection="1">
      <alignment horizontal="center" wrapText="1"/>
    </xf>
    <xf numFmtId="0" fontId="32" fillId="0" borderId="6" xfId="0" applyFont="1" applyBorder="1" applyAlignment="1" applyProtection="1">
      <alignment horizontal="center" wrapText="1"/>
    </xf>
    <xf numFmtId="0" fontId="32"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5" fillId="5" borderId="5" xfId="0" applyFont="1" applyFill="1" applyBorder="1" applyAlignment="1" applyProtection="1">
      <alignment horizontal="left"/>
      <protection locked="0"/>
    </xf>
    <xf numFmtId="0" fontId="23" fillId="0" borderId="3" xfId="0" applyFont="1" applyBorder="1" applyAlignment="1" applyProtection="1">
      <alignment horizontal="right"/>
    </xf>
    <xf numFmtId="0" fontId="23" fillId="0" borderId="4" xfId="0" applyFont="1" applyBorder="1" applyAlignment="1" applyProtection="1">
      <alignment horizontal="right"/>
    </xf>
    <xf numFmtId="0" fontId="23" fillId="0" borderId="5" xfId="0" applyFont="1" applyBorder="1" applyAlignment="1" applyProtection="1">
      <alignment horizontal="right"/>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71" fontId="16" fillId="0" borderId="0" xfId="543" applyNumberFormat="1" applyFont="1" applyAlignment="1" applyProtection="1">
      <alignment horizontal="center"/>
    </xf>
    <xf numFmtId="0" fontId="23" fillId="0" borderId="11" xfId="0" applyFont="1" applyFill="1" applyBorder="1" applyAlignment="1" applyProtection="1">
      <alignment horizontal="center"/>
    </xf>
    <xf numFmtId="0" fontId="16" fillId="0" borderId="0" xfId="543" applyFont="1" applyBorder="1" applyAlignment="1" applyProtection="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165" fontId="23" fillId="0" borderId="3" xfId="271" applyNumberFormat="1" applyFont="1" applyBorder="1" applyAlignment="1" applyProtection="1">
      <alignment horizontal="center"/>
    </xf>
    <xf numFmtId="165" fontId="23" fillId="0" borderId="4" xfId="271" applyNumberFormat="1" applyFont="1" applyBorder="1" applyAlignment="1" applyProtection="1">
      <alignment horizontal="center"/>
    </xf>
    <xf numFmtId="165" fontId="23" fillId="0" borderId="5" xfId="271" applyNumberFormat="1" applyFont="1" applyBorder="1" applyAlignment="1" applyProtection="1">
      <alignment horizontal="center"/>
    </xf>
    <xf numFmtId="1" fontId="25" fillId="5" borderId="11" xfId="0" applyNumberFormat="1" applyFont="1" applyFill="1" applyBorder="1" applyAlignment="1" applyProtection="1">
      <alignment horizontal="center"/>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5" fillId="0" borderId="3" xfId="0" applyFont="1" applyFill="1" applyBorder="1" applyAlignment="1" applyProtection="1">
      <alignment horizontal="center"/>
    </xf>
    <xf numFmtId="0" fontId="25" fillId="0" borderId="4" xfId="0" applyFont="1" applyFill="1" applyBorder="1" applyAlignment="1" applyProtection="1">
      <alignment horizontal="center"/>
    </xf>
    <xf numFmtId="0" fontId="25" fillId="0" borderId="5" xfId="0" applyFont="1" applyFill="1" applyBorder="1" applyAlignment="1" applyProtection="1">
      <alignment horizontal="center"/>
    </xf>
    <xf numFmtId="3" fontId="44" fillId="11" borderId="6" xfId="543" applyNumberFormat="1" applyFont="1" applyFill="1" applyBorder="1" applyAlignment="1" applyProtection="1">
      <alignment horizontal="left" vertical="center" wrapText="1"/>
    </xf>
    <xf numFmtId="0" fontId="25" fillId="5" borderId="6" xfId="0" applyFont="1" applyFill="1" applyBorder="1" applyAlignment="1" applyProtection="1">
      <alignment horizontal="center"/>
      <protection locked="0"/>
    </xf>
    <xf numFmtId="0" fontId="23" fillId="0" borderId="17" xfId="0" applyFont="1" applyFill="1" applyBorder="1" applyAlignment="1" applyProtection="1">
      <alignment horizontal="center"/>
    </xf>
    <xf numFmtId="0" fontId="16" fillId="0" borderId="0" xfId="0" applyFont="1" applyFill="1" applyAlignment="1" applyProtection="1">
      <alignment horizontal="left" vertical="center" wrapText="1"/>
    </xf>
    <xf numFmtId="168" fontId="25" fillId="0" borderId="0" xfId="544" applyNumberFormat="1" applyFont="1" applyBorder="1" applyAlignment="1" applyProtection="1">
      <alignment horizontal="right" vertical="center" wrapText="1"/>
    </xf>
    <xf numFmtId="175" fontId="25" fillId="0" borderId="0" xfId="544" applyNumberFormat="1" applyFont="1" applyBorder="1" applyAlignment="1" applyProtection="1">
      <alignment horizontal="center" vertical="center"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0" xfId="543" applyFont="1" applyFill="1" applyAlignment="1" applyProtection="1">
      <alignment horizontal="center"/>
    </xf>
    <xf numFmtId="0" fontId="25" fillId="5" borderId="6" xfId="0"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168" fontId="25"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ont="1" applyFill="1" applyBorder="1" applyAlignment="1" applyProtection="1">
      <alignment horizontal="left"/>
      <protection locked="0"/>
    </xf>
    <xf numFmtId="0" fontId="25" fillId="0" borderId="6" xfId="0" applyFont="1" applyBorder="1" applyAlignment="1" applyProtection="1">
      <alignment horizontal="left"/>
    </xf>
    <xf numFmtId="0" fontId="23" fillId="0" borderId="7" xfId="0" applyFont="1" applyBorder="1" applyAlignment="1" applyProtection="1">
      <alignment horizontal="center" wrapText="1"/>
    </xf>
    <xf numFmtId="0" fontId="23" fillId="0" borderId="12" xfId="0" applyFont="1" applyBorder="1" applyAlignment="1" applyProtection="1">
      <alignment horizontal="center" wrapText="1"/>
    </xf>
    <xf numFmtId="0" fontId="23" fillId="0" borderId="10" xfId="0" applyFont="1" applyBorder="1" applyAlignment="1" applyProtection="1">
      <alignment horizontal="center" wrapText="1"/>
    </xf>
    <xf numFmtId="0" fontId="23" fillId="0" borderId="11" xfId="0" applyFont="1" applyBorder="1" applyAlignment="1" applyProtection="1">
      <alignment horizontal="center" wrapText="1"/>
    </xf>
    <xf numFmtId="0" fontId="54" fillId="0" borderId="1" xfId="0" applyFont="1" applyBorder="1" applyAlignment="1" applyProtection="1">
      <alignment horizontal="center" wrapText="1"/>
    </xf>
    <xf numFmtId="0" fontId="54" fillId="0" borderId="2" xfId="0" applyFont="1" applyBorder="1" applyAlignment="1" applyProtection="1">
      <alignment horizontal="center" wrapText="1"/>
    </xf>
    <xf numFmtId="0" fontId="54" fillId="0" borderId="7" xfId="0" applyFont="1" applyBorder="1" applyAlignment="1" applyProtection="1">
      <alignment horizontal="center" wrapText="1"/>
    </xf>
    <xf numFmtId="0" fontId="54" fillId="0" borderId="8" xfId="0" applyFont="1" applyBorder="1" applyAlignment="1" applyProtection="1">
      <alignment horizontal="center" wrapText="1"/>
    </xf>
    <xf numFmtId="0" fontId="54" fillId="0" borderId="0" xfId="0" applyFont="1" applyBorder="1" applyAlignment="1" applyProtection="1">
      <alignment horizontal="center" wrapText="1"/>
    </xf>
    <xf numFmtId="0" fontId="54" fillId="0" borderId="12" xfId="0" applyFont="1" applyBorder="1" applyAlignment="1" applyProtection="1">
      <alignment horizontal="center" wrapText="1"/>
    </xf>
    <xf numFmtId="0" fontId="54" fillId="0" borderId="9" xfId="0" applyFont="1" applyBorder="1" applyAlignment="1" applyProtection="1">
      <alignment horizontal="center" wrapText="1"/>
    </xf>
    <xf numFmtId="0" fontId="54" fillId="0" borderId="6" xfId="0" applyFont="1" applyBorder="1" applyAlignment="1" applyProtection="1">
      <alignment horizontal="center" wrapText="1"/>
    </xf>
    <xf numFmtId="0" fontId="54" fillId="0" borderId="10" xfId="0" applyFont="1" applyBorder="1" applyAlignment="1" applyProtection="1">
      <alignment horizontal="center" wrapText="1"/>
    </xf>
    <xf numFmtId="0" fontId="16" fillId="5" borderId="5" xfId="0" applyFont="1" applyFill="1" applyBorder="1" applyAlignment="1" applyProtection="1">
      <alignment horizontal="left"/>
      <protection locked="0"/>
    </xf>
    <xf numFmtId="0" fontId="16" fillId="5" borderId="6" xfId="0"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0" borderId="0" xfId="0" applyFont="1" applyAlignment="1" applyProtection="1">
      <alignment horizontal="left" vertical="top" wrapText="1"/>
    </xf>
    <xf numFmtId="0" fontId="16" fillId="5" borderId="6" xfId="244"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6" fillId="5" borderId="3" xfId="0" applyNumberFormat="1" applyFont="1" applyFill="1" applyBorder="1" applyAlignment="1" applyProtection="1">
      <alignment horizontal="right" vertical="top"/>
      <protection locked="0"/>
    </xf>
    <xf numFmtId="0" fontId="25" fillId="5" borderId="4" xfId="0" applyNumberFormat="1" applyFont="1" applyFill="1" applyBorder="1" applyAlignment="1" applyProtection="1">
      <alignment horizontal="right" vertical="top"/>
      <protection locked="0"/>
    </xf>
    <xf numFmtId="0" fontId="25" fillId="5" borderId="5" xfId="0" applyNumberFormat="1" applyFont="1" applyFill="1" applyBorder="1" applyAlignment="1" applyProtection="1">
      <alignment horizontal="right" vertical="top"/>
      <protection locked="0"/>
    </xf>
    <xf numFmtId="2"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4" fontId="25" fillId="5" borderId="4" xfId="0" applyNumberFormat="1" applyFont="1" applyFill="1" applyBorder="1" applyAlignment="1" applyProtection="1">
      <alignment horizontal="right"/>
      <protection locked="0"/>
    </xf>
    <xf numFmtId="0" fontId="35" fillId="5" borderId="3" xfId="543" applyFont="1" applyFill="1" applyBorder="1" applyAlignment="1" applyProtection="1">
      <alignment horizontal="center"/>
    </xf>
    <xf numFmtId="0" fontId="35" fillId="5" borderId="4" xfId="543" applyFont="1" applyFill="1" applyBorder="1" applyAlignment="1" applyProtection="1">
      <alignment horizontal="center"/>
    </xf>
    <xf numFmtId="0" fontId="35" fillId="5" borderId="5" xfId="543" applyFont="1" applyFill="1" applyBorder="1" applyAlignment="1" applyProtection="1">
      <alignment horizontal="center"/>
    </xf>
    <xf numFmtId="49" fontId="16" fillId="5" borderId="3" xfId="543" applyNumberFormat="1" applyFont="1" applyFill="1" applyBorder="1" applyAlignment="1" applyProtection="1">
      <alignment horizontal="center"/>
    </xf>
    <xf numFmtId="49" fontId="16" fillId="5" borderId="5" xfId="543" applyNumberFormat="1" applyFont="1" applyFill="1" applyBorder="1" applyAlignment="1" applyProtection="1">
      <alignment horizontal="center"/>
    </xf>
    <xf numFmtId="0" fontId="25"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6" fillId="5" borderId="3" xfId="0"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0" fontId="16" fillId="5" borderId="5" xfId="0" applyFont="1" applyFill="1" applyBorder="1" applyAlignment="1" applyProtection="1">
      <alignment horizontal="right"/>
      <protection locked="0"/>
    </xf>
    <xf numFmtId="0" fontId="16" fillId="0" borderId="1" xfId="0" applyFont="1" applyFill="1" applyBorder="1" applyAlignment="1" applyProtection="1">
      <alignment horizontal="center" vertical="top" wrapText="1"/>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53" fillId="5" borderId="3" xfId="0" applyNumberFormat="1" applyFont="1" applyFill="1" applyBorder="1" applyAlignment="1" applyProtection="1">
      <alignment horizontal="right"/>
      <protection locked="0"/>
    </xf>
    <xf numFmtId="0" fontId="53" fillId="5" borderId="4" xfId="0" applyNumberFormat="1" applyFont="1" applyFill="1" applyBorder="1" applyAlignment="1" applyProtection="1">
      <alignment horizontal="right"/>
      <protection locked="0"/>
    </xf>
    <xf numFmtId="0" fontId="53" fillId="5" borderId="5" xfId="0" applyNumberFormat="1" applyFont="1" applyFill="1" applyBorder="1" applyAlignment="1" applyProtection="1">
      <alignment horizontal="right"/>
      <protection locked="0"/>
    </xf>
    <xf numFmtId="0" fontId="22" fillId="3" borderId="2"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53" fillId="5" borderId="3" xfId="0" applyNumberFormat="1" applyFont="1" applyFill="1" applyBorder="1" applyAlignment="1" applyProtection="1">
      <alignment horizontal="center"/>
      <protection locked="0"/>
    </xf>
    <xf numFmtId="0" fontId="53" fillId="5" borderId="4" xfId="0" applyNumberFormat="1" applyFont="1" applyFill="1" applyBorder="1" applyAlignment="1" applyProtection="1">
      <alignment horizontal="center"/>
      <protection locked="0"/>
    </xf>
    <xf numFmtId="0" fontId="53" fillId="5" borderId="5" xfId="0" applyNumberFormat="1" applyFont="1" applyFill="1" applyBorder="1" applyAlignment="1" applyProtection="1">
      <alignment horizontal="center"/>
      <protection locked="0"/>
    </xf>
    <xf numFmtId="0" fontId="16" fillId="5" borderId="3" xfId="0" applyFont="1" applyFill="1" applyBorder="1" applyAlignment="1" applyProtection="1">
      <protection locked="0"/>
    </xf>
    <xf numFmtId="0" fontId="25" fillId="0" borderId="4" xfId="0" applyFont="1" applyBorder="1" applyAlignment="1" applyProtection="1">
      <protection locked="0"/>
    </xf>
    <xf numFmtId="0" fontId="25" fillId="0" borderId="5" xfId="0" applyFont="1" applyBorder="1" applyAlignment="1" applyProtection="1">
      <protection locked="0"/>
    </xf>
    <xf numFmtId="0" fontId="23" fillId="0" borderId="2" xfId="0" applyFont="1" applyBorder="1" applyAlignment="1" applyProtection="1">
      <alignment horizontal="right"/>
    </xf>
    <xf numFmtId="0" fontId="23"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23" fillId="0" borderId="6" xfId="0" applyFont="1" applyBorder="1" applyAlignment="1" applyProtection="1">
      <alignment horizontal="center"/>
    </xf>
    <xf numFmtId="9" fontId="0" fillId="5" borderId="3" xfId="0" applyNumberFormat="1" applyFill="1" applyBorder="1" applyAlignment="1" applyProtection="1">
      <alignment horizontal="right"/>
      <protection locked="0"/>
    </xf>
    <xf numFmtId="0" fontId="16" fillId="5" borderId="3" xfId="0" applyNumberFormat="1" applyFont="1" applyFill="1" applyBorder="1" applyAlignment="1" applyProtection="1">
      <alignment horizontal="right"/>
      <protection locked="0"/>
    </xf>
    <xf numFmtId="0" fontId="16" fillId="5" borderId="4" xfId="0" applyNumberFormat="1" applyFont="1" applyFill="1" applyBorder="1" applyAlignment="1" applyProtection="1">
      <alignment horizontal="right"/>
      <protection locked="0"/>
    </xf>
    <xf numFmtId="0" fontId="16" fillId="5" borderId="5" xfId="0" applyNumberFormat="1" applyFont="1" applyFill="1" applyBorder="1" applyAlignment="1" applyProtection="1">
      <alignment horizontal="right"/>
      <protection locked="0"/>
    </xf>
    <xf numFmtId="2" fontId="16" fillId="0" borderId="0" xfId="543" applyNumberFormat="1" applyFont="1" applyBorder="1" applyAlignment="1" applyProtection="1">
      <alignment horizontal="center"/>
    </xf>
    <xf numFmtId="171" fontId="16" fillId="0" borderId="0" xfId="543" applyNumberFormat="1" applyFont="1" applyBorder="1" applyAlignment="1" applyProtection="1">
      <alignment horizontal="center"/>
    </xf>
    <xf numFmtId="9" fontId="16" fillId="0" borderId="0" xfId="543" applyNumberFormat="1" applyFont="1" applyFill="1" applyBorder="1" applyAlignment="1" applyProtection="1">
      <alignment horizontal="center" vertical="center"/>
    </xf>
    <xf numFmtId="0" fontId="25" fillId="0" borderId="3" xfId="0" applyFont="1" applyBorder="1" applyAlignment="1" applyProtection="1">
      <alignment horizontal="left"/>
    </xf>
    <xf numFmtId="168" fontId="0" fillId="0" borderId="11" xfId="0" applyNumberFormat="1" applyFill="1" applyBorder="1" applyAlignment="1" applyProtection="1"/>
    <xf numFmtId="171" fontId="16" fillId="0" borderId="0" xfId="543" applyNumberFormat="1" applyFont="1" applyBorder="1" applyAlignment="1" applyProtection="1">
      <alignment horizontal="right"/>
    </xf>
    <xf numFmtId="2" fontId="16" fillId="0" borderId="0" xfId="543" applyNumberFormat="1" applyFont="1" applyFill="1" applyBorder="1" applyAlignment="1" applyProtection="1">
      <alignment horizontal="center"/>
    </xf>
    <xf numFmtId="0" fontId="23" fillId="0" borderId="2" xfId="0" applyFont="1" applyFill="1" applyBorder="1" applyAlignment="1" applyProtection="1">
      <alignment horizontal="center" wrapText="1"/>
    </xf>
    <xf numFmtId="0" fontId="23" fillId="0" borderId="7" xfId="0" applyFont="1" applyFill="1" applyBorder="1" applyAlignment="1" applyProtection="1">
      <alignment horizontal="center" wrapText="1"/>
    </xf>
    <xf numFmtId="0" fontId="23" fillId="0" borderId="6" xfId="0" applyFont="1" applyFill="1" applyBorder="1" applyAlignment="1" applyProtection="1">
      <alignment horizontal="center" wrapText="1"/>
    </xf>
    <xf numFmtId="0" fontId="23" fillId="0" borderId="10" xfId="0" applyFont="1" applyFill="1" applyBorder="1" applyAlignment="1" applyProtection="1">
      <alignment horizontal="center" wrapText="1"/>
    </xf>
    <xf numFmtId="14" fontId="0" fillId="5" borderId="3" xfId="0" quotePrefix="1" applyNumberFormat="1" applyFill="1" applyBorder="1" applyAlignment="1" applyProtection="1">
      <alignment horizontal="right"/>
      <protection locked="0"/>
    </xf>
    <xf numFmtId="0" fontId="16" fillId="44" borderId="11" xfId="0" applyFont="1" applyFill="1" applyBorder="1" applyAlignment="1" applyProtection="1">
      <alignment horizontal="center"/>
      <protection locked="0"/>
    </xf>
    <xf numFmtId="0" fontId="23" fillId="0" borderId="9" xfId="0" applyFont="1" applyBorder="1" applyAlignment="1" applyProtection="1">
      <alignment horizontal="right"/>
    </xf>
    <xf numFmtId="0" fontId="23" fillId="0" borderId="6" xfId="0" applyFont="1" applyBorder="1" applyAlignment="1" applyProtection="1">
      <alignment horizontal="right"/>
    </xf>
    <xf numFmtId="0" fontId="23" fillId="0" borderId="10" xfId="0" applyFont="1" applyBorder="1" applyAlignment="1" applyProtection="1">
      <alignment horizontal="right"/>
    </xf>
    <xf numFmtId="0" fontId="25" fillId="0" borderId="11" xfId="0" applyFont="1" applyFill="1" applyBorder="1" applyAlignment="1" applyProtection="1">
      <alignment horizontal="center"/>
    </xf>
    <xf numFmtId="0" fontId="16" fillId="0" borderId="0" xfId="0" applyFont="1" applyFill="1" applyBorder="1" applyAlignment="1" applyProtection="1">
      <alignment horizontal="left" wrapText="1"/>
    </xf>
    <xf numFmtId="0" fontId="23" fillId="0" borderId="0" xfId="0" applyFont="1" applyAlignment="1" applyProtection="1">
      <alignment horizontal="center" vertical="center"/>
    </xf>
    <xf numFmtId="1" fontId="25" fillId="0" borderId="3" xfId="0" applyNumberFormat="1" applyFont="1" applyFill="1" applyBorder="1" applyAlignment="1" applyProtection="1">
      <alignment horizontal="center"/>
    </xf>
    <xf numFmtId="1" fontId="25" fillId="0" borderId="4" xfId="0" applyNumberFormat="1" applyFont="1" applyFill="1" applyBorder="1" applyAlignment="1" applyProtection="1">
      <alignment horizontal="center"/>
    </xf>
    <xf numFmtId="1" fontId="25"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25" fillId="5" borderId="6" xfId="271" applyFont="1" applyFill="1" applyBorder="1" applyAlignment="1" applyProtection="1">
      <protection locked="0"/>
    </xf>
    <xf numFmtId="168" fontId="25" fillId="5" borderId="6" xfId="0" applyNumberFormat="1" applyFont="1" applyFill="1" applyBorder="1" applyAlignment="1" applyProtection="1">
      <alignment horizontal="right"/>
      <protection locked="0"/>
    </xf>
    <xf numFmtId="0" fontId="23" fillId="0" borderId="8" xfId="0" applyFont="1" applyBorder="1" applyAlignment="1" applyProtection="1">
      <alignment horizontal="center"/>
    </xf>
    <xf numFmtId="0" fontId="23" fillId="0" borderId="0" xfId="0" applyFont="1" applyBorder="1" applyAlignment="1" applyProtection="1">
      <alignment horizontal="center"/>
    </xf>
    <xf numFmtId="0" fontId="23" fillId="0" borderId="12" xfId="0" applyFont="1" applyBorder="1" applyAlignment="1" applyProtection="1">
      <alignment horizontal="center"/>
    </xf>
    <xf numFmtId="0" fontId="23" fillId="0" borderId="9" xfId="0" applyFont="1" applyBorder="1" applyAlignment="1" applyProtection="1">
      <alignment horizontal="center"/>
    </xf>
    <xf numFmtId="0" fontId="23" fillId="0" borderId="1" xfId="0" applyFont="1" applyBorder="1" applyAlignment="1" applyProtection="1">
      <alignment horizontal="center" vertical="center" wrapText="1"/>
    </xf>
    <xf numFmtId="0" fontId="23" fillId="0" borderId="2" xfId="0" applyFont="1" applyBorder="1" applyAlignment="1" applyProtection="1">
      <alignment horizontal="center" vertical="center" wrapText="1"/>
    </xf>
    <xf numFmtId="0" fontId="23" fillId="0" borderId="7" xfId="0" applyFont="1" applyBorder="1" applyAlignment="1" applyProtection="1">
      <alignment horizontal="center" vertical="center" wrapText="1"/>
    </xf>
    <xf numFmtId="0" fontId="23" fillId="0" borderId="8" xfId="0" applyFont="1" applyBorder="1" applyAlignment="1" applyProtection="1">
      <alignment horizontal="center" vertical="center" wrapText="1"/>
    </xf>
    <xf numFmtId="0" fontId="23" fillId="0" borderId="0" xfId="0" applyFont="1" applyBorder="1" applyAlignment="1" applyProtection="1">
      <alignment horizontal="center" vertical="center" wrapText="1"/>
    </xf>
    <xf numFmtId="0" fontId="23" fillId="0" borderId="12" xfId="0" applyFont="1" applyBorder="1" applyAlignment="1" applyProtection="1">
      <alignment horizontal="center" vertical="center" wrapText="1"/>
    </xf>
    <xf numFmtId="0" fontId="23" fillId="0" borderId="9" xfId="0" applyFont="1" applyBorder="1" applyAlignment="1" applyProtection="1">
      <alignment horizontal="center" vertical="center" wrapText="1"/>
    </xf>
    <xf numFmtId="0" fontId="23" fillId="0" borderId="6" xfId="0" applyFont="1" applyBorder="1" applyAlignment="1" applyProtection="1">
      <alignment horizontal="center" vertical="center" wrapText="1"/>
    </xf>
    <xf numFmtId="0" fontId="23" fillId="0" borderId="10" xfId="0" applyFont="1" applyBorder="1" applyAlignment="1" applyProtection="1">
      <alignment horizontal="center" vertical="center" wrapText="1"/>
    </xf>
    <xf numFmtId="0" fontId="23"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5" fillId="5" borderId="9" xfId="0" applyFont="1" applyFill="1" applyBorder="1" applyAlignment="1" applyProtection="1">
      <alignment horizontal="center"/>
      <protection locked="0"/>
    </xf>
    <xf numFmtId="0" fontId="16" fillId="0" borderId="3" xfId="271" applyFont="1" applyBorder="1" applyAlignment="1" applyProtection="1">
      <alignment horizontal="left"/>
    </xf>
    <xf numFmtId="0" fontId="16" fillId="0" borderId="4" xfId="271" applyFont="1" applyBorder="1" applyAlignment="1" applyProtection="1">
      <alignment horizontal="left"/>
    </xf>
    <xf numFmtId="0" fontId="16" fillId="0" borderId="5" xfId="271" applyFont="1" applyBorder="1" applyAlignment="1" applyProtection="1">
      <alignment horizontal="left"/>
    </xf>
    <xf numFmtId="168" fontId="53" fillId="0" borderId="2" xfId="0" applyNumberFormat="1" applyFont="1" applyFill="1" applyBorder="1" applyAlignment="1" applyProtection="1">
      <alignment horizontal="left" vertical="top" wrapText="1"/>
    </xf>
    <xf numFmtId="168" fontId="53" fillId="0" borderId="0" xfId="0" applyNumberFormat="1" applyFont="1" applyFill="1" applyBorder="1" applyAlignment="1" applyProtection="1">
      <alignment horizontal="left" vertical="top" wrapText="1"/>
    </xf>
    <xf numFmtId="0" fontId="16" fillId="0" borderId="6" xfId="0" applyFont="1" applyBorder="1" applyAlignment="1" applyProtection="1">
      <alignment horizontal="center"/>
      <protection locked="0"/>
    </xf>
    <xf numFmtId="0" fontId="16" fillId="44" borderId="0" xfId="0" applyFont="1" applyFill="1" applyBorder="1" applyAlignment="1" applyProtection="1">
      <alignment horizontal="left" vertical="center" wrapText="1"/>
      <protection locked="0"/>
    </xf>
    <xf numFmtId="0" fontId="16"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3" fillId="0" borderId="0" xfId="0" applyFont="1" applyAlignment="1" applyProtection="1">
      <alignment horizontal="center"/>
    </xf>
    <xf numFmtId="0" fontId="16" fillId="0" borderId="4" xfId="0" applyFont="1" applyFill="1" applyBorder="1" applyAlignment="1" applyProtection="1">
      <alignment horizontal="left"/>
      <protection locked="0"/>
    </xf>
    <xf numFmtId="0" fontId="25"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8" fontId="16" fillId="0" borderId="6" xfId="0" applyNumberFormat="1" applyFont="1" applyFill="1" applyBorder="1" applyAlignment="1" applyProtection="1">
      <alignment horizontal="center"/>
    </xf>
    <xf numFmtId="0" fontId="31" fillId="0" borderId="0" xfId="0" applyFont="1" applyAlignment="1" applyProtection="1">
      <alignment horizontal="center"/>
    </xf>
    <xf numFmtId="0" fontId="16" fillId="0" borderId="6" xfId="0" applyFont="1" applyFill="1" applyBorder="1" applyAlignment="1" applyProtection="1">
      <alignment horizontal="center"/>
      <protection locked="0"/>
    </xf>
    <xf numFmtId="166" fontId="25"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5" fillId="0" borderId="6" xfId="0" applyFont="1" applyFill="1" applyBorder="1" applyAlignment="1" applyProtection="1">
      <alignment horizontal="left" wrapText="1"/>
    </xf>
    <xf numFmtId="0" fontId="16" fillId="0" borderId="0" xfId="0" applyFont="1" applyFill="1" applyAlignment="1" applyProtection="1">
      <alignment horizontal="center"/>
    </xf>
    <xf numFmtId="0" fontId="25" fillId="0" borderId="0" xfId="0" applyFont="1" applyFill="1" applyAlignment="1" applyProtection="1">
      <alignment horizontal="center"/>
    </xf>
    <xf numFmtId="168" fontId="25" fillId="0" borderId="6" xfId="0" applyNumberFormat="1" applyFont="1" applyFill="1" applyBorder="1" applyAlignment="1" applyProtection="1">
      <alignment horizontal="center"/>
    </xf>
    <xf numFmtId="0" fontId="24"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6" fillId="0" borderId="6" xfId="0" applyFont="1" applyFill="1" applyBorder="1" applyAlignment="1" applyProtection="1">
      <alignment horizontal="left"/>
      <protection locked="0"/>
    </xf>
    <xf numFmtId="0" fontId="17" fillId="0" borderId="0" xfId="244" applyFill="1" applyAlignment="1" applyProtection="1">
      <alignment horizontal="left"/>
      <protection locked="0"/>
    </xf>
    <xf numFmtId="0" fontId="16" fillId="5" borderId="0" xfId="0" applyFont="1" applyFill="1" applyBorder="1" applyAlignment="1" applyProtection="1">
      <alignment horizontal="left" vertical="top" wrapText="1"/>
      <protection locked="0"/>
    </xf>
    <xf numFmtId="0" fontId="25" fillId="5" borderId="0"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16" fillId="0" borderId="3" xfId="0" applyFont="1" applyBorder="1" applyAlignment="1" applyProtection="1">
      <alignment horizontal="left"/>
    </xf>
    <xf numFmtId="0" fontId="0" fillId="0" borderId="5" xfId="0" applyBorder="1" applyAlignment="1" applyProtection="1">
      <alignment horizontal="left"/>
    </xf>
    <xf numFmtId="3" fontId="25" fillId="5" borderId="11" xfId="0" applyNumberFormat="1" applyFont="1" applyFill="1" applyBorder="1" applyAlignment="1" applyProtection="1">
      <alignment horizontal="center"/>
      <protection locked="0"/>
    </xf>
    <xf numFmtId="0" fontId="2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5" fillId="5" borderId="4" xfId="0" applyNumberFormat="1" applyFont="1" applyFill="1" applyBorder="1" applyAlignment="1" applyProtection="1">
      <alignment horizontal="right"/>
      <protection locked="0"/>
    </xf>
    <xf numFmtId="10" fontId="2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2" fontId="0" fillId="0" borderId="6" xfId="0" applyNumberFormat="1" applyFill="1" applyBorder="1" applyAlignment="1" applyProtection="1">
      <alignment horizontal="center"/>
    </xf>
    <xf numFmtId="168" fontId="25" fillId="0" borderId="3" xfId="0" applyNumberFormat="1" applyFont="1" applyFill="1" applyBorder="1" applyAlignment="1" applyProtection="1">
      <alignment horizontal="left" vertical="top"/>
    </xf>
    <xf numFmtId="168" fontId="25" fillId="0" borderId="4" xfId="0" applyNumberFormat="1" applyFont="1" applyFill="1" applyBorder="1" applyAlignment="1" applyProtection="1">
      <alignment horizontal="left" vertical="top"/>
    </xf>
    <xf numFmtId="168" fontId="25" fillId="0" borderId="5" xfId="0" applyNumberFormat="1" applyFont="1" applyFill="1" applyBorder="1" applyAlignment="1" applyProtection="1">
      <alignment horizontal="left" vertical="top"/>
    </xf>
    <xf numFmtId="0" fontId="16" fillId="0" borderId="4" xfId="0" applyFont="1" applyBorder="1" applyAlignment="1" applyProtection="1">
      <alignment horizontal="left"/>
    </xf>
    <xf numFmtId="0" fontId="16" fillId="0" borderId="5" xfId="0" applyFont="1" applyBorder="1" applyAlignment="1" applyProtection="1">
      <alignment horizontal="left"/>
    </xf>
    <xf numFmtId="0" fontId="0" fillId="44" borderId="6" xfId="0" applyFill="1" applyBorder="1" applyAlignment="1" applyProtection="1">
      <alignment horizontal="left"/>
      <protection locked="0"/>
    </xf>
    <xf numFmtId="178" fontId="25" fillId="5" borderId="4" xfId="0" applyNumberFormat="1" applyFont="1" applyFill="1" applyBorder="1" applyAlignment="1" applyProtection="1">
      <alignment horizontal="right"/>
      <protection locked="0"/>
    </xf>
    <xf numFmtId="3" fontId="16" fillId="5" borderId="11" xfId="0" applyNumberFormat="1" applyFont="1" applyFill="1" applyBorder="1" applyAlignment="1" applyProtection="1">
      <alignment horizontal="center"/>
      <protection locked="0"/>
    </xf>
    <xf numFmtId="0" fontId="16" fillId="0" borderId="0" xfId="0" applyFont="1" applyAlignment="1" applyProtection="1">
      <alignment horizontal="left" wrapText="1"/>
    </xf>
    <xf numFmtId="0" fontId="16" fillId="44" borderId="4" xfId="0" applyFont="1" applyFill="1" applyBorder="1" applyAlignment="1" applyProtection="1">
      <alignment horizontal="left" wrapText="1"/>
      <protection locked="0"/>
    </xf>
    <xf numFmtId="3" fontId="25" fillId="5" borderId="3" xfId="0" applyNumberFormat="1" applyFont="1" applyFill="1" applyBorder="1" applyAlignment="1" applyProtection="1">
      <alignment horizontal="center"/>
      <protection locked="0"/>
    </xf>
    <xf numFmtId="3" fontId="25" fillId="5" borderId="4" xfId="0" applyNumberFormat="1" applyFont="1" applyFill="1" applyBorder="1" applyAlignment="1" applyProtection="1">
      <alignment horizontal="center"/>
      <protection locked="0"/>
    </xf>
    <xf numFmtId="3" fontId="25" fillId="5" borderId="5" xfId="0" applyNumberFormat="1"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0" fontId="23" fillId="0" borderId="3" xfId="0" applyFont="1" applyFill="1" applyBorder="1" applyAlignment="1" applyProtection="1">
      <alignment horizontal="center"/>
    </xf>
    <xf numFmtId="0" fontId="23" fillId="0" borderId="4"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4" fillId="44" borderId="6" xfId="0" applyFont="1" applyFill="1" applyBorder="1" applyAlignment="1" applyProtection="1">
      <alignment horizontal="left"/>
      <protection locked="0"/>
    </xf>
    <xf numFmtId="0" fontId="23" fillId="0" borderId="3" xfId="0" applyFont="1" applyBorder="1" applyAlignment="1" applyProtection="1">
      <alignment horizontal="center" wrapText="1"/>
    </xf>
    <xf numFmtId="0" fontId="23" fillId="0" borderId="4" xfId="0" applyFont="1" applyBorder="1" applyAlignment="1" applyProtection="1">
      <alignment horizontal="center" wrapText="1"/>
    </xf>
    <xf numFmtId="0" fontId="23" fillId="0" borderId="5" xfId="0" applyFont="1" applyBorder="1" applyAlignment="1" applyProtection="1">
      <alignment horizontal="center" wrapText="1"/>
    </xf>
    <xf numFmtId="175" fontId="16" fillId="44" borderId="3" xfId="0" applyNumberFormat="1" applyFont="1" applyFill="1" applyBorder="1" applyAlignment="1" applyProtection="1">
      <alignment horizontal="center"/>
      <protection locked="0"/>
    </xf>
    <xf numFmtId="175" fontId="16" fillId="44" borderId="4" xfId="0" applyNumberFormat="1" applyFont="1" applyFill="1" applyBorder="1" applyAlignment="1" applyProtection="1">
      <alignment horizontal="center"/>
      <protection locked="0"/>
    </xf>
    <xf numFmtId="175" fontId="16" fillId="44" borderId="5" xfId="0" applyNumberFormat="1" applyFont="1" applyFill="1" applyBorder="1" applyAlignment="1" applyProtection="1">
      <alignment horizontal="center"/>
      <protection locked="0"/>
    </xf>
    <xf numFmtId="168" fontId="16" fillId="44" borderId="3" xfId="0" applyNumberFormat="1" applyFont="1" applyFill="1" applyBorder="1" applyAlignment="1" applyProtection="1">
      <alignment horizontal="center"/>
      <protection locked="0"/>
    </xf>
    <xf numFmtId="168" fontId="16" fillId="44" borderId="4" xfId="0" applyNumberFormat="1" applyFont="1" applyFill="1" applyBorder="1" applyAlignment="1" applyProtection="1">
      <alignment horizontal="center"/>
      <protection locked="0"/>
    </xf>
    <xf numFmtId="168" fontId="16"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180" fontId="24" fillId="44" borderId="3" xfId="0" applyNumberFormat="1" applyFont="1" applyFill="1" applyBorder="1" applyAlignment="1" applyProtection="1">
      <alignment horizontal="center"/>
      <protection locked="0"/>
    </xf>
    <xf numFmtId="180" fontId="24" fillId="44" borderId="4" xfId="0" applyNumberFormat="1" applyFont="1" applyFill="1" applyBorder="1" applyAlignment="1" applyProtection="1">
      <alignment horizontal="center"/>
      <protection locked="0"/>
    </xf>
    <xf numFmtId="180" fontId="24" fillId="44" borderId="5" xfId="0" applyNumberFormat="1" applyFont="1" applyFill="1" applyBorder="1" applyAlignment="1" applyProtection="1">
      <alignment horizontal="center"/>
      <protection locked="0"/>
    </xf>
    <xf numFmtId="0" fontId="23" fillId="0" borderId="5" xfId="0" applyFont="1" applyFill="1" applyBorder="1" applyAlignment="1" applyProtection="1">
      <alignment horizontal="center"/>
    </xf>
    <xf numFmtId="1" fontId="25" fillId="5" borderId="6" xfId="0" applyNumberFormat="1" applyFon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68" fontId="25"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6"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6" fillId="0" borderId="3" xfId="543" applyNumberFormat="1" applyFont="1" applyFill="1" applyBorder="1" applyAlignment="1" applyProtection="1">
      <alignment horizontal="center" vertical="center"/>
    </xf>
    <xf numFmtId="175" fontId="16" fillId="0" borderId="4" xfId="543" applyNumberFormat="1" applyFont="1" applyFill="1" applyBorder="1" applyAlignment="1" applyProtection="1">
      <alignment horizontal="center" vertical="center"/>
    </xf>
    <xf numFmtId="175" fontId="16"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6" fillId="0" borderId="0" xfId="543" applyFont="1" applyBorder="1" applyAlignment="1" applyProtection="1">
      <alignment horizontal="left"/>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16" fillId="0" borderId="6" xfId="543" applyFont="1" applyBorder="1" applyAlignment="1" applyProtection="1">
      <alignment horizontal="left"/>
    </xf>
    <xf numFmtId="0" fontId="25" fillId="5" borderId="3" xfId="0" applyNumberFormat="1" applyFont="1" applyFill="1" applyBorder="1" applyAlignment="1" applyProtection="1">
      <alignment horizontal="right" vertical="top"/>
      <protection locked="0"/>
    </xf>
    <xf numFmtId="0" fontId="35" fillId="5" borderId="6" xfId="0" applyFont="1" applyFill="1" applyBorder="1" applyAlignment="1" applyProtection="1">
      <alignment horizontal="left"/>
      <protection locked="0"/>
    </xf>
    <xf numFmtId="0" fontId="16" fillId="5" borderId="6" xfId="0" applyFont="1" applyFill="1" applyBorder="1" applyAlignment="1" applyProtection="1">
      <alignment horizontal="left" vertical="top" wrapText="1"/>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168" fontId="16" fillId="0" borderId="3" xfId="0" applyNumberFormat="1" applyFont="1" applyFill="1" applyBorder="1" applyAlignment="1" applyProtection="1">
      <alignment horizontal="left" vertical="top"/>
    </xf>
    <xf numFmtId="3" fontId="25"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23" fillId="0" borderId="9" xfId="0" applyFont="1" applyFill="1" applyBorder="1" applyAlignment="1" applyProtection="1">
      <alignment horizontal="center"/>
    </xf>
    <xf numFmtId="0" fontId="23" fillId="0" borderId="6" xfId="0" applyFont="1" applyFill="1" applyBorder="1" applyAlignment="1" applyProtection="1">
      <alignment horizontal="center"/>
    </xf>
    <xf numFmtId="0" fontId="23" fillId="0" borderId="10" xfId="0" applyFont="1" applyFill="1" applyBorder="1" applyAlignment="1" applyProtection="1">
      <alignment horizontal="center"/>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5" xfId="0" applyFont="1" applyBorder="1" applyAlignment="1" applyProtection="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58" fillId="2" borderId="3" xfId="0" applyFont="1" applyFill="1" applyBorder="1" applyAlignment="1" applyProtection="1">
      <alignment horizontal="center" vertical="top"/>
    </xf>
    <xf numFmtId="0" fontId="58" fillId="2" borderId="4" xfId="0" applyFont="1" applyFill="1" applyBorder="1" applyAlignment="1" applyProtection="1">
      <alignment horizontal="center" vertical="top"/>
    </xf>
    <xf numFmtId="0" fontId="58" fillId="2" borderId="5" xfId="0" applyFont="1" applyFill="1" applyBorder="1" applyAlignment="1" applyProtection="1">
      <alignment horizontal="center" vertical="top"/>
    </xf>
    <xf numFmtId="0" fontId="25" fillId="0" borderId="6" xfId="0" applyFont="1" applyBorder="1" applyAlignment="1" applyProtection="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pplyProtection="1">
      <alignment vertical="top" wrapText="1"/>
    </xf>
    <xf numFmtId="0" fontId="53" fillId="0" borderId="0" xfId="0" applyFont="1" applyBorder="1" applyAlignment="1" applyProtection="1">
      <alignment vertical="top" wrapText="1"/>
    </xf>
    <xf numFmtId="0" fontId="25" fillId="0" borderId="2" xfId="0" applyFont="1" applyBorder="1" applyAlignment="1" applyProtection="1">
      <alignment horizontal="left" vertical="top" wrapText="1"/>
    </xf>
    <xf numFmtId="0" fontId="25" fillId="0" borderId="2" xfId="0" applyFont="1" applyBorder="1" applyAlignment="1">
      <alignment horizontal="left" vertical="top" wrapText="1"/>
    </xf>
    <xf numFmtId="0" fontId="54" fillId="0" borderId="0" xfId="0" applyFont="1" applyBorder="1" applyAlignment="1" applyProtection="1">
      <alignment vertical="top" wrapText="1"/>
    </xf>
    <xf numFmtId="0" fontId="0" fillId="0" borderId="0" xfId="0" applyAlignment="1">
      <alignment vertical="top" wrapText="1"/>
    </xf>
    <xf numFmtId="0" fontId="25" fillId="0" borderId="0" xfId="0" applyFont="1" applyBorder="1" applyAlignment="1" applyProtection="1">
      <alignment vertical="top" wrapText="1"/>
    </xf>
    <xf numFmtId="0" fontId="25" fillId="0" borderId="6" xfId="0" applyFont="1" applyFill="1" applyBorder="1" applyAlignment="1" applyProtection="1">
      <alignment horizontal="right" vertical="top" wrapText="1"/>
    </xf>
    <xf numFmtId="0" fontId="25" fillId="0" borderId="6" xfId="0" applyFont="1" applyFill="1" applyBorder="1" applyAlignment="1">
      <alignment vertical="top" wrapText="1"/>
    </xf>
    <xf numFmtId="0" fontId="54" fillId="0" borderId="0" xfId="570" applyFont="1" applyFill="1" applyBorder="1" applyAlignment="1" applyProtection="1">
      <alignment vertical="top" wrapText="1"/>
    </xf>
    <xf numFmtId="0" fontId="16" fillId="0" borderId="0" xfId="570" applyFill="1" applyBorder="1" applyAlignment="1">
      <alignment vertical="top" wrapText="1"/>
    </xf>
    <xf numFmtId="0" fontId="16" fillId="0" borderId="0" xfId="570" applyFont="1" applyFill="1" applyBorder="1" applyAlignment="1" applyProtection="1">
      <alignment horizontal="right" vertical="top" wrapText="1"/>
    </xf>
    <xf numFmtId="0" fontId="16" fillId="0" borderId="0" xfId="570" applyFont="1" applyFill="1" applyBorder="1" applyAlignment="1">
      <alignment vertical="top" wrapText="1"/>
    </xf>
    <xf numFmtId="0" fontId="16" fillId="0" borderId="0" xfId="570" applyFont="1" applyFill="1" applyBorder="1" applyAlignment="1" applyProtection="1">
      <alignment horizontal="left" vertical="top" wrapText="1"/>
    </xf>
    <xf numFmtId="0" fontId="16" fillId="0" borderId="0" xfId="570" applyFont="1" applyFill="1" applyBorder="1" applyAlignment="1">
      <alignment horizontal="left" vertical="top" wrapText="1"/>
    </xf>
    <xf numFmtId="0" fontId="22" fillId="3" borderId="3" xfId="0" applyFont="1" applyFill="1" applyBorder="1" applyAlignment="1" applyProtection="1">
      <alignment horizontal="left" vertical="top"/>
    </xf>
    <xf numFmtId="0" fontId="22" fillId="3" borderId="4" xfId="0" applyFont="1" applyFill="1" applyBorder="1" applyAlignment="1" applyProtection="1">
      <alignment horizontal="left" vertical="top"/>
    </xf>
    <xf numFmtId="0" fontId="22" fillId="3" borderId="5" xfId="0" applyFont="1" applyFill="1" applyBorder="1" applyAlignment="1" applyProtection="1">
      <alignment horizontal="left" vertical="top"/>
    </xf>
    <xf numFmtId="0" fontId="102" fillId="45" borderId="0" xfId="8720" applyFont="1" applyFill="1" applyAlignment="1">
      <alignment horizontal="left"/>
    </xf>
    <xf numFmtId="0" fontId="4" fillId="44" borderId="68" xfId="8720" applyFont="1" applyFill="1" applyBorder="1" applyAlignment="1" applyProtection="1">
      <alignment horizontal="center"/>
      <protection locked="0"/>
    </xf>
    <xf numFmtId="0" fontId="6" fillId="44" borderId="69" xfId="8720" applyFill="1" applyBorder="1" applyAlignment="1" applyProtection="1">
      <alignment horizontal="center"/>
      <protection locked="0"/>
    </xf>
    <xf numFmtId="0" fontId="6" fillId="44" borderId="70" xfId="8720" applyFill="1" applyBorder="1" applyAlignment="1" applyProtection="1">
      <alignment horizontal="center"/>
      <protection locked="0"/>
    </xf>
    <xf numFmtId="0" fontId="23" fillId="45" borderId="0" xfId="8720" applyFont="1" applyFill="1" applyAlignment="1">
      <alignment horizontal="left" vertical="top"/>
    </xf>
    <xf numFmtId="0" fontId="102" fillId="45" borderId="0" xfId="4504" applyFont="1" applyFill="1" applyBorder="1" applyAlignment="1">
      <alignment horizontal="left" vertical="top"/>
    </xf>
    <xf numFmtId="14" fontId="6" fillId="44" borderId="68" xfId="8720" applyNumberFormat="1" applyFill="1" applyBorder="1" applyAlignment="1" applyProtection="1">
      <alignment horizontal="center"/>
      <protection locked="0"/>
    </xf>
    <xf numFmtId="0" fontId="102" fillId="49" borderId="0" xfId="8720" applyFont="1" applyFill="1" applyAlignment="1">
      <alignment horizontal="left" vertical="top" wrapText="1"/>
    </xf>
    <xf numFmtId="0" fontId="102" fillId="49" borderId="42" xfId="8720" applyFont="1" applyFill="1" applyBorder="1" applyAlignment="1">
      <alignment horizontal="center"/>
    </xf>
    <xf numFmtId="0" fontId="6" fillId="44" borderId="68" xfId="8720" applyFill="1" applyBorder="1" applyAlignment="1" applyProtection="1">
      <alignment horizontal="center"/>
      <protection locked="0"/>
    </xf>
    <xf numFmtId="0" fontId="64" fillId="49" borderId="66" xfId="8720" applyFont="1" applyFill="1" applyBorder="1" applyAlignment="1">
      <alignment horizontal="center"/>
    </xf>
    <xf numFmtId="0" fontId="64" fillId="49" borderId="29" xfId="8720" applyFont="1" applyFill="1" applyBorder="1" applyAlignment="1">
      <alignment horizontal="center"/>
    </xf>
    <xf numFmtId="0" fontId="64" fillId="49" borderId="31" xfId="8720" applyFont="1" applyFill="1" applyBorder="1" applyAlignment="1">
      <alignment horizontal="center"/>
    </xf>
    <xf numFmtId="0" fontId="6" fillId="49" borderId="67" xfId="8720" applyFill="1" applyBorder="1" applyAlignment="1">
      <alignment horizontal="center"/>
    </xf>
    <xf numFmtId="0" fontId="6" fillId="49" borderId="0" xfId="8720" applyFill="1" applyAlignment="1">
      <alignment horizontal="center"/>
    </xf>
    <xf numFmtId="0" fontId="6" fillId="49" borderId="41" xfId="8720" applyFill="1" applyBorder="1" applyAlignment="1">
      <alignment horizontal="center"/>
    </xf>
    <xf numFmtId="0" fontId="23" fillId="49" borderId="67" xfId="8720" applyFont="1" applyFill="1" applyBorder="1" applyAlignment="1">
      <alignment horizontal="center"/>
    </xf>
    <xf numFmtId="0" fontId="23" fillId="49" borderId="0" xfId="8720" applyFont="1" applyFill="1" applyAlignment="1">
      <alignment horizontal="center"/>
    </xf>
    <xf numFmtId="0" fontId="23" fillId="49" borderId="41" xfId="8720" applyFont="1" applyFill="1" applyBorder="1" applyAlignment="1">
      <alignment horizontal="center"/>
    </xf>
    <xf numFmtId="0" fontId="102" fillId="49" borderId="67" xfId="8720" applyFont="1" applyFill="1" applyBorder="1" applyAlignment="1">
      <alignment horizontal="center"/>
    </xf>
    <xf numFmtId="0" fontId="102" fillId="49" borderId="0" xfId="8720" applyFont="1" applyFill="1" applyAlignment="1">
      <alignment horizontal="center"/>
    </xf>
    <xf numFmtId="0" fontId="102" fillId="49" borderId="41" xfId="8720" applyFont="1" applyFill="1" applyBorder="1" applyAlignment="1">
      <alignment horizontal="center"/>
    </xf>
    <xf numFmtId="0" fontId="102" fillId="49" borderId="0" xfId="8720" applyFont="1" applyFill="1" applyAlignment="1">
      <alignment horizontal="left"/>
    </xf>
    <xf numFmtId="0" fontId="102" fillId="46" borderId="74" xfId="8720" applyFont="1" applyFill="1" applyBorder="1" applyAlignment="1">
      <alignment horizontal="center"/>
    </xf>
    <xf numFmtId="0" fontId="102" fillId="46" borderId="75" xfId="8720" applyFont="1" applyFill="1" applyBorder="1" applyAlignment="1">
      <alignment horizontal="center"/>
    </xf>
    <xf numFmtId="183" fontId="151" fillId="45" borderId="75" xfId="701" applyNumberFormat="1" applyFont="1" applyFill="1" applyBorder="1" applyAlignment="1">
      <alignment horizontal="center"/>
    </xf>
    <xf numFmtId="183" fontId="151" fillId="45" borderId="95" xfId="701" applyNumberFormat="1" applyFont="1" applyFill="1" applyBorder="1" applyAlignment="1">
      <alignment horizontal="center"/>
    </xf>
    <xf numFmtId="0" fontId="147" fillId="44" borderId="82" xfId="8720" applyFont="1" applyFill="1" applyBorder="1" applyAlignment="1">
      <alignment horizontal="left"/>
    </xf>
    <xf numFmtId="0" fontId="147" fillId="44" borderId="11" xfId="8720" applyFont="1" applyFill="1" applyBorder="1" applyAlignment="1">
      <alignment horizontal="left"/>
    </xf>
    <xf numFmtId="183" fontId="53" fillId="44" borderId="11" xfId="701" applyNumberFormat="1" applyFont="1" applyFill="1" applyBorder="1" applyAlignment="1" applyProtection="1">
      <alignment horizontal="center"/>
      <protection locked="0"/>
    </xf>
    <xf numFmtId="183" fontId="53" fillId="44" borderId="93" xfId="701" applyNumberFormat="1" applyFont="1" applyFill="1" applyBorder="1" applyAlignment="1" applyProtection="1">
      <alignment horizontal="center"/>
      <protection locked="0"/>
    </xf>
    <xf numFmtId="0" fontId="146" fillId="46" borderId="74" xfId="8720" applyFont="1" applyFill="1" applyBorder="1" applyAlignment="1">
      <alignment horizontal="center"/>
    </xf>
    <xf numFmtId="0" fontId="146" fillId="46" borderId="75" xfId="8720" applyFont="1" applyFill="1" applyBorder="1" applyAlignment="1">
      <alignment horizontal="center"/>
    </xf>
    <xf numFmtId="183" fontId="54" fillId="45" borderId="75" xfId="701" applyNumberFormat="1" applyFont="1" applyFill="1" applyBorder="1" applyAlignment="1" applyProtection="1">
      <alignment horizontal="center"/>
      <protection locked="0"/>
    </xf>
    <xf numFmtId="183" fontId="54" fillId="45" borderId="95" xfId="701" applyNumberFormat="1" applyFont="1" applyFill="1" applyBorder="1" applyAlignment="1" applyProtection="1">
      <alignment horizontal="center"/>
      <protection locked="0"/>
    </xf>
    <xf numFmtId="0" fontId="160" fillId="46" borderId="67" xfId="8720" applyFont="1" applyFill="1" applyBorder="1" applyAlignment="1">
      <alignment horizontal="center"/>
    </xf>
    <xf numFmtId="0" fontId="160" fillId="46" borderId="0" xfId="8720" applyFont="1" applyFill="1" applyAlignment="1">
      <alignment horizontal="center"/>
    </xf>
    <xf numFmtId="0" fontId="160" fillId="46" borderId="12" xfId="8720" applyFont="1" applyFill="1" applyBorder="1" applyAlignment="1">
      <alignment horizontal="center"/>
    </xf>
    <xf numFmtId="183" fontId="151" fillId="45" borderId="105" xfId="701" applyNumberFormat="1" applyFont="1" applyFill="1" applyBorder="1" applyAlignment="1">
      <alignment horizontal="center"/>
    </xf>
    <xf numFmtId="183" fontId="151" fillId="45" borderId="29" xfId="701" applyNumberFormat="1" applyFont="1" applyFill="1" applyBorder="1" applyAlignment="1">
      <alignment horizontal="center"/>
    </xf>
    <xf numFmtId="183" fontId="151" fillId="45" borderId="31" xfId="701" applyNumberFormat="1" applyFont="1" applyFill="1" applyBorder="1" applyAlignment="1">
      <alignment horizontal="center"/>
    </xf>
    <xf numFmtId="0" fontId="147" fillId="44" borderId="83" xfId="8720" applyFont="1" applyFill="1" applyBorder="1" applyAlignment="1" applyProtection="1">
      <alignment horizontal="center"/>
      <protection locked="0"/>
    </xf>
    <xf numFmtId="0" fontId="147" fillId="44" borderId="84" xfId="8720" applyFont="1" applyFill="1" applyBorder="1" applyAlignment="1" applyProtection="1">
      <alignment horizontal="center"/>
      <protection locked="0"/>
    </xf>
    <xf numFmtId="0" fontId="54" fillId="44" borderId="75" xfId="8720" applyFont="1" applyFill="1" applyBorder="1" applyAlignment="1" applyProtection="1">
      <alignment horizontal="center"/>
      <protection locked="0"/>
    </xf>
    <xf numFmtId="0" fontId="54" fillId="44" borderId="95" xfId="8720" applyFont="1" applyFill="1" applyBorder="1" applyAlignment="1" applyProtection="1">
      <alignment horizontal="center"/>
      <protection locked="0"/>
    </xf>
    <xf numFmtId="183" fontId="6" fillId="44" borderId="84" xfId="701" applyNumberFormat="1" applyFont="1" applyFill="1" applyBorder="1" applyAlignment="1" applyProtection="1">
      <alignment horizontal="center"/>
      <protection locked="0"/>
    </xf>
    <xf numFmtId="183" fontId="6" fillId="44" borderId="87" xfId="701" applyNumberFormat="1" applyFont="1" applyFill="1" applyBorder="1" applyAlignment="1" applyProtection="1">
      <alignment horizontal="center"/>
      <protection locked="0"/>
    </xf>
    <xf numFmtId="0" fontId="6" fillId="44" borderId="83" xfId="8720" applyFill="1" applyBorder="1" applyAlignment="1" applyProtection="1">
      <alignment horizontal="center"/>
      <protection locked="0"/>
    </xf>
    <xf numFmtId="0" fontId="6" fillId="44" borderId="84" xfId="8720" applyFill="1" applyBorder="1" applyAlignment="1" applyProtection="1">
      <alignment horizontal="center"/>
      <protection locked="0"/>
    </xf>
    <xf numFmtId="0" fontId="6" fillId="44" borderId="87" xfId="8720" applyFill="1" applyBorder="1" applyAlignment="1" applyProtection="1">
      <alignment horizontal="center"/>
      <protection locked="0"/>
    </xf>
    <xf numFmtId="0" fontId="147" fillId="44" borderId="94"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54" fillId="44" borderId="11" xfId="8720" applyFont="1" applyFill="1" applyBorder="1" applyAlignment="1" applyProtection="1">
      <alignment horizontal="center"/>
      <protection locked="0"/>
    </xf>
    <xf numFmtId="0" fontId="54" fillId="44" borderId="93" xfId="8720" applyFont="1" applyFill="1" applyBorder="1" applyAlignment="1" applyProtection="1">
      <alignment horizontal="center"/>
      <protection locked="0"/>
    </xf>
    <xf numFmtId="183" fontId="6" fillId="44" borderId="4" xfId="701" applyNumberFormat="1" applyFont="1" applyFill="1" applyBorder="1" applyAlignment="1" applyProtection="1">
      <alignment horizontal="center"/>
    </xf>
    <xf numFmtId="183" fontId="6" fillId="44" borderId="81" xfId="701" applyNumberFormat="1" applyFont="1" applyFill="1" applyBorder="1" applyAlignment="1" applyProtection="1">
      <alignment horizontal="center"/>
    </xf>
    <xf numFmtId="0" fontId="6" fillId="44" borderId="94" xfId="8720" applyFill="1" applyBorder="1" applyAlignment="1" applyProtection="1">
      <alignment horizontal="center"/>
      <protection locked="0"/>
    </xf>
    <xf numFmtId="0" fontId="6" fillId="44" borderId="4" xfId="8720" applyFill="1" applyBorder="1" applyAlignment="1" applyProtection="1">
      <alignment horizontal="center"/>
      <protection locked="0"/>
    </xf>
    <xf numFmtId="0" fontId="6" fillId="44" borderId="81" xfId="8720" applyFill="1" applyBorder="1" applyAlignment="1" applyProtection="1">
      <alignment horizontal="center"/>
      <protection locked="0"/>
    </xf>
    <xf numFmtId="0" fontId="54" fillId="44" borderId="94" xfId="8720" applyFont="1" applyFill="1" applyBorder="1" applyAlignment="1" applyProtection="1">
      <alignment horizontal="center"/>
      <protection locked="0"/>
    </xf>
    <xf numFmtId="0" fontId="54" fillId="44" borderId="4" xfId="8720" applyFont="1" applyFill="1" applyBorder="1" applyAlignment="1" applyProtection="1">
      <alignment horizontal="center"/>
      <protection locked="0"/>
    </xf>
    <xf numFmtId="0" fontId="147" fillId="46" borderId="94" xfId="8720" applyFont="1" applyFill="1" applyBorder="1" applyAlignment="1">
      <alignment horizontal="center"/>
    </xf>
    <xf numFmtId="0" fontId="147" fillId="46" borderId="4" xfId="8720" applyFont="1" applyFill="1" applyBorder="1" applyAlignment="1">
      <alignment horizontal="center"/>
    </xf>
    <xf numFmtId="0" fontId="147" fillId="46" borderId="81" xfId="8720" applyFont="1" applyFill="1" applyBorder="1" applyAlignment="1">
      <alignment horizontal="center"/>
    </xf>
    <xf numFmtId="0" fontId="147" fillId="46" borderId="71" xfId="8720" applyFont="1" applyFill="1" applyBorder="1" applyAlignment="1">
      <alignment horizontal="center"/>
    </xf>
    <xf numFmtId="0" fontId="147" fillId="46" borderId="72" xfId="8720" applyFont="1" applyFill="1" applyBorder="1" applyAlignment="1">
      <alignment horizontal="center"/>
    </xf>
    <xf numFmtId="164" fontId="53" fillId="46" borderId="72" xfId="8721" applyNumberFormat="1" applyFont="1" applyFill="1" applyBorder="1" applyAlignment="1" applyProtection="1">
      <alignment horizontal="center"/>
      <protection locked="0"/>
    </xf>
    <xf numFmtId="164" fontId="53" fillId="46" borderId="76" xfId="8721" applyNumberFormat="1" applyFont="1" applyFill="1" applyBorder="1" applyAlignment="1" applyProtection="1">
      <alignment horizontal="center"/>
      <protection locked="0"/>
    </xf>
    <xf numFmtId="183" fontId="6" fillId="45" borderId="4" xfId="701" applyNumberFormat="1" applyFont="1" applyFill="1" applyBorder="1" applyAlignment="1">
      <alignment horizontal="center"/>
    </xf>
    <xf numFmtId="183" fontId="6" fillId="45" borderId="81" xfId="701" applyNumberFormat="1" applyFont="1" applyFill="1" applyBorder="1" applyAlignment="1">
      <alignment horizontal="center"/>
    </xf>
    <xf numFmtId="0" fontId="146" fillId="46" borderId="83" xfId="8720" applyFont="1" applyFill="1" applyBorder="1" applyAlignment="1">
      <alignment horizontal="center"/>
    </xf>
    <xf numFmtId="0" fontId="146" fillId="46" borderId="84" xfId="8720" applyFont="1" applyFill="1" applyBorder="1" applyAlignment="1">
      <alignment horizontal="center"/>
    </xf>
    <xf numFmtId="168" fontId="165" fillId="45" borderId="11" xfId="8721" applyNumberFormat="1" applyFont="1" applyFill="1" applyBorder="1" applyAlignment="1">
      <alignment horizontal="center"/>
    </xf>
    <xf numFmtId="0" fontId="102" fillId="46" borderId="94" xfId="8720" applyFont="1" applyFill="1" applyBorder="1" applyAlignment="1">
      <alignment horizontal="center"/>
    </xf>
    <xf numFmtId="0" fontId="102" fillId="46" borderId="4" xfId="8720" applyFont="1" applyFill="1" applyBorder="1" applyAlignment="1">
      <alignment horizontal="center"/>
    </xf>
    <xf numFmtId="0" fontId="102" fillId="46" borderId="81" xfId="8720" applyFont="1" applyFill="1" applyBorder="1" applyAlignment="1">
      <alignment horizontal="center"/>
    </xf>
    <xf numFmtId="183" fontId="53" fillId="45" borderId="4" xfId="701" applyNumberFormat="1" applyFont="1" applyFill="1" applyBorder="1" applyAlignment="1">
      <alignment horizontal="center"/>
    </xf>
    <xf numFmtId="183" fontId="53" fillId="45" borderId="81" xfId="701" applyNumberFormat="1" applyFont="1" applyFill="1" applyBorder="1" applyAlignment="1">
      <alignment horizontal="center"/>
    </xf>
    <xf numFmtId="0" fontId="147" fillId="46" borderId="5" xfId="8720" applyFont="1" applyFill="1" applyBorder="1" applyAlignment="1">
      <alignment horizontal="center"/>
    </xf>
    <xf numFmtId="168" fontId="53" fillId="44" borderId="11" xfId="8721" applyNumberFormat="1" applyFont="1" applyFill="1" applyBorder="1" applyAlignment="1" applyProtection="1">
      <alignment horizontal="center"/>
      <protection locked="0"/>
    </xf>
    <xf numFmtId="0" fontId="146" fillId="46" borderId="94" xfId="8720" applyFont="1" applyFill="1" applyBorder="1" applyAlignment="1">
      <alignment horizontal="center"/>
    </xf>
    <xf numFmtId="0" fontId="146" fillId="46" borderId="4" xfId="8720" applyFont="1" applyFill="1" applyBorder="1" applyAlignment="1">
      <alignment horizontal="center"/>
    </xf>
    <xf numFmtId="0" fontId="146" fillId="46" borderId="81" xfId="8720" applyFont="1" applyFill="1" applyBorder="1" applyAlignment="1">
      <alignment horizontal="center"/>
    </xf>
    <xf numFmtId="183" fontId="53" fillId="44" borderId="4" xfId="701" applyNumberFormat="1" applyFont="1" applyFill="1" applyBorder="1" applyAlignment="1" applyProtection="1">
      <alignment horizontal="center"/>
      <protection locked="0"/>
    </xf>
    <xf numFmtId="183" fontId="53" fillId="44" borderId="81" xfId="701" applyNumberFormat="1" applyFont="1" applyFill="1" applyBorder="1" applyAlignment="1" applyProtection="1">
      <alignment horizontal="center"/>
      <protection locked="0"/>
    </xf>
    <xf numFmtId="0" fontId="147" fillId="44" borderId="81" xfId="8720" applyFont="1" applyFill="1" applyBorder="1" applyAlignment="1" applyProtection="1">
      <alignment horizontal="center"/>
      <protection locked="0"/>
    </xf>
    <xf numFmtId="0" fontId="147" fillId="48" borderId="94" xfId="8720" applyFont="1" applyFill="1" applyBorder="1" applyAlignment="1">
      <alignment horizontal="center"/>
    </xf>
    <xf numFmtId="0" fontId="147" fillId="48" borderId="4" xfId="8720" applyFont="1" applyFill="1" applyBorder="1" applyAlignment="1">
      <alignment horizontal="center"/>
    </xf>
    <xf numFmtId="0" fontId="147" fillId="48" borderId="5" xfId="8720" applyFont="1" applyFill="1" applyBorder="1" applyAlignment="1">
      <alignment horizontal="center"/>
    </xf>
    <xf numFmtId="168" fontId="151" fillId="48" borderId="3" xfId="8721" applyNumberFormat="1" applyFont="1" applyFill="1" applyBorder="1" applyAlignment="1">
      <alignment horizontal="center"/>
    </xf>
    <xf numFmtId="168" fontId="151" fillId="48" borderId="4" xfId="8721" applyNumberFormat="1" applyFont="1" applyFill="1" applyBorder="1" applyAlignment="1">
      <alignment horizontal="center"/>
    </xf>
    <xf numFmtId="168" fontId="151" fillId="48" borderId="5" xfId="8721" applyNumberFormat="1" applyFont="1" applyFill="1" applyBorder="1" applyAlignment="1">
      <alignment horizontal="center"/>
    </xf>
    <xf numFmtId="0" fontId="147" fillId="48" borderId="81" xfId="8720" applyFont="1" applyFill="1" applyBorder="1" applyAlignment="1">
      <alignment horizontal="center"/>
    </xf>
    <xf numFmtId="0" fontId="147" fillId="46" borderId="82" xfId="8720" applyFont="1" applyFill="1" applyBorder="1" applyAlignment="1">
      <alignment horizontal="center"/>
    </xf>
    <xf numFmtId="0" fontId="147" fillId="46" borderId="11" xfId="8720" applyFont="1" applyFill="1" applyBorder="1" applyAlignment="1">
      <alignment horizontal="center"/>
    </xf>
    <xf numFmtId="0" fontId="6" fillId="44" borderId="11" xfId="8720" applyFill="1" applyBorder="1" applyAlignment="1" applyProtection="1">
      <alignment horizontal="center"/>
      <protection locked="0"/>
    </xf>
    <xf numFmtId="14" fontId="6" fillId="44" borderId="11" xfId="8720" applyNumberFormat="1" applyFill="1" applyBorder="1" applyAlignment="1" applyProtection="1">
      <alignment horizontal="center"/>
      <protection locked="0"/>
    </xf>
    <xf numFmtId="0" fontId="6" fillId="46" borderId="77" xfId="8720" applyFill="1" applyBorder="1" applyAlignment="1">
      <alignment horizontal="center"/>
    </xf>
    <xf numFmtId="0" fontId="6" fillId="46" borderId="78" xfId="8720" applyFill="1" applyBorder="1" applyAlignment="1">
      <alignment horizontal="center"/>
    </xf>
    <xf numFmtId="0" fontId="6" fillId="46" borderId="79" xfId="8720" applyFill="1" applyBorder="1" applyAlignment="1">
      <alignment horizontal="center"/>
    </xf>
    <xf numFmtId="0" fontId="147" fillId="46" borderId="78" xfId="8720" applyFont="1" applyFill="1" applyBorder="1" applyAlignment="1">
      <alignment horizontal="center"/>
    </xf>
    <xf numFmtId="0" fontId="147" fillId="46" borderId="79" xfId="8720" applyFont="1" applyFill="1" applyBorder="1" applyAlignment="1">
      <alignment horizontal="center"/>
    </xf>
    <xf numFmtId="0" fontId="54" fillId="46" borderId="77" xfId="8720" applyFont="1" applyFill="1" applyBorder="1" applyAlignment="1">
      <alignment horizontal="center"/>
    </xf>
    <xf numFmtId="0" fontId="54" fillId="46" borderId="78" xfId="8720" applyFont="1" applyFill="1" applyBorder="1" applyAlignment="1">
      <alignment horizontal="center"/>
    </xf>
    <xf numFmtId="0" fontId="54" fillId="46" borderId="79" xfId="8720" applyFont="1" applyFill="1" applyBorder="1" applyAlignment="1">
      <alignment horizontal="center"/>
    </xf>
    <xf numFmtId="0" fontId="102" fillId="46" borderId="68" xfId="8720" applyFont="1" applyFill="1" applyBorder="1" applyAlignment="1">
      <alignment horizontal="center"/>
    </xf>
    <xf numFmtId="0" fontId="102" fillId="46" borderId="69" xfId="8720" applyFont="1" applyFill="1" applyBorder="1" applyAlignment="1">
      <alignment horizontal="center"/>
    </xf>
    <xf numFmtId="0" fontId="102" fillId="46" borderId="70" xfId="8720" applyFont="1" applyFill="1" applyBorder="1" applyAlignment="1">
      <alignment horizontal="center"/>
    </xf>
    <xf numFmtId="0" fontId="146" fillId="46" borderId="71" xfId="8720" applyFont="1" applyFill="1" applyBorder="1" applyAlignment="1">
      <alignment horizontal="left"/>
    </xf>
    <xf numFmtId="0" fontId="146" fillId="46" borderId="72" xfId="8720" applyFont="1" applyFill="1" applyBorder="1" applyAlignment="1">
      <alignment horizontal="left"/>
    </xf>
    <xf numFmtId="0" fontId="146" fillId="46" borderId="76" xfId="8720" applyFont="1" applyFill="1" applyBorder="1" applyAlignment="1">
      <alignment horizontal="left"/>
    </xf>
    <xf numFmtId="0" fontId="102" fillId="46" borderId="66" xfId="8720" applyFont="1" applyFill="1" applyBorder="1" applyAlignment="1">
      <alignment horizontal="center"/>
    </xf>
    <xf numFmtId="0" fontId="102" fillId="46" borderId="29" xfId="8720" applyFont="1" applyFill="1" applyBorder="1" applyAlignment="1">
      <alignment horizontal="center"/>
    </xf>
    <xf numFmtId="0" fontId="102" fillId="46" borderId="31" xfId="8720" applyFont="1" applyFill="1" applyBorder="1" applyAlignment="1">
      <alignment horizontal="center"/>
    </xf>
    <xf numFmtId="0" fontId="3" fillId="44" borderId="82" xfId="8720" applyFont="1" applyFill="1" applyBorder="1" applyAlignment="1" applyProtection="1">
      <alignment horizontal="left" vertical="top" wrapText="1"/>
      <protection locked="0"/>
    </xf>
    <xf numFmtId="0" fontId="6" fillId="44" borderId="11" xfId="8720" applyFill="1" applyBorder="1" applyAlignment="1" applyProtection="1">
      <alignment horizontal="left" vertical="top"/>
      <protection locked="0"/>
    </xf>
    <xf numFmtId="0" fontId="6" fillId="44" borderId="93" xfId="8720" applyFill="1" applyBorder="1" applyAlignment="1" applyProtection="1">
      <alignment horizontal="left" vertical="top"/>
      <protection locked="0"/>
    </xf>
    <xf numFmtId="0" fontId="6" fillId="44" borderId="82" xfId="8720" applyFill="1" applyBorder="1" applyAlignment="1" applyProtection="1">
      <alignment horizontal="left" vertical="top"/>
      <protection locked="0"/>
    </xf>
    <xf numFmtId="0" fontId="6" fillId="44" borderId="74" xfId="8720" applyFill="1" applyBorder="1" applyAlignment="1" applyProtection="1">
      <alignment horizontal="left" vertical="top"/>
      <protection locked="0"/>
    </xf>
    <xf numFmtId="0" fontId="6" fillId="44" borderId="75" xfId="8720" applyFill="1" applyBorder="1" applyAlignment="1" applyProtection="1">
      <alignment horizontal="left" vertical="top"/>
      <protection locked="0"/>
    </xf>
    <xf numFmtId="0" fontId="6" fillId="44" borderId="95" xfId="8720" applyFill="1" applyBorder="1" applyAlignment="1" applyProtection="1">
      <alignment horizontal="left" vertical="top"/>
      <protection locked="0"/>
    </xf>
    <xf numFmtId="0" fontId="147" fillId="46" borderId="74" xfId="8720" applyFont="1" applyFill="1" applyBorder="1" applyAlignment="1">
      <alignment horizontal="center"/>
    </xf>
    <xf numFmtId="0" fontId="147" fillId="46" borderId="75" xfId="8720" applyFont="1" applyFill="1" applyBorder="1" applyAlignment="1">
      <alignment horizontal="center"/>
    </xf>
    <xf numFmtId="0" fontId="151" fillId="44" borderId="3" xfId="8720" applyFont="1" applyFill="1" applyBorder="1" applyAlignment="1" applyProtection="1">
      <alignment horizontal="center"/>
      <protection locked="0"/>
    </xf>
    <xf numFmtId="0" fontId="151" fillId="44" borderId="4" xfId="8720" applyFont="1" applyFill="1" applyBorder="1" applyAlignment="1" applyProtection="1">
      <alignment horizontal="center"/>
      <protection locked="0"/>
    </xf>
    <xf numFmtId="0" fontId="151" fillId="44" borderId="5" xfId="8720" applyFont="1" applyFill="1" applyBorder="1" applyAlignment="1" applyProtection="1">
      <alignment horizontal="center"/>
      <protection locked="0"/>
    </xf>
    <xf numFmtId="14" fontId="151" fillId="44" borderId="11" xfId="8720" applyNumberFormat="1" applyFont="1" applyFill="1" applyBorder="1" applyAlignment="1" applyProtection="1">
      <alignment horizontal="center"/>
      <protection locked="0"/>
    </xf>
    <xf numFmtId="183" fontId="151" fillId="44" borderId="3" xfId="8721" applyNumberFormat="1" applyFont="1" applyFill="1" applyBorder="1" applyAlignment="1" applyProtection="1">
      <alignment horizontal="center"/>
      <protection locked="0"/>
    </xf>
    <xf numFmtId="183" fontId="151" fillId="44" borderId="4" xfId="8721" applyNumberFormat="1" applyFont="1" applyFill="1" applyBorder="1" applyAlignment="1" applyProtection="1">
      <alignment horizontal="center"/>
      <protection locked="0"/>
    </xf>
    <xf numFmtId="183" fontId="151" fillId="44" borderId="81" xfId="8721" applyNumberFormat="1" applyFont="1" applyFill="1" applyBorder="1" applyAlignment="1" applyProtection="1">
      <alignment horizontal="center"/>
      <protection locked="0"/>
    </xf>
    <xf numFmtId="14" fontId="151" fillId="44" borderId="75" xfId="8720" applyNumberFormat="1" applyFont="1" applyFill="1" applyBorder="1" applyAlignment="1" applyProtection="1">
      <alignment horizontal="center"/>
      <protection locked="0"/>
    </xf>
    <xf numFmtId="183" fontId="151" fillId="44" borderId="86" xfId="8721" applyNumberFormat="1" applyFont="1" applyFill="1" applyBorder="1" applyAlignment="1" applyProtection="1">
      <alignment horizontal="center"/>
      <protection locked="0"/>
    </xf>
    <xf numFmtId="183" fontId="151" fillId="44" borderId="84" xfId="8721" applyNumberFormat="1" applyFont="1" applyFill="1" applyBorder="1" applyAlignment="1" applyProtection="1">
      <alignment horizontal="center"/>
      <protection locked="0"/>
    </xf>
    <xf numFmtId="183" fontId="151" fillId="44" borderId="87" xfId="8721" applyNumberFormat="1" applyFont="1" applyFill="1" applyBorder="1" applyAlignment="1" applyProtection="1">
      <alignment horizontal="center"/>
      <protection locked="0"/>
    </xf>
    <xf numFmtId="183" fontId="151" fillId="44" borderId="92" xfId="8721" applyNumberFormat="1" applyFont="1" applyFill="1" applyBorder="1" applyAlignment="1" applyProtection="1">
      <alignment horizontal="center"/>
      <protection locked="0"/>
    </xf>
    <xf numFmtId="183" fontId="151" fillId="44" borderId="78" xfId="8721" applyNumberFormat="1" applyFont="1" applyFill="1" applyBorder="1" applyAlignment="1" applyProtection="1">
      <alignment horizontal="center"/>
      <protection locked="0"/>
    </xf>
    <xf numFmtId="183" fontId="151" fillId="44" borderId="79" xfId="8721" applyNumberFormat="1" applyFont="1" applyFill="1" applyBorder="1" applyAlignment="1" applyProtection="1">
      <alignment horizontal="center"/>
      <protection locked="0"/>
    </xf>
    <xf numFmtId="14" fontId="6" fillId="44" borderId="3" xfId="8720" applyNumberFormat="1" applyFill="1" applyBorder="1" applyAlignment="1" applyProtection="1">
      <alignment horizontal="center"/>
      <protection locked="0"/>
    </xf>
    <xf numFmtId="14" fontId="6" fillId="44" borderId="4" xfId="8720" applyNumberFormat="1" applyFill="1" applyBorder="1" applyAlignment="1" applyProtection="1">
      <alignment horizontal="center"/>
      <protection locked="0"/>
    </xf>
    <xf numFmtId="14" fontId="3" fillId="44" borderId="3" xfId="8720" applyNumberFormat="1" applyFont="1" applyFill="1" applyBorder="1" applyAlignment="1" applyProtection="1">
      <alignment horizontal="center"/>
      <protection locked="0"/>
    </xf>
    <xf numFmtId="14" fontId="6" fillId="44" borderId="5" xfId="8720" applyNumberFormat="1" applyFill="1" applyBorder="1" applyAlignment="1" applyProtection="1">
      <alignment horizontal="center"/>
      <protection locked="0"/>
    </xf>
    <xf numFmtId="14" fontId="151" fillId="44" borderId="3" xfId="8720" applyNumberFormat="1" applyFont="1" applyFill="1" applyBorder="1" applyAlignment="1" applyProtection="1">
      <alignment horizontal="center"/>
      <protection locked="0"/>
    </xf>
    <xf numFmtId="14" fontId="151" fillId="44" borderId="4" xfId="8720" applyNumberFormat="1" applyFont="1" applyFill="1" applyBorder="1" applyAlignment="1" applyProtection="1">
      <alignment horizontal="center"/>
      <protection locked="0"/>
    </xf>
    <xf numFmtId="0" fontId="167" fillId="46" borderId="102" xfId="8720" applyFont="1" applyFill="1" applyBorder="1" applyAlignment="1">
      <alignment horizontal="left"/>
    </xf>
    <xf numFmtId="0" fontId="167" fillId="46" borderId="103" xfId="8720" applyFont="1" applyFill="1" applyBorder="1" applyAlignment="1">
      <alignment horizontal="left"/>
    </xf>
    <xf numFmtId="0" fontId="167" fillId="46" borderId="104" xfId="8720" applyFont="1" applyFill="1" applyBorder="1" applyAlignment="1">
      <alignment horizontal="left"/>
    </xf>
    <xf numFmtId="0" fontId="102" fillId="44" borderId="3" xfId="8720" applyFont="1" applyFill="1" applyBorder="1" applyAlignment="1" applyProtection="1">
      <alignment horizontal="center"/>
      <protection locked="0"/>
    </xf>
    <xf numFmtId="0" fontId="102" fillId="44" borderId="4" xfId="8720" applyFont="1" applyFill="1" applyBorder="1" applyAlignment="1" applyProtection="1">
      <alignment horizontal="center"/>
      <protection locked="0"/>
    </xf>
    <xf numFmtId="0" fontId="102" fillId="44" borderId="5" xfId="8720" applyFont="1" applyFill="1" applyBorder="1" applyAlignment="1" applyProtection="1">
      <alignment horizontal="center"/>
      <protection locked="0"/>
    </xf>
    <xf numFmtId="0" fontId="146" fillId="46" borderId="77" xfId="8720" applyFont="1" applyFill="1" applyBorder="1" applyAlignment="1">
      <alignment horizontal="center"/>
    </xf>
    <xf numFmtId="0" fontId="146" fillId="46" borderId="78" xfId="8720" applyFont="1" applyFill="1" applyBorder="1" applyAlignment="1">
      <alignment horizontal="center"/>
    </xf>
    <xf numFmtId="0" fontId="146" fillId="46" borderId="79" xfId="8720" applyFont="1" applyFill="1" applyBorder="1" applyAlignment="1">
      <alignment horizontal="center"/>
    </xf>
    <xf numFmtId="0" fontId="102" fillId="46" borderId="5" xfId="8720" applyFont="1" applyFill="1" applyBorder="1" applyAlignment="1">
      <alignment horizontal="center"/>
    </xf>
    <xf numFmtId="0" fontId="102" fillId="46" borderId="3" xfId="8720" applyFont="1" applyFill="1" applyBorder="1" applyAlignment="1">
      <alignment horizontal="center"/>
    </xf>
    <xf numFmtId="0" fontId="155" fillId="46" borderId="3" xfId="8720" applyFont="1" applyFill="1" applyBorder="1" applyAlignment="1">
      <alignment horizontal="center"/>
    </xf>
    <xf numFmtId="0" fontId="155" fillId="46" borderId="4" xfId="8720" applyFont="1" applyFill="1" applyBorder="1" applyAlignment="1">
      <alignment horizontal="center"/>
    </xf>
    <xf numFmtId="0" fontId="155" fillId="46" borderId="5" xfId="8720" applyFont="1" applyFill="1" applyBorder="1" applyAlignment="1">
      <alignment horizontal="center"/>
    </xf>
    <xf numFmtId="0" fontId="102" fillId="46" borderId="86" xfId="8720" applyFont="1" applyFill="1" applyBorder="1" applyAlignment="1">
      <alignment horizontal="center"/>
    </xf>
    <xf numFmtId="0" fontId="102" fillId="46" borderId="84" xfId="8720" applyFont="1" applyFill="1" applyBorder="1" applyAlignment="1">
      <alignment horizontal="center"/>
    </xf>
    <xf numFmtId="0" fontId="102" fillId="46" borderId="87" xfId="8720" applyFont="1" applyFill="1" applyBorder="1" applyAlignment="1">
      <alignment horizontal="center"/>
    </xf>
    <xf numFmtId="0" fontId="102" fillId="46" borderId="80" xfId="8720" applyFont="1" applyFill="1" applyBorder="1" applyAlignment="1">
      <alignment horizontal="center"/>
    </xf>
    <xf numFmtId="0" fontId="102" fillId="46" borderId="2" xfId="8720" applyFont="1" applyFill="1" applyBorder="1" applyAlignment="1">
      <alignment horizontal="center"/>
    </xf>
    <xf numFmtId="0" fontId="102" fillId="46" borderId="7" xfId="8720" applyFont="1" applyFill="1" applyBorder="1" applyAlignment="1">
      <alignment horizontal="center"/>
    </xf>
    <xf numFmtId="0" fontId="102" fillId="46" borderId="88" xfId="8720" applyFont="1" applyFill="1" applyBorder="1" applyAlignment="1">
      <alignment horizontal="center"/>
    </xf>
    <xf numFmtId="0" fontId="102" fillId="46" borderId="42" xfId="8720" applyFont="1" applyFill="1" applyBorder="1" applyAlignment="1">
      <alignment horizontal="center"/>
    </xf>
    <xf numFmtId="0" fontId="102" fillId="46" borderId="89" xfId="8720" applyFont="1" applyFill="1" applyBorder="1" applyAlignment="1">
      <alignment horizontal="center"/>
    </xf>
    <xf numFmtId="0" fontId="146" fillId="46" borderId="1" xfId="8720" applyFont="1" applyFill="1" applyBorder="1" applyAlignment="1">
      <alignment horizontal="center" wrapText="1"/>
    </xf>
    <xf numFmtId="0" fontId="146" fillId="46" borderId="2" xfId="8720" applyFont="1" applyFill="1" applyBorder="1" applyAlignment="1">
      <alignment horizontal="center" wrapText="1"/>
    </xf>
    <xf numFmtId="0" fontId="146" fillId="46" borderId="7" xfId="8720" applyFont="1" applyFill="1" applyBorder="1" applyAlignment="1">
      <alignment horizontal="center" wrapText="1"/>
    </xf>
    <xf numFmtId="0" fontId="146" fillId="46" borderId="9" xfId="8720" applyFont="1" applyFill="1" applyBorder="1" applyAlignment="1">
      <alignment horizontal="center" wrapText="1"/>
    </xf>
    <xf numFmtId="0" fontId="146" fillId="46" borderId="6" xfId="8720" applyFont="1" applyFill="1" applyBorder="1" applyAlignment="1">
      <alignment horizontal="center" wrapText="1"/>
    </xf>
    <xf numFmtId="0" fontId="146" fillId="46" borderId="10" xfId="8720" applyFont="1" applyFill="1" applyBorder="1" applyAlignment="1">
      <alignment horizontal="center" wrapText="1"/>
    </xf>
    <xf numFmtId="0" fontId="155" fillId="46" borderId="1" xfId="8720" applyFont="1" applyFill="1" applyBorder="1" applyAlignment="1">
      <alignment horizontal="center" wrapText="1"/>
    </xf>
    <xf numFmtId="0" fontId="155" fillId="46" borderId="2" xfId="8720" applyFont="1" applyFill="1" applyBorder="1" applyAlignment="1">
      <alignment horizontal="center" wrapText="1"/>
    </xf>
    <xf numFmtId="0" fontId="155" fillId="46" borderId="7" xfId="8720" applyFont="1" applyFill="1" applyBorder="1" applyAlignment="1">
      <alignment horizontal="center" wrapText="1"/>
    </xf>
    <xf numFmtId="0" fontId="155" fillId="46" borderId="9" xfId="8720" applyFont="1" applyFill="1" applyBorder="1" applyAlignment="1">
      <alignment horizontal="center" wrapText="1"/>
    </xf>
    <xf numFmtId="0" fontId="155" fillId="46" borderId="6" xfId="8720" applyFont="1" applyFill="1" applyBorder="1" applyAlignment="1">
      <alignment horizontal="center" wrapText="1"/>
    </xf>
    <xf numFmtId="0" fontId="155" fillId="46" borderId="10" xfId="8720" applyFont="1" applyFill="1" applyBorder="1" applyAlignment="1">
      <alignment horizontal="center" wrapText="1"/>
    </xf>
    <xf numFmtId="0" fontId="146" fillId="46" borderId="68" xfId="8720" applyFont="1" applyFill="1" applyBorder="1" applyAlignment="1">
      <alignment horizontal="center"/>
    </xf>
    <xf numFmtId="0" fontId="146" fillId="46" borderId="69" xfId="8720" applyFont="1" applyFill="1" applyBorder="1" applyAlignment="1">
      <alignment horizontal="center"/>
    </xf>
    <xf numFmtId="0" fontId="146" fillId="46" borderId="29" xfId="8720" applyFont="1" applyFill="1" applyBorder="1" applyAlignment="1">
      <alignment horizontal="center"/>
    </xf>
    <xf numFmtId="0" fontId="151" fillId="44" borderId="29" xfId="8720" applyFont="1" applyFill="1" applyBorder="1" applyAlignment="1" applyProtection="1">
      <alignment horizontal="center"/>
      <protection locked="0"/>
    </xf>
    <xf numFmtId="0" fontId="151" fillId="44" borderId="31" xfId="8720" applyFont="1" applyFill="1" applyBorder="1" applyAlignment="1" applyProtection="1">
      <alignment horizontal="center"/>
      <protection locked="0"/>
    </xf>
    <xf numFmtId="0" fontId="159" fillId="46" borderId="68" xfId="8720" applyFont="1" applyFill="1" applyBorder="1" applyAlignment="1">
      <alignment horizontal="center"/>
    </xf>
    <xf numFmtId="0" fontId="159" fillId="46" borderId="69" xfId="8720" applyFont="1" applyFill="1" applyBorder="1" applyAlignment="1">
      <alignment horizontal="center"/>
    </xf>
    <xf numFmtId="0" fontId="159" fillId="46" borderId="70" xfId="8720" applyFont="1" applyFill="1" applyBorder="1" applyAlignment="1">
      <alignment horizontal="center"/>
    </xf>
    <xf numFmtId="0" fontId="170" fillId="44" borderId="68" xfId="8720" applyFont="1" applyFill="1" applyBorder="1" applyAlignment="1" applyProtection="1">
      <alignment horizontal="left"/>
      <protection locked="0"/>
    </xf>
    <xf numFmtId="0" fontId="170" fillId="44" borderId="69" xfId="8720" applyFont="1" applyFill="1" applyBorder="1" applyAlignment="1" applyProtection="1">
      <alignment horizontal="left"/>
      <protection locked="0"/>
    </xf>
    <xf numFmtId="0" fontId="170" fillId="44" borderId="70" xfId="8720" applyFont="1" applyFill="1" applyBorder="1" applyAlignment="1" applyProtection="1">
      <alignment horizontal="left"/>
      <protection locked="0"/>
    </xf>
    <xf numFmtId="0" fontId="171" fillId="44" borderId="66" xfId="8720" applyFont="1" applyFill="1" applyBorder="1" applyAlignment="1" applyProtection="1">
      <alignment horizontal="left" vertical="top"/>
      <protection locked="0"/>
    </xf>
    <xf numFmtId="0" fontId="171" fillId="44" borderId="29" xfId="8720" applyFont="1" applyFill="1" applyBorder="1" applyAlignment="1" applyProtection="1">
      <alignment horizontal="left" vertical="top"/>
      <protection locked="0"/>
    </xf>
    <xf numFmtId="0" fontId="171" fillId="44" borderId="31" xfId="8720" applyFont="1" applyFill="1" applyBorder="1" applyAlignment="1" applyProtection="1">
      <alignment horizontal="left" vertical="top"/>
      <protection locked="0"/>
    </xf>
    <xf numFmtId="0" fontId="171" fillId="44" borderId="67" xfId="8720" applyFont="1" applyFill="1" applyBorder="1" applyAlignment="1" applyProtection="1">
      <alignment horizontal="left" vertical="top"/>
      <protection locked="0"/>
    </xf>
    <xf numFmtId="0" fontId="171" fillId="44" borderId="0" xfId="8720" applyFont="1" applyFill="1" applyAlignment="1" applyProtection="1">
      <alignment horizontal="left" vertical="top"/>
      <protection locked="0"/>
    </xf>
    <xf numFmtId="0" fontId="171" fillId="44" borderId="41" xfId="8720" applyFont="1" applyFill="1" applyBorder="1" applyAlignment="1" applyProtection="1">
      <alignment horizontal="left" vertical="top"/>
      <protection locked="0"/>
    </xf>
    <xf numFmtId="0" fontId="171" fillId="44" borderId="88" xfId="8720" applyFont="1" applyFill="1" applyBorder="1" applyAlignment="1" applyProtection="1">
      <alignment horizontal="left" vertical="top"/>
      <protection locked="0"/>
    </xf>
    <xf numFmtId="0" fontId="171" fillId="44" borderId="42" xfId="8720" applyFont="1" applyFill="1" applyBorder="1" applyAlignment="1" applyProtection="1">
      <alignment horizontal="left" vertical="top"/>
      <protection locked="0"/>
    </xf>
    <xf numFmtId="0" fontId="171" fillId="44" borderId="44" xfId="8720" applyFont="1" applyFill="1" applyBorder="1" applyAlignment="1" applyProtection="1">
      <alignment horizontal="left" vertical="top"/>
      <protection locked="0"/>
    </xf>
    <xf numFmtId="0" fontId="146" fillId="46" borderId="91" xfId="8720" applyFont="1" applyFill="1" applyBorder="1" applyAlignment="1">
      <alignment horizontal="center"/>
    </xf>
    <xf numFmtId="0" fontId="102" fillId="44" borderId="85" xfId="8720" applyFont="1" applyFill="1" applyBorder="1" applyAlignment="1" applyProtection="1">
      <alignment horizontal="center"/>
      <protection locked="0"/>
    </xf>
    <xf numFmtId="0" fontId="102" fillId="44" borderId="75" xfId="8720" applyFont="1" applyFill="1" applyBorder="1" applyAlignment="1" applyProtection="1">
      <alignment horizontal="center"/>
      <protection locked="0"/>
    </xf>
    <xf numFmtId="0" fontId="102" fillId="48" borderId="75" xfId="8720" applyFont="1" applyFill="1" applyBorder="1" applyAlignment="1" applyProtection="1">
      <alignment horizontal="center"/>
      <protection locked="0"/>
    </xf>
    <xf numFmtId="0" fontId="102" fillId="48" borderId="95" xfId="8720" applyFont="1" applyFill="1" applyBorder="1" applyAlignment="1" applyProtection="1">
      <alignment horizontal="center"/>
      <protection locked="0"/>
    </xf>
    <xf numFmtId="0" fontId="102" fillId="46" borderId="71" xfId="8720" applyFont="1" applyFill="1" applyBorder="1" applyAlignment="1">
      <alignment horizontal="left" wrapText="1"/>
    </xf>
    <xf numFmtId="0" fontId="102" fillId="46" borderId="72" xfId="8720" applyFont="1" applyFill="1" applyBorder="1" applyAlignment="1">
      <alignment horizontal="left" wrapText="1"/>
    </xf>
    <xf numFmtId="0" fontId="102" fillId="46" borderId="76" xfId="8720" applyFont="1" applyFill="1" applyBorder="1" applyAlignment="1">
      <alignment horizontal="left" wrapText="1"/>
    </xf>
    <xf numFmtId="0" fontId="102" fillId="46" borderId="82" xfId="8720" applyFont="1" applyFill="1" applyBorder="1" applyAlignment="1">
      <alignment horizontal="left" wrapText="1"/>
    </xf>
    <xf numFmtId="0" fontId="102" fillId="46" borderId="11" xfId="8720" applyFont="1" applyFill="1" applyBorder="1" applyAlignment="1">
      <alignment horizontal="left" wrapText="1"/>
    </xf>
    <xf numFmtId="0" fontId="102" fillId="46" borderId="93" xfId="8720" applyFont="1" applyFill="1" applyBorder="1" applyAlignment="1">
      <alignment horizontal="left" wrapText="1"/>
    </xf>
    <xf numFmtId="0" fontId="166" fillId="46" borderId="68" xfId="8720" applyFont="1" applyFill="1" applyBorder="1" applyAlignment="1">
      <alignment horizontal="left"/>
    </xf>
    <xf numFmtId="0" fontId="166" fillId="46" borderId="69" xfId="8720" applyFont="1" applyFill="1" applyBorder="1" applyAlignment="1">
      <alignment horizontal="left"/>
    </xf>
    <xf numFmtId="0" fontId="166" fillId="46" borderId="70" xfId="8720" applyFont="1" applyFill="1" applyBorder="1" applyAlignment="1">
      <alignment horizontal="left"/>
    </xf>
    <xf numFmtId="0" fontId="169" fillId="44" borderId="82" xfId="8720" applyFont="1" applyFill="1" applyBorder="1" applyAlignment="1" applyProtection="1">
      <alignment horizontal="left" vertical="top"/>
      <protection locked="0"/>
    </xf>
    <xf numFmtId="0" fontId="169" fillId="44" borderId="11" xfId="8720" applyFont="1" applyFill="1" applyBorder="1" applyAlignment="1" applyProtection="1">
      <alignment horizontal="left" vertical="top"/>
      <protection locked="0"/>
    </xf>
    <xf numFmtId="0" fontId="169" fillId="44" borderId="93" xfId="8720" applyFont="1" applyFill="1" applyBorder="1" applyAlignment="1" applyProtection="1">
      <alignment horizontal="left" vertical="top"/>
      <protection locked="0"/>
    </xf>
    <xf numFmtId="0" fontId="169" fillId="44" borderId="74" xfId="8720" applyFont="1" applyFill="1" applyBorder="1" applyAlignment="1" applyProtection="1">
      <alignment horizontal="left" vertical="top"/>
      <protection locked="0"/>
    </xf>
    <xf numFmtId="0" fontId="169" fillId="44" borderId="75" xfId="8720" applyFont="1" applyFill="1" applyBorder="1" applyAlignment="1" applyProtection="1">
      <alignment horizontal="left" vertical="top"/>
      <protection locked="0"/>
    </xf>
    <xf numFmtId="0" fontId="169" fillId="44" borderId="95" xfId="8720" applyFont="1" applyFill="1" applyBorder="1" applyAlignment="1" applyProtection="1">
      <alignment horizontal="left" vertical="top"/>
      <protection locked="0"/>
    </xf>
    <xf numFmtId="0" fontId="102" fillId="44" borderId="10" xfId="8720" applyFont="1" applyFill="1" applyBorder="1" applyAlignment="1" applyProtection="1">
      <alignment horizontal="center"/>
      <protection locked="0"/>
    </xf>
    <xf numFmtId="0" fontId="102" fillId="44" borderId="13" xfId="8720" applyFont="1" applyFill="1" applyBorder="1" applyAlignment="1" applyProtection="1">
      <alignment horizontal="center"/>
      <protection locked="0"/>
    </xf>
    <xf numFmtId="0" fontId="102" fillId="44" borderId="98" xfId="8720" applyFont="1" applyFill="1" applyBorder="1" applyAlignment="1" applyProtection="1">
      <alignment horizontal="center"/>
      <protection locked="0"/>
    </xf>
    <xf numFmtId="0" fontId="169" fillId="44" borderId="66" xfId="8720" applyFont="1" applyFill="1" applyBorder="1" applyAlignment="1">
      <alignment horizontal="left" vertical="top"/>
    </xf>
    <xf numFmtId="0" fontId="169" fillId="44" borderId="29" xfId="8720" applyFont="1" applyFill="1" applyBorder="1" applyAlignment="1">
      <alignment horizontal="left" vertical="top"/>
    </xf>
    <xf numFmtId="0" fontId="169" fillId="44" borderId="31" xfId="8720" applyFont="1" applyFill="1" applyBorder="1" applyAlignment="1">
      <alignment horizontal="left" vertical="top"/>
    </xf>
    <xf numFmtId="0" fontId="169" fillId="44" borderId="88" xfId="8720" applyFont="1" applyFill="1" applyBorder="1" applyAlignment="1">
      <alignment horizontal="left" vertical="top"/>
    </xf>
    <xf numFmtId="0" fontId="169" fillId="44" borderId="42" xfId="8720" applyFont="1" applyFill="1" applyBorder="1" applyAlignment="1">
      <alignment horizontal="left" vertical="top"/>
    </xf>
    <xf numFmtId="0" fontId="169" fillId="44" borderId="44" xfId="8720" applyFont="1" applyFill="1" applyBorder="1" applyAlignment="1">
      <alignment horizontal="left" vertical="top"/>
    </xf>
    <xf numFmtId="0" fontId="102" fillId="46" borderId="102" xfId="8720" applyFont="1" applyFill="1" applyBorder="1" applyAlignment="1">
      <alignment horizontal="center"/>
    </xf>
    <xf numFmtId="0" fontId="102" fillId="46" borderId="103" xfId="8720" applyFont="1" applyFill="1" applyBorder="1" applyAlignment="1">
      <alignment horizontal="center"/>
    </xf>
    <xf numFmtId="0" fontId="102" fillId="46" borderId="73" xfId="8720" applyFont="1" applyFill="1" applyBorder="1" applyAlignment="1">
      <alignment horizontal="center"/>
    </xf>
    <xf numFmtId="0" fontId="102" fillId="44" borderId="74" xfId="8720" applyFont="1" applyFill="1" applyBorder="1" applyAlignment="1" applyProtection="1">
      <alignment horizontal="center"/>
      <protection locked="0"/>
    </xf>
    <xf numFmtId="0" fontId="102" fillId="44" borderId="86" xfId="8720" applyFont="1" applyFill="1" applyBorder="1" applyAlignment="1" applyProtection="1">
      <alignment horizontal="center"/>
      <protection locked="0"/>
    </xf>
    <xf numFmtId="0" fontId="6" fillId="44" borderId="75" xfId="8720" applyFill="1" applyBorder="1" applyAlignment="1" applyProtection="1">
      <alignment horizontal="center"/>
      <protection locked="0"/>
    </xf>
    <xf numFmtId="0" fontId="6" fillId="44" borderId="95" xfId="8720" applyFill="1" applyBorder="1" applyAlignment="1" applyProtection="1">
      <alignment horizontal="center"/>
      <protection locked="0"/>
    </xf>
    <xf numFmtId="0" fontId="102" fillId="44" borderId="95" xfId="8720" applyFont="1" applyFill="1" applyBorder="1" applyAlignment="1" applyProtection="1">
      <alignment horizontal="center"/>
      <protection locked="0"/>
    </xf>
    <xf numFmtId="0" fontId="102" fillId="44" borderId="97" xfId="8720" applyFont="1" applyFill="1" applyBorder="1" applyAlignment="1" applyProtection="1">
      <alignment horizontal="center"/>
      <protection locked="0"/>
    </xf>
    <xf numFmtId="0" fontId="102" fillId="44" borderId="9" xfId="8720" applyFont="1" applyFill="1" applyBorder="1" applyAlignment="1" applyProtection="1">
      <alignment horizontal="center"/>
      <protection locked="0"/>
    </xf>
    <xf numFmtId="0" fontId="3" fillId="44" borderId="13" xfId="8720" applyFont="1" applyFill="1" applyBorder="1" applyAlignment="1" applyProtection="1">
      <alignment horizontal="center"/>
      <protection locked="0"/>
    </xf>
    <xf numFmtId="0" fontId="6" fillId="44" borderId="13" xfId="8720" applyFill="1" applyBorder="1" applyAlignment="1" applyProtection="1">
      <alignment horizontal="center"/>
      <protection locked="0"/>
    </xf>
    <xf numFmtId="0" fontId="6" fillId="44" borderId="98" xfId="8720" applyFill="1" applyBorder="1" applyAlignment="1" applyProtection="1">
      <alignment horizontal="center"/>
      <protection locked="0"/>
    </xf>
    <xf numFmtId="0" fontId="102" fillId="46" borderId="66" xfId="8720" applyFont="1" applyFill="1" applyBorder="1" applyAlignment="1">
      <alignment horizontal="left" wrapText="1"/>
    </xf>
    <xf numFmtId="0" fontId="102" fillId="46" borderId="29" xfId="8720" applyFont="1" applyFill="1" applyBorder="1" applyAlignment="1">
      <alignment horizontal="left" wrapText="1"/>
    </xf>
    <xf numFmtId="0" fontId="102" fillId="46" borderId="67" xfId="8720" applyFont="1" applyFill="1" applyBorder="1" applyAlignment="1">
      <alignment horizontal="left" wrapText="1"/>
    </xf>
    <xf numFmtId="0" fontId="102" fillId="46" borderId="0" xfId="8720" applyFont="1" applyFill="1" applyAlignment="1">
      <alignment horizontal="left" wrapText="1"/>
    </xf>
    <xf numFmtId="0" fontId="102" fillId="46" borderId="88" xfId="8720" applyFont="1" applyFill="1" applyBorder="1" applyAlignment="1">
      <alignment horizontal="left" wrapText="1"/>
    </xf>
    <xf numFmtId="0" fontId="102" fillId="46" borderId="42" xfId="8720" applyFont="1" applyFill="1" applyBorder="1" applyAlignment="1">
      <alignment horizontal="left" wrapText="1"/>
    </xf>
    <xf numFmtId="0" fontId="151" fillId="44" borderId="0" xfId="8720" applyFont="1" applyFill="1" applyAlignment="1" applyProtection="1">
      <alignment horizontal="center"/>
      <protection locked="0"/>
    </xf>
    <xf numFmtId="0" fontId="151" fillId="44" borderId="41" xfId="8720" applyFont="1" applyFill="1" applyBorder="1" applyAlignment="1" applyProtection="1">
      <alignment horizontal="center"/>
      <protection locked="0"/>
    </xf>
    <xf numFmtId="0" fontId="151" fillId="44" borderId="42" xfId="8720" applyFont="1" applyFill="1" applyBorder="1" applyAlignment="1" applyProtection="1">
      <alignment horizontal="center"/>
      <protection locked="0"/>
    </xf>
    <xf numFmtId="0" fontId="151" fillId="44" borderId="44" xfId="8720" applyFont="1" applyFill="1" applyBorder="1" applyAlignment="1" applyProtection="1">
      <alignment horizontal="center"/>
      <protection locked="0"/>
    </xf>
    <xf numFmtId="0" fontId="102" fillId="46" borderId="71" xfId="8720" applyFont="1" applyFill="1" applyBorder="1" applyAlignment="1">
      <alignment horizontal="center"/>
    </xf>
    <xf numFmtId="0" fontId="102" fillId="46" borderId="72" xfId="8720" applyFont="1" applyFill="1" applyBorder="1" applyAlignment="1">
      <alignment horizontal="center"/>
    </xf>
    <xf numFmtId="0" fontId="102" fillId="46" borderId="82" xfId="8720" applyFont="1" applyFill="1" applyBorder="1" applyAlignment="1">
      <alignment horizontal="center"/>
    </xf>
    <xf numFmtId="0" fontId="102" fillId="46" borderId="11" xfId="8720" applyFont="1" applyFill="1" applyBorder="1" applyAlignment="1">
      <alignment horizontal="center"/>
    </xf>
    <xf numFmtId="0" fontId="102" fillId="46" borderId="72" xfId="8720" applyFont="1" applyFill="1" applyBorder="1" applyAlignment="1">
      <alignment horizontal="center" wrapText="1"/>
    </xf>
    <xf numFmtId="0" fontId="102" fillId="46" borderId="11" xfId="8720" applyFont="1" applyFill="1" applyBorder="1" applyAlignment="1">
      <alignment horizontal="center" wrapText="1"/>
    </xf>
    <xf numFmtId="0" fontId="146" fillId="46" borderId="72" xfId="8720" applyFont="1" applyFill="1" applyBorder="1" applyAlignment="1">
      <alignment horizontal="center"/>
    </xf>
    <xf numFmtId="0" fontId="146" fillId="46" borderId="76" xfId="8720" applyFont="1" applyFill="1" applyBorder="1" applyAlignment="1">
      <alignment horizontal="center"/>
    </xf>
    <xf numFmtId="0" fontId="146" fillId="46" borderId="11" xfId="8720" applyFont="1" applyFill="1" applyBorder="1" applyAlignment="1">
      <alignment horizontal="center"/>
    </xf>
    <xf numFmtId="0" fontId="146" fillId="46" borderId="93" xfId="8720" applyFont="1" applyFill="1" applyBorder="1" applyAlignment="1">
      <alignment horizontal="center"/>
    </xf>
    <xf numFmtId="0" fontId="102" fillId="46" borderId="104" xfId="8720" applyFont="1" applyFill="1" applyBorder="1" applyAlignment="1">
      <alignment horizontal="center"/>
    </xf>
    <xf numFmtId="0" fontId="102" fillId="44" borderId="11" xfId="8720" applyFont="1" applyFill="1" applyBorder="1" applyAlignment="1" applyProtection="1">
      <alignment horizontal="center"/>
      <protection locked="0"/>
    </xf>
    <xf numFmtId="0" fontId="102" fillId="44" borderId="93" xfId="8720" applyFont="1" applyFill="1" applyBorder="1" applyAlignment="1" applyProtection="1">
      <alignment horizontal="center"/>
      <protection locked="0"/>
    </xf>
    <xf numFmtId="0" fontId="102" fillId="46" borderId="66" xfId="8720" applyFont="1" applyFill="1" applyBorder="1" applyAlignment="1">
      <alignment horizontal="center" wrapText="1"/>
    </xf>
    <xf numFmtId="0" fontId="102" fillId="46" borderId="29" xfId="8720" applyFont="1" applyFill="1" applyBorder="1" applyAlignment="1">
      <alignment horizontal="center" wrapText="1"/>
    </xf>
    <xf numFmtId="0" fontId="102" fillId="46" borderId="31" xfId="8720" applyFont="1" applyFill="1" applyBorder="1" applyAlignment="1">
      <alignment horizontal="center" wrapText="1"/>
    </xf>
    <xf numFmtId="0" fontId="102" fillId="46" borderId="44" xfId="8720" applyFont="1" applyFill="1" applyBorder="1" applyAlignment="1">
      <alignment horizontal="center"/>
    </xf>
    <xf numFmtId="0" fontId="6" fillId="44" borderId="82" xfId="8720" applyFill="1" applyBorder="1" applyAlignment="1" applyProtection="1">
      <alignment horizontal="center"/>
      <protection locked="0"/>
    </xf>
    <xf numFmtId="183" fontId="151" fillId="44" borderId="11" xfId="701" applyNumberFormat="1" applyFont="1" applyFill="1" applyBorder="1" applyAlignment="1" applyProtection="1">
      <alignment horizontal="center"/>
      <protection locked="0"/>
    </xf>
    <xf numFmtId="183" fontId="151" fillId="44" borderId="93" xfId="701" applyNumberFormat="1" applyFont="1" applyFill="1" applyBorder="1" applyAlignment="1" applyProtection="1">
      <alignment horizontal="center"/>
      <protection locked="0"/>
    </xf>
    <xf numFmtId="0" fontId="146" fillId="46" borderId="71" xfId="8720" applyFont="1" applyFill="1" applyBorder="1" applyAlignment="1">
      <alignment horizontal="center"/>
    </xf>
    <xf numFmtId="183" fontId="151" fillId="44" borderId="99" xfId="701" applyNumberFormat="1" applyFont="1" applyFill="1" applyBorder="1" applyAlignment="1" applyProtection="1">
      <alignment horizontal="center"/>
      <protection locked="0"/>
    </xf>
    <xf numFmtId="183" fontId="151" fillId="44" borderId="100" xfId="701" applyNumberFormat="1" applyFont="1" applyFill="1" applyBorder="1" applyAlignment="1" applyProtection="1">
      <alignment horizontal="center"/>
      <protection locked="0"/>
    </xf>
    <xf numFmtId="0" fontId="146" fillId="46" borderId="96" xfId="8720" applyFont="1" applyFill="1" applyBorder="1" applyAlignment="1">
      <alignment horizontal="right"/>
    </xf>
    <xf numFmtId="0" fontId="146" fillId="46" borderId="43" xfId="8720" applyFont="1" applyFill="1" applyBorder="1" applyAlignment="1">
      <alignment horizontal="right"/>
    </xf>
    <xf numFmtId="44" fontId="146" fillId="46" borderId="43" xfId="8720" applyNumberFormat="1" applyFont="1" applyFill="1" applyBorder="1" applyAlignment="1">
      <alignment horizontal="center"/>
    </xf>
    <xf numFmtId="0" fontId="146" fillId="46" borderId="43" xfId="8720" applyFont="1" applyFill="1" applyBorder="1" applyAlignment="1">
      <alignment horizontal="center"/>
    </xf>
    <xf numFmtId="0" fontId="146" fillId="46" borderId="101" xfId="8720" applyFont="1" applyFill="1" applyBorder="1" applyAlignment="1">
      <alignment horizontal="center"/>
    </xf>
    <xf numFmtId="0" fontId="103" fillId="44" borderId="82" xfId="8720" applyFont="1" applyFill="1" applyBorder="1" applyAlignment="1" applyProtection="1">
      <alignment horizontal="center"/>
      <protection locked="0"/>
    </xf>
    <xf numFmtId="0" fontId="103" fillId="44" borderId="11" xfId="8720" applyFont="1" applyFill="1" applyBorder="1" applyAlignment="1" applyProtection="1">
      <alignment horizontal="center"/>
      <protection locked="0"/>
    </xf>
    <xf numFmtId="0" fontId="146" fillId="46" borderId="97" xfId="8720" applyFont="1" applyFill="1" applyBorder="1" applyAlignment="1">
      <alignment horizontal="center"/>
    </xf>
    <xf numFmtId="0" fontId="146" fillId="46" borderId="13" xfId="8720" applyFont="1" applyFill="1" applyBorder="1" applyAlignment="1">
      <alignment horizontal="center"/>
    </xf>
    <xf numFmtId="0" fontId="4" fillId="44" borderId="13" xfId="8720" applyFont="1" applyFill="1" applyBorder="1" applyAlignment="1" applyProtection="1">
      <alignment horizontal="center"/>
      <protection locked="0"/>
    </xf>
    <xf numFmtId="0" fontId="4" fillId="44" borderId="75" xfId="8720" applyFont="1" applyFill="1" applyBorder="1" applyAlignment="1" applyProtection="1">
      <alignment horizontal="center"/>
      <protection locked="0"/>
    </xf>
    <xf numFmtId="0" fontId="151" fillId="44" borderId="72" xfId="8720" applyFont="1" applyFill="1" applyBorder="1" applyAlignment="1" applyProtection="1">
      <alignment horizontal="center"/>
      <protection locked="0"/>
    </xf>
    <xf numFmtId="0" fontId="151" fillId="44" borderId="76" xfId="8720" applyFont="1" applyFill="1" applyBorder="1" applyAlignment="1" applyProtection="1">
      <alignment horizontal="center"/>
      <protection locked="0"/>
    </xf>
    <xf numFmtId="0" fontId="146" fillId="46" borderId="82" xfId="8720" applyFont="1" applyFill="1" applyBorder="1" applyAlignment="1">
      <alignment horizontal="center"/>
    </xf>
    <xf numFmtId="0" fontId="146" fillId="46" borderId="3" xfId="8720" applyFont="1" applyFill="1" applyBorder="1" applyAlignment="1">
      <alignment horizontal="center"/>
    </xf>
    <xf numFmtId="0" fontId="151" fillId="44" borderId="75" xfId="8720" applyFont="1" applyFill="1" applyBorder="1" applyAlignment="1" applyProtection="1">
      <alignment horizontal="center"/>
      <protection locked="0"/>
    </xf>
    <xf numFmtId="0" fontId="151" fillId="44" borderId="95" xfId="8720" applyFont="1" applyFill="1" applyBorder="1" applyAlignment="1" applyProtection="1">
      <alignment horizontal="center"/>
      <protection locked="0"/>
    </xf>
    <xf numFmtId="0" fontId="157" fillId="44" borderId="82" xfId="8720" applyFont="1" applyFill="1" applyBorder="1" applyAlignment="1" applyProtection="1">
      <alignment horizontal="center"/>
      <protection locked="0"/>
    </xf>
    <xf numFmtId="0" fontId="157" fillId="44" borderId="11" xfId="8720" applyFont="1" applyFill="1" applyBorder="1" applyAlignment="1" applyProtection="1">
      <alignment horizontal="center"/>
      <protection locked="0"/>
    </xf>
    <xf numFmtId="0" fontId="157" fillId="44" borderId="93" xfId="8720" applyFont="1" applyFill="1" applyBorder="1" applyAlignment="1" applyProtection="1">
      <alignment horizontal="center"/>
      <protection locked="0"/>
    </xf>
    <xf numFmtId="0" fontId="157" fillId="44" borderId="5" xfId="8720" applyFont="1" applyFill="1" applyBorder="1" applyAlignment="1" applyProtection="1">
      <alignment horizontal="center"/>
      <protection locked="0"/>
    </xf>
    <xf numFmtId="0" fontId="157" fillId="44" borderId="74" xfId="8720" applyFont="1" applyFill="1" applyBorder="1" applyAlignment="1" applyProtection="1">
      <alignment horizontal="center"/>
      <protection locked="0"/>
    </xf>
    <xf numFmtId="0" fontId="157" fillId="44" borderId="75" xfId="8720" applyFont="1" applyFill="1" applyBorder="1" applyAlignment="1" applyProtection="1">
      <alignment horizontal="center"/>
      <protection locked="0"/>
    </xf>
    <xf numFmtId="0" fontId="157" fillId="44" borderId="95" xfId="8720" applyFont="1" applyFill="1" applyBorder="1" applyAlignment="1" applyProtection="1">
      <alignment horizontal="center"/>
      <protection locked="0"/>
    </xf>
    <xf numFmtId="0" fontId="157" fillId="44" borderId="85" xfId="8720" applyFont="1" applyFill="1" applyBorder="1" applyAlignment="1" applyProtection="1">
      <alignment horizontal="center"/>
      <protection locked="0"/>
    </xf>
    <xf numFmtId="0" fontId="54" fillId="46" borderId="66" xfId="8720" applyFont="1" applyFill="1" applyBorder="1" applyAlignment="1">
      <alignment horizontal="center"/>
    </xf>
    <xf numFmtId="0" fontId="54" fillId="46" borderId="29" xfId="8720" applyFont="1" applyFill="1" applyBorder="1" applyAlignment="1">
      <alignment horizontal="center"/>
    </xf>
    <xf numFmtId="0" fontId="54" fillId="46" borderId="31" xfId="8720" applyFont="1" applyFill="1" applyBorder="1" applyAlignment="1">
      <alignment horizontal="center"/>
    </xf>
    <xf numFmtId="183" fontId="157" fillId="44" borderId="75" xfId="8721" applyNumberFormat="1" applyFont="1" applyFill="1" applyBorder="1" applyAlignment="1" applyProtection="1">
      <alignment horizontal="center"/>
      <protection locked="0"/>
    </xf>
    <xf numFmtId="180" fontId="157" fillId="44" borderId="75" xfId="8720" applyNumberFormat="1" applyFont="1" applyFill="1" applyBorder="1" applyAlignment="1" applyProtection="1">
      <alignment horizontal="center"/>
      <protection locked="0"/>
    </xf>
    <xf numFmtId="183" fontId="157" fillId="44" borderId="75" xfId="701" applyNumberFormat="1" applyFont="1" applyFill="1" applyBorder="1" applyAlignment="1" applyProtection="1">
      <alignment horizontal="center"/>
      <protection locked="0"/>
    </xf>
    <xf numFmtId="183" fontId="157" fillId="44" borderId="95" xfId="701" applyNumberFormat="1" applyFont="1" applyFill="1" applyBorder="1" applyAlignment="1" applyProtection="1">
      <alignment horizontal="center"/>
      <protection locked="0"/>
    </xf>
    <xf numFmtId="0" fontId="147" fillId="46" borderId="96" xfId="8720" applyFont="1" applyFill="1" applyBorder="1" applyAlignment="1">
      <alignment horizontal="center"/>
    </xf>
    <xf numFmtId="0" fontId="147" fillId="46" borderId="43" xfId="8720" applyFont="1" applyFill="1" applyBorder="1" applyAlignment="1">
      <alignment horizontal="center"/>
    </xf>
    <xf numFmtId="183" fontId="147" fillId="46" borderId="43" xfId="8721" applyNumberFormat="1" applyFont="1" applyFill="1" applyBorder="1" applyAlignment="1">
      <alignment horizontal="center"/>
    </xf>
    <xf numFmtId="180" fontId="147" fillId="46" borderId="43" xfId="8721" applyNumberFormat="1" applyFont="1" applyFill="1" applyBorder="1" applyAlignment="1">
      <alignment horizontal="center"/>
    </xf>
    <xf numFmtId="44" fontId="147" fillId="46" borderId="43" xfId="8721" applyFont="1" applyFill="1" applyBorder="1" applyAlignment="1">
      <alignment horizontal="center"/>
    </xf>
    <xf numFmtId="183" fontId="157" fillId="44" borderId="11" xfId="8721" applyNumberFormat="1" applyFont="1" applyFill="1" applyBorder="1" applyAlignment="1" applyProtection="1">
      <alignment horizontal="center"/>
      <protection locked="0"/>
    </xf>
    <xf numFmtId="180" fontId="157" fillId="44" borderId="11" xfId="8720" applyNumberFormat="1" applyFont="1" applyFill="1" applyBorder="1" applyAlignment="1" applyProtection="1">
      <alignment horizontal="center"/>
      <protection locked="0"/>
    </xf>
    <xf numFmtId="183" fontId="157" fillId="44" borderId="11" xfId="701" applyNumberFormat="1" applyFont="1" applyFill="1" applyBorder="1" applyAlignment="1" applyProtection="1">
      <alignment horizontal="center"/>
      <protection locked="0"/>
    </xf>
    <xf numFmtId="183" fontId="157" fillId="44" borderId="93" xfId="701" applyNumberFormat="1" applyFont="1" applyFill="1" applyBorder="1" applyAlignment="1" applyProtection="1">
      <alignment horizontal="center"/>
      <protection locked="0"/>
    </xf>
    <xf numFmtId="0" fontId="146" fillId="46" borderId="70" xfId="8720" applyFont="1" applyFill="1" applyBorder="1" applyAlignment="1">
      <alignment horizontal="center"/>
    </xf>
    <xf numFmtId="0" fontId="147" fillId="46" borderId="66" xfId="8720" applyFont="1" applyFill="1" applyBorder="1" applyAlignment="1">
      <alignment horizontal="center"/>
    </xf>
    <xf numFmtId="0" fontId="147" fillId="46" borderId="29" xfId="8720" applyFont="1" applyFill="1" applyBorder="1" applyAlignment="1">
      <alignment horizontal="center"/>
    </xf>
    <xf numFmtId="0" fontId="147" fillId="46" borderId="31" xfId="8720" applyFont="1" applyFill="1" applyBorder="1" applyAlignment="1">
      <alignment horizontal="center"/>
    </xf>
    <xf numFmtId="0" fontId="54" fillId="46" borderId="66" xfId="8720" applyFont="1" applyFill="1" applyBorder="1" applyAlignment="1">
      <alignment horizontal="center" vertical="center" wrapText="1"/>
    </xf>
    <xf numFmtId="0" fontId="54" fillId="46" borderId="29" xfId="8720" applyFont="1" applyFill="1" applyBorder="1" applyAlignment="1">
      <alignment horizontal="center" vertical="center" wrapText="1"/>
    </xf>
    <xf numFmtId="0" fontId="54" fillId="46" borderId="31" xfId="8720" applyFont="1" applyFill="1" applyBorder="1" applyAlignment="1">
      <alignment horizontal="center" vertical="center" wrapText="1"/>
    </xf>
    <xf numFmtId="0" fontId="32" fillId="46" borderId="66" xfId="8720" applyFont="1" applyFill="1" applyBorder="1" applyAlignment="1">
      <alignment horizontal="center" vertical="center" wrapText="1"/>
    </xf>
    <xf numFmtId="0" fontId="32" fillId="46" borderId="29" xfId="8720" applyFont="1" applyFill="1" applyBorder="1" applyAlignment="1">
      <alignment horizontal="center" vertical="center" wrapText="1"/>
    </xf>
    <xf numFmtId="0" fontId="32" fillId="46" borderId="31" xfId="8720" applyFont="1" applyFill="1" applyBorder="1" applyAlignment="1">
      <alignment horizontal="center" vertical="center" wrapText="1"/>
    </xf>
    <xf numFmtId="1" fontId="6" fillId="44" borderId="11" xfId="8720" applyNumberFormat="1" applyFill="1" applyBorder="1" applyAlignment="1" applyProtection="1">
      <alignment horizontal="center"/>
      <protection locked="0"/>
    </xf>
    <xf numFmtId="1" fontId="151" fillId="45" borderId="13" xfId="8720" applyNumberFormat="1" applyFont="1" applyFill="1" applyBorder="1" applyAlignment="1">
      <alignment horizontal="center"/>
    </xf>
    <xf numFmtId="9" fontId="151" fillId="45" borderId="13" xfId="8722" applyFont="1" applyFill="1" applyBorder="1" applyAlignment="1">
      <alignment horizontal="center"/>
    </xf>
    <xf numFmtId="1" fontId="149" fillId="44" borderId="13" xfId="8720" applyNumberFormat="1" applyFont="1" applyFill="1" applyBorder="1" applyAlignment="1" applyProtection="1">
      <alignment horizontal="center"/>
      <protection locked="0"/>
    </xf>
    <xf numFmtId="1" fontId="6" fillId="44" borderId="13" xfId="8720" applyNumberFormat="1" applyFill="1" applyBorder="1" applyAlignment="1" applyProtection="1">
      <alignment horizontal="center"/>
      <protection locked="0"/>
    </xf>
    <xf numFmtId="0" fontId="147" fillId="44" borderId="74" xfId="8720" applyFont="1" applyFill="1" applyBorder="1" applyAlignment="1" applyProtection="1">
      <alignment horizontal="right"/>
      <protection locked="0"/>
    </xf>
    <xf numFmtId="0" fontId="147" fillId="44" borderId="75" xfId="8720" applyFont="1" applyFill="1" applyBorder="1" applyAlignment="1" applyProtection="1">
      <alignment horizontal="right"/>
      <protection locked="0"/>
    </xf>
    <xf numFmtId="0" fontId="147" fillId="44" borderId="95" xfId="8720" applyFont="1" applyFill="1" applyBorder="1" applyAlignment="1" applyProtection="1">
      <alignment horizontal="right"/>
      <protection locked="0"/>
    </xf>
    <xf numFmtId="0" fontId="2" fillId="44" borderId="85" xfId="8720" applyFont="1" applyFill="1" applyBorder="1" applyAlignment="1" applyProtection="1">
      <alignment horizontal="center"/>
      <protection locked="0"/>
    </xf>
    <xf numFmtId="0" fontId="6" fillId="44" borderId="74" xfId="8720" applyFill="1" applyBorder="1" applyAlignment="1" applyProtection="1">
      <alignment horizontal="center"/>
      <protection locked="0"/>
    </xf>
    <xf numFmtId="0" fontId="6" fillId="44" borderId="86" xfId="8720" applyFill="1" applyBorder="1" applyAlignment="1" applyProtection="1">
      <alignment horizontal="center"/>
      <protection locked="0"/>
    </xf>
    <xf numFmtId="0" fontId="147" fillId="44" borderId="82" xfId="8720" applyFont="1" applyFill="1" applyBorder="1" applyAlignment="1" applyProtection="1">
      <alignment horizontal="right"/>
      <protection locked="0"/>
    </xf>
    <xf numFmtId="0" fontId="147" fillId="44" borderId="11" xfId="8720" applyFont="1" applyFill="1" applyBorder="1" applyAlignment="1" applyProtection="1">
      <alignment horizontal="right"/>
      <protection locked="0"/>
    </xf>
    <xf numFmtId="0" fontId="147" fillId="44" borderId="93" xfId="8720" applyFont="1" applyFill="1" applyBorder="1" applyAlignment="1" applyProtection="1">
      <alignment horizontal="right"/>
      <protection locked="0"/>
    </xf>
    <xf numFmtId="0" fontId="6" fillId="44" borderId="5" xfId="8720" applyFill="1" applyBorder="1" applyAlignment="1" applyProtection="1">
      <alignment horizontal="center"/>
      <protection locked="0"/>
    </xf>
    <xf numFmtId="0" fontId="6" fillId="44" borderId="93" xfId="8720" applyFill="1" applyBorder="1" applyAlignment="1" applyProtection="1">
      <alignment horizontal="center"/>
      <protection locked="0"/>
    </xf>
    <xf numFmtId="0" fontId="149" fillId="44" borderId="82" xfId="8720" applyFont="1" applyFill="1" applyBorder="1" applyAlignment="1" applyProtection="1">
      <alignment horizontal="center"/>
      <protection locked="0"/>
    </xf>
    <xf numFmtId="0" fontId="149" fillId="44" borderId="11" xfId="8720" applyFont="1" applyFill="1" applyBorder="1" applyAlignment="1" applyProtection="1">
      <alignment horizontal="center"/>
      <protection locked="0"/>
    </xf>
    <xf numFmtId="0" fontId="149" fillId="44" borderId="3" xfId="8720" applyFont="1" applyFill="1" applyBorder="1" applyAlignment="1" applyProtection="1">
      <alignment horizontal="center"/>
      <protection locked="0"/>
    </xf>
    <xf numFmtId="0" fontId="6" fillId="44" borderId="3" xfId="8720" applyFill="1" applyBorder="1" applyAlignment="1" applyProtection="1">
      <alignment horizontal="center"/>
      <protection locked="0"/>
    </xf>
    <xf numFmtId="0" fontId="147" fillId="44" borderId="94" xfId="8720" applyFont="1" applyFill="1" applyBorder="1" applyAlignment="1" applyProtection="1">
      <alignment horizontal="right"/>
      <protection locked="0"/>
    </xf>
    <xf numFmtId="0" fontId="147" fillId="44" borderId="4" xfId="8720" applyFont="1" applyFill="1" applyBorder="1" applyAlignment="1" applyProtection="1">
      <alignment horizontal="right"/>
      <protection locked="0"/>
    </xf>
    <xf numFmtId="0" fontId="147" fillId="44" borderId="81" xfId="8720" applyFont="1" applyFill="1" applyBorder="1" applyAlignment="1" applyProtection="1">
      <alignment horizontal="right"/>
      <protection locked="0"/>
    </xf>
    <xf numFmtId="0" fontId="155" fillId="44" borderId="82" xfId="8720" applyFont="1" applyFill="1" applyBorder="1" applyAlignment="1" applyProtection="1">
      <alignment horizontal="right"/>
      <protection locked="0"/>
    </xf>
    <xf numFmtId="0" fontId="155" fillId="44" borderId="11" xfId="8720" applyFont="1" applyFill="1" applyBorder="1" applyAlignment="1" applyProtection="1">
      <alignment horizontal="right"/>
      <protection locked="0"/>
    </xf>
    <xf numFmtId="0" fontId="155" fillId="44" borderId="93" xfId="8720" applyFont="1" applyFill="1" applyBorder="1" applyAlignment="1" applyProtection="1">
      <alignment horizontal="right"/>
      <protection locked="0"/>
    </xf>
    <xf numFmtId="0" fontId="146" fillId="44" borderId="94" xfId="8720" applyFont="1" applyFill="1" applyBorder="1" applyAlignment="1" applyProtection="1">
      <alignment horizontal="right"/>
      <protection locked="0"/>
    </xf>
    <xf numFmtId="0" fontId="146" fillId="44" borderId="4" xfId="8720" applyFont="1" applyFill="1" applyBorder="1" applyAlignment="1" applyProtection="1">
      <alignment horizontal="right"/>
      <protection locked="0"/>
    </xf>
    <xf numFmtId="0" fontId="146" fillId="44" borderId="81" xfId="8720" applyFont="1" applyFill="1" applyBorder="1" applyAlignment="1" applyProtection="1">
      <alignment horizontal="right"/>
      <protection locked="0"/>
    </xf>
    <xf numFmtId="0" fontId="2" fillId="44" borderId="5" xfId="8720" applyFont="1" applyFill="1" applyBorder="1" applyAlignment="1" applyProtection="1">
      <alignment horizontal="center"/>
      <protection locked="0"/>
    </xf>
    <xf numFmtId="0" fontId="4" fillId="44" borderId="5" xfId="8720" applyFont="1" applyFill="1" applyBorder="1" applyAlignment="1" applyProtection="1">
      <alignment horizontal="center"/>
      <protection locked="0"/>
    </xf>
    <xf numFmtId="0" fontId="146" fillId="44" borderId="82" xfId="8720" applyFont="1" applyFill="1" applyBorder="1" applyAlignment="1" applyProtection="1">
      <alignment horizontal="right"/>
      <protection locked="0"/>
    </xf>
    <xf numFmtId="0" fontId="146" fillId="44" borderId="11" xfId="8720" applyFont="1" applyFill="1" applyBorder="1" applyAlignment="1" applyProtection="1">
      <alignment horizontal="right"/>
      <protection locked="0"/>
    </xf>
    <xf numFmtId="0" fontId="146" fillId="44" borderId="93" xfId="8720" applyFont="1" applyFill="1" applyBorder="1" applyAlignment="1" applyProtection="1">
      <alignment horizontal="right"/>
      <protection locked="0"/>
    </xf>
    <xf numFmtId="0" fontId="149" fillId="44" borderId="5" xfId="8720" applyFont="1" applyFill="1" applyBorder="1" applyAlignment="1" applyProtection="1">
      <alignment horizontal="center"/>
      <protection locked="0"/>
    </xf>
    <xf numFmtId="0" fontId="149" fillId="44" borderId="93" xfId="8720" applyFont="1" applyFill="1" applyBorder="1" applyAlignment="1" applyProtection="1">
      <alignment horizontal="center"/>
      <protection locked="0"/>
    </xf>
    <xf numFmtId="0" fontId="54" fillId="44" borderId="71" xfId="8720" applyFont="1" applyFill="1" applyBorder="1" applyAlignment="1" applyProtection="1">
      <alignment horizontal="right"/>
      <protection locked="0"/>
    </xf>
    <xf numFmtId="0" fontId="54" fillId="44" borderId="72" xfId="8720" applyFont="1" applyFill="1" applyBorder="1" applyAlignment="1" applyProtection="1">
      <alignment horizontal="right"/>
      <protection locked="0"/>
    </xf>
    <xf numFmtId="0" fontId="54" fillId="44" borderId="76" xfId="8720" applyFont="1" applyFill="1" applyBorder="1" applyAlignment="1" applyProtection="1">
      <alignment horizontal="right"/>
      <protection locked="0"/>
    </xf>
    <xf numFmtId="0" fontId="154" fillId="44" borderId="91" xfId="8720" applyFont="1" applyFill="1" applyBorder="1" applyAlignment="1" applyProtection="1">
      <alignment horizontal="center"/>
      <protection locked="0"/>
    </xf>
    <xf numFmtId="0" fontId="154" fillId="44" borderId="72" xfId="8720" applyFont="1" applyFill="1" applyBorder="1" applyAlignment="1" applyProtection="1">
      <alignment horizontal="center"/>
      <protection locked="0"/>
    </xf>
    <xf numFmtId="0" fontId="154" fillId="44" borderId="76" xfId="8720" applyFont="1" applyFill="1" applyBorder="1" applyAlignment="1" applyProtection="1">
      <alignment horizontal="center"/>
      <protection locked="0"/>
    </xf>
    <xf numFmtId="0" fontId="149" fillId="44" borderId="71" xfId="8720" applyFont="1" applyFill="1" applyBorder="1" applyAlignment="1" applyProtection="1">
      <alignment horizontal="center"/>
      <protection locked="0"/>
    </xf>
    <xf numFmtId="0" fontId="149" fillId="44" borderId="72" xfId="8720" applyFont="1" applyFill="1" applyBorder="1" applyAlignment="1" applyProtection="1">
      <alignment horizontal="center"/>
      <protection locked="0"/>
    </xf>
    <xf numFmtId="0" fontId="149" fillId="44" borderId="92" xfId="8720" applyFont="1" applyFill="1" applyBorder="1" applyAlignment="1" applyProtection="1">
      <alignment horizontal="center"/>
      <protection locked="0"/>
    </xf>
    <xf numFmtId="9" fontId="6" fillId="44" borderId="68" xfId="8720" applyNumberFormat="1" applyFill="1" applyBorder="1" applyAlignment="1" applyProtection="1">
      <alignment horizontal="center"/>
      <protection locked="0"/>
    </xf>
    <xf numFmtId="9" fontId="6" fillId="44" borderId="69" xfId="8720" applyNumberFormat="1" applyFill="1" applyBorder="1" applyAlignment="1" applyProtection="1">
      <alignment horizontal="center"/>
      <protection locked="0"/>
    </xf>
    <xf numFmtId="9" fontId="6" fillId="44" borderId="70" xfId="8720" applyNumberFormat="1" applyFill="1" applyBorder="1" applyAlignment="1" applyProtection="1">
      <alignment horizontal="center"/>
      <protection locked="0"/>
    </xf>
    <xf numFmtId="9" fontId="1" fillId="44" borderId="68" xfId="8720" applyNumberFormat="1" applyFont="1" applyFill="1" applyBorder="1" applyAlignment="1" applyProtection="1">
      <alignment horizontal="center"/>
      <protection locked="0"/>
    </xf>
    <xf numFmtId="0" fontId="151" fillId="45" borderId="68" xfId="8720" applyFont="1" applyFill="1" applyBorder="1" applyAlignment="1">
      <alignment horizontal="center"/>
    </xf>
    <xf numFmtId="0" fontId="151" fillId="45" borderId="69" xfId="8720" applyFont="1" applyFill="1" applyBorder="1" applyAlignment="1">
      <alignment horizontal="center"/>
    </xf>
    <xf numFmtId="0" fontId="151" fillId="45" borderId="70" xfId="8720" applyFont="1" applyFill="1" applyBorder="1" applyAlignment="1">
      <alignment horizontal="center"/>
    </xf>
    <xf numFmtId="0" fontId="152" fillId="45" borderId="90" xfId="8720" applyFont="1" applyFill="1" applyBorder="1" applyAlignment="1">
      <alignment horizontal="center"/>
    </xf>
    <xf numFmtId="0" fontId="152" fillId="45" borderId="42" xfId="8720" applyFont="1" applyFill="1" applyBorder="1" applyAlignment="1">
      <alignment horizontal="center"/>
    </xf>
    <xf numFmtId="0" fontId="152" fillId="45" borderId="89" xfId="8720" applyFont="1" applyFill="1" applyBorder="1" applyAlignment="1">
      <alignment horizontal="center"/>
    </xf>
    <xf numFmtId="9" fontId="152" fillId="45" borderId="90" xfId="1023" applyFont="1" applyFill="1" applyBorder="1" applyAlignment="1">
      <alignment horizontal="center"/>
    </xf>
    <xf numFmtId="9" fontId="152" fillId="45" borderId="42" xfId="1023" applyFont="1" applyFill="1" applyBorder="1" applyAlignment="1">
      <alignment horizontal="center"/>
    </xf>
    <xf numFmtId="9" fontId="152" fillId="45" borderId="44" xfId="1023" applyFont="1" applyFill="1" applyBorder="1" applyAlignment="1">
      <alignment horizontal="center"/>
    </xf>
    <xf numFmtId="0" fontId="65" fillId="46" borderId="68" xfId="8720" applyFont="1" applyFill="1" applyBorder="1" applyAlignment="1">
      <alignment horizontal="center"/>
    </xf>
    <xf numFmtId="0" fontId="65" fillId="46" borderId="69" xfId="8720" applyFont="1" applyFill="1" applyBorder="1" applyAlignment="1">
      <alignment horizontal="center"/>
    </xf>
    <xf numFmtId="0" fontId="65" fillId="46" borderId="70" xfId="8720" applyFont="1" applyFill="1" applyBorder="1" applyAlignment="1">
      <alignment horizontal="center"/>
    </xf>
    <xf numFmtId="0" fontId="153" fillId="46" borderId="67" xfId="8720" applyFont="1" applyFill="1" applyBorder="1" applyAlignment="1">
      <alignment horizontal="center" vertical="center" wrapText="1"/>
    </xf>
    <xf numFmtId="0" fontId="153" fillId="46" borderId="0" xfId="8720" applyFont="1" applyFill="1" applyAlignment="1">
      <alignment horizontal="center" vertical="center"/>
    </xf>
    <xf numFmtId="0" fontId="153" fillId="46" borderId="41" xfId="8720" applyFont="1" applyFill="1" applyBorder="1" applyAlignment="1">
      <alignment horizontal="center" vertical="center"/>
    </xf>
    <xf numFmtId="0" fontId="153" fillId="46" borderId="67" xfId="8720" applyFont="1" applyFill="1" applyBorder="1" applyAlignment="1">
      <alignment horizontal="center" vertical="center"/>
    </xf>
    <xf numFmtId="0" fontId="147" fillId="46" borderId="67" xfId="8720" applyFont="1" applyFill="1" applyBorder="1" applyAlignment="1">
      <alignment horizontal="center" vertical="center" wrapText="1"/>
    </xf>
    <xf numFmtId="0" fontId="147" fillId="46" borderId="0" xfId="8720" applyFont="1" applyFill="1" applyAlignment="1">
      <alignment horizontal="center" vertical="center"/>
    </xf>
    <xf numFmtId="0" fontId="147" fillId="46" borderId="41" xfId="8720" applyFont="1" applyFill="1" applyBorder="1" applyAlignment="1">
      <alignment horizontal="center" vertical="center"/>
    </xf>
    <xf numFmtId="0" fontId="147" fillId="46" borderId="67" xfId="8720" applyFont="1" applyFill="1" applyBorder="1" applyAlignment="1">
      <alignment horizontal="center" vertical="center"/>
    </xf>
    <xf numFmtId="0" fontId="54" fillId="46" borderId="68" xfId="8720" applyFont="1" applyFill="1" applyBorder="1" applyAlignment="1">
      <alignment horizontal="center"/>
    </xf>
    <xf numFmtId="0" fontId="54" fillId="46" borderId="69" xfId="8720" applyFont="1" applyFill="1" applyBorder="1" applyAlignment="1">
      <alignment horizontal="center"/>
    </xf>
    <xf numFmtId="0" fontId="54" fillId="46" borderId="70" xfId="8720" applyFont="1" applyFill="1" applyBorder="1" applyAlignment="1">
      <alignment horizontal="center"/>
    </xf>
    <xf numFmtId="0" fontId="147" fillId="46" borderId="29" xfId="8720" applyFont="1" applyFill="1" applyBorder="1" applyAlignment="1">
      <alignment horizontal="center" vertical="center" wrapText="1"/>
    </xf>
    <xf numFmtId="0" fontId="147" fillId="46" borderId="31" xfId="8720" applyFont="1" applyFill="1" applyBorder="1" applyAlignment="1">
      <alignment horizontal="center" vertical="center" wrapText="1"/>
    </xf>
    <xf numFmtId="0" fontId="147" fillId="46" borderId="88" xfId="8720" applyFont="1" applyFill="1" applyBorder="1" applyAlignment="1">
      <alignment horizontal="center" vertical="center" wrapText="1"/>
    </xf>
    <xf numFmtId="0" fontId="147" fillId="46" borderId="42" xfId="8720" applyFont="1" applyFill="1" applyBorder="1" applyAlignment="1">
      <alignment horizontal="center" vertical="center" wrapText="1"/>
    </xf>
    <xf numFmtId="0" fontId="147" fillId="46" borderId="44" xfId="8720" applyFont="1" applyFill="1" applyBorder="1" applyAlignment="1">
      <alignment horizontal="center" vertical="center" wrapText="1"/>
    </xf>
    <xf numFmtId="0" fontId="152" fillId="45" borderId="88" xfId="8720" applyFont="1" applyFill="1" applyBorder="1" applyAlignment="1">
      <alignment horizontal="center"/>
    </xf>
    <xf numFmtId="0" fontId="152" fillId="45" borderId="3" xfId="8720" applyFont="1" applyFill="1" applyBorder="1" applyAlignment="1">
      <alignment horizontal="center"/>
    </xf>
    <xf numFmtId="0" fontId="152" fillId="45" borderId="4" xfId="8720" applyFont="1" applyFill="1" applyBorder="1" applyAlignment="1">
      <alignment horizontal="center"/>
    </xf>
    <xf numFmtId="0" fontId="152" fillId="45" borderId="5" xfId="8720" applyFont="1" applyFill="1" applyBorder="1" applyAlignment="1">
      <alignment horizontal="center"/>
    </xf>
    <xf numFmtId="9" fontId="152" fillId="45" borderId="3" xfId="8720" applyNumberFormat="1" applyFont="1" applyFill="1" applyBorder="1" applyAlignment="1">
      <alignment horizontal="center"/>
    </xf>
    <xf numFmtId="9" fontId="152" fillId="45" borderId="4" xfId="8720" applyNumberFormat="1" applyFont="1" applyFill="1" applyBorder="1" applyAlignment="1">
      <alignment horizontal="center"/>
    </xf>
    <xf numFmtId="9" fontId="152" fillId="45" borderId="81" xfId="8720" applyNumberFormat="1" applyFont="1" applyFill="1" applyBorder="1" applyAlignment="1">
      <alignment horizontal="center"/>
    </xf>
    <xf numFmtId="0" fontId="152" fillId="45" borderId="83" xfId="8720" applyFont="1" applyFill="1" applyBorder="1" applyAlignment="1">
      <alignment horizontal="center"/>
    </xf>
    <xf numFmtId="0" fontId="152" fillId="45" borderId="84" xfId="8720" applyFont="1" applyFill="1" applyBorder="1" applyAlignment="1">
      <alignment horizontal="center"/>
    </xf>
    <xf numFmtId="0" fontId="152" fillId="45" borderId="85" xfId="8720" applyFont="1" applyFill="1" applyBorder="1" applyAlignment="1">
      <alignment horizontal="center"/>
    </xf>
    <xf numFmtId="9" fontId="152" fillId="44" borderId="82" xfId="8720" applyNumberFormat="1" applyFont="1" applyFill="1" applyBorder="1" applyAlignment="1">
      <alignment horizontal="center"/>
    </xf>
    <xf numFmtId="0" fontId="152" fillId="44" borderId="11" xfId="8720" applyFont="1" applyFill="1" applyBorder="1" applyAlignment="1">
      <alignment horizontal="center"/>
    </xf>
    <xf numFmtId="0" fontId="152" fillId="46" borderId="80" xfId="8720" applyFont="1" applyFill="1" applyBorder="1" applyAlignment="1">
      <alignment horizontal="center"/>
    </xf>
    <xf numFmtId="0" fontId="152" fillId="46" borderId="2" xfId="8720" applyFont="1" applyFill="1" applyBorder="1" applyAlignment="1">
      <alignment horizontal="center"/>
    </xf>
    <xf numFmtId="0" fontId="152" fillId="46" borderId="7" xfId="8720" applyFont="1" applyFill="1" applyBorder="1" applyAlignment="1">
      <alignment horizontal="center"/>
    </xf>
    <xf numFmtId="0" fontId="152" fillId="46" borderId="3" xfId="8720" applyFont="1" applyFill="1" applyBorder="1" applyAlignment="1">
      <alignment horizontal="center"/>
    </xf>
    <xf numFmtId="0" fontId="152" fillId="46" borderId="4" xfId="8720" applyFont="1" applyFill="1" applyBorder="1" applyAlignment="1">
      <alignment horizontal="center"/>
    </xf>
    <xf numFmtId="0" fontId="152" fillId="46" borderId="5" xfId="8720" applyFont="1" applyFill="1" applyBorder="1" applyAlignment="1">
      <alignment horizontal="center"/>
    </xf>
    <xf numFmtId="0" fontId="152" fillId="46" borderId="81" xfId="8720" applyFont="1" applyFill="1" applyBorder="1" applyAlignment="1">
      <alignment horizontal="center"/>
    </xf>
    <xf numFmtId="0" fontId="151" fillId="44" borderId="68" xfId="8720" applyFont="1" applyFill="1" applyBorder="1" applyAlignment="1" applyProtection="1">
      <alignment horizontal="center"/>
      <protection locked="0"/>
    </xf>
    <xf numFmtId="0" fontId="151" fillId="44" borderId="69" xfId="8720" applyFont="1" applyFill="1" applyBorder="1" applyAlignment="1" applyProtection="1">
      <alignment horizontal="center"/>
      <protection locked="0"/>
    </xf>
    <xf numFmtId="0" fontId="151" fillId="44" borderId="70" xfId="8720" applyFont="1" applyFill="1" applyBorder="1" applyAlignment="1" applyProtection="1">
      <alignment horizontal="center"/>
      <protection locked="0"/>
    </xf>
    <xf numFmtId="0" fontId="102" fillId="46" borderId="0" xfId="8720" applyFont="1" applyFill="1" applyAlignment="1">
      <alignment horizontal="center"/>
    </xf>
    <xf numFmtId="0" fontId="102" fillId="46" borderId="41" xfId="8720" applyFont="1" applyFill="1" applyBorder="1" applyAlignment="1">
      <alignment horizontal="center"/>
    </xf>
    <xf numFmtId="0" fontId="6" fillId="45" borderId="72" xfId="8720" applyFill="1" applyBorder="1" applyAlignment="1">
      <alignment horizontal="center"/>
    </xf>
    <xf numFmtId="0" fontId="6" fillId="45" borderId="76" xfId="8720" applyFill="1" applyBorder="1" applyAlignment="1">
      <alignment horizontal="center"/>
    </xf>
    <xf numFmtId="0" fontId="6" fillId="45" borderId="68" xfId="8720" applyFill="1" applyBorder="1" applyAlignment="1">
      <alignment horizontal="left"/>
    </xf>
    <xf numFmtId="0" fontId="6" fillId="45" borderId="69" xfId="8720" applyFill="1" applyBorder="1" applyAlignment="1">
      <alignment horizontal="left"/>
    </xf>
    <xf numFmtId="0" fontId="6" fillId="45" borderId="70" xfId="8720" applyFill="1" applyBorder="1" applyAlignment="1">
      <alignment horizontal="left"/>
    </xf>
    <xf numFmtId="0" fontId="6" fillId="45" borderId="68" xfId="8720" applyFill="1" applyBorder="1" applyAlignment="1">
      <alignment horizontal="center"/>
    </xf>
    <xf numFmtId="0" fontId="6" fillId="45" borderId="69" xfId="8720" applyFill="1" applyBorder="1" applyAlignment="1">
      <alignment horizontal="center"/>
    </xf>
    <xf numFmtId="0" fontId="6"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8" fillId="46" borderId="68" xfId="8720" applyFont="1" applyFill="1" applyBorder="1" applyAlignment="1">
      <alignment horizontal="center" wrapText="1"/>
    </xf>
    <xf numFmtId="0" fontId="148" fillId="46" borderId="69" xfId="8720" applyFont="1" applyFill="1" applyBorder="1" applyAlignment="1">
      <alignment horizontal="center" wrapText="1"/>
    </xf>
    <xf numFmtId="0" fontId="148" fillId="46" borderId="70" xfId="8720" applyFont="1" applyFill="1" applyBorder="1" applyAlignment="1">
      <alignment horizontal="center" wrapText="1"/>
    </xf>
    <xf numFmtId="0" fontId="145" fillId="48" borderId="66" xfId="8720" applyFont="1" applyFill="1" applyBorder="1" applyAlignment="1">
      <alignment horizontal="center"/>
    </xf>
    <xf numFmtId="0" fontId="145" fillId="48" borderId="29" xfId="8720" applyFont="1" applyFill="1" applyBorder="1" applyAlignment="1">
      <alignment horizontal="center"/>
    </xf>
    <xf numFmtId="0" fontId="145" fillId="48" borderId="31" xfId="8720" applyFont="1" applyFill="1" applyBorder="1" applyAlignment="1">
      <alignment horizontal="center"/>
    </xf>
    <xf numFmtId="0" fontId="146" fillId="49" borderId="67" xfId="8720" applyFont="1" applyFill="1" applyBorder="1" applyAlignment="1">
      <alignment horizontal="center"/>
    </xf>
    <xf numFmtId="0" fontId="146" fillId="49" borderId="0" xfId="8720" applyFont="1" applyFill="1" applyAlignment="1">
      <alignment horizontal="center"/>
    </xf>
    <xf numFmtId="0" fontId="146" fillId="49" borderId="41" xfId="8720" applyFont="1" applyFill="1" applyBorder="1" applyAlignment="1">
      <alignment horizontal="center"/>
    </xf>
    <xf numFmtId="14" fontId="151" fillId="44" borderId="73" xfId="8720" applyNumberFormat="1" applyFont="1" applyFill="1" applyBorder="1" applyAlignment="1" applyProtection="1">
      <alignment horizontal="center"/>
      <protection locked="0"/>
    </xf>
    <xf numFmtId="14" fontId="151" fillId="44" borderId="68" xfId="8720" applyNumberFormat="1" applyFont="1" applyFill="1" applyBorder="1" applyAlignment="1" applyProtection="1">
      <alignment horizontal="center" vertical="center"/>
      <protection locked="0"/>
    </xf>
    <xf numFmtId="0" fontId="151" fillId="44" borderId="69" xfId="8720" applyFont="1" applyFill="1" applyBorder="1" applyAlignment="1" applyProtection="1">
      <alignment horizontal="center" vertical="center"/>
      <protection locked="0"/>
    </xf>
    <xf numFmtId="0" fontId="151" fillId="44" borderId="70" xfId="8720" applyFont="1" applyFill="1" applyBorder="1" applyAlignment="1" applyProtection="1">
      <alignment horizontal="center" vertical="center"/>
      <protection locked="0"/>
    </xf>
    <xf numFmtId="1" fontId="6" fillId="45" borderId="68" xfId="8720" applyNumberFormat="1" applyFill="1" applyBorder="1" applyAlignment="1">
      <alignment horizontal="center"/>
    </xf>
    <xf numFmtId="10" fontId="121" fillId="0" borderId="3" xfId="4497" applyNumberFormat="1" applyFont="1" applyFill="1" applyBorder="1" applyAlignment="1">
      <alignment horizontal="center" vertical="top" wrapText="1"/>
    </xf>
    <xf numFmtId="10" fontId="121" fillId="0" borderId="4" xfId="4497" applyNumberFormat="1" applyFont="1" applyFill="1" applyBorder="1" applyAlignment="1">
      <alignment horizontal="center" vertical="top" wrapText="1"/>
    </xf>
    <xf numFmtId="10" fontId="121" fillId="0" borderId="5" xfId="4497" applyNumberFormat="1" applyFont="1" applyFill="1" applyBorder="1" applyAlignment="1">
      <alignment horizontal="center" vertical="top" wrapText="1"/>
    </xf>
    <xf numFmtId="168" fontId="121" fillId="0" borderId="6" xfId="4497" applyNumberFormat="1" applyFont="1" applyFill="1" applyBorder="1" applyAlignment="1">
      <alignment horizontal="center" vertical="top"/>
    </xf>
    <xf numFmtId="0" fontId="121" fillId="5" borderId="60" xfId="4497" applyFont="1" applyFill="1" applyBorder="1" applyAlignment="1" applyProtection="1">
      <alignment horizontal="center"/>
      <protection locked="0"/>
    </xf>
    <xf numFmtId="0" fontId="121" fillId="5" borderId="4" xfId="4497" applyFont="1" applyFill="1" applyBorder="1" applyAlignment="1" applyProtection="1">
      <alignment horizontal="center"/>
      <protection locked="0"/>
    </xf>
    <xf numFmtId="0" fontId="121" fillId="44" borderId="55" xfId="4497" applyFont="1" applyFill="1" applyBorder="1" applyAlignment="1" applyProtection="1">
      <alignment horizontal="left" vertical="top" wrapText="1"/>
      <protection locked="0"/>
    </xf>
    <xf numFmtId="0" fontId="121" fillId="44" borderId="6" xfId="4497" applyFont="1" applyFill="1" applyBorder="1" applyAlignment="1" applyProtection="1">
      <alignment horizontal="left" vertical="top" wrapText="1"/>
      <protection locked="0"/>
    </xf>
    <xf numFmtId="0" fontId="121" fillId="44" borderId="56" xfId="4497" applyFont="1" applyFill="1" applyBorder="1" applyAlignment="1" applyProtection="1">
      <alignment horizontal="left" vertical="top" wrapText="1"/>
      <protection locked="0"/>
    </xf>
    <xf numFmtId="0" fontId="121" fillId="5" borderId="6" xfId="4497" applyFont="1" applyFill="1" applyBorder="1" applyAlignment="1" applyProtection="1">
      <alignment horizontal="center"/>
      <protection locked="0"/>
    </xf>
    <xf numFmtId="0" fontId="16" fillId="0" borderId="50" xfId="4496" applyFont="1" applyFill="1" applyBorder="1" applyAlignment="1" applyProtection="1">
      <alignment vertical="center" wrapText="1"/>
    </xf>
    <xf numFmtId="0" fontId="16" fillId="0" borderId="51" xfId="4496" applyFont="1" applyFill="1" applyBorder="1" applyAlignment="1" applyProtection="1">
      <alignment vertical="center" wrapText="1"/>
    </xf>
    <xf numFmtId="0" fontId="16" fillId="0" borderId="52" xfId="4496" applyFont="1" applyFill="1" applyBorder="1" applyAlignment="1" applyProtection="1">
      <alignment vertical="center" wrapText="1"/>
    </xf>
    <xf numFmtId="0" fontId="16" fillId="0" borderId="57" xfId="4496" applyFont="1" applyFill="1" applyBorder="1" applyAlignment="1" applyProtection="1">
      <alignment vertical="center" wrapText="1"/>
    </xf>
    <xf numFmtId="0" fontId="16" fillId="0" borderId="58" xfId="4496" applyFont="1" applyFill="1" applyBorder="1" applyAlignment="1" applyProtection="1">
      <alignment vertical="center" wrapText="1"/>
    </xf>
    <xf numFmtId="0" fontId="16" fillId="0" borderId="59" xfId="4496" applyFont="1" applyFill="1" applyBorder="1" applyAlignment="1" applyProtection="1">
      <alignment vertical="center" wrapText="1"/>
    </xf>
    <xf numFmtId="0" fontId="16" fillId="0" borderId="50" xfId="4496" applyFont="1" applyFill="1" applyBorder="1" applyAlignment="1" applyProtection="1">
      <alignment horizontal="left" vertical="center" wrapText="1"/>
    </xf>
    <xf numFmtId="0" fontId="16" fillId="0" borderId="51" xfId="4496" applyFont="1" applyFill="1" applyBorder="1" applyAlignment="1" applyProtection="1">
      <alignment horizontal="left" vertical="center" wrapText="1"/>
    </xf>
    <xf numFmtId="0" fontId="16" fillId="0" borderId="52" xfId="4496" applyFont="1" applyFill="1" applyBorder="1" applyAlignment="1" applyProtection="1">
      <alignment horizontal="left" vertical="center" wrapText="1"/>
    </xf>
    <xf numFmtId="0" fontId="16" fillId="0" borderId="57" xfId="4496" applyFont="1" applyFill="1" applyBorder="1" applyAlignment="1" applyProtection="1">
      <alignment horizontal="left" vertical="center" wrapText="1"/>
    </xf>
    <xf numFmtId="0" fontId="16" fillId="0" borderId="58" xfId="4496" applyFont="1" applyFill="1" applyBorder="1" applyAlignment="1" applyProtection="1">
      <alignment horizontal="left" vertical="center" wrapText="1"/>
    </xf>
    <xf numFmtId="0" fontId="16" fillId="0" borderId="59" xfId="4496" applyFont="1" applyFill="1" applyBorder="1" applyAlignment="1" applyProtection="1">
      <alignment horizontal="left" vertical="center" wrapText="1"/>
    </xf>
    <xf numFmtId="0" fontId="16" fillId="0" borderId="53" xfId="4496" applyFont="1" applyFill="1" applyBorder="1" applyAlignment="1" applyProtection="1">
      <alignment horizontal="left" vertical="center" wrapText="1"/>
    </xf>
    <xf numFmtId="0" fontId="16" fillId="0" borderId="0" xfId="4496" applyFont="1" applyFill="1" applyBorder="1" applyAlignment="1" applyProtection="1">
      <alignment horizontal="left" vertical="center" wrapText="1"/>
    </xf>
    <xf numFmtId="0" fontId="16" fillId="0" borderId="54" xfId="4496" applyFont="1" applyFill="1" applyBorder="1" applyAlignment="1" applyProtection="1">
      <alignment horizontal="left" vertical="center" wrapText="1"/>
    </xf>
    <xf numFmtId="0" fontId="23" fillId="0" borderId="0" xfId="4496" applyFont="1" applyAlignment="1" applyProtection="1">
      <alignment horizontal="right"/>
    </xf>
    <xf numFmtId="0" fontId="121" fillId="0" borderId="50" xfId="4497" applyFont="1" applyBorder="1" applyAlignment="1">
      <alignment horizontal="left" vertical="top" wrapText="1"/>
    </xf>
    <xf numFmtId="0" fontId="121" fillId="0" borderId="51" xfId="4497" applyFont="1" applyBorder="1" applyAlignment="1">
      <alignment horizontal="left" vertical="top" wrapText="1"/>
    </xf>
    <xf numFmtId="0" fontId="121" fillId="0" borderId="52" xfId="4497" applyFont="1" applyBorder="1" applyAlignment="1">
      <alignment horizontal="left" vertical="top" wrapText="1"/>
    </xf>
    <xf numFmtId="0" fontId="121" fillId="0" borderId="53" xfId="4497" applyFont="1" applyBorder="1" applyAlignment="1">
      <alignment horizontal="left" vertical="top" wrapText="1"/>
    </xf>
    <xf numFmtId="0" fontId="121" fillId="0" borderId="0" xfId="4497" applyFont="1" applyBorder="1" applyAlignment="1">
      <alignment horizontal="left" vertical="top" wrapText="1"/>
    </xf>
    <xf numFmtId="0" fontId="121" fillId="0" borderId="54" xfId="4497" applyFont="1" applyBorder="1" applyAlignment="1">
      <alignment horizontal="left" vertical="top" wrapText="1"/>
    </xf>
    <xf numFmtId="0" fontId="121" fillId="0" borderId="57" xfId="4497" applyFont="1" applyBorder="1" applyAlignment="1">
      <alignment horizontal="left" vertical="top" wrapText="1"/>
    </xf>
    <xf numFmtId="0" fontId="121" fillId="0" borderId="58" xfId="4497" applyFont="1" applyBorder="1" applyAlignment="1">
      <alignment horizontal="left" vertical="top" wrapText="1"/>
    </xf>
    <xf numFmtId="0" fontId="121" fillId="0" borderId="59" xfId="4497" applyFont="1" applyBorder="1" applyAlignment="1">
      <alignment horizontal="left" vertical="top" wrapText="1"/>
    </xf>
    <xf numFmtId="0" fontId="121" fillId="5" borderId="55" xfId="4497" applyFont="1" applyFill="1" applyBorder="1" applyAlignment="1" applyProtection="1">
      <alignment horizontal="center"/>
      <protection locked="0"/>
    </xf>
    <xf numFmtId="0" fontId="22" fillId="3" borderId="2" xfId="4496" applyFont="1" applyFill="1" applyBorder="1" applyAlignment="1" applyProtection="1">
      <alignment horizontal="center" vertical="center"/>
    </xf>
    <xf numFmtId="0" fontId="22" fillId="3" borderId="16" xfId="4496" applyFont="1" applyFill="1" applyBorder="1" applyAlignment="1" applyProtection="1">
      <alignment horizontal="center" vertical="center"/>
    </xf>
    <xf numFmtId="0" fontId="23" fillId="0" borderId="48" xfId="4496" applyFont="1" applyFill="1" applyBorder="1" applyAlignment="1" applyProtection="1">
      <alignment horizontal="left" vertical="top"/>
    </xf>
    <xf numFmtId="0" fontId="23" fillId="0" borderId="49" xfId="4496" applyFont="1" applyFill="1" applyBorder="1" applyAlignment="1" applyProtection="1">
      <alignment horizontal="left" vertical="top"/>
    </xf>
    <xf numFmtId="1" fontId="16" fillId="0" borderId="3" xfId="4496" applyNumberFormat="1" applyFont="1" applyFill="1" applyBorder="1" applyAlignment="1" applyProtection="1">
      <alignment horizontal="center"/>
    </xf>
    <xf numFmtId="1" fontId="16" fillId="0" borderId="4" xfId="4496" applyNumberFormat="1" applyFont="1" applyFill="1" applyBorder="1" applyAlignment="1" applyProtection="1">
      <alignment horizontal="center"/>
    </xf>
    <xf numFmtId="1" fontId="16" fillId="0" borderId="5" xfId="4496" applyNumberFormat="1" applyFont="1" applyFill="1" applyBorder="1" applyAlignment="1" applyProtection="1">
      <alignment horizontal="center"/>
    </xf>
    <xf numFmtId="0" fontId="121" fillId="0" borderId="0" xfId="4497" applyFont="1" applyAlignment="1">
      <alignment horizontal="left" vertical="center" wrapText="1"/>
    </xf>
    <xf numFmtId="168" fontId="121" fillId="44" borderId="6" xfId="4497" applyNumberFormat="1" applyFont="1" applyFill="1" applyBorder="1" applyAlignment="1" applyProtection="1">
      <alignment horizontal="center" vertical="top" wrapText="1"/>
      <protection locked="0"/>
    </xf>
    <xf numFmtId="168" fontId="121" fillId="0" borderId="55" xfId="4497" applyNumberFormat="1" applyFont="1" applyFill="1" applyBorder="1" applyAlignment="1">
      <alignment horizontal="center" vertical="top"/>
    </xf>
    <xf numFmtId="0" fontId="121" fillId="0" borderId="55" xfId="4497" applyFont="1" applyBorder="1" applyAlignment="1">
      <alignment horizontal="center" vertical="top" wrapText="1"/>
    </xf>
    <xf numFmtId="0" fontId="121" fillId="0" borderId="6" xfId="4497" applyFont="1" applyBorder="1" applyAlignment="1">
      <alignment horizontal="center" vertical="top" wrapText="1"/>
    </xf>
    <xf numFmtId="0" fontId="121" fillId="0" borderId="50" xfId="4497" applyFont="1" applyFill="1" applyBorder="1" applyAlignment="1">
      <alignment horizontal="left" vertical="top" wrapText="1"/>
    </xf>
    <xf numFmtId="0" fontId="121" fillId="0" borderId="51" xfId="4497" applyFont="1" applyFill="1" applyBorder="1" applyAlignment="1">
      <alignment horizontal="left" vertical="top" wrapText="1"/>
    </xf>
    <xf numFmtId="0" fontId="121" fillId="0" borderId="52" xfId="4497" applyFont="1" applyFill="1" applyBorder="1" applyAlignment="1">
      <alignment horizontal="left" vertical="top" wrapText="1"/>
    </xf>
    <xf numFmtId="0" fontId="121" fillId="0" borderId="53" xfId="4497" applyFont="1" applyFill="1" applyBorder="1" applyAlignment="1">
      <alignment horizontal="left" vertical="top" wrapText="1"/>
    </xf>
    <xf numFmtId="0" fontId="121" fillId="0" borderId="0" xfId="4497" applyFont="1" applyFill="1" applyBorder="1" applyAlignment="1">
      <alignment horizontal="left" vertical="top" wrapText="1"/>
    </xf>
    <xf numFmtId="0" fontId="121" fillId="0" borderId="54" xfId="4497" applyFont="1" applyFill="1" applyBorder="1" applyAlignment="1">
      <alignment horizontal="left" vertical="top" wrapText="1"/>
    </xf>
    <xf numFmtId="165" fontId="121" fillId="0" borderId="55" xfId="4497" applyNumberFormat="1" applyFont="1" applyFill="1" applyBorder="1" applyAlignment="1">
      <alignment horizontal="center" vertical="top" wrapText="1"/>
    </xf>
    <xf numFmtId="165" fontId="121" fillId="0" borderId="6" xfId="4497" applyNumberFormat="1" applyFont="1" applyFill="1" applyBorder="1" applyAlignment="1">
      <alignment horizontal="center" vertical="top" wrapText="1"/>
    </xf>
    <xf numFmtId="165" fontId="121" fillId="0" borderId="60" xfId="4497" applyNumberFormat="1" applyFont="1" applyBorder="1" applyAlignment="1">
      <alignment horizontal="center" vertical="top" wrapText="1"/>
    </xf>
    <xf numFmtId="165" fontId="121" fillId="0" borderId="4" xfId="4497" applyNumberFormat="1" applyFont="1" applyBorder="1" applyAlignment="1">
      <alignment horizontal="center" vertical="top" wrapText="1"/>
    </xf>
    <xf numFmtId="168" fontId="16" fillId="0" borderId="0" xfId="1193" applyNumberFormat="1" applyFont="1" applyBorder="1" applyAlignment="1" applyProtection="1">
      <alignment horizontal="right"/>
    </xf>
    <xf numFmtId="1" fontId="16" fillId="5" borderId="2" xfId="1193" applyNumberFormat="1" applyFont="1" applyFill="1" applyBorder="1" applyAlignment="1" applyProtection="1">
      <alignment horizontal="center"/>
      <protection locked="0"/>
    </xf>
    <xf numFmtId="1" fontId="16"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6" fillId="5" borderId="4" xfId="1193" applyNumberFormat="1" applyFont="1" applyFill="1" applyBorder="1" applyAlignment="1" applyProtection="1">
      <alignment horizontal="center"/>
      <protection locked="0"/>
    </xf>
    <xf numFmtId="0" fontId="23" fillId="0" borderId="0" xfId="4496" applyFont="1" applyFill="1" applyBorder="1" applyAlignment="1" applyProtection="1">
      <alignment horizontal="center" vertical="top"/>
    </xf>
    <xf numFmtId="0" fontId="16" fillId="5" borderId="6" xfId="4496" applyFont="1" applyFill="1" applyBorder="1" applyAlignment="1" applyProtection="1">
      <alignment horizontal="left"/>
      <protection locked="0"/>
    </xf>
    <xf numFmtId="1" fontId="121" fillId="0" borderId="55" xfId="4497" applyNumberFormat="1" applyFont="1" applyBorder="1" applyAlignment="1">
      <alignment horizontal="center" vertical="top" wrapText="1"/>
    </xf>
    <xf numFmtId="1" fontId="121" fillId="0" borderId="6" xfId="4497" applyNumberFormat="1" applyFont="1" applyBorder="1" applyAlignment="1">
      <alignment horizontal="center" vertical="top" wrapText="1"/>
    </xf>
    <xf numFmtId="168" fontId="121" fillId="44" borderId="55" xfId="4497" applyNumberFormat="1" applyFont="1" applyFill="1" applyBorder="1" applyAlignment="1" applyProtection="1">
      <alignment horizontal="center" vertical="top" wrapText="1"/>
      <protection locked="0"/>
    </xf>
    <xf numFmtId="0" fontId="16" fillId="0" borderId="0" xfId="1193" applyFont="1" applyBorder="1" applyAlignment="1" applyProtection="1">
      <alignment horizontal="right"/>
    </xf>
    <xf numFmtId="0" fontId="16" fillId="5" borderId="6" xfId="1193" applyFont="1" applyFill="1" applyBorder="1" applyAlignment="1" applyProtection="1">
      <alignment horizontal="left"/>
      <protection locked="0"/>
    </xf>
    <xf numFmtId="168" fontId="16" fillId="0" borderId="0" xfId="1193" applyNumberFormat="1" applyFont="1" applyAlignment="1" applyProtection="1">
      <alignment horizontal="right"/>
    </xf>
    <xf numFmtId="0" fontId="16" fillId="0" borderId="0" xfId="1193" applyFont="1" applyAlignment="1" applyProtection="1">
      <alignment horizontal="right"/>
    </xf>
    <xf numFmtId="168" fontId="16" fillId="44" borderId="6" xfId="4496" applyNumberFormat="1" applyFont="1" applyFill="1" applyBorder="1" applyAlignment="1" applyProtection="1">
      <alignment horizontal="right"/>
      <protection locked="0"/>
    </xf>
    <xf numFmtId="9" fontId="16" fillId="0" borderId="6" xfId="1193" applyNumberFormat="1" applyFont="1" applyFill="1" applyBorder="1" applyAlignment="1" applyProtection="1">
      <alignment horizontal="center"/>
    </xf>
    <xf numFmtId="9" fontId="16" fillId="0" borderId="6" xfId="1193" quotePrefix="1" applyNumberFormat="1" applyFont="1" applyFill="1" applyBorder="1" applyAlignment="1" applyProtection="1">
      <alignment horizontal="center"/>
    </xf>
    <xf numFmtId="9" fontId="16" fillId="0" borderId="0" xfId="1193" quotePrefix="1" applyNumberFormat="1" applyFont="1" applyFill="1" applyBorder="1" applyAlignment="1" applyProtection="1">
      <alignment horizontal="center"/>
    </xf>
    <xf numFmtId="9" fontId="16" fillId="5" borderId="4" xfId="1193" applyNumberFormat="1" applyFont="1" applyFill="1" applyBorder="1" applyAlignment="1" applyProtection="1">
      <alignment horizontal="left"/>
      <protection locked="0"/>
    </xf>
    <xf numFmtId="0" fontId="23" fillId="0" borderId="0" xfId="4496" applyFont="1" applyFill="1" applyBorder="1" applyAlignment="1" applyProtection="1">
      <alignment horizontal="right"/>
    </xf>
    <xf numFmtId="0" fontId="24" fillId="5" borderId="6" xfId="4496" applyFont="1" applyFill="1" applyBorder="1" applyAlignment="1" applyProtection="1">
      <alignment horizontal="left"/>
      <protection locked="0"/>
    </xf>
    <xf numFmtId="0" fontId="16" fillId="0" borderId="0" xfId="4496" applyFont="1" applyBorder="1" applyAlignment="1" applyProtection="1">
      <alignment horizontal="left"/>
    </xf>
    <xf numFmtId="0" fontId="53" fillId="5" borderId="6" xfId="4496" applyFont="1" applyFill="1" applyBorder="1" applyAlignment="1" applyProtection="1">
      <alignment horizontal="left"/>
      <protection locked="0"/>
    </xf>
    <xf numFmtId="0" fontId="16" fillId="5" borderId="6" xfId="4496" applyFont="1" applyFill="1" applyBorder="1" applyAlignment="1" applyProtection="1">
      <alignment horizontal="center"/>
      <protection locked="0"/>
    </xf>
    <xf numFmtId="1" fontId="16" fillId="0" borderId="11" xfId="4496" applyNumberFormat="1" applyFont="1" applyFill="1" applyBorder="1" applyAlignment="1" applyProtection="1">
      <alignment horizontal="center"/>
    </xf>
    <xf numFmtId="0" fontId="16" fillId="0" borderId="11" xfId="4496" applyNumberFormat="1" applyFont="1" applyFill="1" applyBorder="1" applyAlignment="1" applyProtection="1">
      <alignment horizontal="center"/>
    </xf>
    <xf numFmtId="0" fontId="119" fillId="5" borderId="6" xfId="4496" applyFill="1" applyBorder="1" applyAlignment="1" applyProtection="1">
      <alignment horizontal="center"/>
      <protection locked="0"/>
    </xf>
    <xf numFmtId="0" fontId="23" fillId="0" borderId="0" xfId="4496" applyFont="1" applyFill="1" applyBorder="1" applyAlignment="1" applyProtection="1">
      <alignment horizontal="left" vertical="top"/>
    </xf>
    <xf numFmtId="0" fontId="119" fillId="0" borderId="0" xfId="4496" applyFill="1" applyBorder="1" applyAlignment="1" applyProtection="1">
      <alignment horizontal="center"/>
      <protection locked="0"/>
    </xf>
    <xf numFmtId="0" fontId="16" fillId="0" borderId="3" xfId="4496" applyFont="1" applyFill="1" applyBorder="1" applyAlignment="1" applyProtection="1">
      <alignment horizontal="center"/>
    </xf>
    <xf numFmtId="0" fontId="16" fillId="0" borderId="4" xfId="4496" applyFont="1" applyFill="1" applyBorder="1" applyAlignment="1" applyProtection="1">
      <alignment horizontal="center"/>
    </xf>
    <xf numFmtId="0" fontId="16" fillId="0" borderId="5" xfId="4496" applyFont="1" applyFill="1" applyBorder="1" applyAlignment="1" applyProtection="1">
      <alignment horizontal="center"/>
    </xf>
    <xf numFmtId="168" fontId="16" fillId="0" borderId="6" xfId="4497" applyNumberFormat="1" applyFont="1" applyFill="1" applyBorder="1" applyAlignment="1" applyProtection="1">
      <alignment horizontal="center"/>
    </xf>
    <xf numFmtId="9" fontId="16" fillId="0" borderId="4" xfId="543" applyNumberFormat="1" applyFont="1" applyBorder="1" applyAlignment="1" applyProtection="1">
      <alignment horizontal="center"/>
    </xf>
    <xf numFmtId="0" fontId="16" fillId="0" borderId="4" xfId="4497" applyFont="1" applyFill="1" applyBorder="1" applyAlignment="1" applyProtection="1">
      <alignment horizontal="center"/>
    </xf>
    <xf numFmtId="0" fontId="16" fillId="0" borderId="5" xfId="4497" applyFont="1" applyFill="1" applyBorder="1" applyAlignment="1" applyProtection="1">
      <alignment horizontal="center"/>
    </xf>
    <xf numFmtId="168" fontId="16" fillId="0" borderId="6" xfId="4496" applyNumberFormat="1" applyFont="1" applyFill="1" applyBorder="1" applyAlignment="1" applyProtection="1">
      <alignment horizontal="right"/>
    </xf>
    <xf numFmtId="168" fontId="117" fillId="0" borderId="6" xfId="4496" applyNumberFormat="1" applyFont="1" applyFill="1" applyBorder="1" applyAlignment="1" applyProtection="1">
      <alignment horizontal="right"/>
    </xf>
    <xf numFmtId="6" fontId="16" fillId="0" borderId="3" xfId="1193" applyNumberFormat="1" applyFont="1" applyBorder="1" applyAlignment="1" applyProtection="1">
      <alignment horizontal="right"/>
    </xf>
    <xf numFmtId="6" fontId="16" fillId="0" borderId="4" xfId="1193" applyNumberFormat="1" applyFont="1" applyBorder="1" applyAlignment="1" applyProtection="1">
      <alignment horizontal="right"/>
    </xf>
    <xf numFmtId="6" fontId="16" fillId="0" borderId="5" xfId="1193" applyNumberFormat="1" applyFont="1" applyBorder="1" applyAlignment="1" applyProtection="1">
      <alignment horizontal="right"/>
    </xf>
    <xf numFmtId="168" fontId="16" fillId="0" borderId="4" xfId="4496" applyNumberFormat="1" applyFont="1" applyFill="1" applyBorder="1" applyAlignment="1" applyProtection="1">
      <alignment horizontal="right"/>
    </xf>
    <xf numFmtId="165" fontId="16" fillId="44" borderId="3" xfId="4496" applyNumberFormat="1" applyFont="1" applyFill="1" applyBorder="1" applyAlignment="1" applyProtection="1">
      <alignment horizontal="center"/>
      <protection locked="0"/>
    </xf>
    <xf numFmtId="165" fontId="16" fillId="44" borderId="4" xfId="4496" applyNumberFormat="1" applyFont="1" applyFill="1" applyBorder="1" applyAlignment="1" applyProtection="1">
      <alignment horizontal="center"/>
      <protection locked="0"/>
    </xf>
    <xf numFmtId="165" fontId="16" fillId="44" borderId="5" xfId="4496" applyNumberFormat="1" applyFont="1" applyFill="1" applyBorder="1" applyAlignment="1" applyProtection="1">
      <alignment horizontal="center"/>
      <protection locked="0"/>
    </xf>
    <xf numFmtId="165" fontId="16" fillId="0" borderId="6" xfId="1193" applyNumberFormat="1" applyFont="1" applyBorder="1" applyAlignment="1" applyProtection="1">
      <alignment horizontal="right"/>
    </xf>
    <xf numFmtId="168" fontId="16" fillId="0" borderId="2" xfId="1193" applyNumberFormat="1" applyFont="1" applyBorder="1" applyAlignment="1" applyProtection="1">
      <alignment horizontal="right"/>
    </xf>
    <xf numFmtId="165" fontId="16" fillId="0" borderId="0" xfId="1193" applyNumberFormat="1" applyFont="1" applyFill="1" applyAlignment="1" applyProtection="1">
      <alignment horizontal="right"/>
    </xf>
    <xf numFmtId="2" fontId="16" fillId="0" borderId="0" xfId="1193" applyNumberFormat="1" applyFont="1" applyAlignment="1" applyProtection="1">
      <alignment horizontal="right"/>
    </xf>
    <xf numFmtId="0" fontId="16" fillId="0" borderId="53" xfId="4496" applyFont="1" applyFill="1" applyBorder="1" applyAlignment="1" applyProtection="1">
      <alignment horizontal="left" vertical="top" wrapText="1"/>
    </xf>
    <xf numFmtId="0" fontId="16" fillId="0" borderId="0" xfId="4496" applyFont="1" applyFill="1" applyBorder="1" applyAlignment="1" applyProtection="1">
      <alignment horizontal="left" vertical="top" wrapText="1"/>
    </xf>
    <xf numFmtId="0" fontId="16" fillId="0" borderId="54" xfId="4496" applyFont="1" applyFill="1" applyBorder="1" applyAlignment="1" applyProtection="1">
      <alignment horizontal="left" vertical="top" wrapText="1"/>
    </xf>
    <xf numFmtId="0" fontId="16" fillId="0" borderId="57" xfId="4496" applyFont="1" applyFill="1" applyBorder="1" applyAlignment="1" applyProtection="1">
      <alignment horizontal="left" vertical="top" wrapText="1"/>
    </xf>
    <xf numFmtId="0" fontId="16" fillId="0" borderId="58" xfId="4496" applyFont="1" applyFill="1" applyBorder="1" applyAlignment="1" applyProtection="1">
      <alignment horizontal="left" vertical="top" wrapText="1"/>
    </xf>
    <xf numFmtId="0" fontId="16" fillId="0" borderId="59" xfId="4496" applyFont="1" applyFill="1" applyBorder="1" applyAlignment="1" applyProtection="1">
      <alignment horizontal="left" vertical="top" wrapText="1"/>
    </xf>
    <xf numFmtId="0" fontId="16" fillId="0" borderId="0" xfId="543" applyFont="1" applyAlignment="1" applyProtection="1">
      <alignment horizontal="center"/>
    </xf>
    <xf numFmtId="0" fontId="16" fillId="0" borderId="50" xfId="4496" applyFont="1" applyFill="1" applyBorder="1" applyAlignment="1" applyProtection="1">
      <alignment horizontal="left" vertical="top" wrapText="1"/>
    </xf>
    <xf numFmtId="0" fontId="16" fillId="0" borderId="51" xfId="4496" applyFont="1" applyFill="1" applyBorder="1" applyAlignment="1" applyProtection="1">
      <alignment horizontal="left" vertical="top" wrapText="1"/>
    </xf>
    <xf numFmtId="0" fontId="16" fillId="0" borderId="52" xfId="4496" applyFont="1" applyFill="1" applyBorder="1" applyAlignment="1" applyProtection="1">
      <alignment horizontal="left" vertical="top" wrapText="1"/>
    </xf>
    <xf numFmtId="0" fontId="16" fillId="44" borderId="53" xfId="4496" applyFont="1" applyFill="1" applyBorder="1" applyAlignment="1" applyProtection="1">
      <alignment vertical="top" wrapText="1"/>
      <protection locked="0"/>
    </xf>
    <xf numFmtId="0" fontId="16" fillId="44" borderId="0" xfId="4496" applyFont="1" applyFill="1" applyBorder="1" applyAlignment="1" applyProtection="1">
      <alignment vertical="top" wrapText="1"/>
      <protection locked="0"/>
    </xf>
    <xf numFmtId="0" fontId="16" fillId="44" borderId="54" xfId="4496" applyFont="1" applyFill="1" applyBorder="1" applyAlignment="1" applyProtection="1">
      <alignment vertical="top" wrapText="1"/>
      <protection locked="0"/>
    </xf>
    <xf numFmtId="0" fontId="16" fillId="44" borderId="55" xfId="4496" applyFont="1" applyFill="1" applyBorder="1" applyAlignment="1" applyProtection="1">
      <alignment vertical="top" wrapText="1"/>
      <protection locked="0"/>
    </xf>
    <xf numFmtId="0" fontId="16" fillId="44" borderId="6" xfId="4496" applyFont="1" applyFill="1" applyBorder="1" applyAlignment="1" applyProtection="1">
      <alignment vertical="top" wrapText="1"/>
      <protection locked="0"/>
    </xf>
    <xf numFmtId="0" fontId="16" fillId="44" borderId="56" xfId="4496" applyFont="1" applyFill="1" applyBorder="1" applyAlignment="1" applyProtection="1">
      <alignment vertical="top" wrapText="1"/>
      <protection locked="0"/>
    </xf>
    <xf numFmtId="0" fontId="16" fillId="44" borderId="0" xfId="4496" applyFont="1" applyFill="1" applyBorder="1" applyAlignment="1" applyProtection="1">
      <alignment horizontal="left" vertical="center" wrapText="1"/>
      <protection locked="0"/>
    </xf>
    <xf numFmtId="0" fontId="16" fillId="44" borderId="54" xfId="4496" applyFont="1" applyFill="1" applyBorder="1" applyAlignment="1" applyProtection="1">
      <alignment horizontal="left" vertical="center" wrapText="1"/>
      <protection locked="0"/>
    </xf>
    <xf numFmtId="0" fontId="16" fillId="44" borderId="6" xfId="4496" applyFont="1" applyFill="1" applyBorder="1" applyAlignment="1" applyProtection="1">
      <alignment horizontal="left" vertical="center" wrapText="1"/>
      <protection locked="0"/>
    </xf>
    <xf numFmtId="0" fontId="16" fillId="44" borderId="56" xfId="4496" applyFont="1" applyFill="1" applyBorder="1" applyAlignment="1" applyProtection="1">
      <alignment horizontal="left" vertical="center" wrapText="1"/>
      <protection locked="0"/>
    </xf>
    <xf numFmtId="0" fontId="16" fillId="5" borderId="6" xfId="4496" applyFont="1" applyFill="1" applyBorder="1" applyAlignment="1" applyProtection="1">
      <alignment horizontal="center" vertical="center" wrapText="1" shrinkToFit="1"/>
      <protection locked="0"/>
    </xf>
    <xf numFmtId="0" fontId="16" fillId="0" borderId="0" xfId="4496" applyFont="1" applyFill="1" applyBorder="1" applyAlignment="1" applyProtection="1">
      <alignment horizontal="left" vertical="center" wrapText="1" shrinkToFit="1"/>
    </xf>
    <xf numFmtId="0" fontId="16" fillId="5" borderId="6" xfId="4496" applyFont="1" applyFill="1" applyBorder="1" applyAlignment="1" applyProtection="1">
      <alignment horizontal="left" wrapText="1" shrinkToFit="1"/>
      <protection locked="0"/>
    </xf>
    <xf numFmtId="0" fontId="16" fillId="44" borderId="6" xfId="1193" applyFont="1" applyFill="1" applyBorder="1" applyAlignment="1" applyProtection="1">
      <alignment horizontal="left" vertical="top"/>
      <protection locked="0"/>
    </xf>
    <xf numFmtId="0" fontId="24" fillId="0" borderId="0" xfId="4496" applyFont="1" applyFill="1" applyBorder="1" applyAlignment="1" applyProtection="1">
      <alignment horizontal="center"/>
    </xf>
    <xf numFmtId="0" fontId="16" fillId="0" borderId="0" xfId="4496" applyFont="1" applyFill="1" applyBorder="1" applyAlignment="1" applyProtection="1">
      <alignment horizontal="left" vertical="top" wrapText="1" shrinkToFit="1"/>
    </xf>
    <xf numFmtId="44" fontId="16" fillId="0" borderId="0" xfId="708" applyFont="1" applyFill="1" applyBorder="1" applyAlignment="1" applyProtection="1">
      <alignment horizontal="left" vertical="top" wrapText="1"/>
    </xf>
    <xf numFmtId="0" fontId="129" fillId="0" borderId="0" xfId="4496" applyFont="1" applyAlignment="1">
      <alignment horizontal="left" vertical="top" wrapText="1"/>
    </xf>
    <xf numFmtId="0" fontId="23" fillId="0" borderId="0" xfId="4496" applyFont="1" applyFill="1" applyBorder="1" applyAlignment="1" applyProtection="1">
      <alignment horizontal="left" vertical="top" wrapText="1"/>
    </xf>
    <xf numFmtId="0" fontId="119" fillId="5" borderId="55" xfId="4496" applyFill="1" applyBorder="1" applyAlignment="1" applyProtection="1">
      <alignment horizontal="center"/>
      <protection locked="0"/>
    </xf>
    <xf numFmtId="0" fontId="23" fillId="0" borderId="0" xfId="4496" applyFont="1" applyBorder="1" applyAlignment="1" applyProtection="1">
      <alignment horizontal="center"/>
    </xf>
    <xf numFmtId="0" fontId="23" fillId="0" borderId="54" xfId="4496" applyFont="1" applyBorder="1" applyAlignment="1" applyProtection="1">
      <alignment horizontal="center"/>
    </xf>
    <xf numFmtId="0" fontId="24" fillId="0" borderId="51" xfId="4496" applyFont="1" applyBorder="1" applyAlignment="1">
      <alignment horizontal="left" vertical="top" wrapText="1"/>
    </xf>
    <xf numFmtId="0" fontId="24" fillId="0" borderId="0" xfId="4496" applyFont="1" applyBorder="1" applyAlignment="1">
      <alignment horizontal="left" vertical="top" wrapText="1"/>
    </xf>
    <xf numFmtId="0" fontId="16" fillId="46" borderId="11" xfId="4496" applyFont="1" applyFill="1" applyBorder="1" applyAlignment="1" applyProtection="1">
      <alignment horizontal="center"/>
    </xf>
    <xf numFmtId="0" fontId="129" fillId="0" borderId="0" xfId="4496" applyFont="1" applyAlignment="1">
      <alignment horizontal="left" vertical="center" wrapText="1"/>
    </xf>
    <xf numFmtId="0" fontId="23" fillId="0" borderId="11" xfId="4496" applyFont="1" applyBorder="1" applyAlignment="1" applyProtection="1">
      <alignment horizontal="center"/>
    </xf>
    <xf numFmtId="0" fontId="24" fillId="0" borderId="58" xfId="4496" applyFont="1" applyBorder="1" applyAlignment="1">
      <alignment horizontal="left" vertical="top" wrapText="1"/>
    </xf>
    <xf numFmtId="0" fontId="23" fillId="0" borderId="0" xfId="4496" applyFont="1" applyBorder="1" applyAlignment="1" applyProtection="1">
      <alignment horizontal="center" vertical="top"/>
    </xf>
    <xf numFmtId="0" fontId="23" fillId="0" borderId="54" xfId="4496" applyFont="1" applyBorder="1" applyAlignment="1" applyProtection="1">
      <alignment horizontal="center" vertical="top"/>
    </xf>
    <xf numFmtId="0" fontId="24" fillId="0" borderId="51" xfId="4496" applyNumberFormat="1" applyFont="1" applyBorder="1" applyAlignment="1">
      <alignment horizontal="left" vertical="top" wrapText="1"/>
    </xf>
    <xf numFmtId="0" fontId="24" fillId="0" borderId="0" xfId="4496" applyNumberFormat="1" applyFont="1" applyBorder="1" applyAlignment="1">
      <alignment horizontal="left" vertical="top" wrapText="1"/>
    </xf>
    <xf numFmtId="0" fontId="119" fillId="5" borderId="63" xfId="4496" applyFill="1" applyBorder="1" applyAlignment="1" applyProtection="1">
      <alignment horizontal="center"/>
      <protection locked="0"/>
    </xf>
    <xf numFmtId="0" fontId="119" fillId="5" borderId="64" xfId="4496" applyFill="1" applyBorder="1" applyAlignment="1" applyProtection="1">
      <alignment horizontal="center"/>
      <protection locked="0"/>
    </xf>
    <xf numFmtId="0" fontId="23" fillId="0" borderId="51" xfId="4496" applyFont="1" applyBorder="1" applyAlignment="1" applyProtection="1">
      <alignment horizontal="center" vertical="top"/>
    </xf>
    <xf numFmtId="0" fontId="23" fillId="0" borderId="52" xfId="4496" applyFont="1" applyBorder="1" applyAlignment="1" applyProtection="1">
      <alignment horizontal="center" vertical="top"/>
    </xf>
    <xf numFmtId="0" fontId="119" fillId="5" borderId="50" xfId="4496" applyFill="1" applyBorder="1" applyAlignment="1" applyProtection="1">
      <alignment horizontal="center"/>
    </xf>
    <xf numFmtId="0" fontId="119" fillId="5" borderId="51" xfId="4496" applyFill="1" applyBorder="1" applyAlignment="1" applyProtection="1">
      <alignment horizontal="center"/>
    </xf>
    <xf numFmtId="0" fontId="53" fillId="0" borderId="51" xfId="4496" applyFont="1" applyBorder="1" applyAlignment="1" applyProtection="1">
      <alignment horizontal="left" wrapText="1"/>
    </xf>
    <xf numFmtId="0" fontId="53" fillId="0" borderId="0" xfId="4496" applyFont="1" applyBorder="1" applyAlignment="1" applyProtection="1">
      <alignment horizontal="left" wrapText="1"/>
    </xf>
    <xf numFmtId="0" fontId="24" fillId="5" borderId="6" xfId="4496" applyFont="1" applyFill="1" applyBorder="1" applyAlignment="1" applyProtection="1">
      <alignment horizontal="left"/>
    </xf>
    <xf numFmtId="0" fontId="119" fillId="5" borderId="63" xfId="4496" applyFill="1" applyBorder="1" applyAlignment="1" applyProtection="1">
      <alignment horizontal="center"/>
    </xf>
    <xf numFmtId="0" fontId="119" fillId="5" borderId="64" xfId="4496" applyFill="1" applyBorder="1" applyAlignment="1" applyProtection="1">
      <alignment horizontal="center"/>
    </xf>
    <xf numFmtId="0" fontId="24" fillId="5" borderId="58" xfId="4496" applyFont="1" applyFill="1" applyBorder="1" applyAlignment="1" applyProtection="1">
      <alignment horizontal="left"/>
    </xf>
    <xf numFmtId="0" fontId="53" fillId="0" borderId="51" xfId="4496" applyFont="1" applyFill="1" applyBorder="1" applyAlignment="1" applyProtection="1">
      <alignment horizontal="left" vertical="top" wrapText="1"/>
    </xf>
    <xf numFmtId="0" fontId="53" fillId="0" borderId="0" xfId="4496" applyFont="1" applyFill="1" applyBorder="1" applyAlignment="1" applyProtection="1">
      <alignment horizontal="left" vertical="top" wrapText="1"/>
    </xf>
    <xf numFmtId="9" fontId="24" fillId="5" borderId="58" xfId="4496" applyNumberFormat="1" applyFont="1" applyFill="1" applyBorder="1" applyAlignment="1" applyProtection="1">
      <alignment horizontal="left"/>
    </xf>
    <xf numFmtId="0" fontId="119" fillId="0" borderId="0" xfId="4496" applyFill="1" applyBorder="1" applyAlignment="1" applyProtection="1">
      <alignment horizontal="center"/>
    </xf>
    <xf numFmtId="9" fontId="24" fillId="5" borderId="6" xfId="4496" applyNumberFormat="1" applyFont="1" applyFill="1" applyBorder="1" applyAlignment="1" applyProtection="1">
      <alignment horizontal="left"/>
    </xf>
    <xf numFmtId="0" fontId="119" fillId="5" borderId="55" xfId="4496" applyFill="1" applyBorder="1" applyAlignment="1" applyProtection="1">
      <alignment horizontal="center"/>
    </xf>
    <xf numFmtId="0" fontId="119" fillId="5" borderId="6" xfId="4496" applyFill="1" applyBorder="1" applyAlignment="1" applyProtection="1">
      <alignment horizontal="center"/>
    </xf>
    <xf numFmtId="0" fontId="24" fillId="5" borderId="0" xfId="4496" applyFont="1" applyFill="1" applyBorder="1" applyAlignment="1" applyProtection="1">
      <alignment horizontal="left" vertical="top" wrapText="1"/>
    </xf>
    <xf numFmtId="0" fontId="24" fillId="5" borderId="58" xfId="4496" applyFont="1" applyFill="1" applyBorder="1" applyAlignment="1" applyProtection="1">
      <alignment horizontal="left" vertical="top" wrapText="1"/>
    </xf>
    <xf numFmtId="0" fontId="121" fillId="0" borderId="50" xfId="4497" applyFont="1" applyBorder="1" applyAlignment="1">
      <alignment horizontal="left" wrapText="1"/>
    </xf>
    <xf numFmtId="0" fontId="121" fillId="0" borderId="51" xfId="4497" applyFont="1" applyBorder="1" applyAlignment="1">
      <alignment horizontal="left" wrapText="1"/>
    </xf>
    <xf numFmtId="0" fontId="121" fillId="0" borderId="52" xfId="4497" applyFont="1" applyBorder="1" applyAlignment="1">
      <alignment horizontal="left" wrapText="1"/>
    </xf>
    <xf numFmtId="0" fontId="121" fillId="0" borderId="57" xfId="4497" applyFont="1" applyBorder="1" applyAlignment="1">
      <alignment horizontal="left" wrapText="1"/>
    </xf>
    <xf numFmtId="0" fontId="121" fillId="0" borderId="58" xfId="4497" applyFont="1" applyBorder="1" applyAlignment="1">
      <alignment horizontal="left" wrapText="1"/>
    </xf>
    <xf numFmtId="0" fontId="121" fillId="0" borderId="59" xfId="4497" applyFont="1" applyBorder="1" applyAlignment="1">
      <alignment horizontal="left" wrapText="1"/>
    </xf>
    <xf numFmtId="0" fontId="119" fillId="0" borderId="53" xfId="4496" applyFill="1" applyBorder="1" applyAlignment="1" applyProtection="1">
      <alignment horizontal="center"/>
    </xf>
    <xf numFmtId="0" fontId="24" fillId="5" borderId="0" xfId="4496" applyFont="1" applyFill="1" applyBorder="1" applyAlignment="1" applyProtection="1">
      <alignment horizontal="left" vertical="top"/>
    </xf>
    <xf numFmtId="0" fontId="119" fillId="5" borderId="53" xfId="4496" applyFill="1" applyBorder="1" applyAlignment="1" applyProtection="1">
      <alignment horizontal="center"/>
    </xf>
    <xf numFmtId="0" fontId="119" fillId="5" borderId="0" xfId="4496" applyFill="1" applyBorder="1" applyAlignment="1" applyProtection="1">
      <alignment horizontal="center"/>
    </xf>
    <xf numFmtId="0" fontId="24" fillId="0" borderId="0" xfId="4496" applyFont="1" applyFill="1" applyBorder="1" applyAlignment="1" applyProtection="1">
      <alignment horizontal="left" vertical="top" wrapText="1"/>
    </xf>
    <xf numFmtId="0" fontId="24" fillId="0" borderId="58" xfId="4496" applyFont="1" applyFill="1" applyBorder="1" applyAlignment="1" applyProtection="1">
      <alignment horizontal="left" vertical="top" wrapText="1"/>
    </xf>
    <xf numFmtId="0" fontId="23" fillId="0" borderId="4" xfId="4496" applyFont="1" applyFill="1" applyBorder="1" applyAlignment="1" applyProtection="1">
      <alignment horizontal="left"/>
    </xf>
    <xf numFmtId="0" fontId="23" fillId="0" borderId="5" xfId="4496" applyFont="1" applyFill="1" applyBorder="1" applyAlignment="1" applyProtection="1">
      <alignment horizontal="left"/>
    </xf>
    <xf numFmtId="1" fontId="23" fillId="0" borderId="4" xfId="4496" applyNumberFormat="1" applyFont="1" applyFill="1" applyBorder="1" applyAlignment="1" applyProtection="1">
      <alignment horizontal="center" wrapText="1"/>
    </xf>
    <xf numFmtId="0" fontId="23" fillId="0" borderId="4" xfId="4496" applyFont="1" applyFill="1" applyBorder="1" applyAlignment="1" applyProtection="1">
      <alignment horizontal="center" wrapText="1"/>
    </xf>
    <xf numFmtId="0" fontId="23" fillId="0" borderId="5" xfId="4496" applyFont="1" applyFill="1" applyBorder="1" applyAlignment="1" applyProtection="1">
      <alignment horizontal="center" wrapText="1"/>
    </xf>
    <xf numFmtId="0" fontId="23" fillId="0" borderId="3" xfId="4496" applyFont="1" applyFill="1" applyBorder="1" applyAlignment="1" applyProtection="1">
      <alignment horizontal="center" wrapText="1"/>
    </xf>
    <xf numFmtId="0" fontId="23" fillId="0" borderId="11" xfId="4496" applyFont="1" applyFill="1" applyBorder="1" applyAlignment="1" applyProtection="1">
      <alignment horizontal="center"/>
    </xf>
    <xf numFmtId="0" fontId="16" fillId="0" borderId="50" xfId="4497" applyFont="1" applyBorder="1" applyAlignment="1" applyProtection="1">
      <alignment horizontal="left" wrapText="1"/>
    </xf>
    <xf numFmtId="0" fontId="16" fillId="0" borderId="51" xfId="4497" applyFont="1" applyBorder="1" applyAlignment="1" applyProtection="1">
      <alignment horizontal="left" wrapText="1"/>
    </xf>
    <xf numFmtId="0" fontId="16" fillId="0" borderId="52" xfId="4497" applyFont="1" applyBorder="1" applyAlignment="1" applyProtection="1">
      <alignment horizontal="left" wrapText="1"/>
    </xf>
    <xf numFmtId="0" fontId="16" fillId="0" borderId="53" xfId="4497" applyFont="1" applyBorder="1" applyAlignment="1" applyProtection="1">
      <alignment horizontal="left" wrapText="1"/>
    </xf>
    <xf numFmtId="0" fontId="16" fillId="0" borderId="0" xfId="4497" applyFont="1" applyBorder="1" applyAlignment="1" applyProtection="1">
      <alignment horizontal="left" wrapText="1"/>
    </xf>
    <xf numFmtId="0" fontId="16" fillId="0" borderId="54" xfId="4497" applyFont="1" applyBorder="1" applyAlignment="1" applyProtection="1">
      <alignment horizontal="left" wrapText="1"/>
    </xf>
    <xf numFmtId="0" fontId="16" fillId="0" borderId="57" xfId="4497" applyFont="1" applyBorder="1" applyAlignment="1" applyProtection="1">
      <alignment horizontal="left" wrapText="1"/>
    </xf>
    <xf numFmtId="0" fontId="16" fillId="0" borderId="58" xfId="4497" applyFont="1" applyBorder="1" applyAlignment="1" applyProtection="1">
      <alignment horizontal="left" wrapText="1"/>
    </xf>
    <xf numFmtId="0" fontId="16" fillId="0" borderId="59" xfId="4497" applyFont="1" applyBorder="1" applyAlignment="1" applyProtection="1">
      <alignment horizontal="left" wrapText="1"/>
    </xf>
    <xf numFmtId="1" fontId="16" fillId="0" borderId="4" xfId="4497" applyNumberFormat="1" applyFont="1" applyFill="1" applyBorder="1" applyAlignment="1" applyProtection="1">
      <alignment horizontal="center"/>
    </xf>
    <xf numFmtId="1" fontId="16" fillId="0" borderId="5" xfId="4497" applyNumberFormat="1" applyFont="1" applyFill="1" applyBorder="1" applyAlignment="1" applyProtection="1">
      <alignment horizontal="center"/>
    </xf>
    <xf numFmtId="49" fontId="22" fillId="3" borderId="2" xfId="4496" applyNumberFormat="1" applyFont="1" applyFill="1" applyBorder="1" applyAlignment="1" applyProtection="1">
      <alignment horizontal="center" vertical="center" wrapText="1"/>
    </xf>
    <xf numFmtId="49" fontId="22" fillId="3" borderId="2" xfId="4496" applyNumberFormat="1" applyFont="1" applyFill="1" applyBorder="1" applyAlignment="1" applyProtection="1">
      <alignment horizontal="center" vertical="center"/>
    </xf>
    <xf numFmtId="49" fontId="22" fillId="3" borderId="0" xfId="4496" applyNumberFormat="1" applyFont="1" applyFill="1" applyBorder="1" applyAlignment="1" applyProtection="1">
      <alignment horizontal="center" vertical="center"/>
    </xf>
    <xf numFmtId="0" fontId="23" fillId="0" borderId="0" xfId="4496" applyFont="1" applyFill="1" applyBorder="1" applyAlignment="1" applyProtection="1">
      <alignment horizontal="center"/>
    </xf>
    <xf numFmtId="0" fontId="23" fillId="0" borderId="1" xfId="4496" applyFont="1" applyFill="1" applyBorder="1" applyAlignment="1" applyProtection="1">
      <alignment horizontal="center" wrapText="1"/>
    </xf>
    <xf numFmtId="0" fontId="23" fillId="0" borderId="2" xfId="4496" applyFont="1" applyFill="1" applyBorder="1" applyAlignment="1" applyProtection="1">
      <alignment horizontal="center" wrapText="1"/>
    </xf>
    <xf numFmtId="0" fontId="23" fillId="0" borderId="7" xfId="4496" applyFont="1" applyFill="1" applyBorder="1" applyAlignment="1" applyProtection="1">
      <alignment horizontal="center" wrapText="1"/>
    </xf>
    <xf numFmtId="0" fontId="23" fillId="0" borderId="9" xfId="4496" applyFont="1" applyFill="1" applyBorder="1" applyAlignment="1" applyProtection="1">
      <alignment horizontal="center" wrapText="1"/>
    </xf>
    <xf numFmtId="0" fontId="23" fillId="0" borderId="6" xfId="4496" applyFont="1" applyFill="1" applyBorder="1" applyAlignment="1" applyProtection="1">
      <alignment horizontal="center" wrapText="1"/>
    </xf>
    <xf numFmtId="0" fontId="23" fillId="0" borderId="10" xfId="4496" applyFont="1" applyFill="1" applyBorder="1" applyAlignment="1" applyProtection="1">
      <alignment horizontal="center" wrapText="1"/>
    </xf>
    <xf numFmtId="1" fontId="23" fillId="0" borderId="11" xfId="4496" applyNumberFormat="1" applyFont="1" applyFill="1" applyBorder="1" applyAlignment="1" applyProtection="1">
      <alignment horizontal="center"/>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0" fontId="16" fillId="0" borderId="11" xfId="4496" applyFont="1" applyFill="1" applyBorder="1" applyAlignment="1" applyProtection="1">
      <alignment horizontal="center"/>
    </xf>
    <xf numFmtId="1" fontId="16" fillId="47" borderId="11" xfId="4496" applyNumberFormat="1" applyFont="1" applyFill="1" applyBorder="1" applyAlignment="1" applyProtection="1">
      <alignment horizontal="center"/>
    </xf>
    <xf numFmtId="0" fontId="23" fillId="0" borderId="3" xfId="4496" applyFont="1" applyFill="1" applyBorder="1" applyAlignment="1" applyProtection="1">
      <alignment horizontal="left"/>
    </xf>
    <xf numFmtId="0" fontId="16" fillId="5" borderId="11" xfId="4496" applyFont="1" applyFill="1" applyBorder="1" applyAlignment="1" applyProtection="1">
      <alignment horizontal="center"/>
      <protection locked="0"/>
    </xf>
    <xf numFmtId="0" fontId="23" fillId="0" borderId="3" xfId="4496" applyFont="1" applyFill="1" applyBorder="1" applyAlignment="1" applyProtection="1">
      <alignment horizontal="center"/>
    </xf>
    <xf numFmtId="0" fontId="23" fillId="0" borderId="4" xfId="4496" applyFont="1" applyFill="1" applyBorder="1" applyAlignment="1" applyProtection="1">
      <alignment horizontal="center"/>
    </xf>
    <xf numFmtId="0" fontId="23" fillId="0" borderId="5" xfId="4496" applyFont="1" applyFill="1" applyBorder="1" applyAlignment="1" applyProtection="1">
      <alignment horizontal="center"/>
    </xf>
    <xf numFmtId="164" fontId="64" fillId="0" borderId="1" xfId="4496" applyNumberFormat="1" applyFont="1" applyFill="1" applyBorder="1" applyAlignment="1" applyProtection="1">
      <alignment horizontal="right" vertical="center"/>
    </xf>
    <xf numFmtId="164" fontId="64" fillId="0" borderId="2" xfId="4496" applyNumberFormat="1" applyFont="1" applyFill="1" applyBorder="1" applyAlignment="1" applyProtection="1">
      <alignment horizontal="right" vertical="center"/>
    </xf>
    <xf numFmtId="164" fontId="64" fillId="0" borderId="7" xfId="4496" applyNumberFormat="1" applyFont="1" applyFill="1" applyBorder="1" applyAlignment="1" applyProtection="1">
      <alignment horizontal="right" vertical="center"/>
    </xf>
    <xf numFmtId="164" fontId="64" fillId="0" borderId="9" xfId="4496" applyNumberFormat="1" applyFont="1" applyFill="1" applyBorder="1" applyAlignment="1" applyProtection="1">
      <alignment horizontal="right" vertical="center"/>
    </xf>
    <xf numFmtId="164" fontId="64" fillId="0" borderId="6" xfId="4496" applyNumberFormat="1" applyFont="1" applyFill="1" applyBorder="1" applyAlignment="1" applyProtection="1">
      <alignment horizontal="right" vertical="center"/>
    </xf>
    <xf numFmtId="164" fontId="64" fillId="0" borderId="10" xfId="4496" applyNumberFormat="1" applyFont="1" applyFill="1" applyBorder="1" applyAlignment="1" applyProtection="1">
      <alignment horizontal="right" vertical="center"/>
    </xf>
    <xf numFmtId="180" fontId="64" fillId="0" borderId="1" xfId="4496" applyNumberFormat="1" applyFont="1" applyFill="1" applyBorder="1" applyAlignment="1" applyProtection="1">
      <alignment horizontal="center" vertical="center"/>
    </xf>
    <xf numFmtId="180" fontId="64" fillId="0" borderId="2" xfId="4496" applyNumberFormat="1" applyFont="1" applyFill="1" applyBorder="1" applyAlignment="1" applyProtection="1">
      <alignment horizontal="center" vertical="center"/>
    </xf>
    <xf numFmtId="180" fontId="64" fillId="0" borderId="7" xfId="4496" applyNumberFormat="1" applyFont="1" applyFill="1" applyBorder="1" applyAlignment="1" applyProtection="1">
      <alignment horizontal="center" vertical="center"/>
    </xf>
    <xf numFmtId="180" fontId="64" fillId="0" borderId="9" xfId="4496" applyNumberFormat="1" applyFont="1" applyFill="1" applyBorder="1" applyAlignment="1" applyProtection="1">
      <alignment horizontal="center" vertical="center"/>
    </xf>
    <xf numFmtId="180" fontId="64" fillId="0" borderId="6" xfId="4496" applyNumberFormat="1" applyFont="1" applyFill="1" applyBorder="1" applyAlignment="1" applyProtection="1">
      <alignment horizontal="center" vertical="center"/>
    </xf>
    <xf numFmtId="180" fontId="64" fillId="0" borderId="10" xfId="4496" applyNumberFormat="1" applyFont="1" applyFill="1" applyBorder="1" applyAlignment="1" applyProtection="1">
      <alignment horizontal="center" vertical="center"/>
    </xf>
    <xf numFmtId="0" fontId="23" fillId="0" borderId="4" xfId="4496" applyFont="1" applyBorder="1"/>
    <xf numFmtId="0" fontId="23" fillId="0" borderId="5" xfId="4496" applyFont="1" applyBorder="1"/>
    <xf numFmtId="168" fontId="16" fillId="0" borderId="6" xfId="1193" applyNumberFormat="1" applyFont="1" applyFill="1" applyBorder="1" applyAlignment="1" applyProtection="1">
      <alignment horizontal="right"/>
    </xf>
    <xf numFmtId="0" fontId="117" fillId="0" borderId="4" xfId="1193" applyFont="1" applyFill="1" applyBorder="1" applyAlignment="1" applyProtection="1">
      <alignment horizontal="left"/>
    </xf>
    <xf numFmtId="168" fontId="16" fillId="44" borderId="6" xfId="543" applyNumberFormat="1" applyFont="1" applyFill="1" applyBorder="1" applyAlignment="1" applyProtection="1">
      <alignment horizontal="center"/>
      <protection locked="0"/>
    </xf>
    <xf numFmtId="0" fontId="16" fillId="0" borderId="6" xfId="1193" applyFont="1" applyFill="1" applyBorder="1" applyAlignment="1" applyProtection="1">
      <alignment horizontal="left"/>
    </xf>
    <xf numFmtId="0" fontId="16" fillId="0" borderId="6" xfId="1193" applyFont="1" applyBorder="1" applyAlignment="1" applyProtection="1">
      <alignment horizontal="right"/>
    </xf>
    <xf numFmtId="168" fontId="16" fillId="44" borderId="6" xfId="1193" applyNumberFormat="1" applyFont="1" applyFill="1" applyBorder="1" applyAlignment="1" applyProtection="1">
      <alignment horizontal="right"/>
      <protection locked="0"/>
    </xf>
    <xf numFmtId="10" fontId="24" fillId="0" borderId="2" xfId="4496" applyNumberFormat="1" applyFont="1" applyBorder="1" applyAlignment="1" applyProtection="1">
      <alignment horizontal="center"/>
    </xf>
    <xf numFmtId="4" fontId="24" fillId="0" borderId="0" xfId="4496" applyNumberFormat="1" applyFont="1" applyAlignment="1" applyProtection="1">
      <alignment horizontal="center"/>
    </xf>
    <xf numFmtId="0" fontId="24" fillId="0" borderId="0" xfId="4496" applyFont="1" applyAlignment="1" applyProtection="1">
      <alignment horizontal="center"/>
    </xf>
    <xf numFmtId="0" fontId="32" fillId="43" borderId="2" xfId="4496" applyFont="1" applyFill="1" applyBorder="1" applyAlignment="1">
      <alignment horizontal="center"/>
    </xf>
    <xf numFmtId="0" fontId="32" fillId="43" borderId="6" xfId="4496" applyFont="1" applyFill="1" applyBorder="1" applyAlignment="1">
      <alignment horizontal="center"/>
    </xf>
    <xf numFmtId="4" fontId="24" fillId="0" borderId="6" xfId="4496" applyNumberFormat="1" applyFont="1" applyBorder="1" applyAlignment="1" applyProtection="1">
      <alignment horizontal="center"/>
    </xf>
    <xf numFmtId="168" fontId="16" fillId="0" borderId="6" xfId="1193" applyNumberFormat="1" applyFont="1" applyBorder="1" applyAlignment="1" applyProtection="1">
      <alignment horizontal="right"/>
    </xf>
    <xf numFmtId="168" fontId="16" fillId="0" borderId="4" xfId="1193" applyNumberFormat="1" applyFont="1" applyFill="1" applyBorder="1" applyAlignment="1" applyProtection="1">
      <alignment horizontal="right"/>
    </xf>
    <xf numFmtId="0" fontId="16" fillId="0" borderId="53" xfId="4496" applyNumberFormat="1" applyFont="1" applyBorder="1" applyAlignment="1">
      <alignment horizontal="left" vertical="top" wrapText="1"/>
    </xf>
    <xf numFmtId="0" fontId="16" fillId="0" borderId="0" xfId="4496" applyNumberFormat="1" applyFont="1" applyBorder="1" applyAlignment="1">
      <alignment horizontal="left" vertical="top" wrapText="1"/>
    </xf>
    <xf numFmtId="0" fontId="16" fillId="0" borderId="54" xfId="4496" applyNumberFormat="1" applyFont="1" applyBorder="1" applyAlignment="1">
      <alignment horizontal="left" vertical="top" wrapText="1"/>
    </xf>
    <xf numFmtId="0" fontId="16" fillId="0" borderId="57" xfId="4496" applyNumberFormat="1" applyFont="1" applyBorder="1" applyAlignment="1">
      <alignment horizontal="left" vertical="top" wrapText="1"/>
    </xf>
    <xf numFmtId="0" fontId="16" fillId="0" borderId="58" xfId="4496" applyNumberFormat="1" applyFont="1" applyBorder="1" applyAlignment="1">
      <alignment horizontal="left" vertical="top" wrapText="1"/>
    </xf>
    <xf numFmtId="168" fontId="16" fillId="0" borderId="4" xfId="4497" applyNumberFormat="1" applyFont="1" applyFill="1" applyBorder="1" applyAlignment="1" applyProtection="1">
      <alignment horizontal="center"/>
    </xf>
    <xf numFmtId="9" fontId="16" fillId="0" borderId="4" xfId="4497" applyNumberFormat="1" applyFont="1" applyFill="1" applyBorder="1" applyAlignment="1" applyProtection="1">
      <alignment horizontal="center"/>
    </xf>
    <xf numFmtId="164" fontId="16" fillId="0" borderId="50" xfId="4496" applyNumberFormat="1" applyFont="1" applyFill="1" applyBorder="1" applyAlignment="1" applyProtection="1">
      <alignment horizontal="center" vertical="top" wrapText="1"/>
    </xf>
    <xf numFmtId="164" fontId="16" fillId="0" borderId="51" xfId="4496" applyNumberFormat="1" applyFont="1" applyFill="1" applyBorder="1" applyAlignment="1" applyProtection="1">
      <alignment horizontal="center" vertical="top" wrapText="1"/>
    </xf>
    <xf numFmtId="164" fontId="16" fillId="0" borderId="52" xfId="4496" applyNumberFormat="1" applyFont="1" applyFill="1" applyBorder="1" applyAlignment="1" applyProtection="1">
      <alignment horizontal="center" vertical="top" wrapText="1"/>
    </xf>
    <xf numFmtId="164" fontId="16" fillId="0" borderId="53" xfId="4496" applyNumberFormat="1" applyFont="1" applyFill="1" applyBorder="1" applyAlignment="1" applyProtection="1">
      <alignment horizontal="center" vertical="top" wrapText="1"/>
    </xf>
    <xf numFmtId="164" fontId="16" fillId="0" borderId="0" xfId="4496" applyNumberFormat="1" applyFont="1" applyFill="1" applyBorder="1" applyAlignment="1" applyProtection="1">
      <alignment horizontal="center" vertical="top" wrapText="1"/>
    </xf>
    <xf numFmtId="164" fontId="16" fillId="0" borderId="54" xfId="4496" applyNumberFormat="1" applyFont="1" applyFill="1" applyBorder="1" applyAlignment="1" applyProtection="1">
      <alignment horizontal="center" vertical="top" wrapText="1"/>
    </xf>
    <xf numFmtId="164" fontId="16" fillId="0" borderId="57" xfId="4496" applyNumberFormat="1" applyFont="1" applyFill="1" applyBorder="1" applyAlignment="1" applyProtection="1">
      <alignment horizontal="center" vertical="top" wrapText="1"/>
    </xf>
    <xf numFmtId="164" fontId="16" fillId="0" borderId="58" xfId="4496" applyNumberFormat="1" applyFont="1" applyFill="1" applyBorder="1" applyAlignment="1" applyProtection="1">
      <alignment horizontal="center" vertical="top" wrapText="1"/>
    </xf>
    <xf numFmtId="164" fontId="16" fillId="0" borderId="59" xfId="4496" applyNumberFormat="1" applyFont="1" applyFill="1" applyBorder="1" applyAlignment="1" applyProtection="1">
      <alignment horizontal="center" vertical="top" wrapText="1"/>
    </xf>
    <xf numFmtId="4" fontId="24" fillId="0" borderId="3" xfId="4496" applyNumberFormat="1" applyFont="1" applyBorder="1" applyAlignment="1" applyProtection="1">
      <alignment horizontal="center"/>
    </xf>
    <xf numFmtId="4" fontId="24" fillId="0" borderId="4" xfId="4496" applyNumberFormat="1" applyFont="1" applyBorder="1" applyAlignment="1" applyProtection="1">
      <alignment horizontal="center"/>
    </xf>
    <xf numFmtId="4" fontId="24" fillId="0" borderId="5" xfId="4496" applyNumberFormat="1" applyFont="1" applyBorder="1" applyAlignment="1" applyProtection="1">
      <alignment horizontal="center"/>
    </xf>
    <xf numFmtId="165" fontId="121" fillId="0" borderId="3" xfId="4497" applyNumberFormat="1" applyFont="1" applyFill="1" applyBorder="1" applyAlignment="1">
      <alignment horizontal="center" vertical="top" wrapText="1"/>
    </xf>
    <xf numFmtId="165" fontId="121" fillId="0" borderId="4" xfId="4497" applyNumberFormat="1" applyFont="1" applyFill="1" applyBorder="1" applyAlignment="1">
      <alignment horizontal="center" vertical="top" wrapText="1"/>
    </xf>
    <xf numFmtId="165" fontId="121" fillId="0" borderId="5" xfId="4497" applyNumberFormat="1" applyFont="1" applyFill="1" applyBorder="1" applyAlignment="1">
      <alignment horizontal="center" vertical="top" wrapText="1"/>
    </xf>
    <xf numFmtId="3" fontId="16"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9" fontId="135" fillId="3" borderId="0" xfId="1193" applyNumberFormat="1" applyFont="1" applyFill="1" applyBorder="1" applyAlignment="1" applyProtection="1">
      <alignment horizontal="center" vertical="center"/>
    </xf>
    <xf numFmtId="0" fontId="98" fillId="0" borderId="0" xfId="4497" applyFont="1" applyFill="1" applyAlignment="1">
      <alignment horizontal="center" vertical="center"/>
    </xf>
    <xf numFmtId="0" fontId="98" fillId="0" borderId="0" xfId="4497" applyFont="1" applyFill="1" applyAlignment="1">
      <alignment horizontal="left" vertical="top" wrapText="1"/>
    </xf>
    <xf numFmtId="168" fontId="16" fillId="0" borderId="11" xfId="570" applyNumberFormat="1" applyFill="1" applyBorder="1" applyAlignment="1"/>
    <xf numFmtId="168" fontId="16" fillId="0" borderId="3" xfId="570" applyNumberFormat="1" applyFill="1" applyBorder="1" applyAlignment="1"/>
    <xf numFmtId="168" fontId="16" fillId="0" borderId="4" xfId="570" applyNumberFormat="1" applyFill="1" applyBorder="1" applyAlignment="1"/>
    <xf numFmtId="168" fontId="16" fillId="0" borderId="5" xfId="570" applyNumberFormat="1" applyFill="1" applyBorder="1" applyAlignment="1"/>
    <xf numFmtId="168" fontId="16" fillId="0" borderId="11" xfId="570" applyNumberFormat="1" applyFill="1" applyBorder="1" applyAlignment="1">
      <alignment wrapText="1"/>
    </xf>
    <xf numFmtId="168" fontId="16" fillId="0" borderId="11" xfId="570" applyNumberFormat="1" applyFill="1" applyBorder="1" applyAlignment="1">
      <alignment horizontal="right"/>
    </xf>
    <xf numFmtId="9" fontId="16" fillId="0" borderId="15" xfId="570" applyNumberFormat="1" applyFill="1" applyBorder="1" applyAlignment="1" applyProtection="1">
      <alignment horizontal="center"/>
    </xf>
    <xf numFmtId="168" fontId="16" fillId="0" borderId="11" xfId="570" applyNumberFormat="1" applyFill="1" applyBorder="1" applyAlignment="1" applyProtection="1">
      <alignment horizontal="center"/>
    </xf>
    <xf numFmtId="0" fontId="16" fillId="0" borderId="11" xfId="570" applyBorder="1" applyAlignment="1">
      <alignment horizontal="center"/>
    </xf>
    <xf numFmtId="176" fontId="16" fillId="5" borderId="3" xfId="570" applyNumberFormat="1" applyFill="1" applyBorder="1" applyAlignment="1" applyProtection="1">
      <alignment horizontal="right"/>
      <protection locked="0"/>
    </xf>
    <xf numFmtId="176" fontId="16" fillId="5" borderId="4" xfId="570" applyNumberFormat="1" applyFill="1" applyBorder="1" applyAlignment="1" applyProtection="1">
      <alignment horizontal="right"/>
      <protection locked="0"/>
    </xf>
    <xf numFmtId="176" fontId="16" fillId="5" borderId="5" xfId="570" applyNumberFormat="1" applyFill="1" applyBorder="1" applyAlignment="1" applyProtection="1">
      <alignment horizontal="right"/>
      <protection locked="0"/>
    </xf>
    <xf numFmtId="0" fontId="106" fillId="0" borderId="0" xfId="0" applyFont="1" applyFill="1" applyBorder="1" applyAlignment="1">
      <alignment horizontal="left" vertical="top" wrapText="1"/>
    </xf>
    <xf numFmtId="0" fontId="23" fillId="0" borderId="3" xfId="570" applyFont="1" applyBorder="1" applyAlignment="1">
      <alignment horizontal="right"/>
    </xf>
    <xf numFmtId="0" fontId="23" fillId="0" borderId="4" xfId="570" applyFont="1" applyBorder="1" applyAlignment="1">
      <alignment horizontal="right"/>
    </xf>
    <xf numFmtId="0" fontId="23" fillId="0" borderId="5" xfId="570" applyFont="1" applyBorder="1" applyAlignment="1">
      <alignment horizontal="right"/>
    </xf>
    <xf numFmtId="0" fontId="23" fillId="0" borderId="6" xfId="570" applyFont="1" applyBorder="1" applyAlignment="1">
      <alignment horizontal="center"/>
    </xf>
    <xf numFmtId="168" fontId="16" fillId="0" borderId="3" xfId="570" applyNumberFormat="1" applyFill="1" applyBorder="1" applyAlignment="1" applyProtection="1">
      <alignment horizontal="center"/>
    </xf>
    <xf numFmtId="0" fontId="16" fillId="0" borderId="4" xfId="570" applyBorder="1" applyAlignment="1">
      <alignment horizontal="center"/>
    </xf>
    <xf numFmtId="0" fontId="16" fillId="0" borderId="5" xfId="570" applyBorder="1" applyAlignment="1">
      <alignment horizontal="center"/>
    </xf>
    <xf numFmtId="0" fontId="106" fillId="0" borderId="0" xfId="570" applyFont="1" applyBorder="1" applyAlignment="1">
      <alignment horizontal="left" wrapText="1"/>
    </xf>
    <xf numFmtId="168" fontId="16" fillId="0" borderId="3" xfId="570" applyNumberFormat="1" applyFill="1" applyBorder="1" applyAlignment="1">
      <alignment horizontal="right"/>
    </xf>
    <xf numFmtId="168" fontId="16" fillId="0" borderId="4" xfId="570" applyNumberFormat="1" applyFill="1" applyBorder="1" applyAlignment="1">
      <alignment horizontal="right"/>
    </xf>
    <xf numFmtId="168" fontId="16" fillId="0" borderId="5" xfId="570" applyNumberFormat="1" applyFill="1" applyBorder="1" applyAlignment="1">
      <alignment horizontal="right"/>
    </xf>
    <xf numFmtId="168" fontId="16" fillId="0" borderId="3" xfId="570" applyNumberFormat="1" applyBorder="1" applyAlignment="1" applyProtection="1">
      <alignment horizontal="right"/>
      <protection locked="0"/>
    </xf>
    <xf numFmtId="168" fontId="16" fillId="0" borderId="4" xfId="570" applyNumberFormat="1" applyBorder="1" applyAlignment="1" applyProtection="1">
      <alignment horizontal="right"/>
      <protection locked="0"/>
    </xf>
    <xf numFmtId="168" fontId="16" fillId="0" borderId="5" xfId="570" applyNumberFormat="1" applyBorder="1" applyAlignment="1" applyProtection="1">
      <alignment horizontal="right"/>
      <protection locked="0"/>
    </xf>
    <xf numFmtId="0" fontId="23" fillId="0" borderId="16" xfId="271" applyFont="1" applyFill="1" applyBorder="1" applyAlignment="1" applyProtection="1">
      <alignment horizontal="center"/>
    </xf>
    <xf numFmtId="168" fontId="16" fillId="0" borderId="3" xfId="570" applyNumberFormat="1" applyFill="1" applyBorder="1" applyAlignment="1">
      <alignment horizontal="center"/>
    </xf>
    <xf numFmtId="168" fontId="16" fillId="0" borderId="4" xfId="570" applyNumberFormat="1" applyFill="1" applyBorder="1" applyAlignment="1">
      <alignment horizontal="center"/>
    </xf>
    <xf numFmtId="168" fontId="16" fillId="0" borderId="5" xfId="570" applyNumberFormat="1" applyFill="1" applyBorder="1" applyAlignment="1">
      <alignment horizontal="center"/>
    </xf>
    <xf numFmtId="0" fontId="23" fillId="0" borderId="11" xfId="570" applyFont="1" applyBorder="1" applyAlignment="1">
      <alignment horizontal="center" wrapText="1"/>
    </xf>
    <xf numFmtId="0" fontId="23" fillId="0" borderId="11" xfId="570" applyFont="1" applyBorder="1" applyAlignment="1">
      <alignment horizontal="center"/>
    </xf>
    <xf numFmtId="168" fontId="16" fillId="0" borderId="11" xfId="570" applyNumberFormat="1" applyFill="1" applyBorder="1" applyAlignment="1">
      <alignment horizontal="center"/>
    </xf>
    <xf numFmtId="165" fontId="16" fillId="0" borderId="11" xfId="570" applyNumberFormat="1" applyFill="1" applyBorder="1" applyAlignment="1" applyProtection="1">
      <alignment horizontal="center"/>
      <protection locked="0"/>
    </xf>
    <xf numFmtId="0" fontId="53" fillId="0" borderId="0" xfId="570" applyFont="1" applyBorder="1" applyAlignment="1">
      <alignment horizontal="left"/>
    </xf>
    <xf numFmtId="5" fontId="16" fillId="0" borderId="5" xfId="570" applyNumberFormat="1" applyFill="1" applyBorder="1" applyAlignment="1">
      <alignment horizontal="center"/>
    </xf>
    <xf numFmtId="5" fontId="16" fillId="0" borderId="11" xfId="570" applyNumberFormat="1" applyFill="1" applyBorder="1" applyAlignment="1">
      <alignment horizontal="center"/>
    </xf>
    <xf numFmtId="5" fontId="16" fillId="0" borderId="3" xfId="570" applyNumberFormat="1" applyFill="1" applyBorder="1" applyAlignment="1">
      <alignment horizontal="center"/>
    </xf>
    <xf numFmtId="5" fontId="16" fillId="0" borderId="4" xfId="570" applyNumberFormat="1" applyFill="1" applyBorder="1" applyAlignment="1">
      <alignment horizontal="center"/>
    </xf>
    <xf numFmtId="168" fontId="16" fillId="5" borderId="5" xfId="570" applyNumberFormat="1" applyFill="1" applyBorder="1" applyAlignment="1" applyProtection="1">
      <alignment horizontal="center"/>
      <protection locked="0"/>
    </xf>
    <xf numFmtId="168" fontId="16" fillId="5" borderId="11" xfId="570" applyNumberFormat="1" applyFill="1" applyBorder="1" applyAlignment="1" applyProtection="1">
      <alignment horizontal="center"/>
      <protection locked="0"/>
    </xf>
    <xf numFmtId="168" fontId="16" fillId="0" borderId="5" xfId="570" applyNumberFormat="1" applyFont="1" applyFill="1" applyBorder="1" applyAlignment="1" applyProtection="1">
      <alignment horizontal="center"/>
    </xf>
    <xf numFmtId="168" fontId="16" fillId="0" borderId="11" xfId="570" applyNumberFormat="1" applyFont="1" applyFill="1" applyBorder="1" applyAlignment="1" applyProtection="1">
      <alignment horizontal="center"/>
    </xf>
    <xf numFmtId="9" fontId="16" fillId="0" borderId="5" xfId="570" applyNumberFormat="1" applyFill="1" applyBorder="1" applyAlignment="1" applyProtection="1">
      <alignment horizontal="center"/>
    </xf>
    <xf numFmtId="9" fontId="16" fillId="0" borderId="11" xfId="570" applyNumberFormat="1" applyFill="1" applyBorder="1" applyAlignment="1" applyProtection="1">
      <alignment horizontal="center"/>
    </xf>
    <xf numFmtId="9" fontId="16" fillId="0" borderId="9" xfId="570" applyNumberFormat="1" applyFill="1" applyBorder="1" applyAlignment="1">
      <alignment horizontal="center" vertical="center"/>
    </xf>
    <xf numFmtId="9" fontId="16" fillId="0" borderId="6" xfId="570" applyNumberFormat="1" applyFill="1" applyBorder="1" applyAlignment="1">
      <alignment horizontal="center" vertical="center"/>
    </xf>
    <xf numFmtId="9" fontId="16" fillId="0" borderId="10" xfId="570" applyNumberFormat="1" applyFill="1" applyBorder="1" applyAlignment="1">
      <alignment horizontal="center" vertical="center"/>
    </xf>
    <xf numFmtId="168" fontId="16" fillId="0" borderId="5" xfId="570" applyNumberFormat="1" applyFont="1" applyFill="1" applyBorder="1" applyAlignment="1">
      <alignment horizontal="center"/>
    </xf>
    <xf numFmtId="168" fontId="16" fillId="0" borderId="11" xfId="570" applyNumberFormat="1" applyFont="1" applyFill="1" applyBorder="1" applyAlignment="1">
      <alignment horizontal="center"/>
    </xf>
    <xf numFmtId="168" fontId="16" fillId="2" borderId="3" xfId="570" applyNumberFormat="1" applyFill="1" applyBorder="1" applyAlignment="1" applyProtection="1">
      <alignment horizontal="center"/>
    </xf>
    <xf numFmtId="168" fontId="16" fillId="2" borderId="4" xfId="570" applyNumberFormat="1" applyFill="1" applyBorder="1" applyAlignment="1" applyProtection="1">
      <alignment horizontal="center"/>
    </xf>
    <xf numFmtId="168" fontId="16" fillId="2" borderId="5" xfId="570" applyNumberFormat="1" applyFill="1" applyBorder="1" applyAlignment="1" applyProtection="1">
      <alignment horizontal="center"/>
    </xf>
    <xf numFmtId="168" fontId="16" fillId="5" borderId="10" xfId="570" applyNumberFormat="1" applyFill="1" applyBorder="1" applyAlignment="1" applyProtection="1">
      <alignment horizontal="center"/>
      <protection locked="0"/>
    </xf>
    <xf numFmtId="168" fontId="16" fillId="5" borderId="13" xfId="570" applyNumberFormat="1" applyFill="1" applyBorder="1" applyAlignment="1" applyProtection="1">
      <alignment horizontal="center"/>
      <protection locked="0"/>
    </xf>
    <xf numFmtId="0" fontId="22" fillId="3" borderId="2" xfId="570" applyFont="1" applyFill="1" applyBorder="1" applyAlignment="1">
      <alignment horizontal="center" vertical="center"/>
    </xf>
    <xf numFmtId="0" fontId="22" fillId="3" borderId="16" xfId="570" applyFont="1" applyFill="1" applyBorder="1" applyAlignment="1">
      <alignment horizontal="center" vertical="center"/>
    </xf>
    <xf numFmtId="168" fontId="16" fillId="0" borderId="7" xfId="570" applyNumberFormat="1" applyFill="1" applyBorder="1" applyAlignment="1">
      <alignment horizontal="center"/>
    </xf>
    <xf numFmtId="168" fontId="16" fillId="0" borderId="15" xfId="570" applyNumberFormat="1" applyFill="1" applyBorder="1" applyAlignment="1">
      <alignment horizontal="center"/>
    </xf>
    <xf numFmtId="0" fontId="24" fillId="5" borderId="4" xfId="570" applyFont="1" applyFill="1" applyBorder="1" applyAlignment="1" applyProtection="1">
      <alignment horizontal="left"/>
      <protection locked="0"/>
    </xf>
    <xf numFmtId="0" fontId="24" fillId="5" borderId="5" xfId="570" applyFont="1" applyFill="1" applyBorder="1" applyAlignment="1" applyProtection="1">
      <alignment horizontal="left"/>
      <protection locked="0"/>
    </xf>
    <xf numFmtId="0" fontId="23" fillId="0" borderId="3" xfId="570" applyFont="1" applyFill="1" applyBorder="1" applyAlignment="1">
      <alignment horizontal="left"/>
    </xf>
    <xf numFmtId="0" fontId="23" fillId="0" borderId="4" xfId="570" applyFont="1" applyFill="1" applyBorder="1" applyAlignment="1">
      <alignment horizontal="left"/>
    </xf>
    <xf numFmtId="0" fontId="23" fillId="0" borderId="5" xfId="570" applyFont="1" applyFill="1" applyBorder="1" applyAlignment="1">
      <alignment horizontal="left"/>
    </xf>
    <xf numFmtId="0" fontId="24" fillId="0" borderId="4" xfId="570" applyFont="1" applyBorder="1" applyAlignment="1">
      <alignment horizontal="left"/>
    </xf>
    <xf numFmtId="0" fontId="24" fillId="0" borderId="5" xfId="570" applyFont="1" applyBorder="1" applyAlignment="1">
      <alignment horizontal="left"/>
    </xf>
    <xf numFmtId="179" fontId="23" fillId="0" borderId="0" xfId="570" applyNumberFormat="1" applyFont="1" applyFill="1" applyBorder="1" applyAlignment="1" applyProtection="1">
      <alignment horizontal="center" wrapText="1"/>
    </xf>
    <xf numFmtId="164" fontId="23" fillId="0" borderId="0" xfId="570" applyNumberFormat="1" applyFont="1" applyFill="1" applyBorder="1" applyAlignment="1" applyProtection="1">
      <alignment horizontal="center" wrapText="1"/>
    </xf>
    <xf numFmtId="0" fontId="23" fillId="0" borderId="3" xfId="570" applyFont="1" applyFill="1" applyBorder="1" applyAlignment="1">
      <alignment horizontal="right"/>
    </xf>
    <xf numFmtId="0" fontId="23" fillId="0" borderId="4" xfId="570" applyFont="1" applyFill="1" applyBorder="1" applyAlignment="1">
      <alignment horizontal="right"/>
    </xf>
    <xf numFmtId="0" fontId="23" fillId="0" borderId="5" xfId="570" applyFont="1" applyFill="1" applyBorder="1" applyAlignment="1">
      <alignment horizontal="right"/>
    </xf>
    <xf numFmtId="0" fontId="16" fillId="0" borderId="3" xfId="570" applyFont="1" applyBorder="1" applyAlignment="1">
      <alignment horizontal="right"/>
    </xf>
    <xf numFmtId="0" fontId="16" fillId="0" borderId="4" xfId="570" applyFont="1" applyBorder="1" applyAlignment="1">
      <alignment horizontal="right"/>
    </xf>
    <xf numFmtId="0" fontId="16" fillId="0" borderId="5" xfId="570" applyFont="1" applyBorder="1" applyAlignment="1">
      <alignment horizontal="right"/>
    </xf>
    <xf numFmtId="0" fontId="24" fillId="0" borderId="3" xfId="570" applyFont="1" applyBorder="1" applyAlignment="1">
      <alignment horizontal="right"/>
    </xf>
    <xf numFmtId="0" fontId="24" fillId="0" borderId="4" xfId="570" applyFont="1" applyBorder="1" applyAlignment="1">
      <alignment horizontal="right"/>
    </xf>
    <xf numFmtId="0" fontId="24" fillId="0" borderId="5" xfId="570" applyFont="1" applyBorder="1" applyAlignment="1">
      <alignment horizontal="right"/>
    </xf>
    <xf numFmtId="168" fontId="16" fillId="0" borderId="3" xfId="570" applyNumberFormat="1" applyBorder="1" applyAlignment="1">
      <alignment horizontal="center"/>
    </xf>
    <xf numFmtId="168" fontId="16" fillId="0" borderId="4" xfId="570" applyNumberFormat="1" applyBorder="1" applyAlignment="1">
      <alignment horizontal="center"/>
    </xf>
    <xf numFmtId="168" fontId="16" fillId="0" borderId="5" xfId="570" applyNumberFormat="1" applyBorder="1" applyAlignment="1">
      <alignment horizontal="center"/>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4" borderId="0" xfId="0" applyFont="1" applyFill="1" applyAlignment="1">
      <alignment horizontal="left"/>
    </xf>
    <xf numFmtId="0" fontId="21" fillId="0" borderId="6" xfId="271" applyFont="1" applyBorder="1" applyAlignment="1" applyProtection="1">
      <alignment horizontal="center"/>
    </xf>
  </cellXfs>
  <cellStyles count="17152">
    <cellStyle name="20% - Accent1" xfId="1" builtinId="30" customBuiltin="1"/>
    <cellStyle name="20% - Accent1 10" xfId="4506" xr:uid="{00000000-0005-0000-0000-000001000000}"/>
    <cellStyle name="20% - Accent1 10 2" xfId="12941" xr:uid="{2F140395-E20D-4769-BE99-3786B0F737A7}"/>
    <cellStyle name="20% - Accent1 11" xfId="8723" xr:uid="{2ADD66A3-3BC9-4716-912A-FABE097D6E53}"/>
    <cellStyle name="20% - Accent1 2" xfId="2" xr:uid="{00000000-0005-0000-0000-000002000000}"/>
    <cellStyle name="20% - Accent1 2 10" xfId="8724" xr:uid="{93A7E3B1-57DD-42F2-9B1D-489DB377B836}"/>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2 2 2" xfId="15503" xr:uid="{F3AA4E8F-DDAC-472C-B935-67599AE6A976}"/>
    <cellStyle name="20% - Accent1 2 2 2 2 2 3" xfId="11285" xr:uid="{E2032E75-498F-46A3-930F-C26AE6DF5E41}"/>
    <cellStyle name="20% - Accent1 2 2 2 2 3" xfId="4923" xr:uid="{00000000-0005-0000-0000-000008000000}"/>
    <cellStyle name="20% - Accent1 2 2 2 2 3 2" xfId="13358" xr:uid="{FB2DC65B-EFE9-48F0-8EF4-17786FC351CF}"/>
    <cellStyle name="20% - Accent1 2 2 2 2 4" xfId="9140" xr:uid="{AE7616E5-2CB6-43CD-9536-7EC0A682795A}"/>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2 2 2" xfId="15916" xr:uid="{5E34E2BA-8525-4F1B-AF85-B2DAE4C3B9E4}"/>
    <cellStyle name="20% - Accent1 2 2 2 3 2 3" xfId="11698" xr:uid="{3CBF5561-6B72-4E9A-9495-FD15C6E05861}"/>
    <cellStyle name="20% - Accent1 2 2 2 3 3" xfId="5336" xr:uid="{00000000-0005-0000-0000-00000C000000}"/>
    <cellStyle name="20% - Accent1 2 2 2 3 3 2" xfId="13771" xr:uid="{8E04C5E9-5AD6-4977-ABF6-85807535FF82}"/>
    <cellStyle name="20% - Accent1 2 2 2 3 4" xfId="9553" xr:uid="{2964673C-815D-43FB-9B0D-4860DCDC5F9A}"/>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2 2 2" xfId="16329" xr:uid="{9E0116E6-4F36-4002-B0E6-F3842924F7F2}"/>
    <cellStyle name="20% - Accent1 2 2 2 4 2 3" xfId="12111" xr:uid="{11FA46C0-0B0E-4752-8B3D-3AAB088CA369}"/>
    <cellStyle name="20% - Accent1 2 2 2 4 3" xfId="5749" xr:uid="{00000000-0005-0000-0000-000010000000}"/>
    <cellStyle name="20% - Accent1 2 2 2 4 3 2" xfId="14184" xr:uid="{83BFC21E-ED6D-4E4F-BE4E-3B4E075F3822}"/>
    <cellStyle name="20% - Accent1 2 2 2 4 4" xfId="9966" xr:uid="{B640872A-02F3-48FA-B580-DF8080B69879}"/>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2 2 2" xfId="16742" xr:uid="{48540F0E-51B6-4255-A942-C08B810C9A40}"/>
    <cellStyle name="20% - Accent1 2 2 2 5 2 3" xfId="12524" xr:uid="{CECA0B18-A557-4E51-8C28-31DF1F939106}"/>
    <cellStyle name="20% - Accent1 2 2 2 5 3" xfId="6162" xr:uid="{00000000-0005-0000-0000-000014000000}"/>
    <cellStyle name="20% - Accent1 2 2 2 5 3 2" xfId="14597" xr:uid="{40F5F887-32C8-490E-9E21-0D28110FE8D0}"/>
    <cellStyle name="20% - Accent1 2 2 2 5 4" xfId="10379" xr:uid="{E2EB94CB-8A54-40AE-9772-A08B08EF5FC1}"/>
    <cellStyle name="20% - Accent1 2 2 2 6" xfId="2268" xr:uid="{00000000-0005-0000-0000-000015000000}"/>
    <cellStyle name="20% - Accent1 2 2 2 6 2" xfId="6575" xr:uid="{00000000-0005-0000-0000-000016000000}"/>
    <cellStyle name="20% - Accent1 2 2 2 6 2 2" xfId="15010" xr:uid="{12C2B2D2-D6A8-409E-BBA5-36B59A6BEDEC}"/>
    <cellStyle name="20% - Accent1 2 2 2 6 3" xfId="10792" xr:uid="{12ABD6DE-F8A2-42BA-B12C-370CFCC39739}"/>
    <cellStyle name="20% - Accent1 2 2 2 7" xfId="4509" xr:uid="{00000000-0005-0000-0000-000017000000}"/>
    <cellStyle name="20% - Accent1 2 2 2 7 2" xfId="12944" xr:uid="{343E9027-BA64-493A-AF39-0A3A152BD485}"/>
    <cellStyle name="20% - Accent1 2 2 2 8" xfId="8726" xr:uid="{832D2456-FD50-4CC4-BBC8-31511D569DB3}"/>
    <cellStyle name="20% - Accent1 2 2 3" xfId="573" xr:uid="{00000000-0005-0000-0000-000018000000}"/>
    <cellStyle name="20% - Accent1 2 2 3 2" xfId="2844" xr:uid="{00000000-0005-0000-0000-000019000000}"/>
    <cellStyle name="20% - Accent1 2 2 3 2 2" xfId="7067" xr:uid="{00000000-0005-0000-0000-00001A000000}"/>
    <cellStyle name="20% - Accent1 2 2 3 2 2 2" xfId="15502" xr:uid="{D861E8B9-6099-4F52-BD80-133C99FFF4F8}"/>
    <cellStyle name="20% - Accent1 2 2 3 2 3" xfId="11284" xr:uid="{4D660B93-0455-4104-AF37-35DCFD15F11C}"/>
    <cellStyle name="20% - Accent1 2 2 3 3" xfId="4922" xr:uid="{00000000-0005-0000-0000-00001B000000}"/>
    <cellStyle name="20% - Accent1 2 2 3 3 2" xfId="13357" xr:uid="{3DEED4F5-6A13-4DDB-AFEC-DF82B64CB7D9}"/>
    <cellStyle name="20% - Accent1 2 2 3 4" xfId="9139" xr:uid="{A401A77B-FD4E-4350-9535-1D7FE844207C}"/>
    <cellStyle name="20% - Accent1 2 2 4" xfId="1026" xr:uid="{00000000-0005-0000-0000-00001C000000}"/>
    <cellStyle name="20% - Accent1 2 2 4 2" xfId="3257" xr:uid="{00000000-0005-0000-0000-00001D000000}"/>
    <cellStyle name="20% - Accent1 2 2 4 2 2" xfId="7480" xr:uid="{00000000-0005-0000-0000-00001E000000}"/>
    <cellStyle name="20% - Accent1 2 2 4 2 2 2" xfId="15915" xr:uid="{CB055574-DD85-4384-BCA5-4D7E8F789F2D}"/>
    <cellStyle name="20% - Accent1 2 2 4 2 3" xfId="11697" xr:uid="{3D7A0C72-85D7-4DC6-BB7F-1D380243F1A9}"/>
    <cellStyle name="20% - Accent1 2 2 4 3" xfId="5335" xr:uid="{00000000-0005-0000-0000-00001F000000}"/>
    <cellStyle name="20% - Accent1 2 2 4 3 2" xfId="13770" xr:uid="{0D7B0720-70C9-4D1A-AB5F-36F13A214F86}"/>
    <cellStyle name="20% - Accent1 2 2 4 4" xfId="9552" xr:uid="{FDED75B0-B0C2-4399-8B0F-1CE9404BFDF3}"/>
    <cellStyle name="20% - Accent1 2 2 5" xfId="1440" xr:uid="{00000000-0005-0000-0000-000020000000}"/>
    <cellStyle name="20% - Accent1 2 2 5 2" xfId="3670" xr:uid="{00000000-0005-0000-0000-000021000000}"/>
    <cellStyle name="20% - Accent1 2 2 5 2 2" xfId="7893" xr:uid="{00000000-0005-0000-0000-000022000000}"/>
    <cellStyle name="20% - Accent1 2 2 5 2 2 2" xfId="16328" xr:uid="{F5EC70E6-6B30-4FBB-B9A7-48761BBE3E9A}"/>
    <cellStyle name="20% - Accent1 2 2 5 2 3" xfId="12110" xr:uid="{F5CBF690-636D-4175-96CC-5F125A3CF167}"/>
    <cellStyle name="20% - Accent1 2 2 5 3" xfId="5748" xr:uid="{00000000-0005-0000-0000-000023000000}"/>
    <cellStyle name="20% - Accent1 2 2 5 3 2" xfId="14183" xr:uid="{E0D6A31E-9AD0-4C06-9566-B720DC3C6C09}"/>
    <cellStyle name="20% - Accent1 2 2 5 4" xfId="9965" xr:uid="{8DB86476-7F9E-4AA2-A68F-3A4CC1EDA115}"/>
    <cellStyle name="20% - Accent1 2 2 6" xfId="1854" xr:uid="{00000000-0005-0000-0000-000024000000}"/>
    <cellStyle name="20% - Accent1 2 2 6 2" xfId="4083" xr:uid="{00000000-0005-0000-0000-000025000000}"/>
    <cellStyle name="20% - Accent1 2 2 6 2 2" xfId="8306" xr:uid="{00000000-0005-0000-0000-000026000000}"/>
    <cellStyle name="20% - Accent1 2 2 6 2 2 2" xfId="16741" xr:uid="{E6B0F8E1-9FFE-463D-A43B-9ED50CEA6EF3}"/>
    <cellStyle name="20% - Accent1 2 2 6 2 3" xfId="12523" xr:uid="{B217F125-73DA-4252-87DA-8AAD41C73ED6}"/>
    <cellStyle name="20% - Accent1 2 2 6 3" xfId="6161" xr:uid="{00000000-0005-0000-0000-000027000000}"/>
    <cellStyle name="20% - Accent1 2 2 6 3 2" xfId="14596" xr:uid="{EE7B3569-1287-40BF-92F5-AA2E73717417}"/>
    <cellStyle name="20% - Accent1 2 2 6 4" xfId="10378" xr:uid="{63BF506D-5465-49E4-9F1A-15563AAFEAE0}"/>
    <cellStyle name="20% - Accent1 2 2 7" xfId="2267" xr:uid="{00000000-0005-0000-0000-000028000000}"/>
    <cellStyle name="20% - Accent1 2 2 7 2" xfId="6574" xr:uid="{00000000-0005-0000-0000-000029000000}"/>
    <cellStyle name="20% - Accent1 2 2 7 2 2" xfId="15009" xr:uid="{8D9BB034-3C54-4CFC-8340-745564B0CF92}"/>
    <cellStyle name="20% - Accent1 2 2 7 3" xfId="10791" xr:uid="{CA3E1AF9-6EE7-4758-B80B-B11D9D3B3F28}"/>
    <cellStyle name="20% - Accent1 2 2 8" xfId="4508" xr:uid="{00000000-0005-0000-0000-00002A000000}"/>
    <cellStyle name="20% - Accent1 2 2 8 2" xfId="12943" xr:uid="{4106A3E1-CE4F-4CD6-B14E-9E8965BF5022}"/>
    <cellStyle name="20% - Accent1 2 2 9" xfId="8725" xr:uid="{814A1F02-CB34-485F-9355-A125E927C898}"/>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2 2 2" xfId="15504" xr:uid="{FB53FA92-C3B2-4690-B30E-1D25AF6CFCE3}"/>
    <cellStyle name="20% - Accent1 2 3 2 2 3" xfId="11286" xr:uid="{5BDC8D05-5A70-4DCD-BE88-28560A19FF94}"/>
    <cellStyle name="20% - Accent1 2 3 2 3" xfId="4924" xr:uid="{00000000-0005-0000-0000-00002F000000}"/>
    <cellStyle name="20% - Accent1 2 3 2 3 2" xfId="13359" xr:uid="{D9FE3F70-02C2-471F-9CBF-5935FABDB69F}"/>
    <cellStyle name="20% - Accent1 2 3 2 4" xfId="9141" xr:uid="{63B27451-C6CB-401D-8A28-1CC4311DC11F}"/>
    <cellStyle name="20% - Accent1 2 3 3" xfId="1028" xr:uid="{00000000-0005-0000-0000-000030000000}"/>
    <cellStyle name="20% - Accent1 2 3 3 2" xfId="3259" xr:uid="{00000000-0005-0000-0000-000031000000}"/>
    <cellStyle name="20% - Accent1 2 3 3 2 2" xfId="7482" xr:uid="{00000000-0005-0000-0000-000032000000}"/>
    <cellStyle name="20% - Accent1 2 3 3 2 2 2" xfId="15917" xr:uid="{9942450E-F931-47B4-A690-A3502D488938}"/>
    <cellStyle name="20% - Accent1 2 3 3 2 3" xfId="11699" xr:uid="{27B13B03-328D-4BD3-8D67-9F00DA6FB8A5}"/>
    <cellStyle name="20% - Accent1 2 3 3 3" xfId="5337" xr:uid="{00000000-0005-0000-0000-000033000000}"/>
    <cellStyle name="20% - Accent1 2 3 3 3 2" xfId="13772" xr:uid="{1902402E-6C1B-43D0-9DDE-5544A5784054}"/>
    <cellStyle name="20% - Accent1 2 3 3 4" xfId="9554" xr:uid="{A7448709-57CD-41A3-B55D-1BBE1BB2F13E}"/>
    <cellStyle name="20% - Accent1 2 3 4" xfId="1442" xr:uid="{00000000-0005-0000-0000-000034000000}"/>
    <cellStyle name="20% - Accent1 2 3 4 2" xfId="3672" xr:uid="{00000000-0005-0000-0000-000035000000}"/>
    <cellStyle name="20% - Accent1 2 3 4 2 2" xfId="7895" xr:uid="{00000000-0005-0000-0000-000036000000}"/>
    <cellStyle name="20% - Accent1 2 3 4 2 2 2" xfId="16330" xr:uid="{DB48E849-DB52-4C1B-8A31-26021D422568}"/>
    <cellStyle name="20% - Accent1 2 3 4 2 3" xfId="12112" xr:uid="{7B8088AB-8BBD-488B-9936-DBEA8AE8D09C}"/>
    <cellStyle name="20% - Accent1 2 3 4 3" xfId="5750" xr:uid="{00000000-0005-0000-0000-000037000000}"/>
    <cellStyle name="20% - Accent1 2 3 4 3 2" xfId="14185" xr:uid="{B1872CE1-7617-4AAC-A098-D90251AEB17E}"/>
    <cellStyle name="20% - Accent1 2 3 4 4" xfId="9967" xr:uid="{F1034D95-920C-48BB-ADE9-31F79755F8D0}"/>
    <cellStyle name="20% - Accent1 2 3 5" xfId="1856" xr:uid="{00000000-0005-0000-0000-000038000000}"/>
    <cellStyle name="20% - Accent1 2 3 5 2" xfId="4085" xr:uid="{00000000-0005-0000-0000-000039000000}"/>
    <cellStyle name="20% - Accent1 2 3 5 2 2" xfId="8308" xr:uid="{00000000-0005-0000-0000-00003A000000}"/>
    <cellStyle name="20% - Accent1 2 3 5 2 2 2" xfId="16743" xr:uid="{B7E2D592-13B9-4E41-97B8-629895D67F95}"/>
    <cellStyle name="20% - Accent1 2 3 5 2 3" xfId="12525" xr:uid="{12AC14A3-C86D-4C24-A8EC-714DD9B37762}"/>
    <cellStyle name="20% - Accent1 2 3 5 3" xfId="6163" xr:uid="{00000000-0005-0000-0000-00003B000000}"/>
    <cellStyle name="20% - Accent1 2 3 5 3 2" xfId="14598" xr:uid="{43F89D25-1B91-4F48-814C-E4AA0351DB5B}"/>
    <cellStyle name="20% - Accent1 2 3 5 4" xfId="10380" xr:uid="{40B1D0E8-B5CB-400D-881C-B91745DEB9D6}"/>
    <cellStyle name="20% - Accent1 2 3 6" xfId="2269" xr:uid="{00000000-0005-0000-0000-00003C000000}"/>
    <cellStyle name="20% - Accent1 2 3 6 2" xfId="6576" xr:uid="{00000000-0005-0000-0000-00003D000000}"/>
    <cellStyle name="20% - Accent1 2 3 6 2 2" xfId="15011" xr:uid="{1C42CAF1-2C71-4FCE-98CF-6769F04141A6}"/>
    <cellStyle name="20% - Accent1 2 3 6 3" xfId="10793" xr:uid="{B8308EAE-F701-4295-97F8-DAB9D59E93A1}"/>
    <cellStyle name="20% - Accent1 2 3 7" xfId="4510" xr:uid="{00000000-0005-0000-0000-00003E000000}"/>
    <cellStyle name="20% - Accent1 2 3 7 2" xfId="12945" xr:uid="{FCB18016-6C7B-4249-A505-6D823BA6CF91}"/>
    <cellStyle name="20% - Accent1 2 3 8" xfId="8727" xr:uid="{DAF2D711-2E49-4695-A2E7-863CE7E11446}"/>
    <cellStyle name="20% - Accent1 2 4" xfId="572" xr:uid="{00000000-0005-0000-0000-00003F000000}"/>
    <cellStyle name="20% - Accent1 2 4 2" xfId="2843" xr:uid="{00000000-0005-0000-0000-000040000000}"/>
    <cellStyle name="20% - Accent1 2 4 2 2" xfId="7066" xr:uid="{00000000-0005-0000-0000-000041000000}"/>
    <cellStyle name="20% - Accent1 2 4 2 2 2" xfId="15501" xr:uid="{7AB21346-D0DB-45CD-819C-757EBFD622EA}"/>
    <cellStyle name="20% - Accent1 2 4 2 3" xfId="11283" xr:uid="{4203D7C0-788F-4D0D-AA20-82F13462DDAB}"/>
    <cellStyle name="20% - Accent1 2 4 3" xfId="4921" xr:uid="{00000000-0005-0000-0000-000042000000}"/>
    <cellStyle name="20% - Accent1 2 4 3 2" xfId="13356" xr:uid="{EB01B5DE-0106-4C7E-95BE-F1298E101895}"/>
    <cellStyle name="20% - Accent1 2 4 4" xfId="9138" xr:uid="{995A7595-9A6E-4C50-87CC-8B937E4B1CBE}"/>
    <cellStyle name="20% - Accent1 2 5" xfId="1025" xr:uid="{00000000-0005-0000-0000-000043000000}"/>
    <cellStyle name="20% - Accent1 2 5 2" xfId="3256" xr:uid="{00000000-0005-0000-0000-000044000000}"/>
    <cellStyle name="20% - Accent1 2 5 2 2" xfId="7479" xr:uid="{00000000-0005-0000-0000-000045000000}"/>
    <cellStyle name="20% - Accent1 2 5 2 2 2" xfId="15914" xr:uid="{3D740E13-C471-4BF2-B6DF-558B10BA1C0D}"/>
    <cellStyle name="20% - Accent1 2 5 2 3" xfId="11696" xr:uid="{840A5643-5A48-458F-8E05-20BDBD6774A7}"/>
    <cellStyle name="20% - Accent1 2 5 3" xfId="5334" xr:uid="{00000000-0005-0000-0000-000046000000}"/>
    <cellStyle name="20% - Accent1 2 5 3 2" xfId="13769" xr:uid="{607E7673-CC3C-418F-A584-32436DF66CED}"/>
    <cellStyle name="20% - Accent1 2 5 4" xfId="9551" xr:uid="{15F6B5F5-E5EF-405E-946B-C3F6ABBD65D1}"/>
    <cellStyle name="20% - Accent1 2 6" xfId="1439" xr:uid="{00000000-0005-0000-0000-000047000000}"/>
    <cellStyle name="20% - Accent1 2 6 2" xfId="3669" xr:uid="{00000000-0005-0000-0000-000048000000}"/>
    <cellStyle name="20% - Accent1 2 6 2 2" xfId="7892" xr:uid="{00000000-0005-0000-0000-000049000000}"/>
    <cellStyle name="20% - Accent1 2 6 2 2 2" xfId="16327" xr:uid="{EF702513-4E4F-46E9-BA81-8254BFEF4D17}"/>
    <cellStyle name="20% - Accent1 2 6 2 3" xfId="12109" xr:uid="{4D0B69B7-E290-4B40-A7FC-7D9F2C945BF1}"/>
    <cellStyle name="20% - Accent1 2 6 3" xfId="5747" xr:uid="{00000000-0005-0000-0000-00004A000000}"/>
    <cellStyle name="20% - Accent1 2 6 3 2" xfId="14182" xr:uid="{86C049A9-D851-4919-B6FD-0F8370B9513A}"/>
    <cellStyle name="20% - Accent1 2 6 4" xfId="9964" xr:uid="{9402933D-E59B-40C2-B711-E0A203F90A69}"/>
    <cellStyle name="20% - Accent1 2 7" xfId="1853" xr:uid="{00000000-0005-0000-0000-00004B000000}"/>
    <cellStyle name="20% - Accent1 2 7 2" xfId="4082" xr:uid="{00000000-0005-0000-0000-00004C000000}"/>
    <cellStyle name="20% - Accent1 2 7 2 2" xfId="8305" xr:uid="{00000000-0005-0000-0000-00004D000000}"/>
    <cellStyle name="20% - Accent1 2 7 2 2 2" xfId="16740" xr:uid="{BAFC541F-FCCC-4B12-9B04-26457AB96D00}"/>
    <cellStyle name="20% - Accent1 2 7 2 3" xfId="12522" xr:uid="{A31E7085-E1CE-43CA-8A9F-5EB110238A2B}"/>
    <cellStyle name="20% - Accent1 2 7 3" xfId="6160" xr:uid="{00000000-0005-0000-0000-00004E000000}"/>
    <cellStyle name="20% - Accent1 2 7 3 2" xfId="14595" xr:uid="{8B299F51-41D5-4CF8-B650-B067AB1CE245}"/>
    <cellStyle name="20% - Accent1 2 7 4" xfId="10377" xr:uid="{6E5CA979-C25E-4F9C-8C5F-3276DB68159B}"/>
    <cellStyle name="20% - Accent1 2 8" xfId="2266" xr:uid="{00000000-0005-0000-0000-00004F000000}"/>
    <cellStyle name="20% - Accent1 2 8 2" xfId="6573" xr:uid="{00000000-0005-0000-0000-000050000000}"/>
    <cellStyle name="20% - Accent1 2 8 2 2" xfId="15008" xr:uid="{DE1E7313-2B52-4D89-B00A-C7C3319782E1}"/>
    <cellStyle name="20% - Accent1 2 8 3" xfId="10790" xr:uid="{D7289D2E-1E17-47EC-A2EA-131025180C51}"/>
    <cellStyle name="20% - Accent1 2 9" xfId="4507" xr:uid="{00000000-0005-0000-0000-000051000000}"/>
    <cellStyle name="20% - Accent1 2 9 2" xfId="12942" xr:uid="{4127CD84-83F6-496E-AF49-BE04A1EA43D1}"/>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2 2 2" xfId="15506" xr:uid="{CDC45C12-06E3-447F-A0C6-258234A40D74}"/>
    <cellStyle name="20% - Accent1 3 2 2 2 3" xfId="11288" xr:uid="{7E66EA47-F6D5-4816-A981-1A3AB3278F18}"/>
    <cellStyle name="20% - Accent1 3 2 2 3" xfId="4926" xr:uid="{00000000-0005-0000-0000-000057000000}"/>
    <cellStyle name="20% - Accent1 3 2 2 3 2" xfId="13361" xr:uid="{05A0798B-2636-45D9-8DCE-046CFD1C41F8}"/>
    <cellStyle name="20% - Accent1 3 2 2 4" xfId="9143" xr:uid="{FEA60542-F726-4A58-AF40-BC4C0281689F}"/>
    <cellStyle name="20% - Accent1 3 2 3" xfId="1030" xr:uid="{00000000-0005-0000-0000-000058000000}"/>
    <cellStyle name="20% - Accent1 3 2 3 2" xfId="3261" xr:uid="{00000000-0005-0000-0000-000059000000}"/>
    <cellStyle name="20% - Accent1 3 2 3 2 2" xfId="7484" xr:uid="{00000000-0005-0000-0000-00005A000000}"/>
    <cellStyle name="20% - Accent1 3 2 3 2 2 2" xfId="15919" xr:uid="{3EE04DDD-0D81-452C-B40E-9B9BEC10F5A1}"/>
    <cellStyle name="20% - Accent1 3 2 3 2 3" xfId="11701" xr:uid="{743E2C38-C573-400F-BF26-0838160A6248}"/>
    <cellStyle name="20% - Accent1 3 2 3 3" xfId="5339" xr:uid="{00000000-0005-0000-0000-00005B000000}"/>
    <cellStyle name="20% - Accent1 3 2 3 3 2" xfId="13774" xr:uid="{145E8F88-4B43-42BC-89C2-9342C15A063C}"/>
    <cellStyle name="20% - Accent1 3 2 3 4" xfId="9556" xr:uid="{C00DE275-8AD7-4333-B0F4-86A0E7A22E5B}"/>
    <cellStyle name="20% - Accent1 3 2 4" xfId="1444" xr:uid="{00000000-0005-0000-0000-00005C000000}"/>
    <cellStyle name="20% - Accent1 3 2 4 2" xfId="3674" xr:uid="{00000000-0005-0000-0000-00005D000000}"/>
    <cellStyle name="20% - Accent1 3 2 4 2 2" xfId="7897" xr:uid="{00000000-0005-0000-0000-00005E000000}"/>
    <cellStyle name="20% - Accent1 3 2 4 2 2 2" xfId="16332" xr:uid="{76E891B2-D264-42E0-8677-9DE8497A812E}"/>
    <cellStyle name="20% - Accent1 3 2 4 2 3" xfId="12114" xr:uid="{5CF04CBB-FA3B-47C8-AA0D-736A0DD9CB37}"/>
    <cellStyle name="20% - Accent1 3 2 4 3" xfId="5752" xr:uid="{00000000-0005-0000-0000-00005F000000}"/>
    <cellStyle name="20% - Accent1 3 2 4 3 2" xfId="14187" xr:uid="{7EA2B479-0661-4531-B28E-C8B1315B90F4}"/>
    <cellStyle name="20% - Accent1 3 2 4 4" xfId="9969" xr:uid="{3F7D5C31-A2FA-4765-9CC1-064F7744913E}"/>
    <cellStyle name="20% - Accent1 3 2 5" xfId="1858" xr:uid="{00000000-0005-0000-0000-000060000000}"/>
    <cellStyle name="20% - Accent1 3 2 5 2" xfId="4087" xr:uid="{00000000-0005-0000-0000-000061000000}"/>
    <cellStyle name="20% - Accent1 3 2 5 2 2" xfId="8310" xr:uid="{00000000-0005-0000-0000-000062000000}"/>
    <cellStyle name="20% - Accent1 3 2 5 2 2 2" xfId="16745" xr:uid="{ACA5CDEE-C46B-4C53-83DB-FFCFA43B7E4F}"/>
    <cellStyle name="20% - Accent1 3 2 5 2 3" xfId="12527" xr:uid="{3A412F1E-6684-4FE0-A3FC-9D98DF3967A5}"/>
    <cellStyle name="20% - Accent1 3 2 5 3" xfId="6165" xr:uid="{00000000-0005-0000-0000-000063000000}"/>
    <cellStyle name="20% - Accent1 3 2 5 3 2" xfId="14600" xr:uid="{74F90CDB-DA1B-4CE7-A22A-C01BADA63FE3}"/>
    <cellStyle name="20% - Accent1 3 2 5 4" xfId="10382" xr:uid="{3DCC92D2-5235-42FE-B3C7-C894F629F5ED}"/>
    <cellStyle name="20% - Accent1 3 2 6" xfId="2271" xr:uid="{00000000-0005-0000-0000-000064000000}"/>
    <cellStyle name="20% - Accent1 3 2 6 2" xfId="6578" xr:uid="{00000000-0005-0000-0000-000065000000}"/>
    <cellStyle name="20% - Accent1 3 2 6 2 2" xfId="15013" xr:uid="{7729322A-8F39-447F-A623-E8A3901EB950}"/>
    <cellStyle name="20% - Accent1 3 2 6 3" xfId="10795" xr:uid="{8F355852-4FDC-461E-A183-3542C6A36434}"/>
    <cellStyle name="20% - Accent1 3 2 7" xfId="4512" xr:uid="{00000000-0005-0000-0000-000066000000}"/>
    <cellStyle name="20% - Accent1 3 2 7 2" xfId="12947" xr:uid="{0EE49A84-5B1F-4DA4-8031-960825CC3877}"/>
    <cellStyle name="20% - Accent1 3 2 8" xfId="8729" xr:uid="{00B52926-C4DE-470E-9D6E-5B8637DB9FC8}"/>
    <cellStyle name="20% - Accent1 3 3" xfId="576" xr:uid="{00000000-0005-0000-0000-000067000000}"/>
    <cellStyle name="20% - Accent1 3 3 2" xfId="2847" xr:uid="{00000000-0005-0000-0000-000068000000}"/>
    <cellStyle name="20% - Accent1 3 3 2 2" xfId="7070" xr:uid="{00000000-0005-0000-0000-000069000000}"/>
    <cellStyle name="20% - Accent1 3 3 2 2 2" xfId="15505" xr:uid="{88167139-282B-4592-BB76-4BF2347B8E2F}"/>
    <cellStyle name="20% - Accent1 3 3 2 3" xfId="11287" xr:uid="{4AED094E-646B-4F39-BCD3-9E417C5C416A}"/>
    <cellStyle name="20% - Accent1 3 3 3" xfId="4925" xr:uid="{00000000-0005-0000-0000-00006A000000}"/>
    <cellStyle name="20% - Accent1 3 3 3 2" xfId="13360" xr:uid="{7CA6B861-9050-4716-921D-C11D4F24B801}"/>
    <cellStyle name="20% - Accent1 3 3 4" xfId="9142" xr:uid="{47FD68CA-4212-4500-AF9B-3A48A1555E1A}"/>
    <cellStyle name="20% - Accent1 3 4" xfId="1029" xr:uid="{00000000-0005-0000-0000-00006B000000}"/>
    <cellStyle name="20% - Accent1 3 4 2" xfId="3260" xr:uid="{00000000-0005-0000-0000-00006C000000}"/>
    <cellStyle name="20% - Accent1 3 4 2 2" xfId="7483" xr:uid="{00000000-0005-0000-0000-00006D000000}"/>
    <cellStyle name="20% - Accent1 3 4 2 2 2" xfId="15918" xr:uid="{622BD6B7-DB3A-4830-9572-66EEE9EDBA2E}"/>
    <cellStyle name="20% - Accent1 3 4 2 3" xfId="11700" xr:uid="{63E521D8-959A-499C-B752-BA740EA8E37C}"/>
    <cellStyle name="20% - Accent1 3 4 3" xfId="5338" xr:uid="{00000000-0005-0000-0000-00006E000000}"/>
    <cellStyle name="20% - Accent1 3 4 3 2" xfId="13773" xr:uid="{53CD6FFB-F133-4891-BC3E-1F17D3ED0A4B}"/>
    <cellStyle name="20% - Accent1 3 4 4" xfId="9555" xr:uid="{688CCDA0-1250-46AF-8CA2-3871D1FD54C9}"/>
    <cellStyle name="20% - Accent1 3 5" xfId="1443" xr:uid="{00000000-0005-0000-0000-00006F000000}"/>
    <cellStyle name="20% - Accent1 3 5 2" xfId="3673" xr:uid="{00000000-0005-0000-0000-000070000000}"/>
    <cellStyle name="20% - Accent1 3 5 2 2" xfId="7896" xr:uid="{00000000-0005-0000-0000-000071000000}"/>
    <cellStyle name="20% - Accent1 3 5 2 2 2" xfId="16331" xr:uid="{1E7441E1-6ACE-45FA-936F-412A2843C1F2}"/>
    <cellStyle name="20% - Accent1 3 5 2 3" xfId="12113" xr:uid="{9D6F9681-E12C-4936-8ECA-09F5663A1956}"/>
    <cellStyle name="20% - Accent1 3 5 3" xfId="5751" xr:uid="{00000000-0005-0000-0000-000072000000}"/>
    <cellStyle name="20% - Accent1 3 5 3 2" xfId="14186" xr:uid="{34419DB2-4A03-4881-B8D9-A0CA1326A9AF}"/>
    <cellStyle name="20% - Accent1 3 5 4" xfId="9968" xr:uid="{12120DFD-4631-4798-B585-8D071C31DED0}"/>
    <cellStyle name="20% - Accent1 3 6" xfId="1857" xr:uid="{00000000-0005-0000-0000-000073000000}"/>
    <cellStyle name="20% - Accent1 3 6 2" xfId="4086" xr:uid="{00000000-0005-0000-0000-000074000000}"/>
    <cellStyle name="20% - Accent1 3 6 2 2" xfId="8309" xr:uid="{00000000-0005-0000-0000-000075000000}"/>
    <cellStyle name="20% - Accent1 3 6 2 2 2" xfId="16744" xr:uid="{61019E1E-79B0-436B-A500-5D66E7928BB9}"/>
    <cellStyle name="20% - Accent1 3 6 2 3" xfId="12526" xr:uid="{A0A2F7D1-AABA-4C6E-9E68-DBFC6CCD4B2A}"/>
    <cellStyle name="20% - Accent1 3 6 3" xfId="6164" xr:uid="{00000000-0005-0000-0000-000076000000}"/>
    <cellStyle name="20% - Accent1 3 6 3 2" xfId="14599" xr:uid="{769E344A-C1AB-4D8E-8015-58C41D2A40B5}"/>
    <cellStyle name="20% - Accent1 3 6 4" xfId="10381" xr:uid="{12968F9D-A920-44E0-8525-658753703C38}"/>
    <cellStyle name="20% - Accent1 3 7" xfId="2270" xr:uid="{00000000-0005-0000-0000-000077000000}"/>
    <cellStyle name="20% - Accent1 3 7 2" xfId="6577" xr:uid="{00000000-0005-0000-0000-000078000000}"/>
    <cellStyle name="20% - Accent1 3 7 2 2" xfId="15012" xr:uid="{054E1470-8041-42DD-953C-EF4082CC7376}"/>
    <cellStyle name="20% - Accent1 3 7 3" xfId="10794" xr:uid="{17A78019-0E3F-4134-B08C-741DDADE99E4}"/>
    <cellStyle name="20% - Accent1 3 8" xfId="4511" xr:uid="{00000000-0005-0000-0000-000079000000}"/>
    <cellStyle name="20% - Accent1 3 8 2" xfId="12946" xr:uid="{2CE2F34B-9450-4D9F-A344-AD699A36B257}"/>
    <cellStyle name="20% - Accent1 3 9" xfId="8728" xr:uid="{E9396D85-1EA5-40B0-8623-5D7AA7721AF7}"/>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2 2 2" xfId="15507" xr:uid="{DF9A8252-FDB4-40B2-B014-B30A5CAAE0BC}"/>
    <cellStyle name="20% - Accent1 4 2 2 3" xfId="11289" xr:uid="{B7580110-715A-4B67-B1DA-5A9223ECD4E3}"/>
    <cellStyle name="20% - Accent1 4 2 3" xfId="4927" xr:uid="{00000000-0005-0000-0000-00007E000000}"/>
    <cellStyle name="20% - Accent1 4 2 3 2" xfId="13362" xr:uid="{D8D2BE3E-88DB-4319-9337-F3299CC0D5B5}"/>
    <cellStyle name="20% - Accent1 4 2 4" xfId="9144" xr:uid="{73DC16B2-03AA-4B76-BC98-7DD2570386E2}"/>
    <cellStyle name="20% - Accent1 4 3" xfId="1031" xr:uid="{00000000-0005-0000-0000-00007F000000}"/>
    <cellStyle name="20% - Accent1 4 3 2" xfId="3262" xr:uid="{00000000-0005-0000-0000-000080000000}"/>
    <cellStyle name="20% - Accent1 4 3 2 2" xfId="7485" xr:uid="{00000000-0005-0000-0000-000081000000}"/>
    <cellStyle name="20% - Accent1 4 3 2 2 2" xfId="15920" xr:uid="{C798BE22-4D33-410B-A134-28F4C08AFC8A}"/>
    <cellStyle name="20% - Accent1 4 3 2 3" xfId="11702" xr:uid="{138AEA78-7CEC-4714-A468-2DD49B9B3178}"/>
    <cellStyle name="20% - Accent1 4 3 3" xfId="5340" xr:uid="{00000000-0005-0000-0000-000082000000}"/>
    <cellStyle name="20% - Accent1 4 3 3 2" xfId="13775" xr:uid="{9DF4E338-933D-4FE8-9912-265944B522B8}"/>
    <cellStyle name="20% - Accent1 4 3 4" xfId="9557" xr:uid="{1A60458D-E31E-4520-8F0A-FA244539460B}"/>
    <cellStyle name="20% - Accent1 4 4" xfId="1445" xr:uid="{00000000-0005-0000-0000-000083000000}"/>
    <cellStyle name="20% - Accent1 4 4 2" xfId="3675" xr:uid="{00000000-0005-0000-0000-000084000000}"/>
    <cellStyle name="20% - Accent1 4 4 2 2" xfId="7898" xr:uid="{00000000-0005-0000-0000-000085000000}"/>
    <cellStyle name="20% - Accent1 4 4 2 2 2" xfId="16333" xr:uid="{63BE96C9-7E00-4DC4-9D0B-A90E107298B6}"/>
    <cellStyle name="20% - Accent1 4 4 2 3" xfId="12115" xr:uid="{BDF08ABF-2776-4DAF-B6E1-B71CBB44D5C7}"/>
    <cellStyle name="20% - Accent1 4 4 3" xfId="5753" xr:uid="{00000000-0005-0000-0000-000086000000}"/>
    <cellStyle name="20% - Accent1 4 4 3 2" xfId="14188" xr:uid="{DB5F8F6F-E0AE-4EED-9BDD-23F4107562BB}"/>
    <cellStyle name="20% - Accent1 4 4 4" xfId="9970" xr:uid="{3CE3D602-41BD-464E-AA32-36CB1DDA5E07}"/>
    <cellStyle name="20% - Accent1 4 5" xfId="1859" xr:uid="{00000000-0005-0000-0000-000087000000}"/>
    <cellStyle name="20% - Accent1 4 5 2" xfId="4088" xr:uid="{00000000-0005-0000-0000-000088000000}"/>
    <cellStyle name="20% - Accent1 4 5 2 2" xfId="8311" xr:uid="{00000000-0005-0000-0000-000089000000}"/>
    <cellStyle name="20% - Accent1 4 5 2 2 2" xfId="16746" xr:uid="{F1F987B9-AA77-4880-9116-AC80D42DAE26}"/>
    <cellStyle name="20% - Accent1 4 5 2 3" xfId="12528" xr:uid="{F4770C9C-4315-41AB-BFE4-DA2F13BC1B8A}"/>
    <cellStyle name="20% - Accent1 4 5 3" xfId="6166" xr:uid="{00000000-0005-0000-0000-00008A000000}"/>
    <cellStyle name="20% - Accent1 4 5 3 2" xfId="14601" xr:uid="{4CB014F5-9B43-4287-86CC-5F9BB9630925}"/>
    <cellStyle name="20% - Accent1 4 5 4" xfId="10383" xr:uid="{295C951F-B0CB-4DFC-9A86-BC838EBC0974}"/>
    <cellStyle name="20% - Accent1 4 6" xfId="2272" xr:uid="{00000000-0005-0000-0000-00008B000000}"/>
    <cellStyle name="20% - Accent1 4 6 2" xfId="6579" xr:uid="{00000000-0005-0000-0000-00008C000000}"/>
    <cellStyle name="20% - Accent1 4 6 2 2" xfId="15014" xr:uid="{849C3652-A7AA-4CE5-9462-CCE7467BCB23}"/>
    <cellStyle name="20% - Accent1 4 6 3" xfId="10796" xr:uid="{6738507B-5061-4CFB-AF2D-6B597CFC6AA9}"/>
    <cellStyle name="20% - Accent1 4 7" xfId="4513" xr:uid="{00000000-0005-0000-0000-00008D000000}"/>
    <cellStyle name="20% - Accent1 4 7 2" xfId="12948" xr:uid="{6E391E78-7A15-47E0-A3D5-19C9711485E6}"/>
    <cellStyle name="20% - Accent1 4 8" xfId="8730" xr:uid="{54C9B709-BE6B-4B14-85F4-F4D3404EBB26}"/>
    <cellStyle name="20% - Accent1 5" xfId="571" xr:uid="{00000000-0005-0000-0000-00008E000000}"/>
    <cellStyle name="20% - Accent1 5 2" xfId="2842" xr:uid="{00000000-0005-0000-0000-00008F000000}"/>
    <cellStyle name="20% - Accent1 5 2 2" xfId="7065" xr:uid="{00000000-0005-0000-0000-000090000000}"/>
    <cellStyle name="20% - Accent1 5 2 2 2" xfId="15500" xr:uid="{276BA13B-7270-4690-8CB0-409FA4A0F6E6}"/>
    <cellStyle name="20% - Accent1 5 2 3" xfId="11282" xr:uid="{881B0122-39D9-4E65-A6EB-F761A0A67A0E}"/>
    <cellStyle name="20% - Accent1 5 3" xfId="4920" xr:uid="{00000000-0005-0000-0000-000091000000}"/>
    <cellStyle name="20% - Accent1 5 3 2" xfId="13355" xr:uid="{CA5F53EB-A9F3-4070-8FCA-D58AB4AC6502}"/>
    <cellStyle name="20% - Accent1 5 4" xfId="9137" xr:uid="{3A57CC09-673E-417F-9D47-F9E7F2357238}"/>
    <cellStyle name="20% - Accent1 6" xfId="1024" xr:uid="{00000000-0005-0000-0000-000092000000}"/>
    <cellStyle name="20% - Accent1 6 2" xfId="3255" xr:uid="{00000000-0005-0000-0000-000093000000}"/>
    <cellStyle name="20% - Accent1 6 2 2" xfId="7478" xr:uid="{00000000-0005-0000-0000-000094000000}"/>
    <cellStyle name="20% - Accent1 6 2 2 2" xfId="15913" xr:uid="{3C80692D-524D-43FC-8D47-6884083CDE52}"/>
    <cellStyle name="20% - Accent1 6 2 3" xfId="11695" xr:uid="{23181551-4E8A-4805-816B-DD4050CC5DBF}"/>
    <cellStyle name="20% - Accent1 6 3" xfId="5333" xr:uid="{00000000-0005-0000-0000-000095000000}"/>
    <cellStyle name="20% - Accent1 6 3 2" xfId="13768" xr:uid="{75E86C26-8DD4-4ADA-9B7C-84E5987558E1}"/>
    <cellStyle name="20% - Accent1 6 4" xfId="9550" xr:uid="{9FACB18F-3654-4BE1-AD91-596A0F095A2E}"/>
    <cellStyle name="20% - Accent1 7" xfId="1438" xr:uid="{00000000-0005-0000-0000-000096000000}"/>
    <cellStyle name="20% - Accent1 7 2" xfId="3668" xr:uid="{00000000-0005-0000-0000-000097000000}"/>
    <cellStyle name="20% - Accent1 7 2 2" xfId="7891" xr:uid="{00000000-0005-0000-0000-000098000000}"/>
    <cellStyle name="20% - Accent1 7 2 2 2" xfId="16326" xr:uid="{9E53CEBF-6AA5-4FA4-BE23-27BB7A5E74C2}"/>
    <cellStyle name="20% - Accent1 7 2 3" xfId="12108" xr:uid="{404405FA-8F84-4DA3-98F5-CF03EB0F66EA}"/>
    <cellStyle name="20% - Accent1 7 3" xfId="5746" xr:uid="{00000000-0005-0000-0000-000099000000}"/>
    <cellStyle name="20% - Accent1 7 3 2" xfId="14181" xr:uid="{22EF1554-587C-4D9B-A26A-DCECA524404C}"/>
    <cellStyle name="20% - Accent1 7 4" xfId="9963" xr:uid="{47DC6879-9609-429F-9173-D62146C8CE07}"/>
    <cellStyle name="20% - Accent1 8" xfId="1852" xr:uid="{00000000-0005-0000-0000-00009A000000}"/>
    <cellStyle name="20% - Accent1 8 2" xfId="4081" xr:uid="{00000000-0005-0000-0000-00009B000000}"/>
    <cellStyle name="20% - Accent1 8 2 2" xfId="8304" xr:uid="{00000000-0005-0000-0000-00009C000000}"/>
    <cellStyle name="20% - Accent1 8 2 2 2" xfId="16739" xr:uid="{18AC6072-DC99-4346-BF7B-DD2F9D2C936B}"/>
    <cellStyle name="20% - Accent1 8 2 3" xfId="12521" xr:uid="{A0E92DC6-8BE7-46A6-BD7F-8A2801F9B35C}"/>
    <cellStyle name="20% - Accent1 8 3" xfId="6159" xr:uid="{00000000-0005-0000-0000-00009D000000}"/>
    <cellStyle name="20% - Accent1 8 3 2" xfId="14594" xr:uid="{CD7A5A82-ADF7-4A92-ABAD-F28F924C43C0}"/>
    <cellStyle name="20% - Accent1 8 4" xfId="10376" xr:uid="{EB678053-C53A-4DD2-B8B3-7E3BBD4A96CC}"/>
    <cellStyle name="20% - Accent1 9" xfId="2265" xr:uid="{00000000-0005-0000-0000-00009E000000}"/>
    <cellStyle name="20% - Accent1 9 2" xfId="6572" xr:uid="{00000000-0005-0000-0000-00009F000000}"/>
    <cellStyle name="20% - Accent1 9 2 2" xfId="15007" xr:uid="{EA58FCF3-E060-4761-9B52-A08765C3B26F}"/>
    <cellStyle name="20% - Accent1 9 3" xfId="10789" xr:uid="{3FEFDFE7-EA4F-491A-BEC2-9880187F0759}"/>
    <cellStyle name="20% - Accent2" xfId="9" builtinId="34" customBuiltin="1"/>
    <cellStyle name="20% - Accent2 10" xfId="4514" xr:uid="{00000000-0005-0000-0000-0000A1000000}"/>
    <cellStyle name="20% - Accent2 10 2" xfId="12949" xr:uid="{2108B282-5786-44AB-AD96-9077ABA00C3E}"/>
    <cellStyle name="20% - Accent2 11" xfId="8731" xr:uid="{5FD4A57B-51E1-4567-9272-BB5DB001FD81}"/>
    <cellStyle name="20% - Accent2 2" xfId="10" xr:uid="{00000000-0005-0000-0000-0000A2000000}"/>
    <cellStyle name="20% - Accent2 2 10" xfId="8732" xr:uid="{A4660A5B-B842-4240-B5DC-D6FE5C848EFF}"/>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2 2 2" xfId="15511" xr:uid="{0AE1F46E-A8E1-4390-B9A3-382ED96D49FC}"/>
    <cellStyle name="20% - Accent2 2 2 2 2 2 3" xfId="11293" xr:uid="{F6A8E199-97FD-4967-99A4-FF724752650C}"/>
    <cellStyle name="20% - Accent2 2 2 2 2 3" xfId="4931" xr:uid="{00000000-0005-0000-0000-0000A8000000}"/>
    <cellStyle name="20% - Accent2 2 2 2 2 3 2" xfId="13366" xr:uid="{875AF0D9-3736-47A6-B505-C5E417ECDEA5}"/>
    <cellStyle name="20% - Accent2 2 2 2 2 4" xfId="9148" xr:uid="{6BA07017-F267-4B99-940F-60AEDBD4D4CF}"/>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2 2 2" xfId="15924" xr:uid="{B23E71FD-7BED-4CDD-ACA6-11329C6E31EA}"/>
    <cellStyle name="20% - Accent2 2 2 2 3 2 3" xfId="11706" xr:uid="{87724969-006A-4855-AC42-9A3D34DEBB3F}"/>
    <cellStyle name="20% - Accent2 2 2 2 3 3" xfId="5344" xr:uid="{00000000-0005-0000-0000-0000AC000000}"/>
    <cellStyle name="20% - Accent2 2 2 2 3 3 2" xfId="13779" xr:uid="{2C8EBB56-D98A-4B06-A8DE-D3D89A3C7775}"/>
    <cellStyle name="20% - Accent2 2 2 2 3 4" xfId="9561" xr:uid="{887F7D15-9BD6-45DB-B805-D16734B02BA4}"/>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2 2 2" xfId="16337" xr:uid="{0DA13B80-8638-4869-A25C-72D0F6A5653C}"/>
    <cellStyle name="20% - Accent2 2 2 2 4 2 3" xfId="12119" xr:uid="{8B9552CE-4420-4087-826B-B74B7C915126}"/>
    <cellStyle name="20% - Accent2 2 2 2 4 3" xfId="5757" xr:uid="{00000000-0005-0000-0000-0000B0000000}"/>
    <cellStyle name="20% - Accent2 2 2 2 4 3 2" xfId="14192" xr:uid="{EC3C7D32-E6A6-474C-B1A4-144CC067AF2F}"/>
    <cellStyle name="20% - Accent2 2 2 2 4 4" xfId="9974" xr:uid="{9F5669EB-D2E1-4F56-AFA6-C38BEEBEB2BE}"/>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2 2 2" xfId="16750" xr:uid="{9710DA92-7353-4030-9E9E-148E6F2760E5}"/>
    <cellStyle name="20% - Accent2 2 2 2 5 2 3" xfId="12532" xr:uid="{2C1ACBE2-2DA2-4808-A893-E8EBAD639278}"/>
    <cellStyle name="20% - Accent2 2 2 2 5 3" xfId="6170" xr:uid="{00000000-0005-0000-0000-0000B4000000}"/>
    <cellStyle name="20% - Accent2 2 2 2 5 3 2" xfId="14605" xr:uid="{F47A9B29-97BC-4B03-8E16-8CC4C2AB8AFA}"/>
    <cellStyle name="20% - Accent2 2 2 2 5 4" xfId="10387" xr:uid="{1CC7B2DE-3077-406B-BBDA-CF3DB77B8B48}"/>
    <cellStyle name="20% - Accent2 2 2 2 6" xfId="2276" xr:uid="{00000000-0005-0000-0000-0000B5000000}"/>
    <cellStyle name="20% - Accent2 2 2 2 6 2" xfId="6583" xr:uid="{00000000-0005-0000-0000-0000B6000000}"/>
    <cellStyle name="20% - Accent2 2 2 2 6 2 2" xfId="15018" xr:uid="{8718109E-C311-4FD2-AD76-464FDC33255E}"/>
    <cellStyle name="20% - Accent2 2 2 2 6 3" xfId="10800" xr:uid="{25A111C0-DB9D-4C85-BF01-CB2F8E975F40}"/>
    <cellStyle name="20% - Accent2 2 2 2 7" xfId="4517" xr:uid="{00000000-0005-0000-0000-0000B7000000}"/>
    <cellStyle name="20% - Accent2 2 2 2 7 2" xfId="12952" xr:uid="{D05AE42F-1FD2-4F52-BCEB-E30D03753EBE}"/>
    <cellStyle name="20% - Accent2 2 2 2 8" xfId="8734" xr:uid="{8B1B493A-76A0-437D-B12D-5303521F1CF7}"/>
    <cellStyle name="20% - Accent2 2 2 3" xfId="581" xr:uid="{00000000-0005-0000-0000-0000B8000000}"/>
    <cellStyle name="20% - Accent2 2 2 3 2" xfId="2852" xr:uid="{00000000-0005-0000-0000-0000B9000000}"/>
    <cellStyle name="20% - Accent2 2 2 3 2 2" xfId="7075" xr:uid="{00000000-0005-0000-0000-0000BA000000}"/>
    <cellStyle name="20% - Accent2 2 2 3 2 2 2" xfId="15510" xr:uid="{BE45F954-B4A0-4093-A0EB-9C313FA22A0C}"/>
    <cellStyle name="20% - Accent2 2 2 3 2 3" xfId="11292" xr:uid="{9814F65A-4244-4D45-916B-44385FB91D6A}"/>
    <cellStyle name="20% - Accent2 2 2 3 3" xfId="4930" xr:uid="{00000000-0005-0000-0000-0000BB000000}"/>
    <cellStyle name="20% - Accent2 2 2 3 3 2" xfId="13365" xr:uid="{31BF5A99-855A-468F-91B5-95AAF71DFCF5}"/>
    <cellStyle name="20% - Accent2 2 2 3 4" xfId="9147" xr:uid="{B3DEC3D8-5EC9-4594-B185-C6C9D34C3715}"/>
    <cellStyle name="20% - Accent2 2 2 4" xfId="1034" xr:uid="{00000000-0005-0000-0000-0000BC000000}"/>
    <cellStyle name="20% - Accent2 2 2 4 2" xfId="3265" xr:uid="{00000000-0005-0000-0000-0000BD000000}"/>
    <cellStyle name="20% - Accent2 2 2 4 2 2" xfId="7488" xr:uid="{00000000-0005-0000-0000-0000BE000000}"/>
    <cellStyle name="20% - Accent2 2 2 4 2 2 2" xfId="15923" xr:uid="{6AF4CC57-35C5-4B42-9749-3255A8E45F90}"/>
    <cellStyle name="20% - Accent2 2 2 4 2 3" xfId="11705" xr:uid="{20BECD64-D087-4BD1-9A07-0D11822F098F}"/>
    <cellStyle name="20% - Accent2 2 2 4 3" xfId="5343" xr:uid="{00000000-0005-0000-0000-0000BF000000}"/>
    <cellStyle name="20% - Accent2 2 2 4 3 2" xfId="13778" xr:uid="{3B4F138A-CAD7-41E5-86DF-E33AB6DB1DF6}"/>
    <cellStyle name="20% - Accent2 2 2 4 4" xfId="9560" xr:uid="{FC2E4F5C-FF37-4527-BDFB-6E2B9495EA9F}"/>
    <cellStyle name="20% - Accent2 2 2 5" xfId="1448" xr:uid="{00000000-0005-0000-0000-0000C0000000}"/>
    <cellStyle name="20% - Accent2 2 2 5 2" xfId="3678" xr:uid="{00000000-0005-0000-0000-0000C1000000}"/>
    <cellStyle name="20% - Accent2 2 2 5 2 2" xfId="7901" xr:uid="{00000000-0005-0000-0000-0000C2000000}"/>
    <cellStyle name="20% - Accent2 2 2 5 2 2 2" xfId="16336" xr:uid="{BCB1CCE9-DFC8-4947-9D52-AB00B263D4CC}"/>
    <cellStyle name="20% - Accent2 2 2 5 2 3" xfId="12118" xr:uid="{770C3480-0C2A-4A3A-B022-C822D03AEE69}"/>
    <cellStyle name="20% - Accent2 2 2 5 3" xfId="5756" xr:uid="{00000000-0005-0000-0000-0000C3000000}"/>
    <cellStyle name="20% - Accent2 2 2 5 3 2" xfId="14191" xr:uid="{96B9E010-2DEB-4D7D-89E0-27FE27C05B31}"/>
    <cellStyle name="20% - Accent2 2 2 5 4" xfId="9973" xr:uid="{08261CF5-113B-41EA-ACBE-1341D4BFD20C}"/>
    <cellStyle name="20% - Accent2 2 2 6" xfId="1862" xr:uid="{00000000-0005-0000-0000-0000C4000000}"/>
    <cellStyle name="20% - Accent2 2 2 6 2" xfId="4091" xr:uid="{00000000-0005-0000-0000-0000C5000000}"/>
    <cellStyle name="20% - Accent2 2 2 6 2 2" xfId="8314" xr:uid="{00000000-0005-0000-0000-0000C6000000}"/>
    <cellStyle name="20% - Accent2 2 2 6 2 2 2" xfId="16749" xr:uid="{51000D90-8F36-4A71-9727-4F4814A8C486}"/>
    <cellStyle name="20% - Accent2 2 2 6 2 3" xfId="12531" xr:uid="{AC369941-5E86-4E09-AEFD-15B4DD24E133}"/>
    <cellStyle name="20% - Accent2 2 2 6 3" xfId="6169" xr:uid="{00000000-0005-0000-0000-0000C7000000}"/>
    <cellStyle name="20% - Accent2 2 2 6 3 2" xfId="14604" xr:uid="{1B2EF33A-14FF-4A7D-88A5-61E8DD9A978D}"/>
    <cellStyle name="20% - Accent2 2 2 6 4" xfId="10386" xr:uid="{96F1F106-9C0B-4F89-BAAB-825A7D29D9E1}"/>
    <cellStyle name="20% - Accent2 2 2 7" xfId="2275" xr:uid="{00000000-0005-0000-0000-0000C8000000}"/>
    <cellStyle name="20% - Accent2 2 2 7 2" xfId="6582" xr:uid="{00000000-0005-0000-0000-0000C9000000}"/>
    <cellStyle name="20% - Accent2 2 2 7 2 2" xfId="15017" xr:uid="{F5AB081A-DC3A-4067-B9F1-E78BC878F31D}"/>
    <cellStyle name="20% - Accent2 2 2 7 3" xfId="10799" xr:uid="{D4A57CAB-DDF8-47AA-BEDB-849E6F1A27B0}"/>
    <cellStyle name="20% - Accent2 2 2 8" xfId="4516" xr:uid="{00000000-0005-0000-0000-0000CA000000}"/>
    <cellStyle name="20% - Accent2 2 2 8 2" xfId="12951" xr:uid="{084C2207-B11E-4FB5-A9FD-D53F6A1F581D}"/>
    <cellStyle name="20% - Accent2 2 2 9" xfId="8733" xr:uid="{96C038A4-13F5-4172-8B45-DBF1B094ED37}"/>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2 2 2" xfId="15512" xr:uid="{5C8D45AE-59DE-4656-B65A-C393956C48D8}"/>
    <cellStyle name="20% - Accent2 2 3 2 2 3" xfId="11294" xr:uid="{011F01A4-2426-46A0-B36B-8180BC42F1B8}"/>
    <cellStyle name="20% - Accent2 2 3 2 3" xfId="4932" xr:uid="{00000000-0005-0000-0000-0000CF000000}"/>
    <cellStyle name="20% - Accent2 2 3 2 3 2" xfId="13367" xr:uid="{2EC6C846-3C02-4AE5-8BBE-0170E6D23352}"/>
    <cellStyle name="20% - Accent2 2 3 2 4" xfId="9149" xr:uid="{A05827CF-98B7-40A3-B952-B51C2E7B05A7}"/>
    <cellStyle name="20% - Accent2 2 3 3" xfId="1036" xr:uid="{00000000-0005-0000-0000-0000D0000000}"/>
    <cellStyle name="20% - Accent2 2 3 3 2" xfId="3267" xr:uid="{00000000-0005-0000-0000-0000D1000000}"/>
    <cellStyle name="20% - Accent2 2 3 3 2 2" xfId="7490" xr:uid="{00000000-0005-0000-0000-0000D2000000}"/>
    <cellStyle name="20% - Accent2 2 3 3 2 2 2" xfId="15925" xr:uid="{78C72A1E-8FDD-4B09-B104-3E59A5406B57}"/>
    <cellStyle name="20% - Accent2 2 3 3 2 3" xfId="11707" xr:uid="{9268C384-2D9F-4EB8-9BA1-CD6B6A819797}"/>
    <cellStyle name="20% - Accent2 2 3 3 3" xfId="5345" xr:uid="{00000000-0005-0000-0000-0000D3000000}"/>
    <cellStyle name="20% - Accent2 2 3 3 3 2" xfId="13780" xr:uid="{EF70BAAE-8146-4E63-956D-C8C477AC1AB1}"/>
    <cellStyle name="20% - Accent2 2 3 3 4" xfId="9562" xr:uid="{14D8394E-7355-4658-B34A-6CEA9F2768F7}"/>
    <cellStyle name="20% - Accent2 2 3 4" xfId="1450" xr:uid="{00000000-0005-0000-0000-0000D4000000}"/>
    <cellStyle name="20% - Accent2 2 3 4 2" xfId="3680" xr:uid="{00000000-0005-0000-0000-0000D5000000}"/>
    <cellStyle name="20% - Accent2 2 3 4 2 2" xfId="7903" xr:uid="{00000000-0005-0000-0000-0000D6000000}"/>
    <cellStyle name="20% - Accent2 2 3 4 2 2 2" xfId="16338" xr:uid="{9BEA71A1-97AD-4124-A5DB-61E7A346874E}"/>
    <cellStyle name="20% - Accent2 2 3 4 2 3" xfId="12120" xr:uid="{81BAE74E-E3B7-4800-B565-CBBD7FF239A5}"/>
    <cellStyle name="20% - Accent2 2 3 4 3" xfId="5758" xr:uid="{00000000-0005-0000-0000-0000D7000000}"/>
    <cellStyle name="20% - Accent2 2 3 4 3 2" xfId="14193" xr:uid="{48471F8A-3DB9-47DD-93CF-2E8A1A913F12}"/>
    <cellStyle name="20% - Accent2 2 3 4 4" xfId="9975" xr:uid="{9C3ADB3C-8380-4057-88BF-1C08DDB4A99E}"/>
    <cellStyle name="20% - Accent2 2 3 5" xfId="1864" xr:uid="{00000000-0005-0000-0000-0000D8000000}"/>
    <cellStyle name="20% - Accent2 2 3 5 2" xfId="4093" xr:uid="{00000000-0005-0000-0000-0000D9000000}"/>
    <cellStyle name="20% - Accent2 2 3 5 2 2" xfId="8316" xr:uid="{00000000-0005-0000-0000-0000DA000000}"/>
    <cellStyle name="20% - Accent2 2 3 5 2 2 2" xfId="16751" xr:uid="{66360015-CEBA-4BD0-8CFA-61D8C6F77111}"/>
    <cellStyle name="20% - Accent2 2 3 5 2 3" xfId="12533" xr:uid="{2EA649E9-5D0C-49A3-863B-3FC944BE3AC3}"/>
    <cellStyle name="20% - Accent2 2 3 5 3" xfId="6171" xr:uid="{00000000-0005-0000-0000-0000DB000000}"/>
    <cellStyle name="20% - Accent2 2 3 5 3 2" xfId="14606" xr:uid="{AF0FE734-BC17-4A41-9FC3-3928A39967AF}"/>
    <cellStyle name="20% - Accent2 2 3 5 4" xfId="10388" xr:uid="{E7C09E42-3861-4D1E-BFFB-F38DD0BB3649}"/>
    <cellStyle name="20% - Accent2 2 3 6" xfId="2277" xr:uid="{00000000-0005-0000-0000-0000DC000000}"/>
    <cellStyle name="20% - Accent2 2 3 6 2" xfId="6584" xr:uid="{00000000-0005-0000-0000-0000DD000000}"/>
    <cellStyle name="20% - Accent2 2 3 6 2 2" xfId="15019" xr:uid="{D3E3EA57-7344-43C5-AB6B-DF3AC5A9D4C0}"/>
    <cellStyle name="20% - Accent2 2 3 6 3" xfId="10801" xr:uid="{23EF5CD0-68EC-4977-B323-97D203FFDF25}"/>
    <cellStyle name="20% - Accent2 2 3 7" xfId="4518" xr:uid="{00000000-0005-0000-0000-0000DE000000}"/>
    <cellStyle name="20% - Accent2 2 3 7 2" xfId="12953" xr:uid="{480E8AD4-09D8-431F-8A6B-DF312A10FDA4}"/>
    <cellStyle name="20% - Accent2 2 3 8" xfId="8735" xr:uid="{FE3DA231-E5DD-4662-AB64-1D7B124D8DC7}"/>
    <cellStyle name="20% - Accent2 2 4" xfId="580" xr:uid="{00000000-0005-0000-0000-0000DF000000}"/>
    <cellStyle name="20% - Accent2 2 4 2" xfId="2851" xr:uid="{00000000-0005-0000-0000-0000E0000000}"/>
    <cellStyle name="20% - Accent2 2 4 2 2" xfId="7074" xr:uid="{00000000-0005-0000-0000-0000E1000000}"/>
    <cellStyle name="20% - Accent2 2 4 2 2 2" xfId="15509" xr:uid="{A87485CB-96EE-4399-B0D4-25AE0D02E608}"/>
    <cellStyle name="20% - Accent2 2 4 2 3" xfId="11291" xr:uid="{05456A29-0F6E-4792-90C7-D1FAD8C01733}"/>
    <cellStyle name="20% - Accent2 2 4 3" xfId="4929" xr:uid="{00000000-0005-0000-0000-0000E2000000}"/>
    <cellStyle name="20% - Accent2 2 4 3 2" xfId="13364" xr:uid="{98F83014-A958-42CD-8128-9827E0F4FF48}"/>
    <cellStyle name="20% - Accent2 2 4 4" xfId="9146" xr:uid="{93D2826B-8126-4193-872A-4F8DBE48695B}"/>
    <cellStyle name="20% - Accent2 2 5" xfId="1033" xr:uid="{00000000-0005-0000-0000-0000E3000000}"/>
    <cellStyle name="20% - Accent2 2 5 2" xfId="3264" xr:uid="{00000000-0005-0000-0000-0000E4000000}"/>
    <cellStyle name="20% - Accent2 2 5 2 2" xfId="7487" xr:uid="{00000000-0005-0000-0000-0000E5000000}"/>
    <cellStyle name="20% - Accent2 2 5 2 2 2" xfId="15922" xr:uid="{B6E51205-C746-4E7A-80E1-00AE636E7BFA}"/>
    <cellStyle name="20% - Accent2 2 5 2 3" xfId="11704" xr:uid="{7545ED27-0397-4CB7-9EA4-E67B96F3E36F}"/>
    <cellStyle name="20% - Accent2 2 5 3" xfId="5342" xr:uid="{00000000-0005-0000-0000-0000E6000000}"/>
    <cellStyle name="20% - Accent2 2 5 3 2" xfId="13777" xr:uid="{3204B49A-3C8D-434C-A64A-E1CA359E2F60}"/>
    <cellStyle name="20% - Accent2 2 5 4" xfId="9559" xr:uid="{0B471287-B7D4-4C35-A644-AA76A1E1D55A}"/>
    <cellStyle name="20% - Accent2 2 6" xfId="1447" xr:uid="{00000000-0005-0000-0000-0000E7000000}"/>
    <cellStyle name="20% - Accent2 2 6 2" xfId="3677" xr:uid="{00000000-0005-0000-0000-0000E8000000}"/>
    <cellStyle name="20% - Accent2 2 6 2 2" xfId="7900" xr:uid="{00000000-0005-0000-0000-0000E9000000}"/>
    <cellStyle name="20% - Accent2 2 6 2 2 2" xfId="16335" xr:uid="{F0828B2E-93AD-4880-830E-B4376E00BD54}"/>
    <cellStyle name="20% - Accent2 2 6 2 3" xfId="12117" xr:uid="{8170A124-D252-44DA-937C-7BB0E581ABF4}"/>
    <cellStyle name="20% - Accent2 2 6 3" xfId="5755" xr:uid="{00000000-0005-0000-0000-0000EA000000}"/>
    <cellStyle name="20% - Accent2 2 6 3 2" xfId="14190" xr:uid="{18309ABE-D489-48D5-85C5-F8E718ECC9F6}"/>
    <cellStyle name="20% - Accent2 2 6 4" xfId="9972" xr:uid="{4CEB43E6-BEF7-4238-BB3C-F8117B149745}"/>
    <cellStyle name="20% - Accent2 2 7" xfId="1861" xr:uid="{00000000-0005-0000-0000-0000EB000000}"/>
    <cellStyle name="20% - Accent2 2 7 2" xfId="4090" xr:uid="{00000000-0005-0000-0000-0000EC000000}"/>
    <cellStyle name="20% - Accent2 2 7 2 2" xfId="8313" xr:uid="{00000000-0005-0000-0000-0000ED000000}"/>
    <cellStyle name="20% - Accent2 2 7 2 2 2" xfId="16748" xr:uid="{AAE29BC7-2EFF-46D5-92C0-6C54FCAC3B72}"/>
    <cellStyle name="20% - Accent2 2 7 2 3" xfId="12530" xr:uid="{E666F675-97F0-46CB-8641-C32C332F64B9}"/>
    <cellStyle name="20% - Accent2 2 7 3" xfId="6168" xr:uid="{00000000-0005-0000-0000-0000EE000000}"/>
    <cellStyle name="20% - Accent2 2 7 3 2" xfId="14603" xr:uid="{0E88DB49-C4F2-4D08-9F96-1A20CDBE6B85}"/>
    <cellStyle name="20% - Accent2 2 7 4" xfId="10385" xr:uid="{0DA39479-E6AA-46EA-91C5-F16C94B95A5B}"/>
    <cellStyle name="20% - Accent2 2 8" xfId="2274" xr:uid="{00000000-0005-0000-0000-0000EF000000}"/>
    <cellStyle name="20% - Accent2 2 8 2" xfId="6581" xr:uid="{00000000-0005-0000-0000-0000F0000000}"/>
    <cellStyle name="20% - Accent2 2 8 2 2" xfId="15016" xr:uid="{E6D84502-D587-4816-A32F-79029DED0297}"/>
    <cellStyle name="20% - Accent2 2 8 3" xfId="10798" xr:uid="{320EF528-B91F-48DC-8344-CA0D2ADDD8BD}"/>
    <cellStyle name="20% - Accent2 2 9" xfId="4515" xr:uid="{00000000-0005-0000-0000-0000F1000000}"/>
    <cellStyle name="20% - Accent2 2 9 2" xfId="12950" xr:uid="{6FB90656-D9FC-4D97-8360-EACBA2F2F301}"/>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2 2 2" xfId="15514" xr:uid="{F217F810-CEFB-40A5-8960-754938241BBD}"/>
    <cellStyle name="20% - Accent2 3 2 2 2 3" xfId="11296" xr:uid="{E298DCB0-9BD9-4D43-9D4A-347187FD25CA}"/>
    <cellStyle name="20% - Accent2 3 2 2 3" xfId="4934" xr:uid="{00000000-0005-0000-0000-0000F7000000}"/>
    <cellStyle name="20% - Accent2 3 2 2 3 2" xfId="13369" xr:uid="{18C18B6F-65FF-4417-B3B5-40642E009BD4}"/>
    <cellStyle name="20% - Accent2 3 2 2 4" xfId="9151" xr:uid="{58A9C467-F22C-4C66-AE48-8D46F4B0800A}"/>
    <cellStyle name="20% - Accent2 3 2 3" xfId="1038" xr:uid="{00000000-0005-0000-0000-0000F8000000}"/>
    <cellStyle name="20% - Accent2 3 2 3 2" xfId="3269" xr:uid="{00000000-0005-0000-0000-0000F9000000}"/>
    <cellStyle name="20% - Accent2 3 2 3 2 2" xfId="7492" xr:uid="{00000000-0005-0000-0000-0000FA000000}"/>
    <cellStyle name="20% - Accent2 3 2 3 2 2 2" xfId="15927" xr:uid="{9B59F9F5-CDC5-401B-B1F7-305B1106C19B}"/>
    <cellStyle name="20% - Accent2 3 2 3 2 3" xfId="11709" xr:uid="{09B52BE1-8C33-4C6A-9AED-16821D7159C0}"/>
    <cellStyle name="20% - Accent2 3 2 3 3" xfId="5347" xr:uid="{00000000-0005-0000-0000-0000FB000000}"/>
    <cellStyle name="20% - Accent2 3 2 3 3 2" xfId="13782" xr:uid="{AEF35A3C-1745-476B-B415-D25C80218F3E}"/>
    <cellStyle name="20% - Accent2 3 2 3 4" xfId="9564" xr:uid="{77A892A6-A3E4-44C6-8E2F-361268DC441A}"/>
    <cellStyle name="20% - Accent2 3 2 4" xfId="1452" xr:uid="{00000000-0005-0000-0000-0000FC000000}"/>
    <cellStyle name="20% - Accent2 3 2 4 2" xfId="3682" xr:uid="{00000000-0005-0000-0000-0000FD000000}"/>
    <cellStyle name="20% - Accent2 3 2 4 2 2" xfId="7905" xr:uid="{00000000-0005-0000-0000-0000FE000000}"/>
    <cellStyle name="20% - Accent2 3 2 4 2 2 2" xfId="16340" xr:uid="{7B97D98A-1C6B-4579-939E-90B49956E141}"/>
    <cellStyle name="20% - Accent2 3 2 4 2 3" xfId="12122" xr:uid="{4072A758-D528-48EC-9E11-9F15E3049BEB}"/>
    <cellStyle name="20% - Accent2 3 2 4 3" xfId="5760" xr:uid="{00000000-0005-0000-0000-0000FF000000}"/>
    <cellStyle name="20% - Accent2 3 2 4 3 2" xfId="14195" xr:uid="{B774D2C5-77FB-43EF-A75E-236D4966556E}"/>
    <cellStyle name="20% - Accent2 3 2 4 4" xfId="9977" xr:uid="{30915702-75A1-4CBB-9295-908F6D658446}"/>
    <cellStyle name="20% - Accent2 3 2 5" xfId="1866" xr:uid="{00000000-0005-0000-0000-000000010000}"/>
    <cellStyle name="20% - Accent2 3 2 5 2" xfId="4095" xr:uid="{00000000-0005-0000-0000-000001010000}"/>
    <cellStyle name="20% - Accent2 3 2 5 2 2" xfId="8318" xr:uid="{00000000-0005-0000-0000-000002010000}"/>
    <cellStyle name="20% - Accent2 3 2 5 2 2 2" xfId="16753" xr:uid="{10DEC9D6-B64B-4D50-A762-1C53BC4C98FC}"/>
    <cellStyle name="20% - Accent2 3 2 5 2 3" xfId="12535" xr:uid="{6A5CBA5E-451E-4C80-AF3A-044E4C6EFBB6}"/>
    <cellStyle name="20% - Accent2 3 2 5 3" xfId="6173" xr:uid="{00000000-0005-0000-0000-000003010000}"/>
    <cellStyle name="20% - Accent2 3 2 5 3 2" xfId="14608" xr:uid="{F3ECB15D-DAFC-41D3-BEED-F098AF98AEE3}"/>
    <cellStyle name="20% - Accent2 3 2 5 4" xfId="10390" xr:uid="{24F3C660-FDA2-45DB-A97F-3304F3CB660D}"/>
    <cellStyle name="20% - Accent2 3 2 6" xfId="2279" xr:uid="{00000000-0005-0000-0000-000004010000}"/>
    <cellStyle name="20% - Accent2 3 2 6 2" xfId="6586" xr:uid="{00000000-0005-0000-0000-000005010000}"/>
    <cellStyle name="20% - Accent2 3 2 6 2 2" xfId="15021" xr:uid="{3E3FB4EA-18A9-4D71-B008-1D7D68198D94}"/>
    <cellStyle name="20% - Accent2 3 2 6 3" xfId="10803" xr:uid="{CBC143F3-2FB3-4F93-B8EC-F7A084AE2B0C}"/>
    <cellStyle name="20% - Accent2 3 2 7" xfId="4520" xr:uid="{00000000-0005-0000-0000-000006010000}"/>
    <cellStyle name="20% - Accent2 3 2 7 2" xfId="12955" xr:uid="{34CC2032-88F9-4180-870A-221687659771}"/>
    <cellStyle name="20% - Accent2 3 2 8" xfId="8737" xr:uid="{D5CD71DD-1A9F-4FFE-BBC5-113C573D1150}"/>
    <cellStyle name="20% - Accent2 3 3" xfId="584" xr:uid="{00000000-0005-0000-0000-000007010000}"/>
    <cellStyle name="20% - Accent2 3 3 2" xfId="2855" xr:uid="{00000000-0005-0000-0000-000008010000}"/>
    <cellStyle name="20% - Accent2 3 3 2 2" xfId="7078" xr:uid="{00000000-0005-0000-0000-000009010000}"/>
    <cellStyle name="20% - Accent2 3 3 2 2 2" xfId="15513" xr:uid="{134DEB09-E5B9-4AFF-A6DA-3F673F880374}"/>
    <cellStyle name="20% - Accent2 3 3 2 3" xfId="11295" xr:uid="{6FAF9D0A-BDFF-4FD2-B55E-4F02674CD230}"/>
    <cellStyle name="20% - Accent2 3 3 3" xfId="4933" xr:uid="{00000000-0005-0000-0000-00000A010000}"/>
    <cellStyle name="20% - Accent2 3 3 3 2" xfId="13368" xr:uid="{D8538674-E4A7-414C-A1A8-76CF556D9929}"/>
    <cellStyle name="20% - Accent2 3 3 4" xfId="9150" xr:uid="{1C365D24-6FF1-4D56-92E4-A1FA8EC46BB0}"/>
    <cellStyle name="20% - Accent2 3 4" xfId="1037" xr:uid="{00000000-0005-0000-0000-00000B010000}"/>
    <cellStyle name="20% - Accent2 3 4 2" xfId="3268" xr:uid="{00000000-0005-0000-0000-00000C010000}"/>
    <cellStyle name="20% - Accent2 3 4 2 2" xfId="7491" xr:uid="{00000000-0005-0000-0000-00000D010000}"/>
    <cellStyle name="20% - Accent2 3 4 2 2 2" xfId="15926" xr:uid="{C0FC5C37-DDBB-4D66-9DB4-D6CB8721B327}"/>
    <cellStyle name="20% - Accent2 3 4 2 3" xfId="11708" xr:uid="{A989FEBB-4A06-488E-8C7F-606C272CE449}"/>
    <cellStyle name="20% - Accent2 3 4 3" xfId="5346" xr:uid="{00000000-0005-0000-0000-00000E010000}"/>
    <cellStyle name="20% - Accent2 3 4 3 2" xfId="13781" xr:uid="{A9F8477B-9CDA-4736-9F20-02D38653465D}"/>
    <cellStyle name="20% - Accent2 3 4 4" xfId="9563" xr:uid="{1167E1A7-3DB0-4F79-811F-41C41321E421}"/>
    <cellStyle name="20% - Accent2 3 5" xfId="1451" xr:uid="{00000000-0005-0000-0000-00000F010000}"/>
    <cellStyle name="20% - Accent2 3 5 2" xfId="3681" xr:uid="{00000000-0005-0000-0000-000010010000}"/>
    <cellStyle name="20% - Accent2 3 5 2 2" xfId="7904" xr:uid="{00000000-0005-0000-0000-000011010000}"/>
    <cellStyle name="20% - Accent2 3 5 2 2 2" xfId="16339" xr:uid="{84A91955-CCD2-4520-8740-4F47CA1323D3}"/>
    <cellStyle name="20% - Accent2 3 5 2 3" xfId="12121" xr:uid="{83CED6F5-6FE7-43C0-9360-1D14AB08B2EC}"/>
    <cellStyle name="20% - Accent2 3 5 3" xfId="5759" xr:uid="{00000000-0005-0000-0000-000012010000}"/>
    <cellStyle name="20% - Accent2 3 5 3 2" xfId="14194" xr:uid="{FD0E7495-7E5E-4703-AFBA-D096CA13D1EC}"/>
    <cellStyle name="20% - Accent2 3 5 4" xfId="9976" xr:uid="{9822AC95-C45C-4E21-8D53-6734A330B064}"/>
    <cellStyle name="20% - Accent2 3 6" xfId="1865" xr:uid="{00000000-0005-0000-0000-000013010000}"/>
    <cellStyle name="20% - Accent2 3 6 2" xfId="4094" xr:uid="{00000000-0005-0000-0000-000014010000}"/>
    <cellStyle name="20% - Accent2 3 6 2 2" xfId="8317" xr:uid="{00000000-0005-0000-0000-000015010000}"/>
    <cellStyle name="20% - Accent2 3 6 2 2 2" xfId="16752" xr:uid="{14BF6A6A-3742-4FF1-9ED2-C108730A1284}"/>
    <cellStyle name="20% - Accent2 3 6 2 3" xfId="12534" xr:uid="{F5A536C5-CA02-472A-A612-71E1A09472C9}"/>
    <cellStyle name="20% - Accent2 3 6 3" xfId="6172" xr:uid="{00000000-0005-0000-0000-000016010000}"/>
    <cellStyle name="20% - Accent2 3 6 3 2" xfId="14607" xr:uid="{3731BD2C-518F-4C17-B7C6-9C4390D98EBD}"/>
    <cellStyle name="20% - Accent2 3 6 4" xfId="10389" xr:uid="{4E516B98-D00A-46F3-AB9E-0A2CCD972A94}"/>
    <cellStyle name="20% - Accent2 3 7" xfId="2278" xr:uid="{00000000-0005-0000-0000-000017010000}"/>
    <cellStyle name="20% - Accent2 3 7 2" xfId="6585" xr:uid="{00000000-0005-0000-0000-000018010000}"/>
    <cellStyle name="20% - Accent2 3 7 2 2" xfId="15020" xr:uid="{96CA20B3-5C3E-4E81-9DCF-EF2A11F210CC}"/>
    <cellStyle name="20% - Accent2 3 7 3" xfId="10802" xr:uid="{55D90B9A-F67B-4537-88E4-BD6F2BE146F0}"/>
    <cellStyle name="20% - Accent2 3 8" xfId="4519" xr:uid="{00000000-0005-0000-0000-000019010000}"/>
    <cellStyle name="20% - Accent2 3 8 2" xfId="12954" xr:uid="{B7154DDC-DE7D-481B-A08B-992F508188CB}"/>
    <cellStyle name="20% - Accent2 3 9" xfId="8736" xr:uid="{6B3B422E-8F25-4DCF-B7B8-0273E33A85D4}"/>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2 2 2" xfId="15515" xr:uid="{18F9C815-FE01-42C8-9000-6C71756A0C16}"/>
    <cellStyle name="20% - Accent2 4 2 2 3" xfId="11297" xr:uid="{9D55F981-AF3D-4414-B3B2-F1332999741D}"/>
    <cellStyle name="20% - Accent2 4 2 3" xfId="4935" xr:uid="{00000000-0005-0000-0000-00001E010000}"/>
    <cellStyle name="20% - Accent2 4 2 3 2" xfId="13370" xr:uid="{29A3309A-D2D7-4675-8786-7214F67F71E5}"/>
    <cellStyle name="20% - Accent2 4 2 4" xfId="9152" xr:uid="{2F8D89FC-8ED8-4BC2-B05F-6AAC1F68EFF1}"/>
    <cellStyle name="20% - Accent2 4 3" xfId="1039" xr:uid="{00000000-0005-0000-0000-00001F010000}"/>
    <cellStyle name="20% - Accent2 4 3 2" xfId="3270" xr:uid="{00000000-0005-0000-0000-000020010000}"/>
    <cellStyle name="20% - Accent2 4 3 2 2" xfId="7493" xr:uid="{00000000-0005-0000-0000-000021010000}"/>
    <cellStyle name="20% - Accent2 4 3 2 2 2" xfId="15928" xr:uid="{46F9E9DA-5EEC-449F-9313-37592698DBC1}"/>
    <cellStyle name="20% - Accent2 4 3 2 3" xfId="11710" xr:uid="{796063BE-8707-409E-AF5C-232CA85CDF30}"/>
    <cellStyle name="20% - Accent2 4 3 3" xfId="5348" xr:uid="{00000000-0005-0000-0000-000022010000}"/>
    <cellStyle name="20% - Accent2 4 3 3 2" xfId="13783" xr:uid="{A5411F6E-D880-4E35-8BA7-A293295D3C1C}"/>
    <cellStyle name="20% - Accent2 4 3 4" xfId="9565" xr:uid="{6CB1FF33-EBA8-4709-9273-D6B8D2127FE9}"/>
    <cellStyle name="20% - Accent2 4 4" xfId="1453" xr:uid="{00000000-0005-0000-0000-000023010000}"/>
    <cellStyle name="20% - Accent2 4 4 2" xfId="3683" xr:uid="{00000000-0005-0000-0000-000024010000}"/>
    <cellStyle name="20% - Accent2 4 4 2 2" xfId="7906" xr:uid="{00000000-0005-0000-0000-000025010000}"/>
    <cellStyle name="20% - Accent2 4 4 2 2 2" xfId="16341" xr:uid="{7E0652D9-A044-4C4F-A032-6A01B50883E8}"/>
    <cellStyle name="20% - Accent2 4 4 2 3" xfId="12123" xr:uid="{754F9746-3B17-48C6-A9AC-9E0F77AB9267}"/>
    <cellStyle name="20% - Accent2 4 4 3" xfId="5761" xr:uid="{00000000-0005-0000-0000-000026010000}"/>
    <cellStyle name="20% - Accent2 4 4 3 2" xfId="14196" xr:uid="{B6BF3ED3-669E-42EF-997D-2465CD2F24E8}"/>
    <cellStyle name="20% - Accent2 4 4 4" xfId="9978" xr:uid="{BE41D09E-E8CB-467C-8551-B54F2CD98079}"/>
    <cellStyle name="20% - Accent2 4 5" xfId="1867" xr:uid="{00000000-0005-0000-0000-000027010000}"/>
    <cellStyle name="20% - Accent2 4 5 2" xfId="4096" xr:uid="{00000000-0005-0000-0000-000028010000}"/>
    <cellStyle name="20% - Accent2 4 5 2 2" xfId="8319" xr:uid="{00000000-0005-0000-0000-000029010000}"/>
    <cellStyle name="20% - Accent2 4 5 2 2 2" xfId="16754" xr:uid="{9AAA19AB-0EE7-499A-8D78-FF01264DB765}"/>
    <cellStyle name="20% - Accent2 4 5 2 3" xfId="12536" xr:uid="{A2EB032C-D3ED-4246-8CFA-418A422EAC0F}"/>
    <cellStyle name="20% - Accent2 4 5 3" xfId="6174" xr:uid="{00000000-0005-0000-0000-00002A010000}"/>
    <cellStyle name="20% - Accent2 4 5 3 2" xfId="14609" xr:uid="{F1BEDB24-7B5C-4B3F-B9B9-EAEDE777D94A}"/>
    <cellStyle name="20% - Accent2 4 5 4" xfId="10391" xr:uid="{32B31D8B-A0AB-4BB6-8002-D799D16C94DD}"/>
    <cellStyle name="20% - Accent2 4 6" xfId="2280" xr:uid="{00000000-0005-0000-0000-00002B010000}"/>
    <cellStyle name="20% - Accent2 4 6 2" xfId="6587" xr:uid="{00000000-0005-0000-0000-00002C010000}"/>
    <cellStyle name="20% - Accent2 4 6 2 2" xfId="15022" xr:uid="{B6F3E8E4-17B0-44DD-A5E8-D7EF6F774A00}"/>
    <cellStyle name="20% - Accent2 4 6 3" xfId="10804" xr:uid="{1966F3BC-1AC2-43BF-92F7-F6A2B473D6F6}"/>
    <cellStyle name="20% - Accent2 4 7" xfId="4521" xr:uid="{00000000-0005-0000-0000-00002D010000}"/>
    <cellStyle name="20% - Accent2 4 7 2" xfId="12956" xr:uid="{E05251E6-A37F-494F-A2BA-386947C2576E}"/>
    <cellStyle name="20% - Accent2 4 8" xfId="8738" xr:uid="{3FD1B290-ED6B-4037-A821-F09311B47D21}"/>
    <cellStyle name="20% - Accent2 5" xfId="579" xr:uid="{00000000-0005-0000-0000-00002E010000}"/>
    <cellStyle name="20% - Accent2 5 2" xfId="2850" xr:uid="{00000000-0005-0000-0000-00002F010000}"/>
    <cellStyle name="20% - Accent2 5 2 2" xfId="7073" xr:uid="{00000000-0005-0000-0000-000030010000}"/>
    <cellStyle name="20% - Accent2 5 2 2 2" xfId="15508" xr:uid="{03E0C4D9-1D8E-431B-9436-DC10C6517D19}"/>
    <cellStyle name="20% - Accent2 5 2 3" xfId="11290" xr:uid="{563C896F-A9AE-4A02-92B7-594E70309D4F}"/>
    <cellStyle name="20% - Accent2 5 3" xfId="4928" xr:uid="{00000000-0005-0000-0000-000031010000}"/>
    <cellStyle name="20% - Accent2 5 3 2" xfId="13363" xr:uid="{EC229133-19AC-4910-B20B-5384EE79F77F}"/>
    <cellStyle name="20% - Accent2 5 4" xfId="9145" xr:uid="{D0B5B3F8-DF69-4224-BFEC-C8B518F786DB}"/>
    <cellStyle name="20% - Accent2 6" xfId="1032" xr:uid="{00000000-0005-0000-0000-000032010000}"/>
    <cellStyle name="20% - Accent2 6 2" xfId="3263" xr:uid="{00000000-0005-0000-0000-000033010000}"/>
    <cellStyle name="20% - Accent2 6 2 2" xfId="7486" xr:uid="{00000000-0005-0000-0000-000034010000}"/>
    <cellStyle name="20% - Accent2 6 2 2 2" xfId="15921" xr:uid="{58661805-A3EF-4BF3-8B84-137B4AD800D3}"/>
    <cellStyle name="20% - Accent2 6 2 3" xfId="11703" xr:uid="{19F318E3-CAAB-4E67-B1BC-25C498D7FBB6}"/>
    <cellStyle name="20% - Accent2 6 3" xfId="5341" xr:uid="{00000000-0005-0000-0000-000035010000}"/>
    <cellStyle name="20% - Accent2 6 3 2" xfId="13776" xr:uid="{240A49FD-F1F8-4349-9422-CCED7AB10E24}"/>
    <cellStyle name="20% - Accent2 6 4" xfId="9558" xr:uid="{3A2BB342-BD44-4652-A5DE-A827C8F10DB2}"/>
    <cellStyle name="20% - Accent2 7" xfId="1446" xr:uid="{00000000-0005-0000-0000-000036010000}"/>
    <cellStyle name="20% - Accent2 7 2" xfId="3676" xr:uid="{00000000-0005-0000-0000-000037010000}"/>
    <cellStyle name="20% - Accent2 7 2 2" xfId="7899" xr:uid="{00000000-0005-0000-0000-000038010000}"/>
    <cellStyle name="20% - Accent2 7 2 2 2" xfId="16334" xr:uid="{2FBF890F-0D92-4FFA-9855-B5DF8AFD60D8}"/>
    <cellStyle name="20% - Accent2 7 2 3" xfId="12116" xr:uid="{D16FD316-8B6A-4C58-9AB2-A66932B18AD3}"/>
    <cellStyle name="20% - Accent2 7 3" xfId="5754" xr:uid="{00000000-0005-0000-0000-000039010000}"/>
    <cellStyle name="20% - Accent2 7 3 2" xfId="14189" xr:uid="{F5640CB9-C78B-4507-97F5-9572C64449BD}"/>
    <cellStyle name="20% - Accent2 7 4" xfId="9971" xr:uid="{78B7850F-FFDC-4ADE-B65D-CA7A6DF462EF}"/>
    <cellStyle name="20% - Accent2 8" xfId="1860" xr:uid="{00000000-0005-0000-0000-00003A010000}"/>
    <cellStyle name="20% - Accent2 8 2" xfId="4089" xr:uid="{00000000-0005-0000-0000-00003B010000}"/>
    <cellStyle name="20% - Accent2 8 2 2" xfId="8312" xr:uid="{00000000-0005-0000-0000-00003C010000}"/>
    <cellStyle name="20% - Accent2 8 2 2 2" xfId="16747" xr:uid="{8B94F121-7B8E-4E20-B0BD-1CFFECA86378}"/>
    <cellStyle name="20% - Accent2 8 2 3" xfId="12529" xr:uid="{81F25044-F44D-46EF-8770-31A3EF775C23}"/>
    <cellStyle name="20% - Accent2 8 3" xfId="6167" xr:uid="{00000000-0005-0000-0000-00003D010000}"/>
    <cellStyle name="20% - Accent2 8 3 2" xfId="14602" xr:uid="{997948ED-450E-406E-965A-64A82B50EA2D}"/>
    <cellStyle name="20% - Accent2 8 4" xfId="10384" xr:uid="{351CFFC7-3570-4CD4-81DD-3B3D10916EDA}"/>
    <cellStyle name="20% - Accent2 9" xfId="2273" xr:uid="{00000000-0005-0000-0000-00003E010000}"/>
    <cellStyle name="20% - Accent2 9 2" xfId="6580" xr:uid="{00000000-0005-0000-0000-00003F010000}"/>
    <cellStyle name="20% - Accent2 9 2 2" xfId="15015" xr:uid="{FAF8C873-0E32-49DF-A615-1010F9EDDD4D}"/>
    <cellStyle name="20% - Accent2 9 3" xfId="10797" xr:uid="{580CBAAC-775C-43AF-BFC0-DFD9DE5B0288}"/>
    <cellStyle name="20% - Accent3" xfId="17" builtinId="38" customBuiltin="1"/>
    <cellStyle name="20% - Accent3 10" xfId="4522" xr:uid="{00000000-0005-0000-0000-000041010000}"/>
    <cellStyle name="20% - Accent3 10 2" xfId="12957" xr:uid="{7C745CE2-2762-48D1-AD50-AD20EE1519EF}"/>
    <cellStyle name="20% - Accent3 11" xfId="8739" xr:uid="{0C6E2D53-2D98-4E6E-A514-3D888A1ACAD4}"/>
    <cellStyle name="20% - Accent3 2" xfId="18" xr:uid="{00000000-0005-0000-0000-000042010000}"/>
    <cellStyle name="20% - Accent3 2 10" xfId="8740" xr:uid="{FACE4DFE-D394-4647-96FF-A0FD853469D5}"/>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2 2 2" xfId="15519" xr:uid="{6B5E690F-69C2-4DD5-808A-05BE7CA549DD}"/>
    <cellStyle name="20% - Accent3 2 2 2 2 2 3" xfId="11301" xr:uid="{C11C4401-1517-4B5D-AA59-935ADBFF9DB2}"/>
    <cellStyle name="20% - Accent3 2 2 2 2 3" xfId="4939" xr:uid="{00000000-0005-0000-0000-000048010000}"/>
    <cellStyle name="20% - Accent3 2 2 2 2 3 2" xfId="13374" xr:uid="{181D6C4B-7025-4895-B488-E1BCFA79A332}"/>
    <cellStyle name="20% - Accent3 2 2 2 2 4" xfId="9156" xr:uid="{58CA98D3-42A8-4C62-B3C7-2A582FB9C68F}"/>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2 2 2" xfId="15932" xr:uid="{EFADE6CB-0714-499B-AFE2-64D072355320}"/>
    <cellStyle name="20% - Accent3 2 2 2 3 2 3" xfId="11714" xr:uid="{52D73211-3DAE-4C3A-8B6E-576DE28769A1}"/>
    <cellStyle name="20% - Accent3 2 2 2 3 3" xfId="5352" xr:uid="{00000000-0005-0000-0000-00004C010000}"/>
    <cellStyle name="20% - Accent3 2 2 2 3 3 2" xfId="13787" xr:uid="{4E2BF1DE-8F32-46B8-9B00-935DB34DD65D}"/>
    <cellStyle name="20% - Accent3 2 2 2 3 4" xfId="9569" xr:uid="{2A54394E-A4B5-4548-80AA-A213B9419A89}"/>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2 2 2" xfId="16345" xr:uid="{3D0FF505-66A1-47EB-A2A1-17854FDDEF55}"/>
    <cellStyle name="20% - Accent3 2 2 2 4 2 3" xfId="12127" xr:uid="{303C5FE4-8007-4230-9FAD-5E3B6E2C0C22}"/>
    <cellStyle name="20% - Accent3 2 2 2 4 3" xfId="5765" xr:uid="{00000000-0005-0000-0000-000050010000}"/>
    <cellStyle name="20% - Accent3 2 2 2 4 3 2" xfId="14200" xr:uid="{22433975-FF9C-4D95-983C-C1C85E850FA7}"/>
    <cellStyle name="20% - Accent3 2 2 2 4 4" xfId="9982" xr:uid="{B785047C-A518-4D37-9C55-890827CAEA78}"/>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2 2 2" xfId="16758" xr:uid="{CB1935E9-7662-484E-B869-F7FDB4EE5C58}"/>
    <cellStyle name="20% - Accent3 2 2 2 5 2 3" xfId="12540" xr:uid="{51BD722D-6FFF-4DC9-BD4F-4972CA2E819A}"/>
    <cellStyle name="20% - Accent3 2 2 2 5 3" xfId="6178" xr:uid="{00000000-0005-0000-0000-000054010000}"/>
    <cellStyle name="20% - Accent3 2 2 2 5 3 2" xfId="14613" xr:uid="{EA99765A-6F2A-42C6-B901-CFCBFA555F47}"/>
    <cellStyle name="20% - Accent3 2 2 2 5 4" xfId="10395" xr:uid="{D29D13FD-4895-491D-85B5-67F76750105A}"/>
    <cellStyle name="20% - Accent3 2 2 2 6" xfId="2284" xr:uid="{00000000-0005-0000-0000-000055010000}"/>
    <cellStyle name="20% - Accent3 2 2 2 6 2" xfId="6591" xr:uid="{00000000-0005-0000-0000-000056010000}"/>
    <cellStyle name="20% - Accent3 2 2 2 6 2 2" xfId="15026" xr:uid="{43D4F87C-74D0-4CC5-BAF4-612017E56EEB}"/>
    <cellStyle name="20% - Accent3 2 2 2 6 3" xfId="10808" xr:uid="{665D6FBB-3838-4F04-A3C8-CE04458AB00E}"/>
    <cellStyle name="20% - Accent3 2 2 2 7" xfId="4525" xr:uid="{00000000-0005-0000-0000-000057010000}"/>
    <cellStyle name="20% - Accent3 2 2 2 7 2" xfId="12960" xr:uid="{0354A7F0-484E-4A95-8688-8AA49E375252}"/>
    <cellStyle name="20% - Accent3 2 2 2 8" xfId="8742" xr:uid="{65F50E74-6573-4818-819D-798AD0710A29}"/>
    <cellStyle name="20% - Accent3 2 2 3" xfId="589" xr:uid="{00000000-0005-0000-0000-000058010000}"/>
    <cellStyle name="20% - Accent3 2 2 3 2" xfId="2860" xr:uid="{00000000-0005-0000-0000-000059010000}"/>
    <cellStyle name="20% - Accent3 2 2 3 2 2" xfId="7083" xr:uid="{00000000-0005-0000-0000-00005A010000}"/>
    <cellStyle name="20% - Accent3 2 2 3 2 2 2" xfId="15518" xr:uid="{B1FBEDD8-2184-4939-8E96-A82C41DF5573}"/>
    <cellStyle name="20% - Accent3 2 2 3 2 3" xfId="11300" xr:uid="{2DEC713A-FB1A-48BF-A871-96060E8BF1B1}"/>
    <cellStyle name="20% - Accent3 2 2 3 3" xfId="4938" xr:uid="{00000000-0005-0000-0000-00005B010000}"/>
    <cellStyle name="20% - Accent3 2 2 3 3 2" xfId="13373" xr:uid="{CE969A6E-1F8C-41DC-B4D4-714A80D302E5}"/>
    <cellStyle name="20% - Accent3 2 2 3 4" xfId="9155" xr:uid="{D5388FD0-5065-4C54-B325-A7DFFFCB826A}"/>
    <cellStyle name="20% - Accent3 2 2 4" xfId="1042" xr:uid="{00000000-0005-0000-0000-00005C010000}"/>
    <cellStyle name="20% - Accent3 2 2 4 2" xfId="3273" xr:uid="{00000000-0005-0000-0000-00005D010000}"/>
    <cellStyle name="20% - Accent3 2 2 4 2 2" xfId="7496" xr:uid="{00000000-0005-0000-0000-00005E010000}"/>
    <cellStyle name="20% - Accent3 2 2 4 2 2 2" xfId="15931" xr:uid="{D1223E60-C91B-491E-BB01-4A401BF90794}"/>
    <cellStyle name="20% - Accent3 2 2 4 2 3" xfId="11713" xr:uid="{0429FD61-03AC-4953-AC56-478A787BBC7A}"/>
    <cellStyle name="20% - Accent3 2 2 4 3" xfId="5351" xr:uid="{00000000-0005-0000-0000-00005F010000}"/>
    <cellStyle name="20% - Accent3 2 2 4 3 2" xfId="13786" xr:uid="{FD329B37-D41A-48F4-A2F7-CDDAEA24B583}"/>
    <cellStyle name="20% - Accent3 2 2 4 4" xfId="9568" xr:uid="{A43BA146-E8DF-4D6D-B1C2-8853791AF0EE}"/>
    <cellStyle name="20% - Accent3 2 2 5" xfId="1456" xr:uid="{00000000-0005-0000-0000-000060010000}"/>
    <cellStyle name="20% - Accent3 2 2 5 2" xfId="3686" xr:uid="{00000000-0005-0000-0000-000061010000}"/>
    <cellStyle name="20% - Accent3 2 2 5 2 2" xfId="7909" xr:uid="{00000000-0005-0000-0000-000062010000}"/>
    <cellStyle name="20% - Accent3 2 2 5 2 2 2" xfId="16344" xr:uid="{D814333A-32C2-4AF0-8526-FE4DF820C36F}"/>
    <cellStyle name="20% - Accent3 2 2 5 2 3" xfId="12126" xr:uid="{71174455-A618-42A0-BF1F-AB011F799414}"/>
    <cellStyle name="20% - Accent3 2 2 5 3" xfId="5764" xr:uid="{00000000-0005-0000-0000-000063010000}"/>
    <cellStyle name="20% - Accent3 2 2 5 3 2" xfId="14199" xr:uid="{B254EE60-EED0-4D2F-8559-057DD9711392}"/>
    <cellStyle name="20% - Accent3 2 2 5 4" xfId="9981" xr:uid="{12562521-800A-4E9E-A2E1-63049C172E83}"/>
    <cellStyle name="20% - Accent3 2 2 6" xfId="1870" xr:uid="{00000000-0005-0000-0000-000064010000}"/>
    <cellStyle name="20% - Accent3 2 2 6 2" xfId="4099" xr:uid="{00000000-0005-0000-0000-000065010000}"/>
    <cellStyle name="20% - Accent3 2 2 6 2 2" xfId="8322" xr:uid="{00000000-0005-0000-0000-000066010000}"/>
    <cellStyle name="20% - Accent3 2 2 6 2 2 2" xfId="16757" xr:uid="{0232ED99-E03D-490C-91E2-827FECF9B03E}"/>
    <cellStyle name="20% - Accent3 2 2 6 2 3" xfId="12539" xr:uid="{F61CE358-E317-4CED-A708-F871DB813EA1}"/>
    <cellStyle name="20% - Accent3 2 2 6 3" xfId="6177" xr:uid="{00000000-0005-0000-0000-000067010000}"/>
    <cellStyle name="20% - Accent3 2 2 6 3 2" xfId="14612" xr:uid="{26B29823-6506-4BC6-87DC-9601CC5E8F8B}"/>
    <cellStyle name="20% - Accent3 2 2 6 4" xfId="10394" xr:uid="{335DC580-8947-4104-8543-EA153060A680}"/>
    <cellStyle name="20% - Accent3 2 2 7" xfId="2283" xr:uid="{00000000-0005-0000-0000-000068010000}"/>
    <cellStyle name="20% - Accent3 2 2 7 2" xfId="6590" xr:uid="{00000000-0005-0000-0000-000069010000}"/>
    <cellStyle name="20% - Accent3 2 2 7 2 2" xfId="15025" xr:uid="{DEF9A507-745E-4A40-B47D-8BF41DD9EEDC}"/>
    <cellStyle name="20% - Accent3 2 2 7 3" xfId="10807" xr:uid="{C4058F51-7E4A-47A2-A04F-4B2049038B17}"/>
    <cellStyle name="20% - Accent3 2 2 8" xfId="4524" xr:uid="{00000000-0005-0000-0000-00006A010000}"/>
    <cellStyle name="20% - Accent3 2 2 8 2" xfId="12959" xr:uid="{949720E2-7FDB-421C-A904-9B6626E47C32}"/>
    <cellStyle name="20% - Accent3 2 2 9" xfId="8741" xr:uid="{0BEDA3E7-CECA-4561-9CED-F715E6246C63}"/>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2 2 2" xfId="15520" xr:uid="{D256D198-583F-4B8C-8AC1-D55B833D1C08}"/>
    <cellStyle name="20% - Accent3 2 3 2 2 3" xfId="11302" xr:uid="{7C208B43-A303-4C29-B0A1-608D3708ED96}"/>
    <cellStyle name="20% - Accent3 2 3 2 3" xfId="4940" xr:uid="{00000000-0005-0000-0000-00006F010000}"/>
    <cellStyle name="20% - Accent3 2 3 2 3 2" xfId="13375" xr:uid="{02932AB0-C020-4C21-BEEA-F33A24F5A812}"/>
    <cellStyle name="20% - Accent3 2 3 2 4" xfId="9157" xr:uid="{1AE1038E-ECC2-4A64-A0DE-F4F00EE1CECB}"/>
    <cellStyle name="20% - Accent3 2 3 3" xfId="1044" xr:uid="{00000000-0005-0000-0000-000070010000}"/>
    <cellStyle name="20% - Accent3 2 3 3 2" xfId="3275" xr:uid="{00000000-0005-0000-0000-000071010000}"/>
    <cellStyle name="20% - Accent3 2 3 3 2 2" xfId="7498" xr:uid="{00000000-0005-0000-0000-000072010000}"/>
    <cellStyle name="20% - Accent3 2 3 3 2 2 2" xfId="15933" xr:uid="{05184A0F-2BA8-4F72-9000-83AC263D1B3F}"/>
    <cellStyle name="20% - Accent3 2 3 3 2 3" xfId="11715" xr:uid="{57AC4689-D787-480E-B516-922ACA971413}"/>
    <cellStyle name="20% - Accent3 2 3 3 3" xfId="5353" xr:uid="{00000000-0005-0000-0000-000073010000}"/>
    <cellStyle name="20% - Accent3 2 3 3 3 2" xfId="13788" xr:uid="{409E2313-EC1F-472D-9B68-D6411C1025E2}"/>
    <cellStyle name="20% - Accent3 2 3 3 4" xfId="9570" xr:uid="{1A8317BC-7952-474F-8D44-A6768265EFB1}"/>
    <cellStyle name="20% - Accent3 2 3 4" xfId="1458" xr:uid="{00000000-0005-0000-0000-000074010000}"/>
    <cellStyle name="20% - Accent3 2 3 4 2" xfId="3688" xr:uid="{00000000-0005-0000-0000-000075010000}"/>
    <cellStyle name="20% - Accent3 2 3 4 2 2" xfId="7911" xr:uid="{00000000-0005-0000-0000-000076010000}"/>
    <cellStyle name="20% - Accent3 2 3 4 2 2 2" xfId="16346" xr:uid="{7C0EE30B-8307-42BD-8EC0-4C4210FFF361}"/>
    <cellStyle name="20% - Accent3 2 3 4 2 3" xfId="12128" xr:uid="{71CA02E7-527A-46A2-B779-3A365A87F8C7}"/>
    <cellStyle name="20% - Accent3 2 3 4 3" xfId="5766" xr:uid="{00000000-0005-0000-0000-000077010000}"/>
    <cellStyle name="20% - Accent3 2 3 4 3 2" xfId="14201" xr:uid="{2FC6FF18-DCD0-4358-B0C6-4383402517A5}"/>
    <cellStyle name="20% - Accent3 2 3 4 4" xfId="9983" xr:uid="{43F2E950-B0E6-43A4-8786-60D613C74B89}"/>
    <cellStyle name="20% - Accent3 2 3 5" xfId="1872" xr:uid="{00000000-0005-0000-0000-000078010000}"/>
    <cellStyle name="20% - Accent3 2 3 5 2" xfId="4101" xr:uid="{00000000-0005-0000-0000-000079010000}"/>
    <cellStyle name="20% - Accent3 2 3 5 2 2" xfId="8324" xr:uid="{00000000-0005-0000-0000-00007A010000}"/>
    <cellStyle name="20% - Accent3 2 3 5 2 2 2" xfId="16759" xr:uid="{0BBB5CC9-79E2-4557-99E7-E113ABEB59B9}"/>
    <cellStyle name="20% - Accent3 2 3 5 2 3" xfId="12541" xr:uid="{645D6E5B-9D87-4CDB-A43F-012931B1DE50}"/>
    <cellStyle name="20% - Accent3 2 3 5 3" xfId="6179" xr:uid="{00000000-0005-0000-0000-00007B010000}"/>
    <cellStyle name="20% - Accent3 2 3 5 3 2" xfId="14614" xr:uid="{FB0BF9F6-0975-4BC7-BB27-F07F9BEDA87C}"/>
    <cellStyle name="20% - Accent3 2 3 5 4" xfId="10396" xr:uid="{73FC0162-91B9-4AFA-B49D-EC7E59001948}"/>
    <cellStyle name="20% - Accent3 2 3 6" xfId="2285" xr:uid="{00000000-0005-0000-0000-00007C010000}"/>
    <cellStyle name="20% - Accent3 2 3 6 2" xfId="6592" xr:uid="{00000000-0005-0000-0000-00007D010000}"/>
    <cellStyle name="20% - Accent3 2 3 6 2 2" xfId="15027" xr:uid="{7C9F3D71-6470-4F05-AAC3-742B1A507611}"/>
    <cellStyle name="20% - Accent3 2 3 6 3" xfId="10809" xr:uid="{8D6802F3-1903-4658-B17F-B45BDEEBF000}"/>
    <cellStyle name="20% - Accent3 2 3 7" xfId="4526" xr:uid="{00000000-0005-0000-0000-00007E010000}"/>
    <cellStyle name="20% - Accent3 2 3 7 2" xfId="12961" xr:uid="{32A247AF-990F-4200-8BCB-8ADE7A45AB19}"/>
    <cellStyle name="20% - Accent3 2 3 8" xfId="8743" xr:uid="{085B7F0F-05DE-492D-894B-53902D136DCD}"/>
    <cellStyle name="20% - Accent3 2 4" xfId="588" xr:uid="{00000000-0005-0000-0000-00007F010000}"/>
    <cellStyle name="20% - Accent3 2 4 2" xfId="2859" xr:uid="{00000000-0005-0000-0000-000080010000}"/>
    <cellStyle name="20% - Accent3 2 4 2 2" xfId="7082" xr:uid="{00000000-0005-0000-0000-000081010000}"/>
    <cellStyle name="20% - Accent3 2 4 2 2 2" xfId="15517" xr:uid="{29B58A64-DEC6-4826-8A83-20F9B18FEA61}"/>
    <cellStyle name="20% - Accent3 2 4 2 3" xfId="11299" xr:uid="{74A37FCA-85F5-4092-BAFE-187A00217B19}"/>
    <cellStyle name="20% - Accent3 2 4 3" xfId="4937" xr:uid="{00000000-0005-0000-0000-000082010000}"/>
    <cellStyle name="20% - Accent3 2 4 3 2" xfId="13372" xr:uid="{E85EC766-FD11-4E97-8738-C8E50D8C29E3}"/>
    <cellStyle name="20% - Accent3 2 4 4" xfId="9154" xr:uid="{D41DC30D-DD45-4038-9FD2-3328DFEFBA03}"/>
    <cellStyle name="20% - Accent3 2 5" xfId="1041" xr:uid="{00000000-0005-0000-0000-000083010000}"/>
    <cellStyle name="20% - Accent3 2 5 2" xfId="3272" xr:uid="{00000000-0005-0000-0000-000084010000}"/>
    <cellStyle name="20% - Accent3 2 5 2 2" xfId="7495" xr:uid="{00000000-0005-0000-0000-000085010000}"/>
    <cellStyle name="20% - Accent3 2 5 2 2 2" xfId="15930" xr:uid="{6C737484-4776-4254-B476-31421448D7D4}"/>
    <cellStyle name="20% - Accent3 2 5 2 3" xfId="11712" xr:uid="{F80692F4-998E-4D76-B031-DEBEF523697A}"/>
    <cellStyle name="20% - Accent3 2 5 3" xfId="5350" xr:uid="{00000000-0005-0000-0000-000086010000}"/>
    <cellStyle name="20% - Accent3 2 5 3 2" xfId="13785" xr:uid="{D9DF49F9-1A66-4109-A164-E11D3EA5D3AB}"/>
    <cellStyle name="20% - Accent3 2 5 4" xfId="9567" xr:uid="{234272D2-98FB-4553-A16C-4D1843EA1172}"/>
    <cellStyle name="20% - Accent3 2 6" xfId="1455" xr:uid="{00000000-0005-0000-0000-000087010000}"/>
    <cellStyle name="20% - Accent3 2 6 2" xfId="3685" xr:uid="{00000000-0005-0000-0000-000088010000}"/>
    <cellStyle name="20% - Accent3 2 6 2 2" xfId="7908" xr:uid="{00000000-0005-0000-0000-000089010000}"/>
    <cellStyle name="20% - Accent3 2 6 2 2 2" xfId="16343" xr:uid="{9086C592-AAB4-4473-A48D-39A818650808}"/>
    <cellStyle name="20% - Accent3 2 6 2 3" xfId="12125" xr:uid="{8B4621BD-816A-42F5-8C22-48F183480DD9}"/>
    <cellStyle name="20% - Accent3 2 6 3" xfId="5763" xr:uid="{00000000-0005-0000-0000-00008A010000}"/>
    <cellStyle name="20% - Accent3 2 6 3 2" xfId="14198" xr:uid="{DE1A1720-902E-4B50-8348-1879F874CC4E}"/>
    <cellStyle name="20% - Accent3 2 6 4" xfId="9980" xr:uid="{A20C6813-3E77-4143-949B-AE37093C4D9C}"/>
    <cellStyle name="20% - Accent3 2 7" xfId="1869" xr:uid="{00000000-0005-0000-0000-00008B010000}"/>
    <cellStyle name="20% - Accent3 2 7 2" xfId="4098" xr:uid="{00000000-0005-0000-0000-00008C010000}"/>
    <cellStyle name="20% - Accent3 2 7 2 2" xfId="8321" xr:uid="{00000000-0005-0000-0000-00008D010000}"/>
    <cellStyle name="20% - Accent3 2 7 2 2 2" xfId="16756" xr:uid="{06D85343-E769-4052-8EE1-170C63CDEDF9}"/>
    <cellStyle name="20% - Accent3 2 7 2 3" xfId="12538" xr:uid="{9404644F-DC51-41E6-859B-EFF59E05DC18}"/>
    <cellStyle name="20% - Accent3 2 7 3" xfId="6176" xr:uid="{00000000-0005-0000-0000-00008E010000}"/>
    <cellStyle name="20% - Accent3 2 7 3 2" xfId="14611" xr:uid="{CD2F7298-514D-4730-9C06-E9659EB6C3F1}"/>
    <cellStyle name="20% - Accent3 2 7 4" xfId="10393" xr:uid="{1C080AE5-40EF-4DD7-9395-553B23D874E5}"/>
    <cellStyle name="20% - Accent3 2 8" xfId="2282" xr:uid="{00000000-0005-0000-0000-00008F010000}"/>
    <cellStyle name="20% - Accent3 2 8 2" xfId="6589" xr:uid="{00000000-0005-0000-0000-000090010000}"/>
    <cellStyle name="20% - Accent3 2 8 2 2" xfId="15024" xr:uid="{0E4082C8-5B8D-4301-96DB-DB52EC3CE47C}"/>
    <cellStyle name="20% - Accent3 2 8 3" xfId="10806" xr:uid="{ADC71C22-835C-4503-B708-8C6421362CDE}"/>
    <cellStyle name="20% - Accent3 2 9" xfId="4523" xr:uid="{00000000-0005-0000-0000-000091010000}"/>
    <cellStyle name="20% - Accent3 2 9 2" xfId="12958" xr:uid="{D0ED48B0-2938-4BB8-A638-79D4C821106C}"/>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2 2 2" xfId="15522" xr:uid="{7C6FFC40-FF86-4660-A35B-C90A8B4C56D6}"/>
    <cellStyle name="20% - Accent3 3 2 2 2 3" xfId="11304" xr:uid="{FBD0DC91-5736-487C-8BFA-9E5E50B77559}"/>
    <cellStyle name="20% - Accent3 3 2 2 3" xfId="4942" xr:uid="{00000000-0005-0000-0000-000097010000}"/>
    <cellStyle name="20% - Accent3 3 2 2 3 2" xfId="13377" xr:uid="{C640DD85-3084-487F-BFEB-54FDA6A92EC4}"/>
    <cellStyle name="20% - Accent3 3 2 2 4" xfId="9159" xr:uid="{50B082A8-8E2D-42A0-BEF1-309B8A7D0736}"/>
    <cellStyle name="20% - Accent3 3 2 3" xfId="1046" xr:uid="{00000000-0005-0000-0000-000098010000}"/>
    <cellStyle name="20% - Accent3 3 2 3 2" xfId="3277" xr:uid="{00000000-0005-0000-0000-000099010000}"/>
    <cellStyle name="20% - Accent3 3 2 3 2 2" xfId="7500" xr:uid="{00000000-0005-0000-0000-00009A010000}"/>
    <cellStyle name="20% - Accent3 3 2 3 2 2 2" xfId="15935" xr:uid="{5A5F39D9-8705-4828-B8C3-8683A0EBCE34}"/>
    <cellStyle name="20% - Accent3 3 2 3 2 3" xfId="11717" xr:uid="{98207026-8F16-4F4E-A683-7E58DF5DAB07}"/>
    <cellStyle name="20% - Accent3 3 2 3 3" xfId="5355" xr:uid="{00000000-0005-0000-0000-00009B010000}"/>
    <cellStyle name="20% - Accent3 3 2 3 3 2" xfId="13790" xr:uid="{26E8D197-1265-4ECB-A728-5BBCBB9AD471}"/>
    <cellStyle name="20% - Accent3 3 2 3 4" xfId="9572" xr:uid="{06965F75-F187-4683-8287-81724DF29ADB}"/>
    <cellStyle name="20% - Accent3 3 2 4" xfId="1460" xr:uid="{00000000-0005-0000-0000-00009C010000}"/>
    <cellStyle name="20% - Accent3 3 2 4 2" xfId="3690" xr:uid="{00000000-0005-0000-0000-00009D010000}"/>
    <cellStyle name="20% - Accent3 3 2 4 2 2" xfId="7913" xr:uid="{00000000-0005-0000-0000-00009E010000}"/>
    <cellStyle name="20% - Accent3 3 2 4 2 2 2" xfId="16348" xr:uid="{D188B0C9-28E4-4A7C-B40D-EAC6FC7CA641}"/>
    <cellStyle name="20% - Accent3 3 2 4 2 3" xfId="12130" xr:uid="{0142C34D-B488-4CF7-B808-2B902D54C075}"/>
    <cellStyle name="20% - Accent3 3 2 4 3" xfId="5768" xr:uid="{00000000-0005-0000-0000-00009F010000}"/>
    <cellStyle name="20% - Accent3 3 2 4 3 2" xfId="14203" xr:uid="{6DFA9010-FCC3-4DB0-9DEC-83C3E6264CD1}"/>
    <cellStyle name="20% - Accent3 3 2 4 4" xfId="9985" xr:uid="{A6A16454-8C86-4A49-9EA0-6C8E7C26C111}"/>
    <cellStyle name="20% - Accent3 3 2 5" xfId="1874" xr:uid="{00000000-0005-0000-0000-0000A0010000}"/>
    <cellStyle name="20% - Accent3 3 2 5 2" xfId="4103" xr:uid="{00000000-0005-0000-0000-0000A1010000}"/>
    <cellStyle name="20% - Accent3 3 2 5 2 2" xfId="8326" xr:uid="{00000000-0005-0000-0000-0000A2010000}"/>
    <cellStyle name="20% - Accent3 3 2 5 2 2 2" xfId="16761" xr:uid="{D6F87E32-FE47-4869-B3EB-9C3B545B0DFC}"/>
    <cellStyle name="20% - Accent3 3 2 5 2 3" xfId="12543" xr:uid="{8CE77D24-53FE-4C57-9D50-96A109EEB8C6}"/>
    <cellStyle name="20% - Accent3 3 2 5 3" xfId="6181" xr:uid="{00000000-0005-0000-0000-0000A3010000}"/>
    <cellStyle name="20% - Accent3 3 2 5 3 2" xfId="14616" xr:uid="{93BFD28E-9531-4E7B-BCFD-75896B3AF25B}"/>
    <cellStyle name="20% - Accent3 3 2 5 4" xfId="10398" xr:uid="{53F9747C-AC2A-4D9D-8887-F3ABE9A4A457}"/>
    <cellStyle name="20% - Accent3 3 2 6" xfId="2287" xr:uid="{00000000-0005-0000-0000-0000A4010000}"/>
    <cellStyle name="20% - Accent3 3 2 6 2" xfId="6594" xr:uid="{00000000-0005-0000-0000-0000A5010000}"/>
    <cellStyle name="20% - Accent3 3 2 6 2 2" xfId="15029" xr:uid="{698398B7-1613-41CB-9636-334A2AA83866}"/>
    <cellStyle name="20% - Accent3 3 2 6 3" xfId="10811" xr:uid="{0DA82742-F901-440A-98D2-FC67FB41A75F}"/>
    <cellStyle name="20% - Accent3 3 2 7" xfId="4528" xr:uid="{00000000-0005-0000-0000-0000A6010000}"/>
    <cellStyle name="20% - Accent3 3 2 7 2" xfId="12963" xr:uid="{A73A1FA0-5D51-4781-BAB5-56D1FD9C7A2B}"/>
    <cellStyle name="20% - Accent3 3 2 8" xfId="8745" xr:uid="{E915B751-68EB-4E55-8DE1-FAFFD1B6EA40}"/>
    <cellStyle name="20% - Accent3 3 3" xfId="592" xr:uid="{00000000-0005-0000-0000-0000A7010000}"/>
    <cellStyle name="20% - Accent3 3 3 2" xfId="2863" xr:uid="{00000000-0005-0000-0000-0000A8010000}"/>
    <cellStyle name="20% - Accent3 3 3 2 2" xfId="7086" xr:uid="{00000000-0005-0000-0000-0000A9010000}"/>
    <cellStyle name="20% - Accent3 3 3 2 2 2" xfId="15521" xr:uid="{B0559D77-F95A-4237-A7A0-E907AEF41E8C}"/>
    <cellStyle name="20% - Accent3 3 3 2 3" xfId="11303" xr:uid="{CD7A9FA6-E32A-4B1D-B436-324CFC06615B}"/>
    <cellStyle name="20% - Accent3 3 3 3" xfId="4941" xr:uid="{00000000-0005-0000-0000-0000AA010000}"/>
    <cellStyle name="20% - Accent3 3 3 3 2" xfId="13376" xr:uid="{4752D552-E95F-4A29-A42D-3BE083C72599}"/>
    <cellStyle name="20% - Accent3 3 3 4" xfId="9158" xr:uid="{1B6B911E-5E35-448E-A6BD-4F715FD42427}"/>
    <cellStyle name="20% - Accent3 3 4" xfId="1045" xr:uid="{00000000-0005-0000-0000-0000AB010000}"/>
    <cellStyle name="20% - Accent3 3 4 2" xfId="3276" xr:uid="{00000000-0005-0000-0000-0000AC010000}"/>
    <cellStyle name="20% - Accent3 3 4 2 2" xfId="7499" xr:uid="{00000000-0005-0000-0000-0000AD010000}"/>
    <cellStyle name="20% - Accent3 3 4 2 2 2" xfId="15934" xr:uid="{B7AB7D15-9A0B-4D12-84E7-7FFB2555D7C3}"/>
    <cellStyle name="20% - Accent3 3 4 2 3" xfId="11716" xr:uid="{408D569D-253A-4056-9E1A-663E9F366BD9}"/>
    <cellStyle name="20% - Accent3 3 4 3" xfId="5354" xr:uid="{00000000-0005-0000-0000-0000AE010000}"/>
    <cellStyle name="20% - Accent3 3 4 3 2" xfId="13789" xr:uid="{20731B4D-2CCC-46AE-A421-793DD174DD6A}"/>
    <cellStyle name="20% - Accent3 3 4 4" xfId="9571" xr:uid="{E5AF6BF3-1D98-422C-B7F7-D382C82238FB}"/>
    <cellStyle name="20% - Accent3 3 5" xfId="1459" xr:uid="{00000000-0005-0000-0000-0000AF010000}"/>
    <cellStyle name="20% - Accent3 3 5 2" xfId="3689" xr:uid="{00000000-0005-0000-0000-0000B0010000}"/>
    <cellStyle name="20% - Accent3 3 5 2 2" xfId="7912" xr:uid="{00000000-0005-0000-0000-0000B1010000}"/>
    <cellStyle name="20% - Accent3 3 5 2 2 2" xfId="16347" xr:uid="{DB30EDA3-87E0-4C40-9808-D886923900EA}"/>
    <cellStyle name="20% - Accent3 3 5 2 3" xfId="12129" xr:uid="{70F3C23B-79D4-49C2-B30B-6A5E8495690A}"/>
    <cellStyle name="20% - Accent3 3 5 3" xfId="5767" xr:uid="{00000000-0005-0000-0000-0000B2010000}"/>
    <cellStyle name="20% - Accent3 3 5 3 2" xfId="14202" xr:uid="{7DE2164E-EAE3-4201-9465-0D9E5059E164}"/>
    <cellStyle name="20% - Accent3 3 5 4" xfId="9984" xr:uid="{AE3BB842-13B6-4295-90BB-BA1096929219}"/>
    <cellStyle name="20% - Accent3 3 6" xfId="1873" xr:uid="{00000000-0005-0000-0000-0000B3010000}"/>
    <cellStyle name="20% - Accent3 3 6 2" xfId="4102" xr:uid="{00000000-0005-0000-0000-0000B4010000}"/>
    <cellStyle name="20% - Accent3 3 6 2 2" xfId="8325" xr:uid="{00000000-0005-0000-0000-0000B5010000}"/>
    <cellStyle name="20% - Accent3 3 6 2 2 2" xfId="16760" xr:uid="{3CEB488C-FAFD-406E-826D-4BF3725BA531}"/>
    <cellStyle name="20% - Accent3 3 6 2 3" xfId="12542" xr:uid="{96ABE143-253F-489A-816A-4DBD2D9D9907}"/>
    <cellStyle name="20% - Accent3 3 6 3" xfId="6180" xr:uid="{00000000-0005-0000-0000-0000B6010000}"/>
    <cellStyle name="20% - Accent3 3 6 3 2" xfId="14615" xr:uid="{4A106C92-B6E2-4D53-B383-17480E2760BE}"/>
    <cellStyle name="20% - Accent3 3 6 4" xfId="10397" xr:uid="{77FEF82E-D738-493A-8CF5-344ED31D3429}"/>
    <cellStyle name="20% - Accent3 3 7" xfId="2286" xr:uid="{00000000-0005-0000-0000-0000B7010000}"/>
    <cellStyle name="20% - Accent3 3 7 2" xfId="6593" xr:uid="{00000000-0005-0000-0000-0000B8010000}"/>
    <cellStyle name="20% - Accent3 3 7 2 2" xfId="15028" xr:uid="{90DD6C44-9E3D-40F4-A059-BDB1253942FE}"/>
    <cellStyle name="20% - Accent3 3 7 3" xfId="10810" xr:uid="{D4BEC1E8-9880-4529-AB9E-CA7B7CC93F92}"/>
    <cellStyle name="20% - Accent3 3 8" xfId="4527" xr:uid="{00000000-0005-0000-0000-0000B9010000}"/>
    <cellStyle name="20% - Accent3 3 8 2" xfId="12962" xr:uid="{131DC027-F852-40BC-A1C1-F46F6A853EA6}"/>
    <cellStyle name="20% - Accent3 3 9" xfId="8744" xr:uid="{61B054FA-6865-4D0C-931C-24169D581F08}"/>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2 2 2" xfId="15523" xr:uid="{41A9E065-27E9-4FC8-9526-5BFFD11EECB2}"/>
    <cellStyle name="20% - Accent3 4 2 2 3" xfId="11305" xr:uid="{AC52E809-82ED-4D27-B598-7D1C54CF798F}"/>
    <cellStyle name="20% - Accent3 4 2 3" xfId="4943" xr:uid="{00000000-0005-0000-0000-0000BE010000}"/>
    <cellStyle name="20% - Accent3 4 2 3 2" xfId="13378" xr:uid="{506A88C0-F0C7-4A5D-A288-8736918E6AE2}"/>
    <cellStyle name="20% - Accent3 4 2 4" xfId="9160" xr:uid="{740F6330-9A82-4051-87FE-9C2AAC993198}"/>
    <cellStyle name="20% - Accent3 4 3" xfId="1047" xr:uid="{00000000-0005-0000-0000-0000BF010000}"/>
    <cellStyle name="20% - Accent3 4 3 2" xfId="3278" xr:uid="{00000000-0005-0000-0000-0000C0010000}"/>
    <cellStyle name="20% - Accent3 4 3 2 2" xfId="7501" xr:uid="{00000000-0005-0000-0000-0000C1010000}"/>
    <cellStyle name="20% - Accent3 4 3 2 2 2" xfId="15936" xr:uid="{17A6E365-8CD2-4447-A643-89BA7EFE0BCC}"/>
    <cellStyle name="20% - Accent3 4 3 2 3" xfId="11718" xr:uid="{1B882300-7807-4C0D-89C3-9E64BB0B9780}"/>
    <cellStyle name="20% - Accent3 4 3 3" xfId="5356" xr:uid="{00000000-0005-0000-0000-0000C2010000}"/>
    <cellStyle name="20% - Accent3 4 3 3 2" xfId="13791" xr:uid="{712A8130-8E06-47EB-A476-D1252312CB3D}"/>
    <cellStyle name="20% - Accent3 4 3 4" xfId="9573" xr:uid="{3A24A2BE-E458-4B93-9500-4B67422565E5}"/>
    <cellStyle name="20% - Accent3 4 4" xfId="1461" xr:uid="{00000000-0005-0000-0000-0000C3010000}"/>
    <cellStyle name="20% - Accent3 4 4 2" xfId="3691" xr:uid="{00000000-0005-0000-0000-0000C4010000}"/>
    <cellStyle name="20% - Accent3 4 4 2 2" xfId="7914" xr:uid="{00000000-0005-0000-0000-0000C5010000}"/>
    <cellStyle name="20% - Accent3 4 4 2 2 2" xfId="16349" xr:uid="{667BA0B2-3D09-4BBA-AAA2-1CA34C7BA64F}"/>
    <cellStyle name="20% - Accent3 4 4 2 3" xfId="12131" xr:uid="{8BC4C0D7-851F-4536-9412-6A5A2884DE56}"/>
    <cellStyle name="20% - Accent3 4 4 3" xfId="5769" xr:uid="{00000000-0005-0000-0000-0000C6010000}"/>
    <cellStyle name="20% - Accent3 4 4 3 2" xfId="14204" xr:uid="{A8AB04E7-012E-4665-BBA5-0BAB88F0462B}"/>
    <cellStyle name="20% - Accent3 4 4 4" xfId="9986" xr:uid="{9CC8468E-EC9A-498B-B713-81C449FEDD34}"/>
    <cellStyle name="20% - Accent3 4 5" xfId="1875" xr:uid="{00000000-0005-0000-0000-0000C7010000}"/>
    <cellStyle name="20% - Accent3 4 5 2" xfId="4104" xr:uid="{00000000-0005-0000-0000-0000C8010000}"/>
    <cellStyle name="20% - Accent3 4 5 2 2" xfId="8327" xr:uid="{00000000-0005-0000-0000-0000C9010000}"/>
    <cellStyle name="20% - Accent3 4 5 2 2 2" xfId="16762" xr:uid="{749E8245-9921-433F-994C-CC6FD6AE2317}"/>
    <cellStyle name="20% - Accent3 4 5 2 3" xfId="12544" xr:uid="{05DCB97D-6392-4640-9DA6-CFCA3B70413A}"/>
    <cellStyle name="20% - Accent3 4 5 3" xfId="6182" xr:uid="{00000000-0005-0000-0000-0000CA010000}"/>
    <cellStyle name="20% - Accent3 4 5 3 2" xfId="14617" xr:uid="{1FF72EA7-86C2-41B9-AC31-8A41B64A5BC9}"/>
    <cellStyle name="20% - Accent3 4 5 4" xfId="10399" xr:uid="{C31757A9-F104-4D1F-8E0C-914DE22FFB33}"/>
    <cellStyle name="20% - Accent3 4 6" xfId="2288" xr:uid="{00000000-0005-0000-0000-0000CB010000}"/>
    <cellStyle name="20% - Accent3 4 6 2" xfId="6595" xr:uid="{00000000-0005-0000-0000-0000CC010000}"/>
    <cellStyle name="20% - Accent3 4 6 2 2" xfId="15030" xr:uid="{CC77C877-BB75-4861-A8A7-30DD0E0D3DD5}"/>
    <cellStyle name="20% - Accent3 4 6 3" xfId="10812" xr:uid="{A4549260-4AD4-45E1-A240-8E13D72F505D}"/>
    <cellStyle name="20% - Accent3 4 7" xfId="4529" xr:uid="{00000000-0005-0000-0000-0000CD010000}"/>
    <cellStyle name="20% - Accent3 4 7 2" xfId="12964" xr:uid="{6C36F1B4-D042-44B3-959D-83663F321492}"/>
    <cellStyle name="20% - Accent3 4 8" xfId="8746" xr:uid="{7AD85B58-E965-4FE1-AF3D-A18D55CB7A95}"/>
    <cellStyle name="20% - Accent3 5" xfId="587" xr:uid="{00000000-0005-0000-0000-0000CE010000}"/>
    <cellStyle name="20% - Accent3 5 2" xfId="2858" xr:uid="{00000000-0005-0000-0000-0000CF010000}"/>
    <cellStyle name="20% - Accent3 5 2 2" xfId="7081" xr:uid="{00000000-0005-0000-0000-0000D0010000}"/>
    <cellStyle name="20% - Accent3 5 2 2 2" xfId="15516" xr:uid="{AA1C8653-CB1A-4A49-907C-3B6821F6253D}"/>
    <cellStyle name="20% - Accent3 5 2 3" xfId="11298" xr:uid="{823665C0-B86D-439F-B114-87B5227DE7A3}"/>
    <cellStyle name="20% - Accent3 5 3" xfId="4936" xr:uid="{00000000-0005-0000-0000-0000D1010000}"/>
    <cellStyle name="20% - Accent3 5 3 2" xfId="13371" xr:uid="{AEAB313B-1E89-4C44-964F-E159B06947DF}"/>
    <cellStyle name="20% - Accent3 5 4" xfId="9153" xr:uid="{437E158F-FCB5-4DEC-B73A-9ADEAF58AE33}"/>
    <cellStyle name="20% - Accent3 6" xfId="1040" xr:uid="{00000000-0005-0000-0000-0000D2010000}"/>
    <cellStyle name="20% - Accent3 6 2" xfId="3271" xr:uid="{00000000-0005-0000-0000-0000D3010000}"/>
    <cellStyle name="20% - Accent3 6 2 2" xfId="7494" xr:uid="{00000000-0005-0000-0000-0000D4010000}"/>
    <cellStyle name="20% - Accent3 6 2 2 2" xfId="15929" xr:uid="{CA064433-57C3-4DB7-86EA-138AC9CF134B}"/>
    <cellStyle name="20% - Accent3 6 2 3" xfId="11711" xr:uid="{CBF1048A-53C8-475E-B1CB-B97E9908DF83}"/>
    <cellStyle name="20% - Accent3 6 3" xfId="5349" xr:uid="{00000000-0005-0000-0000-0000D5010000}"/>
    <cellStyle name="20% - Accent3 6 3 2" xfId="13784" xr:uid="{BB0EA802-7F90-4578-82B3-4E3644E979AD}"/>
    <cellStyle name="20% - Accent3 6 4" xfId="9566" xr:uid="{F39D7CB1-C030-4370-869F-A623D7FA4B6E}"/>
    <cellStyle name="20% - Accent3 7" xfId="1454" xr:uid="{00000000-0005-0000-0000-0000D6010000}"/>
    <cellStyle name="20% - Accent3 7 2" xfId="3684" xr:uid="{00000000-0005-0000-0000-0000D7010000}"/>
    <cellStyle name="20% - Accent3 7 2 2" xfId="7907" xr:uid="{00000000-0005-0000-0000-0000D8010000}"/>
    <cellStyle name="20% - Accent3 7 2 2 2" xfId="16342" xr:uid="{68CA8B6B-4853-4F24-8104-38D6C068D07F}"/>
    <cellStyle name="20% - Accent3 7 2 3" xfId="12124" xr:uid="{D31FFF54-8963-4686-8462-DCFAB7F15D54}"/>
    <cellStyle name="20% - Accent3 7 3" xfId="5762" xr:uid="{00000000-0005-0000-0000-0000D9010000}"/>
    <cellStyle name="20% - Accent3 7 3 2" xfId="14197" xr:uid="{751BF054-2FD0-4957-8681-5C46A79685AE}"/>
    <cellStyle name="20% - Accent3 7 4" xfId="9979" xr:uid="{0629CDF9-57E6-482F-9232-3B40D7786ABE}"/>
    <cellStyle name="20% - Accent3 8" xfId="1868" xr:uid="{00000000-0005-0000-0000-0000DA010000}"/>
    <cellStyle name="20% - Accent3 8 2" xfId="4097" xr:uid="{00000000-0005-0000-0000-0000DB010000}"/>
    <cellStyle name="20% - Accent3 8 2 2" xfId="8320" xr:uid="{00000000-0005-0000-0000-0000DC010000}"/>
    <cellStyle name="20% - Accent3 8 2 2 2" xfId="16755" xr:uid="{F319820A-0AF8-4C30-AC3B-6EDC1E04572F}"/>
    <cellStyle name="20% - Accent3 8 2 3" xfId="12537" xr:uid="{21C28DC1-0748-4D31-A919-90DB75ED1886}"/>
    <cellStyle name="20% - Accent3 8 3" xfId="6175" xr:uid="{00000000-0005-0000-0000-0000DD010000}"/>
    <cellStyle name="20% - Accent3 8 3 2" xfId="14610" xr:uid="{B005673F-6C22-4564-B11A-DC35B2AC2E44}"/>
    <cellStyle name="20% - Accent3 8 4" xfId="10392" xr:uid="{DB8557B8-0C80-4B25-990D-FE53E1005D22}"/>
    <cellStyle name="20% - Accent3 9" xfId="2281" xr:uid="{00000000-0005-0000-0000-0000DE010000}"/>
    <cellStyle name="20% - Accent3 9 2" xfId="6588" xr:uid="{00000000-0005-0000-0000-0000DF010000}"/>
    <cellStyle name="20% - Accent3 9 2 2" xfId="15023" xr:uid="{74790E5C-8B08-4D36-924F-044CA8B4D897}"/>
    <cellStyle name="20% - Accent3 9 3" xfId="10805" xr:uid="{3493B463-30EA-46AC-9852-C10DCC8C8DC5}"/>
    <cellStyle name="20% - Accent4" xfId="25" builtinId="42" customBuiltin="1"/>
    <cellStyle name="20% - Accent4 10" xfId="4530" xr:uid="{00000000-0005-0000-0000-0000E1010000}"/>
    <cellStyle name="20% - Accent4 10 2" xfId="12965" xr:uid="{B10EF894-FCF4-447F-BE91-225CA0088C07}"/>
    <cellStyle name="20% - Accent4 11" xfId="8747" xr:uid="{30687821-83EE-435C-93EB-C39EE865B0AB}"/>
    <cellStyle name="20% - Accent4 2" xfId="26" xr:uid="{00000000-0005-0000-0000-0000E2010000}"/>
    <cellStyle name="20% - Accent4 2 10" xfId="8748" xr:uid="{F41AB483-6114-4A83-87C3-897B40DA6B03}"/>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2 2 2" xfId="15527" xr:uid="{E1C777A0-D623-4CF5-B356-4065E32573A8}"/>
    <cellStyle name="20% - Accent4 2 2 2 2 2 3" xfId="11309" xr:uid="{35510E0B-54B8-48EE-A5A2-977402E2FD24}"/>
    <cellStyle name="20% - Accent4 2 2 2 2 3" xfId="4947" xr:uid="{00000000-0005-0000-0000-0000E8010000}"/>
    <cellStyle name="20% - Accent4 2 2 2 2 3 2" xfId="13382" xr:uid="{A208A1B7-3DA1-4798-9B2C-264719A894EC}"/>
    <cellStyle name="20% - Accent4 2 2 2 2 4" xfId="9164" xr:uid="{3F242335-293D-470A-969F-D0C47ED0AC1A}"/>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2 2 2" xfId="15940" xr:uid="{C079A4AF-51F0-4296-89C5-336D046BE298}"/>
    <cellStyle name="20% - Accent4 2 2 2 3 2 3" xfId="11722" xr:uid="{9E622BE5-06BF-4D35-B2F8-2FD955271B5E}"/>
    <cellStyle name="20% - Accent4 2 2 2 3 3" xfId="5360" xr:uid="{00000000-0005-0000-0000-0000EC010000}"/>
    <cellStyle name="20% - Accent4 2 2 2 3 3 2" xfId="13795" xr:uid="{1E81A2F2-EE5E-4AA1-BA48-CD56335F75F5}"/>
    <cellStyle name="20% - Accent4 2 2 2 3 4" xfId="9577" xr:uid="{DFF4EB0F-91B3-4CF8-8805-1E41ABDF7188}"/>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2 2 2" xfId="16353" xr:uid="{756113AF-5ECF-40B7-A721-999D43661EE3}"/>
    <cellStyle name="20% - Accent4 2 2 2 4 2 3" xfId="12135" xr:uid="{7B50A481-8571-44B9-B38D-1ED0AF9D6864}"/>
    <cellStyle name="20% - Accent4 2 2 2 4 3" xfId="5773" xr:uid="{00000000-0005-0000-0000-0000F0010000}"/>
    <cellStyle name="20% - Accent4 2 2 2 4 3 2" xfId="14208" xr:uid="{BE53A515-C325-4E53-8B53-F45C55B7CB63}"/>
    <cellStyle name="20% - Accent4 2 2 2 4 4" xfId="9990" xr:uid="{0A90FDA4-E1F0-4DCF-81C3-1E16FCC675F9}"/>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2 2 2" xfId="16766" xr:uid="{8DB07275-BB96-4DF4-B52F-8973F0C82F72}"/>
    <cellStyle name="20% - Accent4 2 2 2 5 2 3" xfId="12548" xr:uid="{D59CB5FE-27CC-4E48-BD28-9DDE9878962D}"/>
    <cellStyle name="20% - Accent4 2 2 2 5 3" xfId="6186" xr:uid="{00000000-0005-0000-0000-0000F4010000}"/>
    <cellStyle name="20% - Accent4 2 2 2 5 3 2" xfId="14621" xr:uid="{50F16969-F026-4ECE-B388-10CBC3347EB3}"/>
    <cellStyle name="20% - Accent4 2 2 2 5 4" xfId="10403" xr:uid="{88A38DA7-462B-4310-A40B-51914042DD22}"/>
    <cellStyle name="20% - Accent4 2 2 2 6" xfId="2292" xr:uid="{00000000-0005-0000-0000-0000F5010000}"/>
    <cellStyle name="20% - Accent4 2 2 2 6 2" xfId="6599" xr:uid="{00000000-0005-0000-0000-0000F6010000}"/>
    <cellStyle name="20% - Accent4 2 2 2 6 2 2" xfId="15034" xr:uid="{14C0A996-407A-466F-998F-FBF12A1F5870}"/>
    <cellStyle name="20% - Accent4 2 2 2 6 3" xfId="10816" xr:uid="{6902DC2D-95C7-4D4F-82FB-E2558FBEA54C}"/>
    <cellStyle name="20% - Accent4 2 2 2 7" xfId="4533" xr:uid="{00000000-0005-0000-0000-0000F7010000}"/>
    <cellStyle name="20% - Accent4 2 2 2 7 2" xfId="12968" xr:uid="{44A4D17D-A9B4-4E49-8405-BF083B0DB120}"/>
    <cellStyle name="20% - Accent4 2 2 2 8" xfId="8750" xr:uid="{EA3367B0-B9E5-4EE5-B63E-A7EAEC55C855}"/>
    <cellStyle name="20% - Accent4 2 2 3" xfId="597" xr:uid="{00000000-0005-0000-0000-0000F8010000}"/>
    <cellStyle name="20% - Accent4 2 2 3 2" xfId="2868" xr:uid="{00000000-0005-0000-0000-0000F9010000}"/>
    <cellStyle name="20% - Accent4 2 2 3 2 2" xfId="7091" xr:uid="{00000000-0005-0000-0000-0000FA010000}"/>
    <cellStyle name="20% - Accent4 2 2 3 2 2 2" xfId="15526" xr:uid="{D56F2064-EF1E-45E1-9F8E-743F4B8A14A4}"/>
    <cellStyle name="20% - Accent4 2 2 3 2 3" xfId="11308" xr:uid="{B67869F0-D177-4F59-A9EC-97EF1E750703}"/>
    <cellStyle name="20% - Accent4 2 2 3 3" xfId="4946" xr:uid="{00000000-0005-0000-0000-0000FB010000}"/>
    <cellStyle name="20% - Accent4 2 2 3 3 2" xfId="13381" xr:uid="{7FBDFA81-53E2-4355-80A3-F8CB9C70EAAE}"/>
    <cellStyle name="20% - Accent4 2 2 3 4" xfId="9163" xr:uid="{4119BC9E-B3C0-4C0C-B4B8-7D1B431AD4E9}"/>
    <cellStyle name="20% - Accent4 2 2 4" xfId="1050" xr:uid="{00000000-0005-0000-0000-0000FC010000}"/>
    <cellStyle name="20% - Accent4 2 2 4 2" xfId="3281" xr:uid="{00000000-0005-0000-0000-0000FD010000}"/>
    <cellStyle name="20% - Accent4 2 2 4 2 2" xfId="7504" xr:uid="{00000000-0005-0000-0000-0000FE010000}"/>
    <cellStyle name="20% - Accent4 2 2 4 2 2 2" xfId="15939" xr:uid="{1BD8E600-76A6-4322-A46A-31589F547E2F}"/>
    <cellStyle name="20% - Accent4 2 2 4 2 3" xfId="11721" xr:uid="{EFF23210-454B-4A09-BDDB-47DA2FEB0120}"/>
    <cellStyle name="20% - Accent4 2 2 4 3" xfId="5359" xr:uid="{00000000-0005-0000-0000-0000FF010000}"/>
    <cellStyle name="20% - Accent4 2 2 4 3 2" xfId="13794" xr:uid="{ECAFC75F-6F5D-46F4-9B68-2568B5BC656A}"/>
    <cellStyle name="20% - Accent4 2 2 4 4" xfId="9576" xr:uid="{E938EB1B-FF75-4836-A838-BE89CFD21F95}"/>
    <cellStyle name="20% - Accent4 2 2 5" xfId="1464" xr:uid="{00000000-0005-0000-0000-000000020000}"/>
    <cellStyle name="20% - Accent4 2 2 5 2" xfId="3694" xr:uid="{00000000-0005-0000-0000-000001020000}"/>
    <cellStyle name="20% - Accent4 2 2 5 2 2" xfId="7917" xr:uid="{00000000-0005-0000-0000-000002020000}"/>
    <cellStyle name="20% - Accent4 2 2 5 2 2 2" xfId="16352" xr:uid="{E356891B-0D23-472E-832E-28F068D537F4}"/>
    <cellStyle name="20% - Accent4 2 2 5 2 3" xfId="12134" xr:uid="{5FD17EBD-9019-4DE9-9447-9423859EBACD}"/>
    <cellStyle name="20% - Accent4 2 2 5 3" xfId="5772" xr:uid="{00000000-0005-0000-0000-000003020000}"/>
    <cellStyle name="20% - Accent4 2 2 5 3 2" xfId="14207" xr:uid="{13EF908F-127F-4607-9445-5C73D979D7D5}"/>
    <cellStyle name="20% - Accent4 2 2 5 4" xfId="9989" xr:uid="{BC03C213-DCF6-40C7-8E3C-1ADADC161116}"/>
    <cellStyle name="20% - Accent4 2 2 6" xfId="1878" xr:uid="{00000000-0005-0000-0000-000004020000}"/>
    <cellStyle name="20% - Accent4 2 2 6 2" xfId="4107" xr:uid="{00000000-0005-0000-0000-000005020000}"/>
    <cellStyle name="20% - Accent4 2 2 6 2 2" xfId="8330" xr:uid="{00000000-0005-0000-0000-000006020000}"/>
    <cellStyle name="20% - Accent4 2 2 6 2 2 2" xfId="16765" xr:uid="{A5E9286F-24F3-4B73-AB50-DFF5E6E82F92}"/>
    <cellStyle name="20% - Accent4 2 2 6 2 3" xfId="12547" xr:uid="{05BC537F-A20B-422C-A847-0D9491DB9F45}"/>
    <cellStyle name="20% - Accent4 2 2 6 3" xfId="6185" xr:uid="{00000000-0005-0000-0000-000007020000}"/>
    <cellStyle name="20% - Accent4 2 2 6 3 2" xfId="14620" xr:uid="{3C378337-A28E-4428-98DD-FA15C77A6667}"/>
    <cellStyle name="20% - Accent4 2 2 6 4" xfId="10402" xr:uid="{6CB7CD14-A8AB-4387-AB6F-89A0B9A136D5}"/>
    <cellStyle name="20% - Accent4 2 2 7" xfId="2291" xr:uid="{00000000-0005-0000-0000-000008020000}"/>
    <cellStyle name="20% - Accent4 2 2 7 2" xfId="6598" xr:uid="{00000000-0005-0000-0000-000009020000}"/>
    <cellStyle name="20% - Accent4 2 2 7 2 2" xfId="15033" xr:uid="{6D00F352-17A7-4DD1-AA7F-61F180C95AC7}"/>
    <cellStyle name="20% - Accent4 2 2 7 3" xfId="10815" xr:uid="{C5BABB8F-7B23-4E0B-8EF5-04E5BFFE8F6A}"/>
    <cellStyle name="20% - Accent4 2 2 8" xfId="4532" xr:uid="{00000000-0005-0000-0000-00000A020000}"/>
    <cellStyle name="20% - Accent4 2 2 8 2" xfId="12967" xr:uid="{C580691C-4971-4981-8B2F-11DB89FD4A96}"/>
    <cellStyle name="20% - Accent4 2 2 9" xfId="8749" xr:uid="{116EDB6D-785E-4B3D-9EC0-68E615E92D81}"/>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2 2 2" xfId="15528" xr:uid="{7CBE68FD-0FC6-4520-9A2D-189883B186DF}"/>
    <cellStyle name="20% - Accent4 2 3 2 2 3" xfId="11310" xr:uid="{93B5C229-6D01-47C9-96FD-5B31A246CB35}"/>
    <cellStyle name="20% - Accent4 2 3 2 3" xfId="4948" xr:uid="{00000000-0005-0000-0000-00000F020000}"/>
    <cellStyle name="20% - Accent4 2 3 2 3 2" xfId="13383" xr:uid="{C4FF8B4B-5D13-4B63-ACB5-38ECE41B6FF9}"/>
    <cellStyle name="20% - Accent4 2 3 2 4" xfId="9165" xr:uid="{FFB98FE2-F74A-4A4E-983D-1CBDA74D2497}"/>
    <cellStyle name="20% - Accent4 2 3 3" xfId="1052" xr:uid="{00000000-0005-0000-0000-000010020000}"/>
    <cellStyle name="20% - Accent4 2 3 3 2" xfId="3283" xr:uid="{00000000-0005-0000-0000-000011020000}"/>
    <cellStyle name="20% - Accent4 2 3 3 2 2" xfId="7506" xr:uid="{00000000-0005-0000-0000-000012020000}"/>
    <cellStyle name="20% - Accent4 2 3 3 2 2 2" xfId="15941" xr:uid="{BAA9311B-E9BF-4B18-9B06-D58BFB7A519B}"/>
    <cellStyle name="20% - Accent4 2 3 3 2 3" xfId="11723" xr:uid="{51E71D7F-1591-4296-8AB5-6F73FAD75EFE}"/>
    <cellStyle name="20% - Accent4 2 3 3 3" xfId="5361" xr:uid="{00000000-0005-0000-0000-000013020000}"/>
    <cellStyle name="20% - Accent4 2 3 3 3 2" xfId="13796" xr:uid="{33AFED94-6AF6-4F0D-97BB-710819CF8494}"/>
    <cellStyle name="20% - Accent4 2 3 3 4" xfId="9578" xr:uid="{FDE1C2F5-C37D-4474-BC3B-08733F78E09F}"/>
    <cellStyle name="20% - Accent4 2 3 4" xfId="1466" xr:uid="{00000000-0005-0000-0000-000014020000}"/>
    <cellStyle name="20% - Accent4 2 3 4 2" xfId="3696" xr:uid="{00000000-0005-0000-0000-000015020000}"/>
    <cellStyle name="20% - Accent4 2 3 4 2 2" xfId="7919" xr:uid="{00000000-0005-0000-0000-000016020000}"/>
    <cellStyle name="20% - Accent4 2 3 4 2 2 2" xfId="16354" xr:uid="{88F50196-25AB-4CC2-A987-0419AC81938A}"/>
    <cellStyle name="20% - Accent4 2 3 4 2 3" xfId="12136" xr:uid="{CBC632AF-3BE8-4A7E-980D-BEE8282F30EF}"/>
    <cellStyle name="20% - Accent4 2 3 4 3" xfId="5774" xr:uid="{00000000-0005-0000-0000-000017020000}"/>
    <cellStyle name="20% - Accent4 2 3 4 3 2" xfId="14209" xr:uid="{E72FAEA3-2338-4B03-98F2-39CF6D91DA5D}"/>
    <cellStyle name="20% - Accent4 2 3 4 4" xfId="9991" xr:uid="{0EC21DF1-B5D4-495C-9E12-461A4A48E941}"/>
    <cellStyle name="20% - Accent4 2 3 5" xfId="1880" xr:uid="{00000000-0005-0000-0000-000018020000}"/>
    <cellStyle name="20% - Accent4 2 3 5 2" xfId="4109" xr:uid="{00000000-0005-0000-0000-000019020000}"/>
    <cellStyle name="20% - Accent4 2 3 5 2 2" xfId="8332" xr:uid="{00000000-0005-0000-0000-00001A020000}"/>
    <cellStyle name="20% - Accent4 2 3 5 2 2 2" xfId="16767" xr:uid="{10B3D360-2E68-4B99-B6EA-2DCCFC8D6F18}"/>
    <cellStyle name="20% - Accent4 2 3 5 2 3" xfId="12549" xr:uid="{24BE6A26-29CA-4A4F-A373-3D8DB4BF00AF}"/>
    <cellStyle name="20% - Accent4 2 3 5 3" xfId="6187" xr:uid="{00000000-0005-0000-0000-00001B020000}"/>
    <cellStyle name="20% - Accent4 2 3 5 3 2" xfId="14622" xr:uid="{9F5F50CF-5EAD-488C-BEA0-2CF1ECCDB8CF}"/>
    <cellStyle name="20% - Accent4 2 3 5 4" xfId="10404" xr:uid="{C44AB3E3-7DF7-4FC2-9AF2-AB728F0A99B8}"/>
    <cellStyle name="20% - Accent4 2 3 6" xfId="2293" xr:uid="{00000000-0005-0000-0000-00001C020000}"/>
    <cellStyle name="20% - Accent4 2 3 6 2" xfId="6600" xr:uid="{00000000-0005-0000-0000-00001D020000}"/>
    <cellStyle name="20% - Accent4 2 3 6 2 2" xfId="15035" xr:uid="{AEC15800-E419-43DA-ABD6-9ECD8A595ED7}"/>
    <cellStyle name="20% - Accent4 2 3 6 3" xfId="10817" xr:uid="{88B22C15-9116-46EC-9DEE-EA4D13A005B3}"/>
    <cellStyle name="20% - Accent4 2 3 7" xfId="4534" xr:uid="{00000000-0005-0000-0000-00001E020000}"/>
    <cellStyle name="20% - Accent4 2 3 7 2" xfId="12969" xr:uid="{B0026380-9AF7-4B02-A3D2-20F2FB1527F8}"/>
    <cellStyle name="20% - Accent4 2 3 8" xfId="8751" xr:uid="{AB61D30E-05A2-431A-B631-F9C0132D6A7C}"/>
    <cellStyle name="20% - Accent4 2 4" xfId="596" xr:uid="{00000000-0005-0000-0000-00001F020000}"/>
    <cellStyle name="20% - Accent4 2 4 2" xfId="2867" xr:uid="{00000000-0005-0000-0000-000020020000}"/>
    <cellStyle name="20% - Accent4 2 4 2 2" xfId="7090" xr:uid="{00000000-0005-0000-0000-000021020000}"/>
    <cellStyle name="20% - Accent4 2 4 2 2 2" xfId="15525" xr:uid="{3A9447B4-7CB2-4AF3-9848-015E411DE292}"/>
    <cellStyle name="20% - Accent4 2 4 2 3" xfId="11307" xr:uid="{92580FB7-0AAA-4957-B8D3-D3D4504EB2A9}"/>
    <cellStyle name="20% - Accent4 2 4 3" xfId="4945" xr:uid="{00000000-0005-0000-0000-000022020000}"/>
    <cellStyle name="20% - Accent4 2 4 3 2" xfId="13380" xr:uid="{B54A3178-33DF-48F1-941E-1D5ED83CCA2E}"/>
    <cellStyle name="20% - Accent4 2 4 4" xfId="9162" xr:uid="{B2C3455B-3280-4B38-BCD2-0B4A1FA10D77}"/>
    <cellStyle name="20% - Accent4 2 5" xfId="1049" xr:uid="{00000000-0005-0000-0000-000023020000}"/>
    <cellStyle name="20% - Accent4 2 5 2" xfId="3280" xr:uid="{00000000-0005-0000-0000-000024020000}"/>
    <cellStyle name="20% - Accent4 2 5 2 2" xfId="7503" xr:uid="{00000000-0005-0000-0000-000025020000}"/>
    <cellStyle name="20% - Accent4 2 5 2 2 2" xfId="15938" xr:uid="{EAF646CC-F202-4E17-8200-92196EAA7F6F}"/>
    <cellStyle name="20% - Accent4 2 5 2 3" xfId="11720" xr:uid="{E27186E2-A7DC-460D-AB3C-1495935EE483}"/>
    <cellStyle name="20% - Accent4 2 5 3" xfId="5358" xr:uid="{00000000-0005-0000-0000-000026020000}"/>
    <cellStyle name="20% - Accent4 2 5 3 2" xfId="13793" xr:uid="{CC28A4F4-EAF9-4C48-9715-E85393EA81A3}"/>
    <cellStyle name="20% - Accent4 2 5 4" xfId="9575" xr:uid="{1754CA32-13F0-4048-877D-BD9D39F8CB18}"/>
    <cellStyle name="20% - Accent4 2 6" xfId="1463" xr:uid="{00000000-0005-0000-0000-000027020000}"/>
    <cellStyle name="20% - Accent4 2 6 2" xfId="3693" xr:uid="{00000000-0005-0000-0000-000028020000}"/>
    <cellStyle name="20% - Accent4 2 6 2 2" xfId="7916" xr:uid="{00000000-0005-0000-0000-000029020000}"/>
    <cellStyle name="20% - Accent4 2 6 2 2 2" xfId="16351" xr:uid="{6BD3ED3B-FB97-489B-979A-20C272128A40}"/>
    <cellStyle name="20% - Accent4 2 6 2 3" xfId="12133" xr:uid="{CF3C23A6-E987-46D2-9805-4CA8FE553B34}"/>
    <cellStyle name="20% - Accent4 2 6 3" xfId="5771" xr:uid="{00000000-0005-0000-0000-00002A020000}"/>
    <cellStyle name="20% - Accent4 2 6 3 2" xfId="14206" xr:uid="{6947D12C-2B72-4183-B81E-601E2C05A4A6}"/>
    <cellStyle name="20% - Accent4 2 6 4" xfId="9988" xr:uid="{CB1B6585-2A1A-4FBB-A7CA-7C3B127872A2}"/>
    <cellStyle name="20% - Accent4 2 7" xfId="1877" xr:uid="{00000000-0005-0000-0000-00002B020000}"/>
    <cellStyle name="20% - Accent4 2 7 2" xfId="4106" xr:uid="{00000000-0005-0000-0000-00002C020000}"/>
    <cellStyle name="20% - Accent4 2 7 2 2" xfId="8329" xr:uid="{00000000-0005-0000-0000-00002D020000}"/>
    <cellStyle name="20% - Accent4 2 7 2 2 2" xfId="16764" xr:uid="{777512B9-799C-4D2F-A244-31F91DA02EA9}"/>
    <cellStyle name="20% - Accent4 2 7 2 3" xfId="12546" xr:uid="{F5E5314C-408D-41A6-9F3A-E8A8B44B8BB1}"/>
    <cellStyle name="20% - Accent4 2 7 3" xfId="6184" xr:uid="{00000000-0005-0000-0000-00002E020000}"/>
    <cellStyle name="20% - Accent4 2 7 3 2" xfId="14619" xr:uid="{2EDD9952-1E7D-49A2-B191-15A231615945}"/>
    <cellStyle name="20% - Accent4 2 7 4" xfId="10401" xr:uid="{5BBFF96D-2955-4D52-991F-5C805B4F9EE0}"/>
    <cellStyle name="20% - Accent4 2 8" xfId="2290" xr:uid="{00000000-0005-0000-0000-00002F020000}"/>
    <cellStyle name="20% - Accent4 2 8 2" xfId="6597" xr:uid="{00000000-0005-0000-0000-000030020000}"/>
    <cellStyle name="20% - Accent4 2 8 2 2" xfId="15032" xr:uid="{10A8543A-CC87-419F-A52B-45FD912DC686}"/>
    <cellStyle name="20% - Accent4 2 8 3" xfId="10814" xr:uid="{A7E0F733-A55E-429B-BA90-2275CFE2F028}"/>
    <cellStyle name="20% - Accent4 2 9" xfId="4531" xr:uid="{00000000-0005-0000-0000-000031020000}"/>
    <cellStyle name="20% - Accent4 2 9 2" xfId="12966" xr:uid="{12EC0C14-AC38-4D4A-AF15-4EA8D035A655}"/>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2 2 2" xfId="15530" xr:uid="{F1D6AD80-942C-4CE8-9DEE-D2DC6606B04A}"/>
    <cellStyle name="20% - Accent4 3 2 2 2 3" xfId="11312" xr:uid="{F345FA7F-5179-49F5-8DC5-93B662038373}"/>
    <cellStyle name="20% - Accent4 3 2 2 3" xfId="4950" xr:uid="{00000000-0005-0000-0000-000037020000}"/>
    <cellStyle name="20% - Accent4 3 2 2 3 2" xfId="13385" xr:uid="{6F2EECDD-54D4-4C49-9DCA-57C603B933B8}"/>
    <cellStyle name="20% - Accent4 3 2 2 4" xfId="9167" xr:uid="{6420D0EF-342B-4F36-9C5E-3B06BD385BEB}"/>
    <cellStyle name="20% - Accent4 3 2 3" xfId="1054" xr:uid="{00000000-0005-0000-0000-000038020000}"/>
    <cellStyle name="20% - Accent4 3 2 3 2" xfId="3285" xr:uid="{00000000-0005-0000-0000-000039020000}"/>
    <cellStyle name="20% - Accent4 3 2 3 2 2" xfId="7508" xr:uid="{00000000-0005-0000-0000-00003A020000}"/>
    <cellStyle name="20% - Accent4 3 2 3 2 2 2" xfId="15943" xr:uid="{49013457-5A9B-4330-9648-B584C7BA282E}"/>
    <cellStyle name="20% - Accent4 3 2 3 2 3" xfId="11725" xr:uid="{E701ABDC-C42F-4968-B8A4-0517CC7FCD05}"/>
    <cellStyle name="20% - Accent4 3 2 3 3" xfId="5363" xr:uid="{00000000-0005-0000-0000-00003B020000}"/>
    <cellStyle name="20% - Accent4 3 2 3 3 2" xfId="13798" xr:uid="{96B747C5-A789-49A6-964C-9ECD82E26A93}"/>
    <cellStyle name="20% - Accent4 3 2 3 4" xfId="9580" xr:uid="{0BB8B376-1983-498D-8E7D-D6A7B07A4FF4}"/>
    <cellStyle name="20% - Accent4 3 2 4" xfId="1468" xr:uid="{00000000-0005-0000-0000-00003C020000}"/>
    <cellStyle name="20% - Accent4 3 2 4 2" xfId="3698" xr:uid="{00000000-0005-0000-0000-00003D020000}"/>
    <cellStyle name="20% - Accent4 3 2 4 2 2" xfId="7921" xr:uid="{00000000-0005-0000-0000-00003E020000}"/>
    <cellStyle name="20% - Accent4 3 2 4 2 2 2" xfId="16356" xr:uid="{796592BF-9643-4DE9-B5ED-8F4BB8699943}"/>
    <cellStyle name="20% - Accent4 3 2 4 2 3" xfId="12138" xr:uid="{CF8547CE-229E-41F1-9FB3-4F85434857EE}"/>
    <cellStyle name="20% - Accent4 3 2 4 3" xfId="5776" xr:uid="{00000000-0005-0000-0000-00003F020000}"/>
    <cellStyle name="20% - Accent4 3 2 4 3 2" xfId="14211" xr:uid="{F25A1DD2-7F03-4753-BDDB-1562FE1B363C}"/>
    <cellStyle name="20% - Accent4 3 2 4 4" xfId="9993" xr:uid="{7FDCCCF3-8E60-4CB7-BDDC-3284465DD17D}"/>
    <cellStyle name="20% - Accent4 3 2 5" xfId="1882" xr:uid="{00000000-0005-0000-0000-000040020000}"/>
    <cellStyle name="20% - Accent4 3 2 5 2" xfId="4111" xr:uid="{00000000-0005-0000-0000-000041020000}"/>
    <cellStyle name="20% - Accent4 3 2 5 2 2" xfId="8334" xr:uid="{00000000-0005-0000-0000-000042020000}"/>
    <cellStyle name="20% - Accent4 3 2 5 2 2 2" xfId="16769" xr:uid="{0FED6F6F-7744-4EDD-8F3B-A5ED37BBB84D}"/>
    <cellStyle name="20% - Accent4 3 2 5 2 3" xfId="12551" xr:uid="{ED8B1AE4-E5E1-4F96-BFC1-432330D30CAF}"/>
    <cellStyle name="20% - Accent4 3 2 5 3" xfId="6189" xr:uid="{00000000-0005-0000-0000-000043020000}"/>
    <cellStyle name="20% - Accent4 3 2 5 3 2" xfId="14624" xr:uid="{8809DE3F-A89E-4F9E-9052-CE9A1F5A2C9C}"/>
    <cellStyle name="20% - Accent4 3 2 5 4" xfId="10406" xr:uid="{F0A14050-CB8B-4C8E-8DA5-3A3905EF2024}"/>
    <cellStyle name="20% - Accent4 3 2 6" xfId="2295" xr:uid="{00000000-0005-0000-0000-000044020000}"/>
    <cellStyle name="20% - Accent4 3 2 6 2" xfId="6602" xr:uid="{00000000-0005-0000-0000-000045020000}"/>
    <cellStyle name="20% - Accent4 3 2 6 2 2" xfId="15037" xr:uid="{08E4CBA5-EE78-4F26-B34E-49F8F1D17E16}"/>
    <cellStyle name="20% - Accent4 3 2 6 3" xfId="10819" xr:uid="{9D9FF8ED-19D2-4808-B79F-1F9D2AF60276}"/>
    <cellStyle name="20% - Accent4 3 2 7" xfId="4536" xr:uid="{00000000-0005-0000-0000-000046020000}"/>
    <cellStyle name="20% - Accent4 3 2 7 2" xfId="12971" xr:uid="{1B478908-761E-401A-BEE0-20AF7F85A33F}"/>
    <cellStyle name="20% - Accent4 3 2 8" xfId="8753" xr:uid="{23E0AA6D-4545-4798-90C5-77C244457491}"/>
    <cellStyle name="20% - Accent4 3 3" xfId="600" xr:uid="{00000000-0005-0000-0000-000047020000}"/>
    <cellStyle name="20% - Accent4 3 3 2" xfId="2871" xr:uid="{00000000-0005-0000-0000-000048020000}"/>
    <cellStyle name="20% - Accent4 3 3 2 2" xfId="7094" xr:uid="{00000000-0005-0000-0000-000049020000}"/>
    <cellStyle name="20% - Accent4 3 3 2 2 2" xfId="15529" xr:uid="{3CBA7AD6-3CAF-4DD3-83DA-F449132D379D}"/>
    <cellStyle name="20% - Accent4 3 3 2 3" xfId="11311" xr:uid="{7D3899D9-7E4E-416B-9862-7F21A75DEBDA}"/>
    <cellStyle name="20% - Accent4 3 3 3" xfId="4949" xr:uid="{00000000-0005-0000-0000-00004A020000}"/>
    <cellStyle name="20% - Accent4 3 3 3 2" xfId="13384" xr:uid="{929C61E5-D8F8-4FAA-9A1D-FAEC8DCC2BF0}"/>
    <cellStyle name="20% - Accent4 3 3 4" xfId="9166" xr:uid="{03C1265E-17E4-454E-8E84-D58870AED298}"/>
    <cellStyle name="20% - Accent4 3 4" xfId="1053" xr:uid="{00000000-0005-0000-0000-00004B020000}"/>
    <cellStyle name="20% - Accent4 3 4 2" xfId="3284" xr:uid="{00000000-0005-0000-0000-00004C020000}"/>
    <cellStyle name="20% - Accent4 3 4 2 2" xfId="7507" xr:uid="{00000000-0005-0000-0000-00004D020000}"/>
    <cellStyle name="20% - Accent4 3 4 2 2 2" xfId="15942" xr:uid="{DA0C71D0-414E-4DFA-AFEB-42B56BCF8EA7}"/>
    <cellStyle name="20% - Accent4 3 4 2 3" xfId="11724" xr:uid="{CD5891B5-E1B5-43A9-8F29-4AF60EFA2B58}"/>
    <cellStyle name="20% - Accent4 3 4 3" xfId="5362" xr:uid="{00000000-0005-0000-0000-00004E020000}"/>
    <cellStyle name="20% - Accent4 3 4 3 2" xfId="13797" xr:uid="{FCD3AC76-FB23-4B2D-8B26-A04D510531E6}"/>
    <cellStyle name="20% - Accent4 3 4 4" xfId="9579" xr:uid="{BEA29B0D-1E10-4C29-A4D6-AA5BFD46A195}"/>
    <cellStyle name="20% - Accent4 3 5" xfId="1467" xr:uid="{00000000-0005-0000-0000-00004F020000}"/>
    <cellStyle name="20% - Accent4 3 5 2" xfId="3697" xr:uid="{00000000-0005-0000-0000-000050020000}"/>
    <cellStyle name="20% - Accent4 3 5 2 2" xfId="7920" xr:uid="{00000000-0005-0000-0000-000051020000}"/>
    <cellStyle name="20% - Accent4 3 5 2 2 2" xfId="16355" xr:uid="{23A96167-774B-450C-9915-33FE05DDA38E}"/>
    <cellStyle name="20% - Accent4 3 5 2 3" xfId="12137" xr:uid="{61F51954-B4C8-45CF-8CD8-32426C842232}"/>
    <cellStyle name="20% - Accent4 3 5 3" xfId="5775" xr:uid="{00000000-0005-0000-0000-000052020000}"/>
    <cellStyle name="20% - Accent4 3 5 3 2" xfId="14210" xr:uid="{23C222C2-D917-4D11-875B-6F508F1CD983}"/>
    <cellStyle name="20% - Accent4 3 5 4" xfId="9992" xr:uid="{57497B4D-04E0-4CF2-9EC3-8B650BD380B5}"/>
    <cellStyle name="20% - Accent4 3 6" xfId="1881" xr:uid="{00000000-0005-0000-0000-000053020000}"/>
    <cellStyle name="20% - Accent4 3 6 2" xfId="4110" xr:uid="{00000000-0005-0000-0000-000054020000}"/>
    <cellStyle name="20% - Accent4 3 6 2 2" xfId="8333" xr:uid="{00000000-0005-0000-0000-000055020000}"/>
    <cellStyle name="20% - Accent4 3 6 2 2 2" xfId="16768" xr:uid="{17507271-9CA7-4642-AB4C-333C97D856DA}"/>
    <cellStyle name="20% - Accent4 3 6 2 3" xfId="12550" xr:uid="{D5BBFDDD-AFC9-4DE6-AD98-28F9053A3652}"/>
    <cellStyle name="20% - Accent4 3 6 3" xfId="6188" xr:uid="{00000000-0005-0000-0000-000056020000}"/>
    <cellStyle name="20% - Accent4 3 6 3 2" xfId="14623" xr:uid="{BA093C80-1308-4348-BC95-6EF18539E160}"/>
    <cellStyle name="20% - Accent4 3 6 4" xfId="10405" xr:uid="{C5E3A480-7882-49EA-93FF-ED8A9D0A9A7F}"/>
    <cellStyle name="20% - Accent4 3 7" xfId="2294" xr:uid="{00000000-0005-0000-0000-000057020000}"/>
    <cellStyle name="20% - Accent4 3 7 2" xfId="6601" xr:uid="{00000000-0005-0000-0000-000058020000}"/>
    <cellStyle name="20% - Accent4 3 7 2 2" xfId="15036" xr:uid="{DF5DB873-D46E-4A3E-9C68-57A683B4E8E8}"/>
    <cellStyle name="20% - Accent4 3 7 3" xfId="10818" xr:uid="{0B9238C1-EC68-43FB-8CD2-B917273AAF8C}"/>
    <cellStyle name="20% - Accent4 3 8" xfId="4535" xr:uid="{00000000-0005-0000-0000-000059020000}"/>
    <cellStyle name="20% - Accent4 3 8 2" xfId="12970" xr:uid="{18A74057-3604-4BCF-BC30-0405B3D093B7}"/>
    <cellStyle name="20% - Accent4 3 9" xfId="8752" xr:uid="{1DF3F864-A584-413F-9FDB-562CDC4AE442}"/>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2 2 2" xfId="15531" xr:uid="{27E72F22-4691-46FF-A2CD-77C5168779E0}"/>
    <cellStyle name="20% - Accent4 4 2 2 3" xfId="11313" xr:uid="{9DFD755E-D08F-4775-B251-5E149365DFC3}"/>
    <cellStyle name="20% - Accent4 4 2 3" xfId="4951" xr:uid="{00000000-0005-0000-0000-00005E020000}"/>
    <cellStyle name="20% - Accent4 4 2 3 2" xfId="13386" xr:uid="{88C19484-109D-4D5C-B660-AF50FD45AA9C}"/>
    <cellStyle name="20% - Accent4 4 2 4" xfId="9168" xr:uid="{114AD6B0-4CB0-4EB0-BF6A-DD6389D393EE}"/>
    <cellStyle name="20% - Accent4 4 3" xfId="1055" xr:uid="{00000000-0005-0000-0000-00005F020000}"/>
    <cellStyle name="20% - Accent4 4 3 2" xfId="3286" xr:uid="{00000000-0005-0000-0000-000060020000}"/>
    <cellStyle name="20% - Accent4 4 3 2 2" xfId="7509" xr:uid="{00000000-0005-0000-0000-000061020000}"/>
    <cellStyle name="20% - Accent4 4 3 2 2 2" xfId="15944" xr:uid="{21A78F11-5A43-4DB8-A390-A44EA9501066}"/>
    <cellStyle name="20% - Accent4 4 3 2 3" xfId="11726" xr:uid="{B127CE88-248A-48F6-9A5B-4A2EFE307892}"/>
    <cellStyle name="20% - Accent4 4 3 3" xfId="5364" xr:uid="{00000000-0005-0000-0000-000062020000}"/>
    <cellStyle name="20% - Accent4 4 3 3 2" xfId="13799" xr:uid="{EB0DF53E-0CE7-4C39-8358-F683B9D7A7AD}"/>
    <cellStyle name="20% - Accent4 4 3 4" xfId="9581" xr:uid="{11CFEF5E-8995-41A0-8BC3-67D213048A22}"/>
    <cellStyle name="20% - Accent4 4 4" xfId="1469" xr:uid="{00000000-0005-0000-0000-000063020000}"/>
    <cellStyle name="20% - Accent4 4 4 2" xfId="3699" xr:uid="{00000000-0005-0000-0000-000064020000}"/>
    <cellStyle name="20% - Accent4 4 4 2 2" xfId="7922" xr:uid="{00000000-0005-0000-0000-000065020000}"/>
    <cellStyle name="20% - Accent4 4 4 2 2 2" xfId="16357" xr:uid="{AA719C7E-7ECB-48A9-A510-AD9AC9BD5DAF}"/>
    <cellStyle name="20% - Accent4 4 4 2 3" xfId="12139" xr:uid="{72CEF734-6A06-4469-895E-88F391279D60}"/>
    <cellStyle name="20% - Accent4 4 4 3" xfId="5777" xr:uid="{00000000-0005-0000-0000-000066020000}"/>
    <cellStyle name="20% - Accent4 4 4 3 2" xfId="14212" xr:uid="{11635DA0-A51D-410F-BE17-F22F18B3D238}"/>
    <cellStyle name="20% - Accent4 4 4 4" xfId="9994" xr:uid="{DFEBD4BD-2B27-4C9C-9B2F-9671F8F5C018}"/>
    <cellStyle name="20% - Accent4 4 5" xfId="1883" xr:uid="{00000000-0005-0000-0000-000067020000}"/>
    <cellStyle name="20% - Accent4 4 5 2" xfId="4112" xr:uid="{00000000-0005-0000-0000-000068020000}"/>
    <cellStyle name="20% - Accent4 4 5 2 2" xfId="8335" xr:uid="{00000000-0005-0000-0000-000069020000}"/>
    <cellStyle name="20% - Accent4 4 5 2 2 2" xfId="16770" xr:uid="{D1F9993F-80E0-4A55-9CB5-DE1D4C5991EA}"/>
    <cellStyle name="20% - Accent4 4 5 2 3" xfId="12552" xr:uid="{02A532E5-4B97-41DA-A7DA-C88DC096997D}"/>
    <cellStyle name="20% - Accent4 4 5 3" xfId="6190" xr:uid="{00000000-0005-0000-0000-00006A020000}"/>
    <cellStyle name="20% - Accent4 4 5 3 2" xfId="14625" xr:uid="{295B28A4-4C8F-495F-B283-79C1721E909C}"/>
    <cellStyle name="20% - Accent4 4 5 4" xfId="10407" xr:uid="{8593ED7F-D12B-489C-A15B-3FE601261807}"/>
    <cellStyle name="20% - Accent4 4 6" xfId="2296" xr:uid="{00000000-0005-0000-0000-00006B020000}"/>
    <cellStyle name="20% - Accent4 4 6 2" xfId="6603" xr:uid="{00000000-0005-0000-0000-00006C020000}"/>
    <cellStyle name="20% - Accent4 4 6 2 2" xfId="15038" xr:uid="{259728DB-FFEE-41F3-B8AC-1DE43A0175C0}"/>
    <cellStyle name="20% - Accent4 4 6 3" xfId="10820" xr:uid="{3FF45C22-C87F-4093-BA93-693D659DE378}"/>
    <cellStyle name="20% - Accent4 4 7" xfId="4537" xr:uid="{00000000-0005-0000-0000-00006D020000}"/>
    <cellStyle name="20% - Accent4 4 7 2" xfId="12972" xr:uid="{59FCBE19-748C-4D97-BA8D-78B027A9B2B8}"/>
    <cellStyle name="20% - Accent4 4 8" xfId="8754" xr:uid="{5B83195C-112F-4EA9-9CE5-965E46FFEDC3}"/>
    <cellStyle name="20% - Accent4 5" xfId="595" xr:uid="{00000000-0005-0000-0000-00006E020000}"/>
    <cellStyle name="20% - Accent4 5 2" xfId="2866" xr:uid="{00000000-0005-0000-0000-00006F020000}"/>
    <cellStyle name="20% - Accent4 5 2 2" xfId="7089" xr:uid="{00000000-0005-0000-0000-000070020000}"/>
    <cellStyle name="20% - Accent4 5 2 2 2" xfId="15524" xr:uid="{4DB35AEB-37D2-499E-9838-5A6E5E88EFB3}"/>
    <cellStyle name="20% - Accent4 5 2 3" xfId="11306" xr:uid="{57DAD0BA-984D-4147-B7D9-DF9D88566039}"/>
    <cellStyle name="20% - Accent4 5 3" xfId="4944" xr:uid="{00000000-0005-0000-0000-000071020000}"/>
    <cellStyle name="20% - Accent4 5 3 2" xfId="13379" xr:uid="{A756D2D7-EBF3-465B-B6DA-30F098524FE3}"/>
    <cellStyle name="20% - Accent4 5 4" xfId="9161" xr:uid="{84D7F25F-5F15-4617-A6CF-2129F2F26B3B}"/>
    <cellStyle name="20% - Accent4 6" xfId="1048" xr:uid="{00000000-0005-0000-0000-000072020000}"/>
    <cellStyle name="20% - Accent4 6 2" xfId="3279" xr:uid="{00000000-0005-0000-0000-000073020000}"/>
    <cellStyle name="20% - Accent4 6 2 2" xfId="7502" xr:uid="{00000000-0005-0000-0000-000074020000}"/>
    <cellStyle name="20% - Accent4 6 2 2 2" xfId="15937" xr:uid="{C0EBE02D-5754-45A2-9E03-0FBE0A70956C}"/>
    <cellStyle name="20% - Accent4 6 2 3" xfId="11719" xr:uid="{EC4A5D8A-1759-40E5-BE56-845391BF6C29}"/>
    <cellStyle name="20% - Accent4 6 3" xfId="5357" xr:uid="{00000000-0005-0000-0000-000075020000}"/>
    <cellStyle name="20% - Accent4 6 3 2" xfId="13792" xr:uid="{6C3A737C-F19B-4382-903D-358E1585D68D}"/>
    <cellStyle name="20% - Accent4 6 4" xfId="9574" xr:uid="{8F422E81-689B-4602-B0E9-48620EA63D51}"/>
    <cellStyle name="20% - Accent4 7" xfId="1462" xr:uid="{00000000-0005-0000-0000-000076020000}"/>
    <cellStyle name="20% - Accent4 7 2" xfId="3692" xr:uid="{00000000-0005-0000-0000-000077020000}"/>
    <cellStyle name="20% - Accent4 7 2 2" xfId="7915" xr:uid="{00000000-0005-0000-0000-000078020000}"/>
    <cellStyle name="20% - Accent4 7 2 2 2" xfId="16350" xr:uid="{679CA45A-EAA1-41A5-BA0A-0C8117C5010A}"/>
    <cellStyle name="20% - Accent4 7 2 3" xfId="12132" xr:uid="{B6EBDD62-D750-442B-BECF-E6AD662BB7CC}"/>
    <cellStyle name="20% - Accent4 7 3" xfId="5770" xr:uid="{00000000-0005-0000-0000-000079020000}"/>
    <cellStyle name="20% - Accent4 7 3 2" xfId="14205" xr:uid="{692A3C7D-1C8D-4D9E-93DE-4B406B959B3B}"/>
    <cellStyle name="20% - Accent4 7 4" xfId="9987" xr:uid="{9E2DC6EF-04D0-4CCB-B7BF-C24B1D3A2087}"/>
    <cellStyle name="20% - Accent4 8" xfId="1876" xr:uid="{00000000-0005-0000-0000-00007A020000}"/>
    <cellStyle name="20% - Accent4 8 2" xfId="4105" xr:uid="{00000000-0005-0000-0000-00007B020000}"/>
    <cellStyle name="20% - Accent4 8 2 2" xfId="8328" xr:uid="{00000000-0005-0000-0000-00007C020000}"/>
    <cellStyle name="20% - Accent4 8 2 2 2" xfId="16763" xr:uid="{55A330B5-FC1F-4C6C-940F-4213BFEC1E50}"/>
    <cellStyle name="20% - Accent4 8 2 3" xfId="12545" xr:uid="{0694F6A9-E8A4-4332-9E7A-2972A0DC1C2E}"/>
    <cellStyle name="20% - Accent4 8 3" xfId="6183" xr:uid="{00000000-0005-0000-0000-00007D020000}"/>
    <cellStyle name="20% - Accent4 8 3 2" xfId="14618" xr:uid="{CAB37245-ADD0-4967-BAFB-FC2A6C73F97B}"/>
    <cellStyle name="20% - Accent4 8 4" xfId="10400" xr:uid="{DF7AA0C9-F67F-4F89-85CE-9138162CEDE6}"/>
    <cellStyle name="20% - Accent4 9" xfId="2289" xr:uid="{00000000-0005-0000-0000-00007E020000}"/>
    <cellStyle name="20% - Accent4 9 2" xfId="6596" xr:uid="{00000000-0005-0000-0000-00007F020000}"/>
    <cellStyle name="20% - Accent4 9 2 2" xfId="15031" xr:uid="{3139F1E3-1007-4EE0-9BAC-15BCB4EFB8B2}"/>
    <cellStyle name="20% - Accent4 9 3" xfId="10813" xr:uid="{9D17EE36-4195-442F-8987-181053D582D7}"/>
    <cellStyle name="20% - Accent5" xfId="33" builtinId="46" customBuiltin="1"/>
    <cellStyle name="20% - Accent5 10" xfId="4538" xr:uid="{00000000-0005-0000-0000-000081020000}"/>
    <cellStyle name="20% - Accent5 10 2" xfId="12973" xr:uid="{2C586241-7CAB-47E6-8160-9617521729B1}"/>
    <cellStyle name="20% - Accent5 11" xfId="8755" xr:uid="{A69FD6A9-38B9-4667-86B7-E5E146F811E3}"/>
    <cellStyle name="20% - Accent5 2" xfId="34" xr:uid="{00000000-0005-0000-0000-000082020000}"/>
    <cellStyle name="20% - Accent5 2 10" xfId="8756" xr:uid="{F0C38A9D-D182-4E25-920D-612501678FC2}"/>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2 2 2" xfId="15535" xr:uid="{325E14EB-857C-47AC-823E-E82227739A9B}"/>
    <cellStyle name="20% - Accent5 2 2 2 2 2 3" xfId="11317" xr:uid="{5A59E7B7-12D4-4794-BAC0-9B10EDDEC9B8}"/>
    <cellStyle name="20% - Accent5 2 2 2 2 3" xfId="4955" xr:uid="{00000000-0005-0000-0000-000088020000}"/>
    <cellStyle name="20% - Accent5 2 2 2 2 3 2" xfId="13390" xr:uid="{ECC23C34-C289-42B3-9AB0-E61ADD89E3D7}"/>
    <cellStyle name="20% - Accent5 2 2 2 2 4" xfId="9172" xr:uid="{06C3219A-1639-44C2-A93F-4E730B38C76C}"/>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2 2 2" xfId="15948" xr:uid="{8C11B9A3-F373-472E-85D2-B33EA9FF02E1}"/>
    <cellStyle name="20% - Accent5 2 2 2 3 2 3" xfId="11730" xr:uid="{136DCF3C-1B56-47B2-B070-13C0BD5AD497}"/>
    <cellStyle name="20% - Accent5 2 2 2 3 3" xfId="5368" xr:uid="{00000000-0005-0000-0000-00008C020000}"/>
    <cellStyle name="20% - Accent5 2 2 2 3 3 2" xfId="13803" xr:uid="{42E0724F-7344-467C-96AF-BF14DF51AEFD}"/>
    <cellStyle name="20% - Accent5 2 2 2 3 4" xfId="9585" xr:uid="{1BCC137B-5CEF-4075-9DAE-45AB612A254D}"/>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2 2 2" xfId="16361" xr:uid="{1B9703B5-5907-45EC-BC3D-3C86AD02AEBF}"/>
    <cellStyle name="20% - Accent5 2 2 2 4 2 3" xfId="12143" xr:uid="{EA8BF99C-4CB3-4014-8900-3E085706C8DD}"/>
    <cellStyle name="20% - Accent5 2 2 2 4 3" xfId="5781" xr:uid="{00000000-0005-0000-0000-000090020000}"/>
    <cellStyle name="20% - Accent5 2 2 2 4 3 2" xfId="14216" xr:uid="{ED87B9A0-80F4-4949-AAB6-EFAAF4547CF0}"/>
    <cellStyle name="20% - Accent5 2 2 2 4 4" xfId="9998" xr:uid="{FDD26A57-C5D5-4440-8B7D-6511C21C2D14}"/>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2 2 2" xfId="16774" xr:uid="{118C84A0-2A11-4464-A527-A4C43C923324}"/>
    <cellStyle name="20% - Accent5 2 2 2 5 2 3" xfId="12556" xr:uid="{31EE0FEB-CD24-424F-8265-D4F976715E77}"/>
    <cellStyle name="20% - Accent5 2 2 2 5 3" xfId="6194" xr:uid="{00000000-0005-0000-0000-000094020000}"/>
    <cellStyle name="20% - Accent5 2 2 2 5 3 2" xfId="14629" xr:uid="{43BA99ED-73AB-4411-B7E7-D3E57CDF97E2}"/>
    <cellStyle name="20% - Accent5 2 2 2 5 4" xfId="10411" xr:uid="{FB8A0AC9-6F20-4226-8057-8151C3CBE893}"/>
    <cellStyle name="20% - Accent5 2 2 2 6" xfId="2300" xr:uid="{00000000-0005-0000-0000-000095020000}"/>
    <cellStyle name="20% - Accent5 2 2 2 6 2" xfId="6607" xr:uid="{00000000-0005-0000-0000-000096020000}"/>
    <cellStyle name="20% - Accent5 2 2 2 6 2 2" xfId="15042" xr:uid="{01897043-3000-45CA-B870-A1D3FAE20DC3}"/>
    <cellStyle name="20% - Accent5 2 2 2 6 3" xfId="10824" xr:uid="{F0AF3703-DD51-49A7-B917-47AC67558709}"/>
    <cellStyle name="20% - Accent5 2 2 2 7" xfId="4541" xr:uid="{00000000-0005-0000-0000-000097020000}"/>
    <cellStyle name="20% - Accent5 2 2 2 7 2" xfId="12976" xr:uid="{12EE4219-C11A-4A7E-937A-2015A0FFFB68}"/>
    <cellStyle name="20% - Accent5 2 2 2 8" xfId="8758" xr:uid="{C311D71E-ED0C-4DB5-A058-02DDB875366D}"/>
    <cellStyle name="20% - Accent5 2 2 3" xfId="605" xr:uid="{00000000-0005-0000-0000-000098020000}"/>
    <cellStyle name="20% - Accent5 2 2 3 2" xfId="2876" xr:uid="{00000000-0005-0000-0000-000099020000}"/>
    <cellStyle name="20% - Accent5 2 2 3 2 2" xfId="7099" xr:uid="{00000000-0005-0000-0000-00009A020000}"/>
    <cellStyle name="20% - Accent5 2 2 3 2 2 2" xfId="15534" xr:uid="{78A7ED46-2252-4AD3-9EAA-005281B620BD}"/>
    <cellStyle name="20% - Accent5 2 2 3 2 3" xfId="11316" xr:uid="{7BE42E46-D5F2-4A16-97B1-E132C7DE82A0}"/>
    <cellStyle name="20% - Accent5 2 2 3 3" xfId="4954" xr:uid="{00000000-0005-0000-0000-00009B020000}"/>
    <cellStyle name="20% - Accent5 2 2 3 3 2" xfId="13389" xr:uid="{9503A42E-5CBC-413A-899B-B6497FEB7577}"/>
    <cellStyle name="20% - Accent5 2 2 3 4" xfId="9171" xr:uid="{81514C65-17D6-4703-AD8C-AC486D5413D5}"/>
    <cellStyle name="20% - Accent5 2 2 4" xfId="1058" xr:uid="{00000000-0005-0000-0000-00009C020000}"/>
    <cellStyle name="20% - Accent5 2 2 4 2" xfId="3289" xr:uid="{00000000-0005-0000-0000-00009D020000}"/>
    <cellStyle name="20% - Accent5 2 2 4 2 2" xfId="7512" xr:uid="{00000000-0005-0000-0000-00009E020000}"/>
    <cellStyle name="20% - Accent5 2 2 4 2 2 2" xfId="15947" xr:uid="{3EB60821-2FB8-4611-91A5-4A51D40C2C6C}"/>
    <cellStyle name="20% - Accent5 2 2 4 2 3" xfId="11729" xr:uid="{D2B73EE4-3935-478F-B64C-C930B9138035}"/>
    <cellStyle name="20% - Accent5 2 2 4 3" xfId="5367" xr:uid="{00000000-0005-0000-0000-00009F020000}"/>
    <cellStyle name="20% - Accent5 2 2 4 3 2" xfId="13802" xr:uid="{2F2DE886-CCDC-47CC-AFAA-70DBEC4A4C45}"/>
    <cellStyle name="20% - Accent5 2 2 4 4" xfId="9584" xr:uid="{994AC106-7AF7-44B8-8EB2-BB35C932BCBF}"/>
    <cellStyle name="20% - Accent5 2 2 5" xfId="1472" xr:uid="{00000000-0005-0000-0000-0000A0020000}"/>
    <cellStyle name="20% - Accent5 2 2 5 2" xfId="3702" xr:uid="{00000000-0005-0000-0000-0000A1020000}"/>
    <cellStyle name="20% - Accent5 2 2 5 2 2" xfId="7925" xr:uid="{00000000-0005-0000-0000-0000A2020000}"/>
    <cellStyle name="20% - Accent5 2 2 5 2 2 2" xfId="16360" xr:uid="{7D9465D8-8415-4194-A28F-F7298596927A}"/>
    <cellStyle name="20% - Accent5 2 2 5 2 3" xfId="12142" xr:uid="{AEFB6067-5306-4FA3-ABB2-8A0EAC337F37}"/>
    <cellStyle name="20% - Accent5 2 2 5 3" xfId="5780" xr:uid="{00000000-0005-0000-0000-0000A3020000}"/>
    <cellStyle name="20% - Accent5 2 2 5 3 2" xfId="14215" xr:uid="{CB7C3BEC-55F2-44FB-B4CE-53C452840598}"/>
    <cellStyle name="20% - Accent5 2 2 5 4" xfId="9997" xr:uid="{D9122682-EF62-4740-A296-E119BE43B3EE}"/>
    <cellStyle name="20% - Accent5 2 2 6" xfId="1886" xr:uid="{00000000-0005-0000-0000-0000A4020000}"/>
    <cellStyle name="20% - Accent5 2 2 6 2" xfId="4115" xr:uid="{00000000-0005-0000-0000-0000A5020000}"/>
    <cellStyle name="20% - Accent5 2 2 6 2 2" xfId="8338" xr:uid="{00000000-0005-0000-0000-0000A6020000}"/>
    <cellStyle name="20% - Accent5 2 2 6 2 2 2" xfId="16773" xr:uid="{85CE0A1C-D640-4DBB-9221-17DB2A4F12B1}"/>
    <cellStyle name="20% - Accent5 2 2 6 2 3" xfId="12555" xr:uid="{73B51A34-C269-46A2-A4B4-995B17BB253A}"/>
    <cellStyle name="20% - Accent5 2 2 6 3" xfId="6193" xr:uid="{00000000-0005-0000-0000-0000A7020000}"/>
    <cellStyle name="20% - Accent5 2 2 6 3 2" xfId="14628" xr:uid="{6A05D707-30A3-47AD-BFEE-728ADFCD6312}"/>
    <cellStyle name="20% - Accent5 2 2 6 4" xfId="10410" xr:uid="{7F34761B-12CB-4DB0-9647-3A6E6BBDF3C4}"/>
    <cellStyle name="20% - Accent5 2 2 7" xfId="2299" xr:uid="{00000000-0005-0000-0000-0000A8020000}"/>
    <cellStyle name="20% - Accent5 2 2 7 2" xfId="6606" xr:uid="{00000000-0005-0000-0000-0000A9020000}"/>
    <cellStyle name="20% - Accent5 2 2 7 2 2" xfId="15041" xr:uid="{42E1FECA-23C6-44B3-9730-A8E1AA597011}"/>
    <cellStyle name="20% - Accent5 2 2 7 3" xfId="10823" xr:uid="{D7CA24E1-8CA1-49BA-863D-51102051DB17}"/>
    <cellStyle name="20% - Accent5 2 2 8" xfId="4540" xr:uid="{00000000-0005-0000-0000-0000AA020000}"/>
    <cellStyle name="20% - Accent5 2 2 8 2" xfId="12975" xr:uid="{F6836611-3298-4510-80B5-C3FEFA18EAB5}"/>
    <cellStyle name="20% - Accent5 2 2 9" xfId="8757" xr:uid="{D52C8001-5468-42BB-9194-770098441E4F}"/>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2 2 2" xfId="15536" xr:uid="{1D95B003-9244-456E-9D48-5B7E9968809A}"/>
    <cellStyle name="20% - Accent5 2 3 2 2 3" xfId="11318" xr:uid="{0277D26D-28A7-4CE8-BF27-822D4EEBD1F8}"/>
    <cellStyle name="20% - Accent5 2 3 2 3" xfId="4956" xr:uid="{00000000-0005-0000-0000-0000AF020000}"/>
    <cellStyle name="20% - Accent5 2 3 2 3 2" xfId="13391" xr:uid="{7871A389-917F-4B03-AA13-4AF270054FF7}"/>
    <cellStyle name="20% - Accent5 2 3 2 4" xfId="9173" xr:uid="{72232684-7467-47E1-8163-EFC2E88DDF20}"/>
    <cellStyle name="20% - Accent5 2 3 3" xfId="1060" xr:uid="{00000000-0005-0000-0000-0000B0020000}"/>
    <cellStyle name="20% - Accent5 2 3 3 2" xfId="3291" xr:uid="{00000000-0005-0000-0000-0000B1020000}"/>
    <cellStyle name="20% - Accent5 2 3 3 2 2" xfId="7514" xr:uid="{00000000-0005-0000-0000-0000B2020000}"/>
    <cellStyle name="20% - Accent5 2 3 3 2 2 2" xfId="15949" xr:uid="{ACF7FF9F-5040-4C4C-B51C-6B68D608CB9D}"/>
    <cellStyle name="20% - Accent5 2 3 3 2 3" xfId="11731" xr:uid="{54BB9598-9EF3-46C6-9B6C-1315AD2D2010}"/>
    <cellStyle name="20% - Accent5 2 3 3 3" xfId="5369" xr:uid="{00000000-0005-0000-0000-0000B3020000}"/>
    <cellStyle name="20% - Accent5 2 3 3 3 2" xfId="13804" xr:uid="{BA546ED5-3035-4B9B-902C-84B60E03FD07}"/>
    <cellStyle name="20% - Accent5 2 3 3 4" xfId="9586" xr:uid="{410279F0-BE09-4DE2-B29C-6BD57192A2D0}"/>
    <cellStyle name="20% - Accent5 2 3 4" xfId="1474" xr:uid="{00000000-0005-0000-0000-0000B4020000}"/>
    <cellStyle name="20% - Accent5 2 3 4 2" xfId="3704" xr:uid="{00000000-0005-0000-0000-0000B5020000}"/>
    <cellStyle name="20% - Accent5 2 3 4 2 2" xfId="7927" xr:uid="{00000000-0005-0000-0000-0000B6020000}"/>
    <cellStyle name="20% - Accent5 2 3 4 2 2 2" xfId="16362" xr:uid="{DDF2CE94-3A65-473F-9E41-E0F708E5A85E}"/>
    <cellStyle name="20% - Accent5 2 3 4 2 3" xfId="12144" xr:uid="{5B1A9F0D-3C1E-4961-ACB1-BD4D97251818}"/>
    <cellStyle name="20% - Accent5 2 3 4 3" xfId="5782" xr:uid="{00000000-0005-0000-0000-0000B7020000}"/>
    <cellStyle name="20% - Accent5 2 3 4 3 2" xfId="14217" xr:uid="{FB22EE73-1D7C-4BBC-A04B-D10A6EF3B38E}"/>
    <cellStyle name="20% - Accent5 2 3 4 4" xfId="9999" xr:uid="{4B34E338-63E3-4072-BD7D-587650289BF5}"/>
    <cellStyle name="20% - Accent5 2 3 5" xfId="1888" xr:uid="{00000000-0005-0000-0000-0000B8020000}"/>
    <cellStyle name="20% - Accent5 2 3 5 2" xfId="4117" xr:uid="{00000000-0005-0000-0000-0000B9020000}"/>
    <cellStyle name="20% - Accent5 2 3 5 2 2" xfId="8340" xr:uid="{00000000-0005-0000-0000-0000BA020000}"/>
    <cellStyle name="20% - Accent5 2 3 5 2 2 2" xfId="16775" xr:uid="{210D6384-1914-4E68-AEF6-38EBB9C4016E}"/>
    <cellStyle name="20% - Accent5 2 3 5 2 3" xfId="12557" xr:uid="{31C6A925-1F36-4427-B761-ECEB1E6D4E54}"/>
    <cellStyle name="20% - Accent5 2 3 5 3" xfId="6195" xr:uid="{00000000-0005-0000-0000-0000BB020000}"/>
    <cellStyle name="20% - Accent5 2 3 5 3 2" xfId="14630" xr:uid="{C2432919-FD9C-4096-9C25-00B35501F401}"/>
    <cellStyle name="20% - Accent5 2 3 5 4" xfId="10412" xr:uid="{A25C2C7A-5280-4785-81AA-3F857B24EB25}"/>
    <cellStyle name="20% - Accent5 2 3 6" xfId="2301" xr:uid="{00000000-0005-0000-0000-0000BC020000}"/>
    <cellStyle name="20% - Accent5 2 3 6 2" xfId="6608" xr:uid="{00000000-0005-0000-0000-0000BD020000}"/>
    <cellStyle name="20% - Accent5 2 3 6 2 2" xfId="15043" xr:uid="{BBCA24F5-B287-4783-A9FD-13FB3CF5C52D}"/>
    <cellStyle name="20% - Accent5 2 3 6 3" xfId="10825" xr:uid="{D93B0060-CA45-4BC4-8086-E03EFD10A021}"/>
    <cellStyle name="20% - Accent5 2 3 7" xfId="4542" xr:uid="{00000000-0005-0000-0000-0000BE020000}"/>
    <cellStyle name="20% - Accent5 2 3 7 2" xfId="12977" xr:uid="{27829A00-AC0E-45A0-B181-61536742830B}"/>
    <cellStyle name="20% - Accent5 2 3 8" xfId="8759" xr:uid="{07720A50-E1F1-442D-8C04-103B91F4AF0F}"/>
    <cellStyle name="20% - Accent5 2 4" xfId="604" xr:uid="{00000000-0005-0000-0000-0000BF020000}"/>
    <cellStyle name="20% - Accent5 2 4 2" xfId="2875" xr:uid="{00000000-0005-0000-0000-0000C0020000}"/>
    <cellStyle name="20% - Accent5 2 4 2 2" xfId="7098" xr:uid="{00000000-0005-0000-0000-0000C1020000}"/>
    <cellStyle name="20% - Accent5 2 4 2 2 2" xfId="15533" xr:uid="{4D83A2E2-9574-4308-AA47-3B290BF16A8A}"/>
    <cellStyle name="20% - Accent5 2 4 2 3" xfId="11315" xr:uid="{D74F7A08-3631-4E08-BFB6-D3A932920600}"/>
    <cellStyle name="20% - Accent5 2 4 3" xfId="4953" xr:uid="{00000000-0005-0000-0000-0000C2020000}"/>
    <cellStyle name="20% - Accent5 2 4 3 2" xfId="13388" xr:uid="{EFDF3CF9-1430-404C-A60B-44D8B02841D3}"/>
    <cellStyle name="20% - Accent5 2 4 4" xfId="9170" xr:uid="{891E1079-E81C-4111-BCD3-487FAF15BB97}"/>
    <cellStyle name="20% - Accent5 2 5" xfId="1057" xr:uid="{00000000-0005-0000-0000-0000C3020000}"/>
    <cellStyle name="20% - Accent5 2 5 2" xfId="3288" xr:uid="{00000000-0005-0000-0000-0000C4020000}"/>
    <cellStyle name="20% - Accent5 2 5 2 2" xfId="7511" xr:uid="{00000000-0005-0000-0000-0000C5020000}"/>
    <cellStyle name="20% - Accent5 2 5 2 2 2" xfId="15946" xr:uid="{4913A180-6E4D-4113-B3C3-82A3EC2557DB}"/>
    <cellStyle name="20% - Accent5 2 5 2 3" xfId="11728" xr:uid="{A1DA78A7-42AE-44DA-8697-F8E9F677A50D}"/>
    <cellStyle name="20% - Accent5 2 5 3" xfId="5366" xr:uid="{00000000-0005-0000-0000-0000C6020000}"/>
    <cellStyle name="20% - Accent5 2 5 3 2" xfId="13801" xr:uid="{3F89DCA9-63F8-4075-88D0-EAA44342A5DC}"/>
    <cellStyle name="20% - Accent5 2 5 4" xfId="9583" xr:uid="{084F2F2F-9B77-4536-A803-AF356694E4C9}"/>
    <cellStyle name="20% - Accent5 2 6" xfId="1471" xr:uid="{00000000-0005-0000-0000-0000C7020000}"/>
    <cellStyle name="20% - Accent5 2 6 2" xfId="3701" xr:uid="{00000000-0005-0000-0000-0000C8020000}"/>
    <cellStyle name="20% - Accent5 2 6 2 2" xfId="7924" xr:uid="{00000000-0005-0000-0000-0000C9020000}"/>
    <cellStyle name="20% - Accent5 2 6 2 2 2" xfId="16359" xr:uid="{054E110B-BD77-414C-B419-8D51EFB622A4}"/>
    <cellStyle name="20% - Accent5 2 6 2 3" xfId="12141" xr:uid="{FEBD209B-DF86-41CC-9195-C4E4BD3B316E}"/>
    <cellStyle name="20% - Accent5 2 6 3" xfId="5779" xr:uid="{00000000-0005-0000-0000-0000CA020000}"/>
    <cellStyle name="20% - Accent5 2 6 3 2" xfId="14214" xr:uid="{30BDCF72-E6E0-4E59-A7E8-1D606F120DA0}"/>
    <cellStyle name="20% - Accent5 2 6 4" xfId="9996" xr:uid="{2687A073-3F59-4290-AAD3-44A1E8DB1683}"/>
    <cellStyle name="20% - Accent5 2 7" xfId="1885" xr:uid="{00000000-0005-0000-0000-0000CB020000}"/>
    <cellStyle name="20% - Accent5 2 7 2" xfId="4114" xr:uid="{00000000-0005-0000-0000-0000CC020000}"/>
    <cellStyle name="20% - Accent5 2 7 2 2" xfId="8337" xr:uid="{00000000-0005-0000-0000-0000CD020000}"/>
    <cellStyle name="20% - Accent5 2 7 2 2 2" xfId="16772" xr:uid="{B37D6CAE-3CF9-4B58-898D-EAC1CDA1F2A6}"/>
    <cellStyle name="20% - Accent5 2 7 2 3" xfId="12554" xr:uid="{302EA220-A2DE-4115-9B8A-E90F4EB4CCBF}"/>
    <cellStyle name="20% - Accent5 2 7 3" xfId="6192" xr:uid="{00000000-0005-0000-0000-0000CE020000}"/>
    <cellStyle name="20% - Accent5 2 7 3 2" xfId="14627" xr:uid="{DAA05F8B-3C6D-443D-B88B-AFE7A8D178C6}"/>
    <cellStyle name="20% - Accent5 2 7 4" xfId="10409" xr:uid="{5D76018B-BBCE-469B-8A25-260E249E53B3}"/>
    <cellStyle name="20% - Accent5 2 8" xfId="2298" xr:uid="{00000000-0005-0000-0000-0000CF020000}"/>
    <cellStyle name="20% - Accent5 2 8 2" xfId="6605" xr:uid="{00000000-0005-0000-0000-0000D0020000}"/>
    <cellStyle name="20% - Accent5 2 8 2 2" xfId="15040" xr:uid="{A7ECAE83-3513-49BE-9EF5-7CA3C056842C}"/>
    <cellStyle name="20% - Accent5 2 8 3" xfId="10822" xr:uid="{90A763E5-3583-4EE0-B7DA-2E102BCF8BEF}"/>
    <cellStyle name="20% - Accent5 2 9" xfId="4539" xr:uid="{00000000-0005-0000-0000-0000D1020000}"/>
    <cellStyle name="20% - Accent5 2 9 2" xfId="12974" xr:uid="{3133E423-9695-4316-B332-A2F6D3844E91}"/>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2 2 2" xfId="15538" xr:uid="{CFA0F461-7528-49A1-8831-5AE1B00F896E}"/>
    <cellStyle name="20% - Accent5 3 2 2 2 3" xfId="11320" xr:uid="{1B5745E7-774A-45FD-840F-5D4EDF16635D}"/>
    <cellStyle name="20% - Accent5 3 2 2 3" xfId="4958" xr:uid="{00000000-0005-0000-0000-0000D7020000}"/>
    <cellStyle name="20% - Accent5 3 2 2 3 2" xfId="13393" xr:uid="{6C2A355E-D08C-4766-9E2F-10F75B5EB48B}"/>
    <cellStyle name="20% - Accent5 3 2 2 4" xfId="9175" xr:uid="{16A3E235-4D32-4D59-AA34-D54001D3B307}"/>
    <cellStyle name="20% - Accent5 3 2 3" xfId="1062" xr:uid="{00000000-0005-0000-0000-0000D8020000}"/>
    <cellStyle name="20% - Accent5 3 2 3 2" xfId="3293" xr:uid="{00000000-0005-0000-0000-0000D9020000}"/>
    <cellStyle name="20% - Accent5 3 2 3 2 2" xfId="7516" xr:uid="{00000000-0005-0000-0000-0000DA020000}"/>
    <cellStyle name="20% - Accent5 3 2 3 2 2 2" xfId="15951" xr:uid="{2D2D8C0A-2EB4-4C07-9E49-A8FA3C434896}"/>
    <cellStyle name="20% - Accent5 3 2 3 2 3" xfId="11733" xr:uid="{B9D8F589-AEF7-4ABC-9049-ED2E54EF4CDE}"/>
    <cellStyle name="20% - Accent5 3 2 3 3" xfId="5371" xr:uid="{00000000-0005-0000-0000-0000DB020000}"/>
    <cellStyle name="20% - Accent5 3 2 3 3 2" xfId="13806" xr:uid="{B6659801-07B8-46F9-B0C5-87B676AD89FD}"/>
    <cellStyle name="20% - Accent5 3 2 3 4" xfId="9588" xr:uid="{F2F9F8A8-5AFC-4E03-87FA-C17A9B5C2589}"/>
    <cellStyle name="20% - Accent5 3 2 4" xfId="1476" xr:uid="{00000000-0005-0000-0000-0000DC020000}"/>
    <cellStyle name="20% - Accent5 3 2 4 2" xfId="3706" xr:uid="{00000000-0005-0000-0000-0000DD020000}"/>
    <cellStyle name="20% - Accent5 3 2 4 2 2" xfId="7929" xr:uid="{00000000-0005-0000-0000-0000DE020000}"/>
    <cellStyle name="20% - Accent5 3 2 4 2 2 2" xfId="16364" xr:uid="{E84F59A2-C43C-4826-85A1-D2104B503CDD}"/>
    <cellStyle name="20% - Accent5 3 2 4 2 3" xfId="12146" xr:uid="{0918D91D-EA93-44E6-951C-DAE096325F9E}"/>
    <cellStyle name="20% - Accent5 3 2 4 3" xfId="5784" xr:uid="{00000000-0005-0000-0000-0000DF020000}"/>
    <cellStyle name="20% - Accent5 3 2 4 3 2" xfId="14219" xr:uid="{5FC3D880-6106-4AF9-87A3-35A338663F33}"/>
    <cellStyle name="20% - Accent5 3 2 4 4" xfId="10001" xr:uid="{2234BFE5-97F9-44A5-8DA3-7534ED802926}"/>
    <cellStyle name="20% - Accent5 3 2 5" xfId="1890" xr:uid="{00000000-0005-0000-0000-0000E0020000}"/>
    <cellStyle name="20% - Accent5 3 2 5 2" xfId="4119" xr:uid="{00000000-0005-0000-0000-0000E1020000}"/>
    <cellStyle name="20% - Accent5 3 2 5 2 2" xfId="8342" xr:uid="{00000000-0005-0000-0000-0000E2020000}"/>
    <cellStyle name="20% - Accent5 3 2 5 2 2 2" xfId="16777" xr:uid="{2D9C3496-BB6F-41A3-A9B2-FB454D62B105}"/>
    <cellStyle name="20% - Accent5 3 2 5 2 3" xfId="12559" xr:uid="{EF8F6735-D2E2-46EE-9DD8-564FA5D946CB}"/>
    <cellStyle name="20% - Accent5 3 2 5 3" xfId="6197" xr:uid="{00000000-0005-0000-0000-0000E3020000}"/>
    <cellStyle name="20% - Accent5 3 2 5 3 2" xfId="14632" xr:uid="{14B1A6CD-0649-4FC5-BFB1-A01D8CC87879}"/>
    <cellStyle name="20% - Accent5 3 2 5 4" xfId="10414" xr:uid="{90B2C5C2-EDE5-4415-9884-5C2433DDD978}"/>
    <cellStyle name="20% - Accent5 3 2 6" xfId="2303" xr:uid="{00000000-0005-0000-0000-0000E4020000}"/>
    <cellStyle name="20% - Accent5 3 2 6 2" xfId="6610" xr:uid="{00000000-0005-0000-0000-0000E5020000}"/>
    <cellStyle name="20% - Accent5 3 2 6 2 2" xfId="15045" xr:uid="{278955C3-7857-4C1D-AD15-9B5CCCDFEA42}"/>
    <cellStyle name="20% - Accent5 3 2 6 3" xfId="10827" xr:uid="{8D4339BA-1930-46C9-90A7-7076D1C21A0B}"/>
    <cellStyle name="20% - Accent5 3 2 7" xfId="4544" xr:uid="{00000000-0005-0000-0000-0000E6020000}"/>
    <cellStyle name="20% - Accent5 3 2 7 2" xfId="12979" xr:uid="{3B2DB03C-B551-4DBA-879A-9512EA21F562}"/>
    <cellStyle name="20% - Accent5 3 2 8" xfId="8761" xr:uid="{FA379EEB-8AE7-4C1A-9F58-0DD3C6C05E8A}"/>
    <cellStyle name="20% - Accent5 3 3" xfId="608" xr:uid="{00000000-0005-0000-0000-0000E7020000}"/>
    <cellStyle name="20% - Accent5 3 3 2" xfId="2879" xr:uid="{00000000-0005-0000-0000-0000E8020000}"/>
    <cellStyle name="20% - Accent5 3 3 2 2" xfId="7102" xr:uid="{00000000-0005-0000-0000-0000E9020000}"/>
    <cellStyle name="20% - Accent5 3 3 2 2 2" xfId="15537" xr:uid="{49B447CA-8B27-41A1-9E2F-3BD2BCA4BEFE}"/>
    <cellStyle name="20% - Accent5 3 3 2 3" xfId="11319" xr:uid="{FE77ADD8-1846-4009-B3F8-72EDA23163BB}"/>
    <cellStyle name="20% - Accent5 3 3 3" xfId="4957" xr:uid="{00000000-0005-0000-0000-0000EA020000}"/>
    <cellStyle name="20% - Accent5 3 3 3 2" xfId="13392" xr:uid="{EBB96EF9-4FF5-4450-BED2-D86BA317CAB4}"/>
    <cellStyle name="20% - Accent5 3 3 4" xfId="9174" xr:uid="{D40252C3-FCFC-4380-90DB-A9E9444D39E0}"/>
    <cellStyle name="20% - Accent5 3 4" xfId="1061" xr:uid="{00000000-0005-0000-0000-0000EB020000}"/>
    <cellStyle name="20% - Accent5 3 4 2" xfId="3292" xr:uid="{00000000-0005-0000-0000-0000EC020000}"/>
    <cellStyle name="20% - Accent5 3 4 2 2" xfId="7515" xr:uid="{00000000-0005-0000-0000-0000ED020000}"/>
    <cellStyle name="20% - Accent5 3 4 2 2 2" xfId="15950" xr:uid="{CA2F6874-3E7C-459D-ABD5-6ACC0A90D31C}"/>
    <cellStyle name="20% - Accent5 3 4 2 3" xfId="11732" xr:uid="{AFC85419-AD07-4724-B1DA-6FA3C581E7E7}"/>
    <cellStyle name="20% - Accent5 3 4 3" xfId="5370" xr:uid="{00000000-0005-0000-0000-0000EE020000}"/>
    <cellStyle name="20% - Accent5 3 4 3 2" xfId="13805" xr:uid="{A057E2DD-D426-4523-8A3F-7063B932E6CB}"/>
    <cellStyle name="20% - Accent5 3 4 4" xfId="9587" xr:uid="{F3F24270-BCAD-4D01-80DF-29DFCDDE4618}"/>
    <cellStyle name="20% - Accent5 3 5" xfId="1475" xr:uid="{00000000-0005-0000-0000-0000EF020000}"/>
    <cellStyle name="20% - Accent5 3 5 2" xfId="3705" xr:uid="{00000000-0005-0000-0000-0000F0020000}"/>
    <cellStyle name="20% - Accent5 3 5 2 2" xfId="7928" xr:uid="{00000000-0005-0000-0000-0000F1020000}"/>
    <cellStyle name="20% - Accent5 3 5 2 2 2" xfId="16363" xr:uid="{75039F6B-44C4-45CC-B272-86703DAC8969}"/>
    <cellStyle name="20% - Accent5 3 5 2 3" xfId="12145" xr:uid="{B7FCE834-13BC-4F29-A382-0AA93586C17C}"/>
    <cellStyle name="20% - Accent5 3 5 3" xfId="5783" xr:uid="{00000000-0005-0000-0000-0000F2020000}"/>
    <cellStyle name="20% - Accent5 3 5 3 2" xfId="14218" xr:uid="{6B70945C-6AAE-463D-95E5-821B3993DA6F}"/>
    <cellStyle name="20% - Accent5 3 5 4" xfId="10000" xr:uid="{C609FDBC-6139-42DE-B347-3BF98A5ABBFA}"/>
    <cellStyle name="20% - Accent5 3 6" xfId="1889" xr:uid="{00000000-0005-0000-0000-0000F3020000}"/>
    <cellStyle name="20% - Accent5 3 6 2" xfId="4118" xr:uid="{00000000-0005-0000-0000-0000F4020000}"/>
    <cellStyle name="20% - Accent5 3 6 2 2" xfId="8341" xr:uid="{00000000-0005-0000-0000-0000F5020000}"/>
    <cellStyle name="20% - Accent5 3 6 2 2 2" xfId="16776" xr:uid="{3E825791-4CCF-4372-BA1A-C00CE25B87B1}"/>
    <cellStyle name="20% - Accent5 3 6 2 3" xfId="12558" xr:uid="{19461253-7204-4D46-8FE1-E6CCEE472870}"/>
    <cellStyle name="20% - Accent5 3 6 3" xfId="6196" xr:uid="{00000000-0005-0000-0000-0000F6020000}"/>
    <cellStyle name="20% - Accent5 3 6 3 2" xfId="14631" xr:uid="{00B6CF45-5929-4137-AB8E-A0CB23212764}"/>
    <cellStyle name="20% - Accent5 3 6 4" xfId="10413" xr:uid="{FB76C3D7-23D9-4951-B1A5-1FC144040375}"/>
    <cellStyle name="20% - Accent5 3 7" xfId="2302" xr:uid="{00000000-0005-0000-0000-0000F7020000}"/>
    <cellStyle name="20% - Accent5 3 7 2" xfId="6609" xr:uid="{00000000-0005-0000-0000-0000F8020000}"/>
    <cellStyle name="20% - Accent5 3 7 2 2" xfId="15044" xr:uid="{0273456E-F346-4F65-8A76-F0D814C043C3}"/>
    <cellStyle name="20% - Accent5 3 7 3" xfId="10826" xr:uid="{80C74CAA-EEAE-4EDC-9ADB-C09303D7EEF5}"/>
    <cellStyle name="20% - Accent5 3 8" xfId="4543" xr:uid="{00000000-0005-0000-0000-0000F9020000}"/>
    <cellStyle name="20% - Accent5 3 8 2" xfId="12978" xr:uid="{66CC7AEF-C429-430A-989E-22D7F2E36135}"/>
    <cellStyle name="20% - Accent5 3 9" xfId="8760" xr:uid="{DC263BB2-9230-4DC3-935B-2DE06581F0BF}"/>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2 2 2" xfId="15539" xr:uid="{8A7EF2DC-1B47-4D11-8F32-2C5629AE74BD}"/>
    <cellStyle name="20% - Accent5 4 2 2 3" xfId="11321" xr:uid="{5921229E-0EBC-4E85-9AEA-A95FD2F148C3}"/>
    <cellStyle name="20% - Accent5 4 2 3" xfId="4959" xr:uid="{00000000-0005-0000-0000-0000FE020000}"/>
    <cellStyle name="20% - Accent5 4 2 3 2" xfId="13394" xr:uid="{A98F0E23-985A-4D4D-8698-0C24202EF83B}"/>
    <cellStyle name="20% - Accent5 4 2 4" xfId="9176" xr:uid="{FBB81F66-E270-4D97-9EF3-3636FA362436}"/>
    <cellStyle name="20% - Accent5 4 3" xfId="1063" xr:uid="{00000000-0005-0000-0000-0000FF020000}"/>
    <cellStyle name="20% - Accent5 4 3 2" xfId="3294" xr:uid="{00000000-0005-0000-0000-000000030000}"/>
    <cellStyle name="20% - Accent5 4 3 2 2" xfId="7517" xr:uid="{00000000-0005-0000-0000-000001030000}"/>
    <cellStyle name="20% - Accent5 4 3 2 2 2" xfId="15952" xr:uid="{AADDBE2D-9FEC-40F5-8B22-01E2129F5F6E}"/>
    <cellStyle name="20% - Accent5 4 3 2 3" xfId="11734" xr:uid="{D070AADC-0599-46EF-ABF1-2D82DB27CB43}"/>
    <cellStyle name="20% - Accent5 4 3 3" xfId="5372" xr:uid="{00000000-0005-0000-0000-000002030000}"/>
    <cellStyle name="20% - Accent5 4 3 3 2" xfId="13807" xr:uid="{CD8B26A0-491D-4A1A-9041-BE85F1E328D4}"/>
    <cellStyle name="20% - Accent5 4 3 4" xfId="9589" xr:uid="{FC6A4A8C-26D7-4E0E-AD37-1EE21FAC43FC}"/>
    <cellStyle name="20% - Accent5 4 4" xfId="1477" xr:uid="{00000000-0005-0000-0000-000003030000}"/>
    <cellStyle name="20% - Accent5 4 4 2" xfId="3707" xr:uid="{00000000-0005-0000-0000-000004030000}"/>
    <cellStyle name="20% - Accent5 4 4 2 2" xfId="7930" xr:uid="{00000000-0005-0000-0000-000005030000}"/>
    <cellStyle name="20% - Accent5 4 4 2 2 2" xfId="16365" xr:uid="{CFA13357-64A6-4334-91AB-41D8E7A75F5E}"/>
    <cellStyle name="20% - Accent5 4 4 2 3" xfId="12147" xr:uid="{91E1DE35-B7D9-4FF4-A1AA-2D7AE8DF5F58}"/>
    <cellStyle name="20% - Accent5 4 4 3" xfId="5785" xr:uid="{00000000-0005-0000-0000-000006030000}"/>
    <cellStyle name="20% - Accent5 4 4 3 2" xfId="14220" xr:uid="{988EB70B-F7ED-4331-A79E-8831A38A1D99}"/>
    <cellStyle name="20% - Accent5 4 4 4" xfId="10002" xr:uid="{3954EF74-F1DA-42F4-8E31-63E353F447E4}"/>
    <cellStyle name="20% - Accent5 4 5" xfId="1891" xr:uid="{00000000-0005-0000-0000-000007030000}"/>
    <cellStyle name="20% - Accent5 4 5 2" xfId="4120" xr:uid="{00000000-0005-0000-0000-000008030000}"/>
    <cellStyle name="20% - Accent5 4 5 2 2" xfId="8343" xr:uid="{00000000-0005-0000-0000-000009030000}"/>
    <cellStyle name="20% - Accent5 4 5 2 2 2" xfId="16778" xr:uid="{C314286E-E2E6-4521-AD67-17E281CBCCAC}"/>
    <cellStyle name="20% - Accent5 4 5 2 3" xfId="12560" xr:uid="{F927F0FB-6451-41F7-9DA4-4AEB68550CFD}"/>
    <cellStyle name="20% - Accent5 4 5 3" xfId="6198" xr:uid="{00000000-0005-0000-0000-00000A030000}"/>
    <cellStyle name="20% - Accent5 4 5 3 2" xfId="14633" xr:uid="{AFA271E0-FEAC-4268-AE2E-0B1E0FE0F928}"/>
    <cellStyle name="20% - Accent5 4 5 4" xfId="10415" xr:uid="{4B360AEA-586E-4F1B-9108-213AAA001FEE}"/>
    <cellStyle name="20% - Accent5 4 6" xfId="2304" xr:uid="{00000000-0005-0000-0000-00000B030000}"/>
    <cellStyle name="20% - Accent5 4 6 2" xfId="6611" xr:uid="{00000000-0005-0000-0000-00000C030000}"/>
    <cellStyle name="20% - Accent5 4 6 2 2" xfId="15046" xr:uid="{6C9A7AB1-E058-4500-B396-79E61C77905B}"/>
    <cellStyle name="20% - Accent5 4 6 3" xfId="10828" xr:uid="{08FD3F9B-9AC8-4C63-8DF6-96C9E9AE1668}"/>
    <cellStyle name="20% - Accent5 4 7" xfId="4545" xr:uid="{00000000-0005-0000-0000-00000D030000}"/>
    <cellStyle name="20% - Accent5 4 7 2" xfId="12980" xr:uid="{277801C1-7DB5-45BF-86FB-40A0FA989E2A}"/>
    <cellStyle name="20% - Accent5 4 8" xfId="8762" xr:uid="{FDA237F8-A3D3-4EB8-80DF-C3BFB5E2D10E}"/>
    <cellStyle name="20% - Accent5 5" xfId="603" xr:uid="{00000000-0005-0000-0000-00000E030000}"/>
    <cellStyle name="20% - Accent5 5 2" xfId="2874" xr:uid="{00000000-0005-0000-0000-00000F030000}"/>
    <cellStyle name="20% - Accent5 5 2 2" xfId="7097" xr:uid="{00000000-0005-0000-0000-000010030000}"/>
    <cellStyle name="20% - Accent5 5 2 2 2" xfId="15532" xr:uid="{64794B85-18E3-4A19-90BF-C9C84EFC42E6}"/>
    <cellStyle name="20% - Accent5 5 2 3" xfId="11314" xr:uid="{29300B21-A877-4198-A2F4-336106E64F4F}"/>
    <cellStyle name="20% - Accent5 5 3" xfId="4952" xr:uid="{00000000-0005-0000-0000-000011030000}"/>
    <cellStyle name="20% - Accent5 5 3 2" xfId="13387" xr:uid="{CBD94436-0EBE-468C-BEE6-9152878A3B06}"/>
    <cellStyle name="20% - Accent5 5 4" xfId="9169" xr:uid="{23114E9E-DB35-4FD0-80DF-3DB865FC1B3D}"/>
    <cellStyle name="20% - Accent5 6" xfId="1056" xr:uid="{00000000-0005-0000-0000-000012030000}"/>
    <cellStyle name="20% - Accent5 6 2" xfId="3287" xr:uid="{00000000-0005-0000-0000-000013030000}"/>
    <cellStyle name="20% - Accent5 6 2 2" xfId="7510" xr:uid="{00000000-0005-0000-0000-000014030000}"/>
    <cellStyle name="20% - Accent5 6 2 2 2" xfId="15945" xr:uid="{B02F61CE-50C1-4535-88A2-DC88F575B44A}"/>
    <cellStyle name="20% - Accent5 6 2 3" xfId="11727" xr:uid="{D802C31B-A43C-4E07-950A-C99F4F7CFA79}"/>
    <cellStyle name="20% - Accent5 6 3" xfId="5365" xr:uid="{00000000-0005-0000-0000-000015030000}"/>
    <cellStyle name="20% - Accent5 6 3 2" xfId="13800" xr:uid="{33D9F06E-40F9-438E-9ABA-6D2D78ED76CD}"/>
    <cellStyle name="20% - Accent5 6 4" xfId="9582" xr:uid="{3ECAFB92-2BA1-4194-8FCA-2D3C5801254E}"/>
    <cellStyle name="20% - Accent5 7" xfId="1470" xr:uid="{00000000-0005-0000-0000-000016030000}"/>
    <cellStyle name="20% - Accent5 7 2" xfId="3700" xr:uid="{00000000-0005-0000-0000-000017030000}"/>
    <cellStyle name="20% - Accent5 7 2 2" xfId="7923" xr:uid="{00000000-0005-0000-0000-000018030000}"/>
    <cellStyle name="20% - Accent5 7 2 2 2" xfId="16358" xr:uid="{49D0EF89-896D-45D0-8574-C07A902F4E3E}"/>
    <cellStyle name="20% - Accent5 7 2 3" xfId="12140" xr:uid="{0030A1F4-93F8-44DC-A70F-39DBF0B8F1E7}"/>
    <cellStyle name="20% - Accent5 7 3" xfId="5778" xr:uid="{00000000-0005-0000-0000-000019030000}"/>
    <cellStyle name="20% - Accent5 7 3 2" xfId="14213" xr:uid="{6C6BF79A-FCC3-4F7D-BD29-6D9D893177DC}"/>
    <cellStyle name="20% - Accent5 7 4" xfId="9995" xr:uid="{C7BB39BE-000B-48D0-B575-5BD498D7C8FF}"/>
    <cellStyle name="20% - Accent5 8" xfId="1884" xr:uid="{00000000-0005-0000-0000-00001A030000}"/>
    <cellStyle name="20% - Accent5 8 2" xfId="4113" xr:uid="{00000000-0005-0000-0000-00001B030000}"/>
    <cellStyle name="20% - Accent5 8 2 2" xfId="8336" xr:uid="{00000000-0005-0000-0000-00001C030000}"/>
    <cellStyle name="20% - Accent5 8 2 2 2" xfId="16771" xr:uid="{641F21AA-E6F5-4EC3-8382-479F32C0BC35}"/>
    <cellStyle name="20% - Accent5 8 2 3" xfId="12553" xr:uid="{DC30B7DD-2A51-4743-B59C-30B8C70BCF0D}"/>
    <cellStyle name="20% - Accent5 8 3" xfId="6191" xr:uid="{00000000-0005-0000-0000-00001D030000}"/>
    <cellStyle name="20% - Accent5 8 3 2" xfId="14626" xr:uid="{F031B5F3-EC7C-439A-BFB9-58419C8D129F}"/>
    <cellStyle name="20% - Accent5 8 4" xfId="10408" xr:uid="{2C44CD5A-CE3A-4145-A989-92C8CA0718D7}"/>
    <cellStyle name="20% - Accent5 9" xfId="2297" xr:uid="{00000000-0005-0000-0000-00001E030000}"/>
    <cellStyle name="20% - Accent5 9 2" xfId="6604" xr:uid="{00000000-0005-0000-0000-00001F030000}"/>
    <cellStyle name="20% - Accent5 9 2 2" xfId="15039" xr:uid="{EFEF2FF2-5391-4A12-8104-2E9A4F3A0AB6}"/>
    <cellStyle name="20% - Accent5 9 3" xfId="10821" xr:uid="{B2BAC5E0-2958-47FC-82AB-92D91DB5E0D8}"/>
    <cellStyle name="20% - Accent6" xfId="41" builtinId="50" customBuiltin="1"/>
    <cellStyle name="20% - Accent6 10" xfId="4546" xr:uid="{00000000-0005-0000-0000-000021030000}"/>
    <cellStyle name="20% - Accent6 10 2" xfId="12981" xr:uid="{9D94FAD4-B5C2-4902-9C10-D03D5304200E}"/>
    <cellStyle name="20% - Accent6 11" xfId="8763" xr:uid="{6F9AA951-507E-4360-8CA6-0C23371315D9}"/>
    <cellStyle name="20% - Accent6 2" xfId="42" xr:uid="{00000000-0005-0000-0000-000022030000}"/>
    <cellStyle name="20% - Accent6 2 10" xfId="8764" xr:uid="{B463935A-BEB5-4E4F-B724-DC77D421C956}"/>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2 2 2" xfId="15543" xr:uid="{F7924066-CAFD-4967-88F1-E4CF59FD20EF}"/>
    <cellStyle name="20% - Accent6 2 2 2 2 2 3" xfId="11325" xr:uid="{8373B667-61F2-4A47-9EEF-F5697AD4916A}"/>
    <cellStyle name="20% - Accent6 2 2 2 2 3" xfId="4963" xr:uid="{00000000-0005-0000-0000-000028030000}"/>
    <cellStyle name="20% - Accent6 2 2 2 2 3 2" xfId="13398" xr:uid="{6EF05151-D9A2-4E33-A93E-3A2430B6CB7C}"/>
    <cellStyle name="20% - Accent6 2 2 2 2 4" xfId="9180" xr:uid="{D1268CC0-AD0D-4A47-851B-34FDDF5A251D}"/>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2 2 2" xfId="15956" xr:uid="{1E3ED7FB-42A6-4B81-970D-753E0D09E10D}"/>
    <cellStyle name="20% - Accent6 2 2 2 3 2 3" xfId="11738" xr:uid="{B2EA771E-0F41-4AFA-B638-2505B0F9BFEC}"/>
    <cellStyle name="20% - Accent6 2 2 2 3 3" xfId="5376" xr:uid="{00000000-0005-0000-0000-00002C030000}"/>
    <cellStyle name="20% - Accent6 2 2 2 3 3 2" xfId="13811" xr:uid="{C19F26A2-4702-4EBC-B5E6-2F1DD37B9A79}"/>
    <cellStyle name="20% - Accent6 2 2 2 3 4" xfId="9593" xr:uid="{2E1D7F17-374D-4447-B241-6C1CE2DBF01D}"/>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2 2 2" xfId="16369" xr:uid="{79A1EF00-4537-4830-9ECA-CD4F4793CA42}"/>
    <cellStyle name="20% - Accent6 2 2 2 4 2 3" xfId="12151" xr:uid="{4EE5270C-1ADB-49A4-9FD7-FA408549B628}"/>
    <cellStyle name="20% - Accent6 2 2 2 4 3" xfId="5789" xr:uid="{00000000-0005-0000-0000-000030030000}"/>
    <cellStyle name="20% - Accent6 2 2 2 4 3 2" xfId="14224" xr:uid="{229DF454-31A3-4648-92EE-5887BF5F8E0C}"/>
    <cellStyle name="20% - Accent6 2 2 2 4 4" xfId="10006" xr:uid="{A7AEC236-70C0-4AA9-8918-58424670D07C}"/>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2 2 2" xfId="16782" xr:uid="{5E79537B-E1DD-4ACB-8D5E-8A9224B5ADEB}"/>
    <cellStyle name="20% - Accent6 2 2 2 5 2 3" xfId="12564" xr:uid="{73DA47A4-6E59-4919-97BE-B99726C24C50}"/>
    <cellStyle name="20% - Accent6 2 2 2 5 3" xfId="6202" xr:uid="{00000000-0005-0000-0000-000034030000}"/>
    <cellStyle name="20% - Accent6 2 2 2 5 3 2" xfId="14637" xr:uid="{149FEAD9-1FE5-4C20-8702-3200B777C430}"/>
    <cellStyle name="20% - Accent6 2 2 2 5 4" xfId="10419" xr:uid="{D01FB6C3-856D-46BA-A7A9-1DF701781D33}"/>
    <cellStyle name="20% - Accent6 2 2 2 6" xfId="2308" xr:uid="{00000000-0005-0000-0000-000035030000}"/>
    <cellStyle name="20% - Accent6 2 2 2 6 2" xfId="6615" xr:uid="{00000000-0005-0000-0000-000036030000}"/>
    <cellStyle name="20% - Accent6 2 2 2 6 2 2" xfId="15050" xr:uid="{8F0AE260-295A-4521-8BF9-DDA4A09EF292}"/>
    <cellStyle name="20% - Accent6 2 2 2 6 3" xfId="10832" xr:uid="{782E8754-3382-4DFE-8028-260D15B59A54}"/>
    <cellStyle name="20% - Accent6 2 2 2 7" xfId="4549" xr:uid="{00000000-0005-0000-0000-000037030000}"/>
    <cellStyle name="20% - Accent6 2 2 2 7 2" xfId="12984" xr:uid="{CC80D28C-4F41-4B14-A84A-444C61196026}"/>
    <cellStyle name="20% - Accent6 2 2 2 8" xfId="8766" xr:uid="{4C472015-2C2C-44AB-9206-6C9DE6EA5E24}"/>
    <cellStyle name="20% - Accent6 2 2 3" xfId="613" xr:uid="{00000000-0005-0000-0000-000038030000}"/>
    <cellStyle name="20% - Accent6 2 2 3 2" xfId="2884" xr:uid="{00000000-0005-0000-0000-000039030000}"/>
    <cellStyle name="20% - Accent6 2 2 3 2 2" xfId="7107" xr:uid="{00000000-0005-0000-0000-00003A030000}"/>
    <cellStyle name="20% - Accent6 2 2 3 2 2 2" xfId="15542" xr:uid="{9192E2B1-6832-40AF-86B7-2E3419602994}"/>
    <cellStyle name="20% - Accent6 2 2 3 2 3" xfId="11324" xr:uid="{8CC056A9-BD6F-4593-98D1-33D67DD5563F}"/>
    <cellStyle name="20% - Accent6 2 2 3 3" xfId="4962" xr:uid="{00000000-0005-0000-0000-00003B030000}"/>
    <cellStyle name="20% - Accent6 2 2 3 3 2" xfId="13397" xr:uid="{5AC07400-C3AA-43D4-81C4-5A450B701667}"/>
    <cellStyle name="20% - Accent6 2 2 3 4" xfId="9179" xr:uid="{97847890-A0E7-4E11-849A-D1E3EACCFAE8}"/>
    <cellStyle name="20% - Accent6 2 2 4" xfId="1066" xr:uid="{00000000-0005-0000-0000-00003C030000}"/>
    <cellStyle name="20% - Accent6 2 2 4 2" xfId="3297" xr:uid="{00000000-0005-0000-0000-00003D030000}"/>
    <cellStyle name="20% - Accent6 2 2 4 2 2" xfId="7520" xr:uid="{00000000-0005-0000-0000-00003E030000}"/>
    <cellStyle name="20% - Accent6 2 2 4 2 2 2" xfId="15955" xr:uid="{8BA0ED90-F9CA-4146-910A-67FC05973A83}"/>
    <cellStyle name="20% - Accent6 2 2 4 2 3" xfId="11737" xr:uid="{2B5042A1-D6F4-47D1-9923-FAC3AA63008E}"/>
    <cellStyle name="20% - Accent6 2 2 4 3" xfId="5375" xr:uid="{00000000-0005-0000-0000-00003F030000}"/>
    <cellStyle name="20% - Accent6 2 2 4 3 2" xfId="13810" xr:uid="{16C84685-E2BE-4DA0-9C33-74AC5D536E0A}"/>
    <cellStyle name="20% - Accent6 2 2 4 4" xfId="9592" xr:uid="{5723AD70-04A9-4726-9E4E-BEC4242D98FC}"/>
    <cellStyle name="20% - Accent6 2 2 5" xfId="1480" xr:uid="{00000000-0005-0000-0000-000040030000}"/>
    <cellStyle name="20% - Accent6 2 2 5 2" xfId="3710" xr:uid="{00000000-0005-0000-0000-000041030000}"/>
    <cellStyle name="20% - Accent6 2 2 5 2 2" xfId="7933" xr:uid="{00000000-0005-0000-0000-000042030000}"/>
    <cellStyle name="20% - Accent6 2 2 5 2 2 2" xfId="16368" xr:uid="{AE983317-DB4E-4A64-98B9-8307AF99B01F}"/>
    <cellStyle name="20% - Accent6 2 2 5 2 3" xfId="12150" xr:uid="{0745A84F-6428-4F57-8FB8-C733E99B873A}"/>
    <cellStyle name="20% - Accent6 2 2 5 3" xfId="5788" xr:uid="{00000000-0005-0000-0000-000043030000}"/>
    <cellStyle name="20% - Accent6 2 2 5 3 2" xfId="14223" xr:uid="{AE5DEE22-B811-4CE7-A06C-3EA3FCBBF398}"/>
    <cellStyle name="20% - Accent6 2 2 5 4" xfId="10005" xr:uid="{DE935045-2517-453A-86E3-196104F9A428}"/>
    <cellStyle name="20% - Accent6 2 2 6" xfId="1894" xr:uid="{00000000-0005-0000-0000-000044030000}"/>
    <cellStyle name="20% - Accent6 2 2 6 2" xfId="4123" xr:uid="{00000000-0005-0000-0000-000045030000}"/>
    <cellStyle name="20% - Accent6 2 2 6 2 2" xfId="8346" xr:uid="{00000000-0005-0000-0000-000046030000}"/>
    <cellStyle name="20% - Accent6 2 2 6 2 2 2" xfId="16781" xr:uid="{F3F2190D-927E-405B-8E55-FE9C26B323E8}"/>
    <cellStyle name="20% - Accent6 2 2 6 2 3" xfId="12563" xr:uid="{E63E2A93-58D2-4313-9305-110BCDFD6422}"/>
    <cellStyle name="20% - Accent6 2 2 6 3" xfId="6201" xr:uid="{00000000-0005-0000-0000-000047030000}"/>
    <cellStyle name="20% - Accent6 2 2 6 3 2" xfId="14636" xr:uid="{766E1CCE-17A2-4044-A8F3-5E787900169E}"/>
    <cellStyle name="20% - Accent6 2 2 6 4" xfId="10418" xr:uid="{D3B6E9F0-65A0-481F-AEB5-2525E1E0D534}"/>
    <cellStyle name="20% - Accent6 2 2 7" xfId="2307" xr:uid="{00000000-0005-0000-0000-000048030000}"/>
    <cellStyle name="20% - Accent6 2 2 7 2" xfId="6614" xr:uid="{00000000-0005-0000-0000-000049030000}"/>
    <cellStyle name="20% - Accent6 2 2 7 2 2" xfId="15049" xr:uid="{96E3EC25-3D40-4534-83CD-A971F9D8D290}"/>
    <cellStyle name="20% - Accent6 2 2 7 3" xfId="10831" xr:uid="{A61C797C-D654-41A2-9737-E503034A9F15}"/>
    <cellStyle name="20% - Accent6 2 2 8" xfId="4548" xr:uid="{00000000-0005-0000-0000-00004A030000}"/>
    <cellStyle name="20% - Accent6 2 2 8 2" xfId="12983" xr:uid="{8521BFEC-E484-4315-AA68-29BEB2842D7E}"/>
    <cellStyle name="20% - Accent6 2 2 9" xfId="8765" xr:uid="{8EF36630-2DF1-4D1C-89B9-46C8A002793A}"/>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2 2 2" xfId="15544" xr:uid="{226DD704-D2FD-47E4-9A53-E523B1128A08}"/>
    <cellStyle name="20% - Accent6 2 3 2 2 3" xfId="11326" xr:uid="{E01FAB74-F82A-427A-9F5A-F01616244F3F}"/>
    <cellStyle name="20% - Accent6 2 3 2 3" xfId="4964" xr:uid="{00000000-0005-0000-0000-00004F030000}"/>
    <cellStyle name="20% - Accent6 2 3 2 3 2" xfId="13399" xr:uid="{BEE7F1D7-B671-4D6E-8974-A9BE18C44443}"/>
    <cellStyle name="20% - Accent6 2 3 2 4" xfId="9181" xr:uid="{4A7CAFA7-68E5-4485-97AD-FF57EFB8E165}"/>
    <cellStyle name="20% - Accent6 2 3 3" xfId="1068" xr:uid="{00000000-0005-0000-0000-000050030000}"/>
    <cellStyle name="20% - Accent6 2 3 3 2" xfId="3299" xr:uid="{00000000-0005-0000-0000-000051030000}"/>
    <cellStyle name="20% - Accent6 2 3 3 2 2" xfId="7522" xr:uid="{00000000-0005-0000-0000-000052030000}"/>
    <cellStyle name="20% - Accent6 2 3 3 2 2 2" xfId="15957" xr:uid="{C33C0AC7-4897-42BF-B4EA-4AA87692B09E}"/>
    <cellStyle name="20% - Accent6 2 3 3 2 3" xfId="11739" xr:uid="{777378CA-4CE3-4331-A955-50C8338E7003}"/>
    <cellStyle name="20% - Accent6 2 3 3 3" xfId="5377" xr:uid="{00000000-0005-0000-0000-000053030000}"/>
    <cellStyle name="20% - Accent6 2 3 3 3 2" xfId="13812" xr:uid="{56F22299-DA6D-4BF1-9167-2A49B2A34273}"/>
    <cellStyle name="20% - Accent6 2 3 3 4" xfId="9594" xr:uid="{3D3CFDA6-8E3C-4B47-8876-5ABAE127769C}"/>
    <cellStyle name="20% - Accent6 2 3 4" xfId="1482" xr:uid="{00000000-0005-0000-0000-000054030000}"/>
    <cellStyle name="20% - Accent6 2 3 4 2" xfId="3712" xr:uid="{00000000-0005-0000-0000-000055030000}"/>
    <cellStyle name="20% - Accent6 2 3 4 2 2" xfId="7935" xr:uid="{00000000-0005-0000-0000-000056030000}"/>
    <cellStyle name="20% - Accent6 2 3 4 2 2 2" xfId="16370" xr:uid="{F447503C-9CE9-44FF-AC1A-E024F9AC836C}"/>
    <cellStyle name="20% - Accent6 2 3 4 2 3" xfId="12152" xr:uid="{27BE71B5-6FF7-44C6-B7D9-E5B99B66D87A}"/>
    <cellStyle name="20% - Accent6 2 3 4 3" xfId="5790" xr:uid="{00000000-0005-0000-0000-000057030000}"/>
    <cellStyle name="20% - Accent6 2 3 4 3 2" xfId="14225" xr:uid="{0A073EB1-283F-418B-8757-DA68667F9BEC}"/>
    <cellStyle name="20% - Accent6 2 3 4 4" xfId="10007" xr:uid="{5E5926AF-89FC-4606-B935-F9DFB4CBF8B5}"/>
    <cellStyle name="20% - Accent6 2 3 5" xfId="1896" xr:uid="{00000000-0005-0000-0000-000058030000}"/>
    <cellStyle name="20% - Accent6 2 3 5 2" xfId="4125" xr:uid="{00000000-0005-0000-0000-000059030000}"/>
    <cellStyle name="20% - Accent6 2 3 5 2 2" xfId="8348" xr:uid="{00000000-0005-0000-0000-00005A030000}"/>
    <cellStyle name="20% - Accent6 2 3 5 2 2 2" xfId="16783" xr:uid="{40758A1F-BBF0-4294-8A14-6A893556F248}"/>
    <cellStyle name="20% - Accent6 2 3 5 2 3" xfId="12565" xr:uid="{FAE83A43-DBC1-4659-A39C-CCEACB7F0DF7}"/>
    <cellStyle name="20% - Accent6 2 3 5 3" xfId="6203" xr:uid="{00000000-0005-0000-0000-00005B030000}"/>
    <cellStyle name="20% - Accent6 2 3 5 3 2" xfId="14638" xr:uid="{3ECD13C5-A5B1-46AC-8AAE-FA7C69FB93A3}"/>
    <cellStyle name="20% - Accent6 2 3 5 4" xfId="10420" xr:uid="{6DD0A979-8B5B-49D6-B64A-1CB96D7BBD6B}"/>
    <cellStyle name="20% - Accent6 2 3 6" xfId="2309" xr:uid="{00000000-0005-0000-0000-00005C030000}"/>
    <cellStyle name="20% - Accent6 2 3 6 2" xfId="6616" xr:uid="{00000000-0005-0000-0000-00005D030000}"/>
    <cellStyle name="20% - Accent6 2 3 6 2 2" xfId="15051" xr:uid="{9A8CD6FF-5358-4AEC-B640-5E22633193A4}"/>
    <cellStyle name="20% - Accent6 2 3 6 3" xfId="10833" xr:uid="{ADF76398-D425-460C-8443-FDA9E2B56D9D}"/>
    <cellStyle name="20% - Accent6 2 3 7" xfId="4550" xr:uid="{00000000-0005-0000-0000-00005E030000}"/>
    <cellStyle name="20% - Accent6 2 3 7 2" xfId="12985" xr:uid="{6A91BB57-A7E6-497E-ABD9-769419066F23}"/>
    <cellStyle name="20% - Accent6 2 3 8" xfId="8767" xr:uid="{D1B17FAB-CE7F-4C3E-95E5-A5F974F496DA}"/>
    <cellStyle name="20% - Accent6 2 4" xfId="612" xr:uid="{00000000-0005-0000-0000-00005F030000}"/>
    <cellStyle name="20% - Accent6 2 4 2" xfId="2883" xr:uid="{00000000-0005-0000-0000-000060030000}"/>
    <cellStyle name="20% - Accent6 2 4 2 2" xfId="7106" xr:uid="{00000000-0005-0000-0000-000061030000}"/>
    <cellStyle name="20% - Accent6 2 4 2 2 2" xfId="15541" xr:uid="{7FEF43AE-8A66-4AFB-A8A9-D7C738C7F879}"/>
    <cellStyle name="20% - Accent6 2 4 2 3" xfId="11323" xr:uid="{DDD9F520-A544-4CB8-9639-079E927D3330}"/>
    <cellStyle name="20% - Accent6 2 4 3" xfId="4961" xr:uid="{00000000-0005-0000-0000-000062030000}"/>
    <cellStyle name="20% - Accent6 2 4 3 2" xfId="13396" xr:uid="{B304CB36-2689-41D3-99A6-8F52D0716453}"/>
    <cellStyle name="20% - Accent6 2 4 4" xfId="9178" xr:uid="{588C2065-D106-44CA-8FBC-1AB36EF5CFCF}"/>
    <cellStyle name="20% - Accent6 2 5" xfId="1065" xr:uid="{00000000-0005-0000-0000-000063030000}"/>
    <cellStyle name="20% - Accent6 2 5 2" xfId="3296" xr:uid="{00000000-0005-0000-0000-000064030000}"/>
    <cellStyle name="20% - Accent6 2 5 2 2" xfId="7519" xr:uid="{00000000-0005-0000-0000-000065030000}"/>
    <cellStyle name="20% - Accent6 2 5 2 2 2" xfId="15954" xr:uid="{BC081E39-36E5-43AA-A125-11627E1A17B8}"/>
    <cellStyle name="20% - Accent6 2 5 2 3" xfId="11736" xr:uid="{419A0D47-5B6B-45A1-9A1C-5E7184266DE6}"/>
    <cellStyle name="20% - Accent6 2 5 3" xfId="5374" xr:uid="{00000000-0005-0000-0000-000066030000}"/>
    <cellStyle name="20% - Accent6 2 5 3 2" xfId="13809" xr:uid="{686E6808-30E2-435D-87B1-6E398540E711}"/>
    <cellStyle name="20% - Accent6 2 5 4" xfId="9591" xr:uid="{B820E1DD-D055-450F-84EB-1DD75359D5CE}"/>
    <cellStyle name="20% - Accent6 2 6" xfId="1479" xr:uid="{00000000-0005-0000-0000-000067030000}"/>
    <cellStyle name="20% - Accent6 2 6 2" xfId="3709" xr:uid="{00000000-0005-0000-0000-000068030000}"/>
    <cellStyle name="20% - Accent6 2 6 2 2" xfId="7932" xr:uid="{00000000-0005-0000-0000-000069030000}"/>
    <cellStyle name="20% - Accent6 2 6 2 2 2" xfId="16367" xr:uid="{EAD1FA8E-950F-4B98-A585-888392011955}"/>
    <cellStyle name="20% - Accent6 2 6 2 3" xfId="12149" xr:uid="{4E010F33-1819-4125-B103-2E1991B75E8B}"/>
    <cellStyle name="20% - Accent6 2 6 3" xfId="5787" xr:uid="{00000000-0005-0000-0000-00006A030000}"/>
    <cellStyle name="20% - Accent6 2 6 3 2" xfId="14222" xr:uid="{B8111568-8421-48B2-9ED3-63E5A8853A34}"/>
    <cellStyle name="20% - Accent6 2 6 4" xfId="10004" xr:uid="{EA8DDFC2-5A71-439A-A492-D7FEED86A61F}"/>
    <cellStyle name="20% - Accent6 2 7" xfId="1893" xr:uid="{00000000-0005-0000-0000-00006B030000}"/>
    <cellStyle name="20% - Accent6 2 7 2" xfId="4122" xr:uid="{00000000-0005-0000-0000-00006C030000}"/>
    <cellStyle name="20% - Accent6 2 7 2 2" xfId="8345" xr:uid="{00000000-0005-0000-0000-00006D030000}"/>
    <cellStyle name="20% - Accent6 2 7 2 2 2" xfId="16780" xr:uid="{89A7C10A-2B88-441D-A15C-1313411FCA0B}"/>
    <cellStyle name="20% - Accent6 2 7 2 3" xfId="12562" xr:uid="{5BB7607A-B78F-459D-AA77-AB025DB4B646}"/>
    <cellStyle name="20% - Accent6 2 7 3" xfId="6200" xr:uid="{00000000-0005-0000-0000-00006E030000}"/>
    <cellStyle name="20% - Accent6 2 7 3 2" xfId="14635" xr:uid="{9101D4D5-1213-431B-95BD-456068E289E0}"/>
    <cellStyle name="20% - Accent6 2 7 4" xfId="10417" xr:uid="{AF2AC2AD-28AF-4AE3-ADB2-53F6A9B4CB8D}"/>
    <cellStyle name="20% - Accent6 2 8" xfId="2306" xr:uid="{00000000-0005-0000-0000-00006F030000}"/>
    <cellStyle name="20% - Accent6 2 8 2" xfId="6613" xr:uid="{00000000-0005-0000-0000-000070030000}"/>
    <cellStyle name="20% - Accent6 2 8 2 2" xfId="15048" xr:uid="{CED18EA3-BCB1-4348-9565-05ED4EB13508}"/>
    <cellStyle name="20% - Accent6 2 8 3" xfId="10830" xr:uid="{6E67867C-5E51-44C5-95EB-EE7EA7822B42}"/>
    <cellStyle name="20% - Accent6 2 9" xfId="4547" xr:uid="{00000000-0005-0000-0000-000071030000}"/>
    <cellStyle name="20% - Accent6 2 9 2" xfId="12982" xr:uid="{E650AABD-6F50-4C49-8A0A-ED7A91AD90F9}"/>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2 2 2" xfId="15546" xr:uid="{348E7186-4EB9-4A86-8F23-DF4A2FB7EA9B}"/>
    <cellStyle name="20% - Accent6 3 2 2 2 3" xfId="11328" xr:uid="{B1D24105-AF22-4E76-9019-1D8FBCD0C227}"/>
    <cellStyle name="20% - Accent6 3 2 2 3" xfId="4966" xr:uid="{00000000-0005-0000-0000-000077030000}"/>
    <cellStyle name="20% - Accent6 3 2 2 3 2" xfId="13401" xr:uid="{829B1655-EAFA-46CF-B235-BA9693FE446B}"/>
    <cellStyle name="20% - Accent6 3 2 2 4" xfId="9183" xr:uid="{0150D0B9-A858-43F4-906E-25E04D24D83B}"/>
    <cellStyle name="20% - Accent6 3 2 3" xfId="1070" xr:uid="{00000000-0005-0000-0000-000078030000}"/>
    <cellStyle name="20% - Accent6 3 2 3 2" xfId="3301" xr:uid="{00000000-0005-0000-0000-000079030000}"/>
    <cellStyle name="20% - Accent6 3 2 3 2 2" xfId="7524" xr:uid="{00000000-0005-0000-0000-00007A030000}"/>
    <cellStyle name="20% - Accent6 3 2 3 2 2 2" xfId="15959" xr:uid="{0C4252C9-82D5-487B-8A5F-DC126C0E2433}"/>
    <cellStyle name="20% - Accent6 3 2 3 2 3" xfId="11741" xr:uid="{2D2ABBDD-F0C9-4571-8372-EBCA129F8D76}"/>
    <cellStyle name="20% - Accent6 3 2 3 3" xfId="5379" xr:uid="{00000000-0005-0000-0000-00007B030000}"/>
    <cellStyle name="20% - Accent6 3 2 3 3 2" xfId="13814" xr:uid="{A40B7240-7911-4976-9A46-AC77BFE39D8B}"/>
    <cellStyle name="20% - Accent6 3 2 3 4" xfId="9596" xr:uid="{E4A0A6BA-B3B3-4496-BF34-BB47FCCCEC0A}"/>
    <cellStyle name="20% - Accent6 3 2 4" xfId="1484" xr:uid="{00000000-0005-0000-0000-00007C030000}"/>
    <cellStyle name="20% - Accent6 3 2 4 2" xfId="3714" xr:uid="{00000000-0005-0000-0000-00007D030000}"/>
    <cellStyle name="20% - Accent6 3 2 4 2 2" xfId="7937" xr:uid="{00000000-0005-0000-0000-00007E030000}"/>
    <cellStyle name="20% - Accent6 3 2 4 2 2 2" xfId="16372" xr:uid="{76E2E109-8B15-4271-9F96-E6BF30759B42}"/>
    <cellStyle name="20% - Accent6 3 2 4 2 3" xfId="12154" xr:uid="{F9B36DEF-447B-4415-9224-EDAEA1C00ECD}"/>
    <cellStyle name="20% - Accent6 3 2 4 3" xfId="5792" xr:uid="{00000000-0005-0000-0000-00007F030000}"/>
    <cellStyle name="20% - Accent6 3 2 4 3 2" xfId="14227" xr:uid="{5947062F-E485-405B-B57A-12958D9919D6}"/>
    <cellStyle name="20% - Accent6 3 2 4 4" xfId="10009" xr:uid="{00D4806D-7C0B-48EE-AE43-F9D88E89B6E4}"/>
    <cellStyle name="20% - Accent6 3 2 5" xfId="1898" xr:uid="{00000000-0005-0000-0000-000080030000}"/>
    <cellStyle name="20% - Accent6 3 2 5 2" xfId="4127" xr:uid="{00000000-0005-0000-0000-000081030000}"/>
    <cellStyle name="20% - Accent6 3 2 5 2 2" xfId="8350" xr:uid="{00000000-0005-0000-0000-000082030000}"/>
    <cellStyle name="20% - Accent6 3 2 5 2 2 2" xfId="16785" xr:uid="{26B1F79A-885A-4A52-9574-34838FA42842}"/>
    <cellStyle name="20% - Accent6 3 2 5 2 3" xfId="12567" xr:uid="{0003FE02-C261-4987-AAD6-3D2711055907}"/>
    <cellStyle name="20% - Accent6 3 2 5 3" xfId="6205" xr:uid="{00000000-0005-0000-0000-000083030000}"/>
    <cellStyle name="20% - Accent6 3 2 5 3 2" xfId="14640" xr:uid="{901AA81F-5ABA-4D7C-80D0-25D31C8CB82B}"/>
    <cellStyle name="20% - Accent6 3 2 5 4" xfId="10422" xr:uid="{96DA2FA7-6175-4D5F-A178-31752022E4A0}"/>
    <cellStyle name="20% - Accent6 3 2 6" xfId="2311" xr:uid="{00000000-0005-0000-0000-000084030000}"/>
    <cellStyle name="20% - Accent6 3 2 6 2" xfId="6618" xr:uid="{00000000-0005-0000-0000-000085030000}"/>
    <cellStyle name="20% - Accent6 3 2 6 2 2" xfId="15053" xr:uid="{EBABF238-E25D-4C95-AFB7-A9DCEC05403A}"/>
    <cellStyle name="20% - Accent6 3 2 6 3" xfId="10835" xr:uid="{EC825E1C-4BED-437A-A1F4-77B87F770CD4}"/>
    <cellStyle name="20% - Accent6 3 2 7" xfId="4552" xr:uid="{00000000-0005-0000-0000-000086030000}"/>
    <cellStyle name="20% - Accent6 3 2 7 2" xfId="12987" xr:uid="{015F1AD2-DF60-4222-9A39-AAE7E69811FB}"/>
    <cellStyle name="20% - Accent6 3 2 8" xfId="8769" xr:uid="{3B62B196-DD7F-405D-9F20-25754534885C}"/>
    <cellStyle name="20% - Accent6 3 3" xfId="616" xr:uid="{00000000-0005-0000-0000-000087030000}"/>
    <cellStyle name="20% - Accent6 3 3 2" xfId="2887" xr:uid="{00000000-0005-0000-0000-000088030000}"/>
    <cellStyle name="20% - Accent6 3 3 2 2" xfId="7110" xr:uid="{00000000-0005-0000-0000-000089030000}"/>
    <cellStyle name="20% - Accent6 3 3 2 2 2" xfId="15545" xr:uid="{FC12D590-B307-4745-A6F6-B9361BC8B0B6}"/>
    <cellStyle name="20% - Accent6 3 3 2 3" xfId="11327" xr:uid="{25755344-0643-47F2-B4D9-89FFE1C2C64C}"/>
    <cellStyle name="20% - Accent6 3 3 3" xfId="4965" xr:uid="{00000000-0005-0000-0000-00008A030000}"/>
    <cellStyle name="20% - Accent6 3 3 3 2" xfId="13400" xr:uid="{C8B3C4C5-2102-4653-B171-905230439074}"/>
    <cellStyle name="20% - Accent6 3 3 4" xfId="9182" xr:uid="{3C0103CB-E0D8-4822-90E0-88F5C9995132}"/>
    <cellStyle name="20% - Accent6 3 4" xfId="1069" xr:uid="{00000000-0005-0000-0000-00008B030000}"/>
    <cellStyle name="20% - Accent6 3 4 2" xfId="3300" xr:uid="{00000000-0005-0000-0000-00008C030000}"/>
    <cellStyle name="20% - Accent6 3 4 2 2" xfId="7523" xr:uid="{00000000-0005-0000-0000-00008D030000}"/>
    <cellStyle name="20% - Accent6 3 4 2 2 2" xfId="15958" xr:uid="{FF461422-1FA8-4D90-9292-452B1DC57014}"/>
    <cellStyle name="20% - Accent6 3 4 2 3" xfId="11740" xr:uid="{088530DA-8966-44D0-B392-EFE7FE7FDC26}"/>
    <cellStyle name="20% - Accent6 3 4 3" xfId="5378" xr:uid="{00000000-0005-0000-0000-00008E030000}"/>
    <cellStyle name="20% - Accent6 3 4 3 2" xfId="13813" xr:uid="{9E2644B0-840B-47ED-ACAB-F782BFE06D44}"/>
    <cellStyle name="20% - Accent6 3 4 4" xfId="9595" xr:uid="{0F8082FB-46E0-4FB3-B8FE-17CC03AE9BB9}"/>
    <cellStyle name="20% - Accent6 3 5" xfId="1483" xr:uid="{00000000-0005-0000-0000-00008F030000}"/>
    <cellStyle name="20% - Accent6 3 5 2" xfId="3713" xr:uid="{00000000-0005-0000-0000-000090030000}"/>
    <cellStyle name="20% - Accent6 3 5 2 2" xfId="7936" xr:uid="{00000000-0005-0000-0000-000091030000}"/>
    <cellStyle name="20% - Accent6 3 5 2 2 2" xfId="16371" xr:uid="{9D36B3A9-063C-4A4E-A61D-5B8A987C226E}"/>
    <cellStyle name="20% - Accent6 3 5 2 3" xfId="12153" xr:uid="{534BA92C-2056-47A0-82CC-3F0825CEE36A}"/>
    <cellStyle name="20% - Accent6 3 5 3" xfId="5791" xr:uid="{00000000-0005-0000-0000-000092030000}"/>
    <cellStyle name="20% - Accent6 3 5 3 2" xfId="14226" xr:uid="{F98F2B25-B731-46A8-9168-29747058F33C}"/>
    <cellStyle name="20% - Accent6 3 5 4" xfId="10008" xr:uid="{263F37AC-9D97-494B-BCB9-0E82848354C8}"/>
    <cellStyle name="20% - Accent6 3 6" xfId="1897" xr:uid="{00000000-0005-0000-0000-000093030000}"/>
    <cellStyle name="20% - Accent6 3 6 2" xfId="4126" xr:uid="{00000000-0005-0000-0000-000094030000}"/>
    <cellStyle name="20% - Accent6 3 6 2 2" xfId="8349" xr:uid="{00000000-0005-0000-0000-000095030000}"/>
    <cellStyle name="20% - Accent6 3 6 2 2 2" xfId="16784" xr:uid="{0AAC1F4F-0773-487F-8341-029400BF5C0C}"/>
    <cellStyle name="20% - Accent6 3 6 2 3" xfId="12566" xr:uid="{45736B5C-55F4-4AB6-B7C8-A7989644DC59}"/>
    <cellStyle name="20% - Accent6 3 6 3" xfId="6204" xr:uid="{00000000-0005-0000-0000-000096030000}"/>
    <cellStyle name="20% - Accent6 3 6 3 2" xfId="14639" xr:uid="{C4883C14-8B3F-4734-8F3A-E3505902B973}"/>
    <cellStyle name="20% - Accent6 3 6 4" xfId="10421" xr:uid="{A72EDDAE-21D3-4901-A5F0-57A4CED822D8}"/>
    <cellStyle name="20% - Accent6 3 7" xfId="2310" xr:uid="{00000000-0005-0000-0000-000097030000}"/>
    <cellStyle name="20% - Accent6 3 7 2" xfId="6617" xr:uid="{00000000-0005-0000-0000-000098030000}"/>
    <cellStyle name="20% - Accent6 3 7 2 2" xfId="15052" xr:uid="{77465634-F405-4C57-B12E-27694A60ECD0}"/>
    <cellStyle name="20% - Accent6 3 7 3" xfId="10834" xr:uid="{43AEED35-3DEF-4722-B58A-6397AB1951F6}"/>
    <cellStyle name="20% - Accent6 3 8" xfId="4551" xr:uid="{00000000-0005-0000-0000-000099030000}"/>
    <cellStyle name="20% - Accent6 3 8 2" xfId="12986" xr:uid="{72BB979C-45B5-4FC0-90E3-58024593F2F4}"/>
    <cellStyle name="20% - Accent6 3 9" xfId="8768" xr:uid="{D504EDA5-6FCB-4460-83F8-FC8AFFD70BAD}"/>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2 2 2" xfId="15547" xr:uid="{E4ADFF95-D457-4848-AF7F-3DF3947F8B54}"/>
    <cellStyle name="20% - Accent6 4 2 2 3" xfId="11329" xr:uid="{D974F681-9185-42F5-91AD-B38D51BB21BA}"/>
    <cellStyle name="20% - Accent6 4 2 3" xfId="4967" xr:uid="{00000000-0005-0000-0000-00009E030000}"/>
    <cellStyle name="20% - Accent6 4 2 3 2" xfId="13402" xr:uid="{786DC067-DA09-401B-BAC8-8C3A3E63304C}"/>
    <cellStyle name="20% - Accent6 4 2 4" xfId="9184" xr:uid="{EB387C44-1608-4540-A23A-0ED4BE539F44}"/>
    <cellStyle name="20% - Accent6 4 3" xfId="1071" xr:uid="{00000000-0005-0000-0000-00009F030000}"/>
    <cellStyle name="20% - Accent6 4 3 2" xfId="3302" xr:uid="{00000000-0005-0000-0000-0000A0030000}"/>
    <cellStyle name="20% - Accent6 4 3 2 2" xfId="7525" xr:uid="{00000000-0005-0000-0000-0000A1030000}"/>
    <cellStyle name="20% - Accent6 4 3 2 2 2" xfId="15960" xr:uid="{809C2375-F905-4354-A641-84230B8BC217}"/>
    <cellStyle name="20% - Accent6 4 3 2 3" xfId="11742" xr:uid="{289692F0-D3E2-4CA0-8337-B270A9A51731}"/>
    <cellStyle name="20% - Accent6 4 3 3" xfId="5380" xr:uid="{00000000-0005-0000-0000-0000A2030000}"/>
    <cellStyle name="20% - Accent6 4 3 3 2" xfId="13815" xr:uid="{7CC1BFE0-7C4D-4CF6-9D65-38077304C1AF}"/>
    <cellStyle name="20% - Accent6 4 3 4" xfId="9597" xr:uid="{F79B18C4-24EC-4904-814F-1640989E3F32}"/>
    <cellStyle name="20% - Accent6 4 4" xfId="1485" xr:uid="{00000000-0005-0000-0000-0000A3030000}"/>
    <cellStyle name="20% - Accent6 4 4 2" xfId="3715" xr:uid="{00000000-0005-0000-0000-0000A4030000}"/>
    <cellStyle name="20% - Accent6 4 4 2 2" xfId="7938" xr:uid="{00000000-0005-0000-0000-0000A5030000}"/>
    <cellStyle name="20% - Accent6 4 4 2 2 2" xfId="16373" xr:uid="{D67213AD-D6FF-4802-A39E-BD12C8D74042}"/>
    <cellStyle name="20% - Accent6 4 4 2 3" xfId="12155" xr:uid="{C104E8EE-E95B-4264-966F-4B7A5022D918}"/>
    <cellStyle name="20% - Accent6 4 4 3" xfId="5793" xr:uid="{00000000-0005-0000-0000-0000A6030000}"/>
    <cellStyle name="20% - Accent6 4 4 3 2" xfId="14228" xr:uid="{E874E29F-70A4-43E1-BA9F-50834ADC8BD4}"/>
    <cellStyle name="20% - Accent6 4 4 4" xfId="10010" xr:uid="{DFB882B9-36BB-4FFF-A7C3-34CC51A04B09}"/>
    <cellStyle name="20% - Accent6 4 5" xfId="1899" xr:uid="{00000000-0005-0000-0000-0000A7030000}"/>
    <cellStyle name="20% - Accent6 4 5 2" xfId="4128" xr:uid="{00000000-0005-0000-0000-0000A8030000}"/>
    <cellStyle name="20% - Accent6 4 5 2 2" xfId="8351" xr:uid="{00000000-0005-0000-0000-0000A9030000}"/>
    <cellStyle name="20% - Accent6 4 5 2 2 2" xfId="16786" xr:uid="{8937666B-2335-4DB5-92E7-1ECE8F84122C}"/>
    <cellStyle name="20% - Accent6 4 5 2 3" xfId="12568" xr:uid="{032ABA6E-89BB-431C-8175-812C92783428}"/>
    <cellStyle name="20% - Accent6 4 5 3" xfId="6206" xr:uid="{00000000-0005-0000-0000-0000AA030000}"/>
    <cellStyle name="20% - Accent6 4 5 3 2" xfId="14641" xr:uid="{28494317-87BB-47F1-B495-CDB1BA794A96}"/>
    <cellStyle name="20% - Accent6 4 5 4" xfId="10423" xr:uid="{3A01C11E-368C-479D-88D8-D002465DFE91}"/>
    <cellStyle name="20% - Accent6 4 6" xfId="2312" xr:uid="{00000000-0005-0000-0000-0000AB030000}"/>
    <cellStyle name="20% - Accent6 4 6 2" xfId="6619" xr:uid="{00000000-0005-0000-0000-0000AC030000}"/>
    <cellStyle name="20% - Accent6 4 6 2 2" xfId="15054" xr:uid="{5628A1DC-8ED9-4D7F-88BD-230A0E333D64}"/>
    <cellStyle name="20% - Accent6 4 6 3" xfId="10836" xr:uid="{2B424F7E-C42F-4FB9-A187-73D2265E05F0}"/>
    <cellStyle name="20% - Accent6 4 7" xfId="4553" xr:uid="{00000000-0005-0000-0000-0000AD030000}"/>
    <cellStyle name="20% - Accent6 4 7 2" xfId="12988" xr:uid="{A075BBEB-3411-4E3F-BE94-849F146CD6CC}"/>
    <cellStyle name="20% - Accent6 4 8" xfId="8770" xr:uid="{DE814B03-F87E-488B-B9D2-BA5F50CF5493}"/>
    <cellStyle name="20% - Accent6 5" xfId="611" xr:uid="{00000000-0005-0000-0000-0000AE030000}"/>
    <cellStyle name="20% - Accent6 5 2" xfId="2882" xr:uid="{00000000-0005-0000-0000-0000AF030000}"/>
    <cellStyle name="20% - Accent6 5 2 2" xfId="7105" xr:uid="{00000000-0005-0000-0000-0000B0030000}"/>
    <cellStyle name="20% - Accent6 5 2 2 2" xfId="15540" xr:uid="{E7149909-659D-47F2-BED8-E173AFCB460D}"/>
    <cellStyle name="20% - Accent6 5 2 3" xfId="11322" xr:uid="{FD7FCFE9-06D9-4042-9CF5-2B9349A3E996}"/>
    <cellStyle name="20% - Accent6 5 3" xfId="4960" xr:uid="{00000000-0005-0000-0000-0000B1030000}"/>
    <cellStyle name="20% - Accent6 5 3 2" xfId="13395" xr:uid="{170BD301-EE4C-4881-882B-997FBE5092A3}"/>
    <cellStyle name="20% - Accent6 5 4" xfId="9177" xr:uid="{A5A45E67-EC4C-4972-B094-22AF667178D7}"/>
    <cellStyle name="20% - Accent6 6" xfId="1064" xr:uid="{00000000-0005-0000-0000-0000B2030000}"/>
    <cellStyle name="20% - Accent6 6 2" xfId="3295" xr:uid="{00000000-0005-0000-0000-0000B3030000}"/>
    <cellStyle name="20% - Accent6 6 2 2" xfId="7518" xr:uid="{00000000-0005-0000-0000-0000B4030000}"/>
    <cellStyle name="20% - Accent6 6 2 2 2" xfId="15953" xr:uid="{9F47A8E6-2CA0-4EB4-BB9B-EEA180B8744F}"/>
    <cellStyle name="20% - Accent6 6 2 3" xfId="11735" xr:uid="{57A173FF-DF4C-487D-8286-63EF03EDD057}"/>
    <cellStyle name="20% - Accent6 6 3" xfId="5373" xr:uid="{00000000-0005-0000-0000-0000B5030000}"/>
    <cellStyle name="20% - Accent6 6 3 2" xfId="13808" xr:uid="{6DE9237C-155D-43C4-88D3-4E0304FB2E3A}"/>
    <cellStyle name="20% - Accent6 6 4" xfId="9590" xr:uid="{4EA0AEDD-45E3-4E80-8066-74C8325534A7}"/>
    <cellStyle name="20% - Accent6 7" xfId="1478" xr:uid="{00000000-0005-0000-0000-0000B6030000}"/>
    <cellStyle name="20% - Accent6 7 2" xfId="3708" xr:uid="{00000000-0005-0000-0000-0000B7030000}"/>
    <cellStyle name="20% - Accent6 7 2 2" xfId="7931" xr:uid="{00000000-0005-0000-0000-0000B8030000}"/>
    <cellStyle name="20% - Accent6 7 2 2 2" xfId="16366" xr:uid="{3AA3D324-582C-4855-93AA-B811EB4B97CC}"/>
    <cellStyle name="20% - Accent6 7 2 3" xfId="12148" xr:uid="{7D50B174-CE1A-43A5-844B-F5233A14C23E}"/>
    <cellStyle name="20% - Accent6 7 3" xfId="5786" xr:uid="{00000000-0005-0000-0000-0000B9030000}"/>
    <cellStyle name="20% - Accent6 7 3 2" xfId="14221" xr:uid="{3C10C275-BBDB-47E6-86B2-5486850DCC91}"/>
    <cellStyle name="20% - Accent6 7 4" xfId="10003" xr:uid="{0E5FD403-2EF4-4E6E-848E-E54891B5CF90}"/>
    <cellStyle name="20% - Accent6 8" xfId="1892" xr:uid="{00000000-0005-0000-0000-0000BA030000}"/>
    <cellStyle name="20% - Accent6 8 2" xfId="4121" xr:uid="{00000000-0005-0000-0000-0000BB030000}"/>
    <cellStyle name="20% - Accent6 8 2 2" xfId="8344" xr:uid="{00000000-0005-0000-0000-0000BC030000}"/>
    <cellStyle name="20% - Accent6 8 2 2 2" xfId="16779" xr:uid="{677B25B9-5F9D-413C-8555-24B0F2BE2A53}"/>
    <cellStyle name="20% - Accent6 8 2 3" xfId="12561" xr:uid="{C86D0821-5DCB-4F1D-A475-05AC2A46C13D}"/>
    <cellStyle name="20% - Accent6 8 3" xfId="6199" xr:uid="{00000000-0005-0000-0000-0000BD030000}"/>
    <cellStyle name="20% - Accent6 8 3 2" xfId="14634" xr:uid="{03EC913D-D2D5-4308-AEA9-3D1FF1AD9DE2}"/>
    <cellStyle name="20% - Accent6 8 4" xfId="10416" xr:uid="{57B3EE45-69AA-45B4-9857-C3D8EA64B652}"/>
    <cellStyle name="20% - Accent6 9" xfId="2305" xr:uid="{00000000-0005-0000-0000-0000BE030000}"/>
    <cellStyle name="20% - Accent6 9 2" xfId="6612" xr:uid="{00000000-0005-0000-0000-0000BF030000}"/>
    <cellStyle name="20% - Accent6 9 2 2" xfId="15047" xr:uid="{0C0C5D51-F6A3-46A7-BD7A-7AC43CB39BE5}"/>
    <cellStyle name="20% - Accent6 9 3" xfId="10829" xr:uid="{D4902DAA-2EBA-46C8-A3E4-596A4CE2F3C2}"/>
    <cellStyle name="40% - Accent1" xfId="49" builtinId="31" customBuiltin="1"/>
    <cellStyle name="40% - Accent1 10" xfId="4554" xr:uid="{00000000-0005-0000-0000-0000C1030000}"/>
    <cellStyle name="40% - Accent1 10 2" xfId="12989" xr:uid="{4B15A9CB-894B-40F2-829B-4019942F3B2C}"/>
    <cellStyle name="40% - Accent1 11" xfId="8771" xr:uid="{1A9C7AE5-52A3-4FFF-A610-EF94DB50DFFB}"/>
    <cellStyle name="40% - Accent1 2" xfId="50" xr:uid="{00000000-0005-0000-0000-0000C2030000}"/>
    <cellStyle name="40% - Accent1 2 10" xfId="8772" xr:uid="{1A52E2B0-D8EE-40DA-BE4A-7969D9228944}"/>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2 2 2" xfId="15551" xr:uid="{E259067A-5103-4900-B4B7-3005E4D31708}"/>
    <cellStyle name="40% - Accent1 2 2 2 2 2 3" xfId="11333" xr:uid="{32BA0144-0F46-4203-8589-635EE7F847F3}"/>
    <cellStyle name="40% - Accent1 2 2 2 2 3" xfId="4971" xr:uid="{00000000-0005-0000-0000-0000C8030000}"/>
    <cellStyle name="40% - Accent1 2 2 2 2 3 2" xfId="13406" xr:uid="{0AF02982-0F71-4257-866E-4636DA5E70FA}"/>
    <cellStyle name="40% - Accent1 2 2 2 2 4" xfId="9188" xr:uid="{0CCDFF37-C949-4B2A-BBBA-1821F5EC4D75}"/>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2 2 2" xfId="15964" xr:uid="{6915BB1B-E3C7-438E-A4E8-028CDA49D3C0}"/>
    <cellStyle name="40% - Accent1 2 2 2 3 2 3" xfId="11746" xr:uid="{AA99C93D-9A55-4B27-A2EC-7E5EF306F0CD}"/>
    <cellStyle name="40% - Accent1 2 2 2 3 3" xfId="5384" xr:uid="{00000000-0005-0000-0000-0000CC030000}"/>
    <cellStyle name="40% - Accent1 2 2 2 3 3 2" xfId="13819" xr:uid="{FC8AAF2E-BA6C-4ADB-B110-5EB6514C54BD}"/>
    <cellStyle name="40% - Accent1 2 2 2 3 4" xfId="9601" xr:uid="{721761C3-2E67-4EFD-94A6-063297DEAD82}"/>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2 2 2" xfId="16377" xr:uid="{F877DFB2-1050-4BBA-9B21-E7DD6D0ADAD5}"/>
    <cellStyle name="40% - Accent1 2 2 2 4 2 3" xfId="12159" xr:uid="{7515D62D-A4B5-48EB-9527-A689F7C635BB}"/>
    <cellStyle name="40% - Accent1 2 2 2 4 3" xfId="5797" xr:uid="{00000000-0005-0000-0000-0000D0030000}"/>
    <cellStyle name="40% - Accent1 2 2 2 4 3 2" xfId="14232" xr:uid="{8319E1B9-473E-4606-A9F0-FED430135D52}"/>
    <cellStyle name="40% - Accent1 2 2 2 4 4" xfId="10014" xr:uid="{7366B29B-B736-4BD4-9937-B2B00C271E5D}"/>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2 2 2" xfId="16790" xr:uid="{1D2AA93C-3088-48A3-A893-4E02E07B56A1}"/>
    <cellStyle name="40% - Accent1 2 2 2 5 2 3" xfId="12572" xr:uid="{3C6AFD58-BF61-41B8-8217-D41527248CF7}"/>
    <cellStyle name="40% - Accent1 2 2 2 5 3" xfId="6210" xr:uid="{00000000-0005-0000-0000-0000D4030000}"/>
    <cellStyle name="40% - Accent1 2 2 2 5 3 2" xfId="14645" xr:uid="{1CBB4751-2E8F-4815-8F15-4A8CD7CE1464}"/>
    <cellStyle name="40% - Accent1 2 2 2 5 4" xfId="10427" xr:uid="{49A048BB-F405-4C62-B2E2-C9771AE8B84E}"/>
    <cellStyle name="40% - Accent1 2 2 2 6" xfId="2316" xr:uid="{00000000-0005-0000-0000-0000D5030000}"/>
    <cellStyle name="40% - Accent1 2 2 2 6 2" xfId="6623" xr:uid="{00000000-0005-0000-0000-0000D6030000}"/>
    <cellStyle name="40% - Accent1 2 2 2 6 2 2" xfId="15058" xr:uid="{83C82990-211E-40E5-B795-BBCFF7FCACC2}"/>
    <cellStyle name="40% - Accent1 2 2 2 6 3" xfId="10840" xr:uid="{4A770009-44F8-4B11-B268-40497F2ACE5F}"/>
    <cellStyle name="40% - Accent1 2 2 2 7" xfId="4557" xr:uid="{00000000-0005-0000-0000-0000D7030000}"/>
    <cellStyle name="40% - Accent1 2 2 2 7 2" xfId="12992" xr:uid="{EDBCC962-7F7B-46D4-9EF5-726FAAE49055}"/>
    <cellStyle name="40% - Accent1 2 2 2 8" xfId="8774" xr:uid="{FFAE41F9-FA42-4A7C-8A42-E4B057569B94}"/>
    <cellStyle name="40% - Accent1 2 2 3" xfId="621" xr:uid="{00000000-0005-0000-0000-0000D8030000}"/>
    <cellStyle name="40% - Accent1 2 2 3 2" xfId="2892" xr:uid="{00000000-0005-0000-0000-0000D9030000}"/>
    <cellStyle name="40% - Accent1 2 2 3 2 2" xfId="7115" xr:uid="{00000000-0005-0000-0000-0000DA030000}"/>
    <cellStyle name="40% - Accent1 2 2 3 2 2 2" xfId="15550" xr:uid="{FD53E6FA-FDAC-434A-BDEF-438A32955903}"/>
    <cellStyle name="40% - Accent1 2 2 3 2 3" xfId="11332" xr:uid="{E2387A34-EF0C-4A42-80C1-C2E9E3ABAFE7}"/>
    <cellStyle name="40% - Accent1 2 2 3 3" xfId="4970" xr:uid="{00000000-0005-0000-0000-0000DB030000}"/>
    <cellStyle name="40% - Accent1 2 2 3 3 2" xfId="13405" xr:uid="{019F4136-FFCA-402D-BE3C-A3E71EB6D681}"/>
    <cellStyle name="40% - Accent1 2 2 3 4" xfId="9187" xr:uid="{F2CA1497-5115-49C5-8199-467CBFEC5E5D}"/>
    <cellStyle name="40% - Accent1 2 2 4" xfId="1074" xr:uid="{00000000-0005-0000-0000-0000DC030000}"/>
    <cellStyle name="40% - Accent1 2 2 4 2" xfId="3305" xr:uid="{00000000-0005-0000-0000-0000DD030000}"/>
    <cellStyle name="40% - Accent1 2 2 4 2 2" xfId="7528" xr:uid="{00000000-0005-0000-0000-0000DE030000}"/>
    <cellStyle name="40% - Accent1 2 2 4 2 2 2" xfId="15963" xr:uid="{33AB7A0A-D751-443B-9737-20339BCB3326}"/>
    <cellStyle name="40% - Accent1 2 2 4 2 3" xfId="11745" xr:uid="{7E806643-DD9F-4AD3-92E3-C322D8055125}"/>
    <cellStyle name="40% - Accent1 2 2 4 3" xfId="5383" xr:uid="{00000000-0005-0000-0000-0000DF030000}"/>
    <cellStyle name="40% - Accent1 2 2 4 3 2" xfId="13818" xr:uid="{EF020178-EAB8-4515-ACF9-1B29AFA716FE}"/>
    <cellStyle name="40% - Accent1 2 2 4 4" xfId="9600" xr:uid="{7492C94F-1308-4A09-A67C-20AF65B3E660}"/>
    <cellStyle name="40% - Accent1 2 2 5" xfId="1488" xr:uid="{00000000-0005-0000-0000-0000E0030000}"/>
    <cellStyle name="40% - Accent1 2 2 5 2" xfId="3718" xr:uid="{00000000-0005-0000-0000-0000E1030000}"/>
    <cellStyle name="40% - Accent1 2 2 5 2 2" xfId="7941" xr:uid="{00000000-0005-0000-0000-0000E2030000}"/>
    <cellStyle name="40% - Accent1 2 2 5 2 2 2" xfId="16376" xr:uid="{B00687E1-7640-4AC6-AD41-35FDD82E37E6}"/>
    <cellStyle name="40% - Accent1 2 2 5 2 3" xfId="12158" xr:uid="{C9F018C2-CE6A-440A-BB59-C35514B8744D}"/>
    <cellStyle name="40% - Accent1 2 2 5 3" xfId="5796" xr:uid="{00000000-0005-0000-0000-0000E3030000}"/>
    <cellStyle name="40% - Accent1 2 2 5 3 2" xfId="14231" xr:uid="{DC7B3861-B2FB-4AF4-85F1-CBF689D74533}"/>
    <cellStyle name="40% - Accent1 2 2 5 4" xfId="10013" xr:uid="{BF1438D9-4286-433E-B9EB-2D8F97EDECCB}"/>
    <cellStyle name="40% - Accent1 2 2 6" xfId="1902" xr:uid="{00000000-0005-0000-0000-0000E4030000}"/>
    <cellStyle name="40% - Accent1 2 2 6 2" xfId="4131" xr:uid="{00000000-0005-0000-0000-0000E5030000}"/>
    <cellStyle name="40% - Accent1 2 2 6 2 2" xfId="8354" xr:uid="{00000000-0005-0000-0000-0000E6030000}"/>
    <cellStyle name="40% - Accent1 2 2 6 2 2 2" xfId="16789" xr:uid="{8C937A65-7B0D-45A5-B730-08D8E3A658BF}"/>
    <cellStyle name="40% - Accent1 2 2 6 2 3" xfId="12571" xr:uid="{DDAC7A51-A843-4F44-A9BE-7EE98625D182}"/>
    <cellStyle name="40% - Accent1 2 2 6 3" xfId="6209" xr:uid="{00000000-0005-0000-0000-0000E7030000}"/>
    <cellStyle name="40% - Accent1 2 2 6 3 2" xfId="14644" xr:uid="{1911A37D-9013-4F6E-B5CF-A05D1B0EA477}"/>
    <cellStyle name="40% - Accent1 2 2 6 4" xfId="10426" xr:uid="{B714BD0E-A8A0-4677-9BB5-0D11A2AB006E}"/>
    <cellStyle name="40% - Accent1 2 2 7" xfId="2315" xr:uid="{00000000-0005-0000-0000-0000E8030000}"/>
    <cellStyle name="40% - Accent1 2 2 7 2" xfId="6622" xr:uid="{00000000-0005-0000-0000-0000E9030000}"/>
    <cellStyle name="40% - Accent1 2 2 7 2 2" xfId="15057" xr:uid="{A64483E3-CBC8-4A76-B0BE-396319638E9E}"/>
    <cellStyle name="40% - Accent1 2 2 7 3" xfId="10839" xr:uid="{7A58A3D5-7BC9-4AFC-B254-1A0E8FD90146}"/>
    <cellStyle name="40% - Accent1 2 2 8" xfId="4556" xr:uid="{00000000-0005-0000-0000-0000EA030000}"/>
    <cellStyle name="40% - Accent1 2 2 8 2" xfId="12991" xr:uid="{2322B6D7-EF78-4729-B56A-D6070DCA119D}"/>
    <cellStyle name="40% - Accent1 2 2 9" xfId="8773" xr:uid="{A17CA12D-61A2-48C6-8487-34DE657891F1}"/>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2 2 2" xfId="15552" xr:uid="{4BADAAF9-C99E-4CC6-885D-F3C451EACB48}"/>
    <cellStyle name="40% - Accent1 2 3 2 2 3" xfId="11334" xr:uid="{08667F57-B541-444F-8922-2EA7618586E8}"/>
    <cellStyle name="40% - Accent1 2 3 2 3" xfId="4972" xr:uid="{00000000-0005-0000-0000-0000EF030000}"/>
    <cellStyle name="40% - Accent1 2 3 2 3 2" xfId="13407" xr:uid="{E8387AE9-93EB-41EB-B748-F4E9E8A5670F}"/>
    <cellStyle name="40% - Accent1 2 3 2 4" xfId="9189" xr:uid="{D9810839-4DB9-451C-BB0E-B2A10DF0299E}"/>
    <cellStyle name="40% - Accent1 2 3 3" xfId="1076" xr:uid="{00000000-0005-0000-0000-0000F0030000}"/>
    <cellStyle name="40% - Accent1 2 3 3 2" xfId="3307" xr:uid="{00000000-0005-0000-0000-0000F1030000}"/>
    <cellStyle name="40% - Accent1 2 3 3 2 2" xfId="7530" xr:uid="{00000000-0005-0000-0000-0000F2030000}"/>
    <cellStyle name="40% - Accent1 2 3 3 2 2 2" xfId="15965" xr:uid="{DB0FA70C-CCCC-495F-B87B-42F32887AD94}"/>
    <cellStyle name="40% - Accent1 2 3 3 2 3" xfId="11747" xr:uid="{F95DD017-8A1E-4754-83A1-A1F3179F4A16}"/>
    <cellStyle name="40% - Accent1 2 3 3 3" xfId="5385" xr:uid="{00000000-0005-0000-0000-0000F3030000}"/>
    <cellStyle name="40% - Accent1 2 3 3 3 2" xfId="13820" xr:uid="{74BA6C58-9151-4AAB-8AF6-367C90E109EE}"/>
    <cellStyle name="40% - Accent1 2 3 3 4" xfId="9602" xr:uid="{CA3B4DE9-AD9E-42BC-87F6-C2697CD40A00}"/>
    <cellStyle name="40% - Accent1 2 3 4" xfId="1490" xr:uid="{00000000-0005-0000-0000-0000F4030000}"/>
    <cellStyle name="40% - Accent1 2 3 4 2" xfId="3720" xr:uid="{00000000-0005-0000-0000-0000F5030000}"/>
    <cellStyle name="40% - Accent1 2 3 4 2 2" xfId="7943" xr:uid="{00000000-0005-0000-0000-0000F6030000}"/>
    <cellStyle name="40% - Accent1 2 3 4 2 2 2" xfId="16378" xr:uid="{75184844-A687-411A-9BA3-F768309A7050}"/>
    <cellStyle name="40% - Accent1 2 3 4 2 3" xfId="12160" xr:uid="{D16CD4F7-35E4-44BF-913C-E128A2BB2CBB}"/>
    <cellStyle name="40% - Accent1 2 3 4 3" xfId="5798" xr:uid="{00000000-0005-0000-0000-0000F7030000}"/>
    <cellStyle name="40% - Accent1 2 3 4 3 2" xfId="14233" xr:uid="{69A78A98-7DA8-4455-8CFC-E08C1D7477C6}"/>
    <cellStyle name="40% - Accent1 2 3 4 4" xfId="10015" xr:uid="{100975D6-D641-4B22-9EBE-20B5B936B4AD}"/>
    <cellStyle name="40% - Accent1 2 3 5" xfId="1904" xr:uid="{00000000-0005-0000-0000-0000F8030000}"/>
    <cellStyle name="40% - Accent1 2 3 5 2" xfId="4133" xr:uid="{00000000-0005-0000-0000-0000F9030000}"/>
    <cellStyle name="40% - Accent1 2 3 5 2 2" xfId="8356" xr:uid="{00000000-0005-0000-0000-0000FA030000}"/>
    <cellStyle name="40% - Accent1 2 3 5 2 2 2" xfId="16791" xr:uid="{05580AEC-018A-4E94-9F0F-E349A37E5322}"/>
    <cellStyle name="40% - Accent1 2 3 5 2 3" xfId="12573" xr:uid="{2ED9B312-9D76-4C88-BBD5-7296FB045719}"/>
    <cellStyle name="40% - Accent1 2 3 5 3" xfId="6211" xr:uid="{00000000-0005-0000-0000-0000FB030000}"/>
    <cellStyle name="40% - Accent1 2 3 5 3 2" xfId="14646" xr:uid="{FF11C807-9D40-46AA-93A4-CFD40B6E78A3}"/>
    <cellStyle name="40% - Accent1 2 3 5 4" xfId="10428" xr:uid="{F61588E4-B63F-4313-AC6E-EDACA9105087}"/>
    <cellStyle name="40% - Accent1 2 3 6" xfId="2317" xr:uid="{00000000-0005-0000-0000-0000FC030000}"/>
    <cellStyle name="40% - Accent1 2 3 6 2" xfId="6624" xr:uid="{00000000-0005-0000-0000-0000FD030000}"/>
    <cellStyle name="40% - Accent1 2 3 6 2 2" xfId="15059" xr:uid="{1981ED1B-F777-4E31-ABFC-87BB7DA6C220}"/>
    <cellStyle name="40% - Accent1 2 3 6 3" xfId="10841" xr:uid="{7D4D6AB7-95F4-4254-871F-2D9B193F77E7}"/>
    <cellStyle name="40% - Accent1 2 3 7" xfId="4558" xr:uid="{00000000-0005-0000-0000-0000FE030000}"/>
    <cellStyle name="40% - Accent1 2 3 7 2" xfId="12993" xr:uid="{B521114C-F1CF-4E27-BEA1-7646AAE32E89}"/>
    <cellStyle name="40% - Accent1 2 3 8" xfId="8775" xr:uid="{16DC231B-D431-4A10-9E65-486DF42D4A46}"/>
    <cellStyle name="40% - Accent1 2 4" xfId="620" xr:uid="{00000000-0005-0000-0000-0000FF030000}"/>
    <cellStyle name="40% - Accent1 2 4 2" xfId="2891" xr:uid="{00000000-0005-0000-0000-000000040000}"/>
    <cellStyle name="40% - Accent1 2 4 2 2" xfId="7114" xr:uid="{00000000-0005-0000-0000-000001040000}"/>
    <cellStyle name="40% - Accent1 2 4 2 2 2" xfId="15549" xr:uid="{89883196-C914-4BC7-8750-09E1F17E9757}"/>
    <cellStyle name="40% - Accent1 2 4 2 3" xfId="11331" xr:uid="{FCB6076B-46D2-441C-92DB-DE87C3564B38}"/>
    <cellStyle name="40% - Accent1 2 4 3" xfId="4969" xr:uid="{00000000-0005-0000-0000-000002040000}"/>
    <cellStyle name="40% - Accent1 2 4 3 2" xfId="13404" xr:uid="{04051A55-196F-4928-8CFF-B249672A6E8D}"/>
    <cellStyle name="40% - Accent1 2 4 4" xfId="9186" xr:uid="{4839FFC1-CA6D-4E72-9E61-BCB08389548F}"/>
    <cellStyle name="40% - Accent1 2 5" xfId="1073" xr:uid="{00000000-0005-0000-0000-000003040000}"/>
    <cellStyle name="40% - Accent1 2 5 2" xfId="3304" xr:uid="{00000000-0005-0000-0000-000004040000}"/>
    <cellStyle name="40% - Accent1 2 5 2 2" xfId="7527" xr:uid="{00000000-0005-0000-0000-000005040000}"/>
    <cellStyle name="40% - Accent1 2 5 2 2 2" xfId="15962" xr:uid="{A645CDDE-E105-4742-A73C-E1B6579C1186}"/>
    <cellStyle name="40% - Accent1 2 5 2 3" xfId="11744" xr:uid="{F35E3B45-3FDF-4F2B-8BFD-E1DEB2F4CBDF}"/>
    <cellStyle name="40% - Accent1 2 5 3" xfId="5382" xr:uid="{00000000-0005-0000-0000-000006040000}"/>
    <cellStyle name="40% - Accent1 2 5 3 2" xfId="13817" xr:uid="{5D7844AE-7152-468E-91A8-D141DD1A4549}"/>
    <cellStyle name="40% - Accent1 2 5 4" xfId="9599" xr:uid="{0A576FAB-0817-4166-8A8E-A9EB3511528A}"/>
    <cellStyle name="40% - Accent1 2 6" xfId="1487" xr:uid="{00000000-0005-0000-0000-000007040000}"/>
    <cellStyle name="40% - Accent1 2 6 2" xfId="3717" xr:uid="{00000000-0005-0000-0000-000008040000}"/>
    <cellStyle name="40% - Accent1 2 6 2 2" xfId="7940" xr:uid="{00000000-0005-0000-0000-000009040000}"/>
    <cellStyle name="40% - Accent1 2 6 2 2 2" xfId="16375" xr:uid="{A2F2B53C-CA24-4BAA-BF42-E316C8C483BA}"/>
    <cellStyle name="40% - Accent1 2 6 2 3" xfId="12157" xr:uid="{4D9ACDCF-2695-4595-B2DF-42BD1D5AA7BF}"/>
    <cellStyle name="40% - Accent1 2 6 3" xfId="5795" xr:uid="{00000000-0005-0000-0000-00000A040000}"/>
    <cellStyle name="40% - Accent1 2 6 3 2" xfId="14230" xr:uid="{B43804CB-FD31-49CC-A68B-817C68482868}"/>
    <cellStyle name="40% - Accent1 2 6 4" xfId="10012" xr:uid="{1C7C96EC-57AA-4197-B9EF-57227576DE1B}"/>
    <cellStyle name="40% - Accent1 2 7" xfId="1901" xr:uid="{00000000-0005-0000-0000-00000B040000}"/>
    <cellStyle name="40% - Accent1 2 7 2" xfId="4130" xr:uid="{00000000-0005-0000-0000-00000C040000}"/>
    <cellStyle name="40% - Accent1 2 7 2 2" xfId="8353" xr:uid="{00000000-0005-0000-0000-00000D040000}"/>
    <cellStyle name="40% - Accent1 2 7 2 2 2" xfId="16788" xr:uid="{52A39C08-0273-4B93-B7FE-413A6C79A9D5}"/>
    <cellStyle name="40% - Accent1 2 7 2 3" xfId="12570" xr:uid="{A0C47E42-CF6C-4891-B477-14B8AD446B26}"/>
    <cellStyle name="40% - Accent1 2 7 3" xfId="6208" xr:uid="{00000000-0005-0000-0000-00000E040000}"/>
    <cellStyle name="40% - Accent1 2 7 3 2" xfId="14643" xr:uid="{AD3194D7-F7E6-4A7C-A47A-6DC2034AF757}"/>
    <cellStyle name="40% - Accent1 2 7 4" xfId="10425" xr:uid="{43F6E6F6-9A15-430E-A8D3-C21C6821821B}"/>
    <cellStyle name="40% - Accent1 2 8" xfId="2314" xr:uid="{00000000-0005-0000-0000-00000F040000}"/>
    <cellStyle name="40% - Accent1 2 8 2" xfId="6621" xr:uid="{00000000-0005-0000-0000-000010040000}"/>
    <cellStyle name="40% - Accent1 2 8 2 2" xfId="15056" xr:uid="{4A64B73B-87E7-47D8-AFDB-B170EF118E63}"/>
    <cellStyle name="40% - Accent1 2 8 3" xfId="10838" xr:uid="{A26DCC54-15F5-45B9-AFE4-3480FE7304C4}"/>
    <cellStyle name="40% - Accent1 2 9" xfId="4555" xr:uid="{00000000-0005-0000-0000-000011040000}"/>
    <cellStyle name="40% - Accent1 2 9 2" xfId="12990" xr:uid="{234605F4-13B4-4053-B507-28FD0545751C}"/>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2 2 2" xfId="15554" xr:uid="{06BB8740-60F0-45B2-A9EB-19E3634D8CE3}"/>
    <cellStyle name="40% - Accent1 3 2 2 2 3" xfId="11336" xr:uid="{759C1C25-4C9B-4950-B267-D3B537BD7031}"/>
    <cellStyle name="40% - Accent1 3 2 2 3" xfId="4974" xr:uid="{00000000-0005-0000-0000-000017040000}"/>
    <cellStyle name="40% - Accent1 3 2 2 3 2" xfId="13409" xr:uid="{85BEC3BC-0EC4-4D34-A534-A59FDBE79E13}"/>
    <cellStyle name="40% - Accent1 3 2 2 4" xfId="9191" xr:uid="{2E323269-BF0C-4B96-845A-6FBA78635848}"/>
    <cellStyle name="40% - Accent1 3 2 3" xfId="1078" xr:uid="{00000000-0005-0000-0000-000018040000}"/>
    <cellStyle name="40% - Accent1 3 2 3 2" xfId="3309" xr:uid="{00000000-0005-0000-0000-000019040000}"/>
    <cellStyle name="40% - Accent1 3 2 3 2 2" xfId="7532" xr:uid="{00000000-0005-0000-0000-00001A040000}"/>
    <cellStyle name="40% - Accent1 3 2 3 2 2 2" xfId="15967" xr:uid="{89DC6284-3AA6-4B93-8DD1-536F60C2E137}"/>
    <cellStyle name="40% - Accent1 3 2 3 2 3" xfId="11749" xr:uid="{61E90EC0-108D-48FA-9AEA-ABBC9B35F094}"/>
    <cellStyle name="40% - Accent1 3 2 3 3" xfId="5387" xr:uid="{00000000-0005-0000-0000-00001B040000}"/>
    <cellStyle name="40% - Accent1 3 2 3 3 2" xfId="13822" xr:uid="{31ACC516-D3A4-4995-A773-C13A58A2E2B1}"/>
    <cellStyle name="40% - Accent1 3 2 3 4" xfId="9604" xr:uid="{1F1735BB-0119-45BB-9AD7-CB35B719895A}"/>
    <cellStyle name="40% - Accent1 3 2 4" xfId="1492" xr:uid="{00000000-0005-0000-0000-00001C040000}"/>
    <cellStyle name="40% - Accent1 3 2 4 2" xfId="3722" xr:uid="{00000000-0005-0000-0000-00001D040000}"/>
    <cellStyle name="40% - Accent1 3 2 4 2 2" xfId="7945" xr:uid="{00000000-0005-0000-0000-00001E040000}"/>
    <cellStyle name="40% - Accent1 3 2 4 2 2 2" xfId="16380" xr:uid="{AA8EDFA5-1B4D-4D72-BAF2-764BEBAE2219}"/>
    <cellStyle name="40% - Accent1 3 2 4 2 3" xfId="12162" xr:uid="{356A7658-B863-4BA0-9E30-4DA5314A741D}"/>
    <cellStyle name="40% - Accent1 3 2 4 3" xfId="5800" xr:uid="{00000000-0005-0000-0000-00001F040000}"/>
    <cellStyle name="40% - Accent1 3 2 4 3 2" xfId="14235" xr:uid="{38C05559-C396-4E2F-8AF4-D698E1FB8D98}"/>
    <cellStyle name="40% - Accent1 3 2 4 4" xfId="10017" xr:uid="{281D8AC0-E6AA-4CF9-9D91-7D81035CF3F1}"/>
    <cellStyle name="40% - Accent1 3 2 5" xfId="1906" xr:uid="{00000000-0005-0000-0000-000020040000}"/>
    <cellStyle name="40% - Accent1 3 2 5 2" xfId="4135" xr:uid="{00000000-0005-0000-0000-000021040000}"/>
    <cellStyle name="40% - Accent1 3 2 5 2 2" xfId="8358" xr:uid="{00000000-0005-0000-0000-000022040000}"/>
    <cellStyle name="40% - Accent1 3 2 5 2 2 2" xfId="16793" xr:uid="{281B229F-9614-4818-9368-009C3548EDD7}"/>
    <cellStyle name="40% - Accent1 3 2 5 2 3" xfId="12575" xr:uid="{76F84A7A-7BAA-4DD1-AF98-60D3A69F93B8}"/>
    <cellStyle name="40% - Accent1 3 2 5 3" xfId="6213" xr:uid="{00000000-0005-0000-0000-000023040000}"/>
    <cellStyle name="40% - Accent1 3 2 5 3 2" xfId="14648" xr:uid="{7362A401-77C7-4912-814E-3393C4043268}"/>
    <cellStyle name="40% - Accent1 3 2 5 4" xfId="10430" xr:uid="{DBD4D2EB-830B-472F-B888-E21A3797F6E0}"/>
    <cellStyle name="40% - Accent1 3 2 6" xfId="2319" xr:uid="{00000000-0005-0000-0000-000024040000}"/>
    <cellStyle name="40% - Accent1 3 2 6 2" xfId="6626" xr:uid="{00000000-0005-0000-0000-000025040000}"/>
    <cellStyle name="40% - Accent1 3 2 6 2 2" xfId="15061" xr:uid="{23DFA598-8BC9-40EA-A047-2BCDDF9287C2}"/>
    <cellStyle name="40% - Accent1 3 2 6 3" xfId="10843" xr:uid="{806F9721-CEAB-4876-B0DE-CB3FD77D550F}"/>
    <cellStyle name="40% - Accent1 3 2 7" xfId="4560" xr:uid="{00000000-0005-0000-0000-000026040000}"/>
    <cellStyle name="40% - Accent1 3 2 7 2" xfId="12995" xr:uid="{3CA928FC-749B-40B5-86BB-22461800C159}"/>
    <cellStyle name="40% - Accent1 3 2 8" xfId="8777" xr:uid="{74F76D27-79CF-463C-B558-E1A415B59FC9}"/>
    <cellStyle name="40% - Accent1 3 3" xfId="624" xr:uid="{00000000-0005-0000-0000-000027040000}"/>
    <cellStyle name="40% - Accent1 3 3 2" xfId="2895" xr:uid="{00000000-0005-0000-0000-000028040000}"/>
    <cellStyle name="40% - Accent1 3 3 2 2" xfId="7118" xr:uid="{00000000-0005-0000-0000-000029040000}"/>
    <cellStyle name="40% - Accent1 3 3 2 2 2" xfId="15553" xr:uid="{FA002C16-03E2-481C-8180-C71A11C18D3B}"/>
    <cellStyle name="40% - Accent1 3 3 2 3" xfId="11335" xr:uid="{92AC80D3-92D7-4F13-8455-5C8C87DA5EA0}"/>
    <cellStyle name="40% - Accent1 3 3 3" xfId="4973" xr:uid="{00000000-0005-0000-0000-00002A040000}"/>
    <cellStyle name="40% - Accent1 3 3 3 2" xfId="13408" xr:uid="{9EC691B6-7955-423C-94AF-6CB11E1F8CB0}"/>
    <cellStyle name="40% - Accent1 3 3 4" xfId="9190" xr:uid="{AE28FF66-A8FB-4CE2-9AB5-F68008BA8064}"/>
    <cellStyle name="40% - Accent1 3 4" xfId="1077" xr:uid="{00000000-0005-0000-0000-00002B040000}"/>
    <cellStyle name="40% - Accent1 3 4 2" xfId="3308" xr:uid="{00000000-0005-0000-0000-00002C040000}"/>
    <cellStyle name="40% - Accent1 3 4 2 2" xfId="7531" xr:uid="{00000000-0005-0000-0000-00002D040000}"/>
    <cellStyle name="40% - Accent1 3 4 2 2 2" xfId="15966" xr:uid="{7A532F1D-F59F-4828-AA00-290A98E88C2B}"/>
    <cellStyle name="40% - Accent1 3 4 2 3" xfId="11748" xr:uid="{A8D6B7C3-0A6D-4A8B-9A69-9E9FFF11D543}"/>
    <cellStyle name="40% - Accent1 3 4 3" xfId="5386" xr:uid="{00000000-0005-0000-0000-00002E040000}"/>
    <cellStyle name="40% - Accent1 3 4 3 2" xfId="13821" xr:uid="{2252D47A-4964-4A65-8307-9DC392E6CF46}"/>
    <cellStyle name="40% - Accent1 3 4 4" xfId="9603" xr:uid="{1768E441-BA34-4851-913D-50C370B360FD}"/>
    <cellStyle name="40% - Accent1 3 5" xfId="1491" xr:uid="{00000000-0005-0000-0000-00002F040000}"/>
    <cellStyle name="40% - Accent1 3 5 2" xfId="3721" xr:uid="{00000000-0005-0000-0000-000030040000}"/>
    <cellStyle name="40% - Accent1 3 5 2 2" xfId="7944" xr:uid="{00000000-0005-0000-0000-000031040000}"/>
    <cellStyle name="40% - Accent1 3 5 2 2 2" xfId="16379" xr:uid="{46B8D931-2D64-4E17-8F99-DAF602679070}"/>
    <cellStyle name="40% - Accent1 3 5 2 3" xfId="12161" xr:uid="{E2FEB35F-F454-4D58-BEFF-3216FF60239D}"/>
    <cellStyle name="40% - Accent1 3 5 3" xfId="5799" xr:uid="{00000000-0005-0000-0000-000032040000}"/>
    <cellStyle name="40% - Accent1 3 5 3 2" xfId="14234" xr:uid="{5C40BD75-CF12-47EC-A589-023B75638F2D}"/>
    <cellStyle name="40% - Accent1 3 5 4" xfId="10016" xr:uid="{6A2252C2-0375-42C8-92E1-50B56E196533}"/>
    <cellStyle name="40% - Accent1 3 6" xfId="1905" xr:uid="{00000000-0005-0000-0000-000033040000}"/>
    <cellStyle name="40% - Accent1 3 6 2" xfId="4134" xr:uid="{00000000-0005-0000-0000-000034040000}"/>
    <cellStyle name="40% - Accent1 3 6 2 2" xfId="8357" xr:uid="{00000000-0005-0000-0000-000035040000}"/>
    <cellStyle name="40% - Accent1 3 6 2 2 2" xfId="16792" xr:uid="{74D438A5-8916-417B-858D-8C77632D80BE}"/>
    <cellStyle name="40% - Accent1 3 6 2 3" xfId="12574" xr:uid="{83A08CE7-E3AD-4F69-9019-DB74DD4E3A49}"/>
    <cellStyle name="40% - Accent1 3 6 3" xfId="6212" xr:uid="{00000000-0005-0000-0000-000036040000}"/>
    <cellStyle name="40% - Accent1 3 6 3 2" xfId="14647" xr:uid="{E9696532-F9CF-4F53-890E-3896F579036D}"/>
    <cellStyle name="40% - Accent1 3 6 4" xfId="10429" xr:uid="{00812BE2-75FC-4704-8340-4B18C5CEF586}"/>
    <cellStyle name="40% - Accent1 3 7" xfId="2318" xr:uid="{00000000-0005-0000-0000-000037040000}"/>
    <cellStyle name="40% - Accent1 3 7 2" xfId="6625" xr:uid="{00000000-0005-0000-0000-000038040000}"/>
    <cellStyle name="40% - Accent1 3 7 2 2" xfId="15060" xr:uid="{56E4FDF7-4D05-4552-8D78-6B9E9B257751}"/>
    <cellStyle name="40% - Accent1 3 7 3" xfId="10842" xr:uid="{21CB7C8B-7890-46CD-BD95-14A8B623A6CA}"/>
    <cellStyle name="40% - Accent1 3 8" xfId="4559" xr:uid="{00000000-0005-0000-0000-000039040000}"/>
    <cellStyle name="40% - Accent1 3 8 2" xfId="12994" xr:uid="{88D63CAE-A3E6-410A-A58D-C0F4EA3121D9}"/>
    <cellStyle name="40% - Accent1 3 9" xfId="8776" xr:uid="{66427451-5DDF-45D2-AA37-1FAC3080A31B}"/>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2 2 2" xfId="15555" xr:uid="{D15D3532-8DE5-42D7-A0F7-6503670AB066}"/>
    <cellStyle name="40% - Accent1 4 2 2 3" xfId="11337" xr:uid="{4C67E5D9-569E-4A9E-A834-567B63024D6F}"/>
    <cellStyle name="40% - Accent1 4 2 3" xfId="4975" xr:uid="{00000000-0005-0000-0000-00003E040000}"/>
    <cellStyle name="40% - Accent1 4 2 3 2" xfId="13410" xr:uid="{831C2A00-CCE1-4FB2-B9D9-962180B70640}"/>
    <cellStyle name="40% - Accent1 4 2 4" xfId="9192" xr:uid="{A55EE174-A84D-49A9-90E8-3B6BC82C7C43}"/>
    <cellStyle name="40% - Accent1 4 3" xfId="1079" xr:uid="{00000000-0005-0000-0000-00003F040000}"/>
    <cellStyle name="40% - Accent1 4 3 2" xfId="3310" xr:uid="{00000000-0005-0000-0000-000040040000}"/>
    <cellStyle name="40% - Accent1 4 3 2 2" xfId="7533" xr:uid="{00000000-0005-0000-0000-000041040000}"/>
    <cellStyle name="40% - Accent1 4 3 2 2 2" xfId="15968" xr:uid="{5320744D-622B-4BBD-9DE1-CD2BFC2E54D2}"/>
    <cellStyle name="40% - Accent1 4 3 2 3" xfId="11750" xr:uid="{4E07EAB4-EF79-41C3-BBDD-225B70818C0E}"/>
    <cellStyle name="40% - Accent1 4 3 3" xfId="5388" xr:uid="{00000000-0005-0000-0000-000042040000}"/>
    <cellStyle name="40% - Accent1 4 3 3 2" xfId="13823" xr:uid="{3DF68397-89C3-49E8-B996-8324CFFD803C}"/>
    <cellStyle name="40% - Accent1 4 3 4" xfId="9605" xr:uid="{8F9EE1E5-752A-4E1C-B111-FF9BB6ADF575}"/>
    <cellStyle name="40% - Accent1 4 4" xfId="1493" xr:uid="{00000000-0005-0000-0000-000043040000}"/>
    <cellStyle name="40% - Accent1 4 4 2" xfId="3723" xr:uid="{00000000-0005-0000-0000-000044040000}"/>
    <cellStyle name="40% - Accent1 4 4 2 2" xfId="7946" xr:uid="{00000000-0005-0000-0000-000045040000}"/>
    <cellStyle name="40% - Accent1 4 4 2 2 2" xfId="16381" xr:uid="{27916FE1-BE42-4416-91A5-C4024B19CC3F}"/>
    <cellStyle name="40% - Accent1 4 4 2 3" xfId="12163" xr:uid="{3413B67E-E2D9-40A9-992C-77EC28DF27CF}"/>
    <cellStyle name="40% - Accent1 4 4 3" xfId="5801" xr:uid="{00000000-0005-0000-0000-000046040000}"/>
    <cellStyle name="40% - Accent1 4 4 3 2" xfId="14236" xr:uid="{167BDE02-CF4C-423E-A40E-13847EB532F4}"/>
    <cellStyle name="40% - Accent1 4 4 4" xfId="10018" xr:uid="{E85D552E-D9F1-46AD-8E48-7B4A4C6B1036}"/>
    <cellStyle name="40% - Accent1 4 5" xfId="1907" xr:uid="{00000000-0005-0000-0000-000047040000}"/>
    <cellStyle name="40% - Accent1 4 5 2" xfId="4136" xr:uid="{00000000-0005-0000-0000-000048040000}"/>
    <cellStyle name="40% - Accent1 4 5 2 2" xfId="8359" xr:uid="{00000000-0005-0000-0000-000049040000}"/>
    <cellStyle name="40% - Accent1 4 5 2 2 2" xfId="16794" xr:uid="{9FB48257-6BF9-4FFA-95EF-70F4E2DB915A}"/>
    <cellStyle name="40% - Accent1 4 5 2 3" xfId="12576" xr:uid="{0E518FB9-C6FB-4268-8623-26BFBF2385DB}"/>
    <cellStyle name="40% - Accent1 4 5 3" xfId="6214" xr:uid="{00000000-0005-0000-0000-00004A040000}"/>
    <cellStyle name="40% - Accent1 4 5 3 2" xfId="14649" xr:uid="{F50CFE9E-35FA-4FC5-89AC-12D1A40A0AC2}"/>
    <cellStyle name="40% - Accent1 4 5 4" xfId="10431" xr:uid="{F3145D33-B9FD-46FE-AF1D-5C38845F4077}"/>
    <cellStyle name="40% - Accent1 4 6" xfId="2320" xr:uid="{00000000-0005-0000-0000-00004B040000}"/>
    <cellStyle name="40% - Accent1 4 6 2" xfId="6627" xr:uid="{00000000-0005-0000-0000-00004C040000}"/>
    <cellStyle name="40% - Accent1 4 6 2 2" xfId="15062" xr:uid="{9A8DDA9A-7166-4A27-BA1C-3C2DBEFBAA3C}"/>
    <cellStyle name="40% - Accent1 4 6 3" xfId="10844" xr:uid="{F6214289-6CAA-40C3-94BD-842504E477DB}"/>
    <cellStyle name="40% - Accent1 4 7" xfId="4561" xr:uid="{00000000-0005-0000-0000-00004D040000}"/>
    <cellStyle name="40% - Accent1 4 7 2" xfId="12996" xr:uid="{73C95C8C-9C27-4232-BD3E-66C8479D6BBC}"/>
    <cellStyle name="40% - Accent1 4 8" xfId="8778" xr:uid="{A9FFF980-D00A-486A-9775-B272D038418B}"/>
    <cellStyle name="40% - Accent1 5" xfId="619" xr:uid="{00000000-0005-0000-0000-00004E040000}"/>
    <cellStyle name="40% - Accent1 5 2" xfId="2890" xr:uid="{00000000-0005-0000-0000-00004F040000}"/>
    <cellStyle name="40% - Accent1 5 2 2" xfId="7113" xr:uid="{00000000-0005-0000-0000-000050040000}"/>
    <cellStyle name="40% - Accent1 5 2 2 2" xfId="15548" xr:uid="{CC105E10-92CD-45BE-9B49-B9A25AF3B896}"/>
    <cellStyle name="40% - Accent1 5 2 3" xfId="11330" xr:uid="{CA0EFBD1-2CC8-487E-BAE3-E462849F0E4C}"/>
    <cellStyle name="40% - Accent1 5 3" xfId="4968" xr:uid="{00000000-0005-0000-0000-000051040000}"/>
    <cellStyle name="40% - Accent1 5 3 2" xfId="13403" xr:uid="{ED41BCDA-8E63-49FA-B464-5E4CB9ADE8E0}"/>
    <cellStyle name="40% - Accent1 5 4" xfId="9185" xr:uid="{94DD4081-1C05-4137-82B0-144537B3DB3D}"/>
    <cellStyle name="40% - Accent1 6" xfId="1072" xr:uid="{00000000-0005-0000-0000-000052040000}"/>
    <cellStyle name="40% - Accent1 6 2" xfId="3303" xr:uid="{00000000-0005-0000-0000-000053040000}"/>
    <cellStyle name="40% - Accent1 6 2 2" xfId="7526" xr:uid="{00000000-0005-0000-0000-000054040000}"/>
    <cellStyle name="40% - Accent1 6 2 2 2" xfId="15961" xr:uid="{9AE9CB73-5007-4EF3-9C0C-6655A38E4769}"/>
    <cellStyle name="40% - Accent1 6 2 3" xfId="11743" xr:uid="{F4B8084F-CC0B-4725-8A80-F8377AF7DAA7}"/>
    <cellStyle name="40% - Accent1 6 3" xfId="5381" xr:uid="{00000000-0005-0000-0000-000055040000}"/>
    <cellStyle name="40% - Accent1 6 3 2" xfId="13816" xr:uid="{8A8EAF10-8677-414D-AD46-A4D7EDABC5F9}"/>
    <cellStyle name="40% - Accent1 6 4" xfId="9598" xr:uid="{58F7C760-567B-4D1A-85E5-B6B5CFAD1D8F}"/>
    <cellStyle name="40% - Accent1 7" xfId="1486" xr:uid="{00000000-0005-0000-0000-000056040000}"/>
    <cellStyle name="40% - Accent1 7 2" xfId="3716" xr:uid="{00000000-0005-0000-0000-000057040000}"/>
    <cellStyle name="40% - Accent1 7 2 2" xfId="7939" xr:uid="{00000000-0005-0000-0000-000058040000}"/>
    <cellStyle name="40% - Accent1 7 2 2 2" xfId="16374" xr:uid="{B63C31B8-CB47-4B9A-8166-A7357CA487B9}"/>
    <cellStyle name="40% - Accent1 7 2 3" xfId="12156" xr:uid="{F22F2986-0705-4FD7-BEFD-B6B6D7A530D5}"/>
    <cellStyle name="40% - Accent1 7 3" xfId="5794" xr:uid="{00000000-0005-0000-0000-000059040000}"/>
    <cellStyle name="40% - Accent1 7 3 2" xfId="14229" xr:uid="{81C59738-76AE-4259-845C-1749E6B643FF}"/>
    <cellStyle name="40% - Accent1 7 4" xfId="10011" xr:uid="{783FB7CC-AA88-40C9-8591-340B6D695C14}"/>
    <cellStyle name="40% - Accent1 8" xfId="1900" xr:uid="{00000000-0005-0000-0000-00005A040000}"/>
    <cellStyle name="40% - Accent1 8 2" xfId="4129" xr:uid="{00000000-0005-0000-0000-00005B040000}"/>
    <cellStyle name="40% - Accent1 8 2 2" xfId="8352" xr:uid="{00000000-0005-0000-0000-00005C040000}"/>
    <cellStyle name="40% - Accent1 8 2 2 2" xfId="16787" xr:uid="{A5E6C1C3-9A7F-4314-A7C9-94DAC017D745}"/>
    <cellStyle name="40% - Accent1 8 2 3" xfId="12569" xr:uid="{F290BFBF-B1C2-4037-A9A5-A89A3DDF7C6A}"/>
    <cellStyle name="40% - Accent1 8 3" xfId="6207" xr:uid="{00000000-0005-0000-0000-00005D040000}"/>
    <cellStyle name="40% - Accent1 8 3 2" xfId="14642" xr:uid="{FE8C11D1-3A35-4AF9-9395-DB948DCB801C}"/>
    <cellStyle name="40% - Accent1 8 4" xfId="10424" xr:uid="{E3D77FF4-50FC-4B85-BD7E-FC66291F0531}"/>
    <cellStyle name="40% - Accent1 9" xfId="2313" xr:uid="{00000000-0005-0000-0000-00005E040000}"/>
    <cellStyle name="40% - Accent1 9 2" xfId="6620" xr:uid="{00000000-0005-0000-0000-00005F040000}"/>
    <cellStyle name="40% - Accent1 9 2 2" xfId="15055" xr:uid="{152D6E0A-26FC-41FA-945C-B6ECE83DD5DE}"/>
    <cellStyle name="40% - Accent1 9 3" xfId="10837" xr:uid="{C6A93909-FE78-4ED8-9ED6-133C984F1C72}"/>
    <cellStyle name="40% - Accent2" xfId="57" builtinId="35" customBuiltin="1"/>
    <cellStyle name="40% - Accent2 10" xfId="4562" xr:uid="{00000000-0005-0000-0000-000061040000}"/>
    <cellStyle name="40% - Accent2 10 2" xfId="12997" xr:uid="{44117EFC-E377-4792-AF01-39A4BBFC1CD7}"/>
    <cellStyle name="40% - Accent2 11" xfId="8779" xr:uid="{13BB74D5-E4F4-4B50-8417-E3397B1AD858}"/>
    <cellStyle name="40% - Accent2 2" xfId="58" xr:uid="{00000000-0005-0000-0000-000062040000}"/>
    <cellStyle name="40% - Accent2 2 10" xfId="8780" xr:uid="{DB8A4C2B-DD44-4A44-B0BE-0D37414BFC7B}"/>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2 2 2" xfId="15559" xr:uid="{10C079D2-28FC-4ADA-A4B1-97866F5331FB}"/>
    <cellStyle name="40% - Accent2 2 2 2 2 2 3" xfId="11341" xr:uid="{C21E89A9-E449-4D55-910B-88C0D9A011DF}"/>
    <cellStyle name="40% - Accent2 2 2 2 2 3" xfId="4979" xr:uid="{00000000-0005-0000-0000-000068040000}"/>
    <cellStyle name="40% - Accent2 2 2 2 2 3 2" xfId="13414" xr:uid="{B2C43B5F-99AD-492F-8B34-C79853D4C1C5}"/>
    <cellStyle name="40% - Accent2 2 2 2 2 4" xfId="9196" xr:uid="{47CBD636-B7E4-468B-BE33-5E0C689284EF}"/>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2 2 2" xfId="15972" xr:uid="{32596BB4-7AFA-48DA-A203-9271F35B0CC8}"/>
    <cellStyle name="40% - Accent2 2 2 2 3 2 3" xfId="11754" xr:uid="{8FF1D15B-520D-4DDB-B6B9-DB9646642C71}"/>
    <cellStyle name="40% - Accent2 2 2 2 3 3" xfId="5392" xr:uid="{00000000-0005-0000-0000-00006C040000}"/>
    <cellStyle name="40% - Accent2 2 2 2 3 3 2" xfId="13827" xr:uid="{83E1FF33-708A-407C-B9D7-621264E948B4}"/>
    <cellStyle name="40% - Accent2 2 2 2 3 4" xfId="9609" xr:uid="{B7AE51D7-70F0-499F-A9AD-6B97344FD2A1}"/>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2 2 2" xfId="16385" xr:uid="{3092968B-9160-4BD7-A37D-BE2E6C9F985A}"/>
    <cellStyle name="40% - Accent2 2 2 2 4 2 3" xfId="12167" xr:uid="{808F5F86-B2C0-43E1-A5F0-15E780525852}"/>
    <cellStyle name="40% - Accent2 2 2 2 4 3" xfId="5805" xr:uid="{00000000-0005-0000-0000-000070040000}"/>
    <cellStyle name="40% - Accent2 2 2 2 4 3 2" xfId="14240" xr:uid="{FC68D944-9252-4819-AA5A-317682B5EB3C}"/>
    <cellStyle name="40% - Accent2 2 2 2 4 4" xfId="10022" xr:uid="{DBDCE6B1-429F-4D9C-876C-795B34CB4AB6}"/>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2 2 2" xfId="16798" xr:uid="{539F2637-9FAE-46E2-B581-7F90E1B8342C}"/>
    <cellStyle name="40% - Accent2 2 2 2 5 2 3" xfId="12580" xr:uid="{67ABA674-FCA5-4D7F-B56C-D695A6EA1DF4}"/>
    <cellStyle name="40% - Accent2 2 2 2 5 3" xfId="6218" xr:uid="{00000000-0005-0000-0000-000074040000}"/>
    <cellStyle name="40% - Accent2 2 2 2 5 3 2" xfId="14653" xr:uid="{D717BF1E-939E-491A-9043-D87B850C9997}"/>
    <cellStyle name="40% - Accent2 2 2 2 5 4" xfId="10435" xr:uid="{BBD01D33-FE37-4D76-A6CD-CD75AF09AFAD}"/>
    <cellStyle name="40% - Accent2 2 2 2 6" xfId="2324" xr:uid="{00000000-0005-0000-0000-000075040000}"/>
    <cellStyle name="40% - Accent2 2 2 2 6 2" xfId="6631" xr:uid="{00000000-0005-0000-0000-000076040000}"/>
    <cellStyle name="40% - Accent2 2 2 2 6 2 2" xfId="15066" xr:uid="{CCEEABD7-8C6F-4405-BE07-77EA52552D13}"/>
    <cellStyle name="40% - Accent2 2 2 2 6 3" xfId="10848" xr:uid="{6DD5B954-7B8C-4217-BDD4-EB787292134D}"/>
    <cellStyle name="40% - Accent2 2 2 2 7" xfId="4565" xr:uid="{00000000-0005-0000-0000-000077040000}"/>
    <cellStyle name="40% - Accent2 2 2 2 7 2" xfId="13000" xr:uid="{097066D1-B3FE-4DAB-AB4A-1DC022AA1356}"/>
    <cellStyle name="40% - Accent2 2 2 2 8" xfId="8782" xr:uid="{A25627FC-50C2-45FB-BBEE-2532DDF3A32E}"/>
    <cellStyle name="40% - Accent2 2 2 3" xfId="629" xr:uid="{00000000-0005-0000-0000-000078040000}"/>
    <cellStyle name="40% - Accent2 2 2 3 2" xfId="2900" xr:uid="{00000000-0005-0000-0000-000079040000}"/>
    <cellStyle name="40% - Accent2 2 2 3 2 2" xfId="7123" xr:uid="{00000000-0005-0000-0000-00007A040000}"/>
    <cellStyle name="40% - Accent2 2 2 3 2 2 2" xfId="15558" xr:uid="{C99FDF8A-8627-48C1-BDD9-B212AD7FF220}"/>
    <cellStyle name="40% - Accent2 2 2 3 2 3" xfId="11340" xr:uid="{3BBC57B2-8308-42C2-B20E-D7356DBEC61F}"/>
    <cellStyle name="40% - Accent2 2 2 3 3" xfId="4978" xr:uid="{00000000-0005-0000-0000-00007B040000}"/>
    <cellStyle name="40% - Accent2 2 2 3 3 2" xfId="13413" xr:uid="{D0A4BEB9-B2DF-453E-BF94-08D8190779C4}"/>
    <cellStyle name="40% - Accent2 2 2 3 4" xfId="9195" xr:uid="{98E05ED7-4644-4320-BACA-333A9292C7CB}"/>
    <cellStyle name="40% - Accent2 2 2 4" xfId="1082" xr:uid="{00000000-0005-0000-0000-00007C040000}"/>
    <cellStyle name="40% - Accent2 2 2 4 2" xfId="3313" xr:uid="{00000000-0005-0000-0000-00007D040000}"/>
    <cellStyle name="40% - Accent2 2 2 4 2 2" xfId="7536" xr:uid="{00000000-0005-0000-0000-00007E040000}"/>
    <cellStyle name="40% - Accent2 2 2 4 2 2 2" xfId="15971" xr:uid="{DC53CDF5-9E54-4BBD-94F1-148482DE61C4}"/>
    <cellStyle name="40% - Accent2 2 2 4 2 3" xfId="11753" xr:uid="{906C6873-C5D8-410C-9337-92A4231CE229}"/>
    <cellStyle name="40% - Accent2 2 2 4 3" xfId="5391" xr:uid="{00000000-0005-0000-0000-00007F040000}"/>
    <cellStyle name="40% - Accent2 2 2 4 3 2" xfId="13826" xr:uid="{D0CA1B91-4B8A-481B-B661-75F5693943A5}"/>
    <cellStyle name="40% - Accent2 2 2 4 4" xfId="9608" xr:uid="{7E7885EA-88CA-47A8-AFEE-B9AAE8F0BD0B}"/>
    <cellStyle name="40% - Accent2 2 2 5" xfId="1496" xr:uid="{00000000-0005-0000-0000-000080040000}"/>
    <cellStyle name="40% - Accent2 2 2 5 2" xfId="3726" xr:uid="{00000000-0005-0000-0000-000081040000}"/>
    <cellStyle name="40% - Accent2 2 2 5 2 2" xfId="7949" xr:uid="{00000000-0005-0000-0000-000082040000}"/>
    <cellStyle name="40% - Accent2 2 2 5 2 2 2" xfId="16384" xr:uid="{FC1641E9-14A2-43AE-8F07-DFA46ED832B6}"/>
    <cellStyle name="40% - Accent2 2 2 5 2 3" xfId="12166" xr:uid="{5FBDE213-9B49-4859-93DA-15EE6AD16B84}"/>
    <cellStyle name="40% - Accent2 2 2 5 3" xfId="5804" xr:uid="{00000000-0005-0000-0000-000083040000}"/>
    <cellStyle name="40% - Accent2 2 2 5 3 2" xfId="14239" xr:uid="{D7848EA0-3EEC-4D3E-B6ED-D335AFCE1964}"/>
    <cellStyle name="40% - Accent2 2 2 5 4" xfId="10021" xr:uid="{D9C26DE7-F1F9-4F9B-861F-B0CF76B9DCAE}"/>
    <cellStyle name="40% - Accent2 2 2 6" xfId="1910" xr:uid="{00000000-0005-0000-0000-000084040000}"/>
    <cellStyle name="40% - Accent2 2 2 6 2" xfId="4139" xr:uid="{00000000-0005-0000-0000-000085040000}"/>
    <cellStyle name="40% - Accent2 2 2 6 2 2" xfId="8362" xr:uid="{00000000-0005-0000-0000-000086040000}"/>
    <cellStyle name="40% - Accent2 2 2 6 2 2 2" xfId="16797" xr:uid="{F1784433-DE84-433F-8938-3637FCD823C3}"/>
    <cellStyle name="40% - Accent2 2 2 6 2 3" xfId="12579" xr:uid="{8E42CFFB-B133-4771-BC57-42D06F310458}"/>
    <cellStyle name="40% - Accent2 2 2 6 3" xfId="6217" xr:uid="{00000000-0005-0000-0000-000087040000}"/>
    <cellStyle name="40% - Accent2 2 2 6 3 2" xfId="14652" xr:uid="{8517E12A-690D-403B-BCD1-00A850D3F114}"/>
    <cellStyle name="40% - Accent2 2 2 6 4" xfId="10434" xr:uid="{09A81D57-641E-4604-8833-0565629C49D3}"/>
    <cellStyle name="40% - Accent2 2 2 7" xfId="2323" xr:uid="{00000000-0005-0000-0000-000088040000}"/>
    <cellStyle name="40% - Accent2 2 2 7 2" xfId="6630" xr:uid="{00000000-0005-0000-0000-000089040000}"/>
    <cellStyle name="40% - Accent2 2 2 7 2 2" xfId="15065" xr:uid="{59FA59D4-7042-44CE-9CE2-48102BDC9D42}"/>
    <cellStyle name="40% - Accent2 2 2 7 3" xfId="10847" xr:uid="{C6F40026-09AF-42D8-B890-20FD0C5DC328}"/>
    <cellStyle name="40% - Accent2 2 2 8" xfId="4564" xr:uid="{00000000-0005-0000-0000-00008A040000}"/>
    <cellStyle name="40% - Accent2 2 2 8 2" xfId="12999" xr:uid="{A947A065-DF9E-492B-9715-C0940B49DF2E}"/>
    <cellStyle name="40% - Accent2 2 2 9" xfId="8781" xr:uid="{934E6263-7949-4A46-8DD8-5870D4E60BD3}"/>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2 2 2" xfId="15560" xr:uid="{442C7140-EAE5-4F61-BC37-75CE8138A7C1}"/>
    <cellStyle name="40% - Accent2 2 3 2 2 3" xfId="11342" xr:uid="{B4A8AD40-F36C-4CF9-87AE-E15DE03DB103}"/>
    <cellStyle name="40% - Accent2 2 3 2 3" xfId="4980" xr:uid="{00000000-0005-0000-0000-00008F040000}"/>
    <cellStyle name="40% - Accent2 2 3 2 3 2" xfId="13415" xr:uid="{BBDBAA7A-FAF1-45C7-9DD6-DC3222BB0725}"/>
    <cellStyle name="40% - Accent2 2 3 2 4" xfId="9197" xr:uid="{D0B89805-96D9-4FBE-9B2E-917151141EE5}"/>
    <cellStyle name="40% - Accent2 2 3 3" xfId="1084" xr:uid="{00000000-0005-0000-0000-000090040000}"/>
    <cellStyle name="40% - Accent2 2 3 3 2" xfId="3315" xr:uid="{00000000-0005-0000-0000-000091040000}"/>
    <cellStyle name="40% - Accent2 2 3 3 2 2" xfId="7538" xr:uid="{00000000-0005-0000-0000-000092040000}"/>
    <cellStyle name="40% - Accent2 2 3 3 2 2 2" xfId="15973" xr:uid="{A5D98ED8-2AAA-4F29-BC0D-EB9FAF3AA0D9}"/>
    <cellStyle name="40% - Accent2 2 3 3 2 3" xfId="11755" xr:uid="{C66A6E17-ECAA-4608-AE59-20E6329F4261}"/>
    <cellStyle name="40% - Accent2 2 3 3 3" xfId="5393" xr:uid="{00000000-0005-0000-0000-000093040000}"/>
    <cellStyle name="40% - Accent2 2 3 3 3 2" xfId="13828" xr:uid="{F9BEDEE5-C0B7-4E7D-89A0-DE9A8ECF54E8}"/>
    <cellStyle name="40% - Accent2 2 3 3 4" xfId="9610" xr:uid="{8CBA805C-C285-4606-AB7B-70F699A1A447}"/>
    <cellStyle name="40% - Accent2 2 3 4" xfId="1498" xr:uid="{00000000-0005-0000-0000-000094040000}"/>
    <cellStyle name="40% - Accent2 2 3 4 2" xfId="3728" xr:uid="{00000000-0005-0000-0000-000095040000}"/>
    <cellStyle name="40% - Accent2 2 3 4 2 2" xfId="7951" xr:uid="{00000000-0005-0000-0000-000096040000}"/>
    <cellStyle name="40% - Accent2 2 3 4 2 2 2" xfId="16386" xr:uid="{AC6967C7-61FB-4926-A4D9-C236D7049BFC}"/>
    <cellStyle name="40% - Accent2 2 3 4 2 3" xfId="12168" xr:uid="{A7C6F38F-0C87-4704-8B47-ED7B012AC5A9}"/>
    <cellStyle name="40% - Accent2 2 3 4 3" xfId="5806" xr:uid="{00000000-0005-0000-0000-000097040000}"/>
    <cellStyle name="40% - Accent2 2 3 4 3 2" xfId="14241" xr:uid="{661C0331-69DC-449D-A6FC-1FBAB7227B33}"/>
    <cellStyle name="40% - Accent2 2 3 4 4" xfId="10023" xr:uid="{3FF13501-27BD-4A71-9F75-75F5C27DC05F}"/>
    <cellStyle name="40% - Accent2 2 3 5" xfId="1912" xr:uid="{00000000-0005-0000-0000-000098040000}"/>
    <cellStyle name="40% - Accent2 2 3 5 2" xfId="4141" xr:uid="{00000000-0005-0000-0000-000099040000}"/>
    <cellStyle name="40% - Accent2 2 3 5 2 2" xfId="8364" xr:uid="{00000000-0005-0000-0000-00009A040000}"/>
    <cellStyle name="40% - Accent2 2 3 5 2 2 2" xfId="16799" xr:uid="{E82F52AC-556F-4D71-983E-DD5538B99F6A}"/>
    <cellStyle name="40% - Accent2 2 3 5 2 3" xfId="12581" xr:uid="{8AFAB0DA-1455-4061-887F-C69B1B34175A}"/>
    <cellStyle name="40% - Accent2 2 3 5 3" xfId="6219" xr:uid="{00000000-0005-0000-0000-00009B040000}"/>
    <cellStyle name="40% - Accent2 2 3 5 3 2" xfId="14654" xr:uid="{1485F5BD-8CF8-4B38-A662-04BD2DCE87A1}"/>
    <cellStyle name="40% - Accent2 2 3 5 4" xfId="10436" xr:uid="{19EE55A5-00B2-4A34-A363-5A009FA11584}"/>
    <cellStyle name="40% - Accent2 2 3 6" xfId="2325" xr:uid="{00000000-0005-0000-0000-00009C040000}"/>
    <cellStyle name="40% - Accent2 2 3 6 2" xfId="6632" xr:uid="{00000000-0005-0000-0000-00009D040000}"/>
    <cellStyle name="40% - Accent2 2 3 6 2 2" xfId="15067" xr:uid="{C9D44D08-2060-47D0-9BF9-3FCC1D22237B}"/>
    <cellStyle name="40% - Accent2 2 3 6 3" xfId="10849" xr:uid="{F108B321-36E2-48ED-8C08-5A1D7D603E16}"/>
    <cellStyle name="40% - Accent2 2 3 7" xfId="4566" xr:uid="{00000000-0005-0000-0000-00009E040000}"/>
    <cellStyle name="40% - Accent2 2 3 7 2" xfId="13001" xr:uid="{5A9CFEB7-4A34-4E01-BF59-80A6099F0EE8}"/>
    <cellStyle name="40% - Accent2 2 3 8" xfId="8783" xr:uid="{1D962F1C-BE3D-4A09-B5B8-B1CEA6F37ED5}"/>
    <cellStyle name="40% - Accent2 2 4" xfId="628" xr:uid="{00000000-0005-0000-0000-00009F040000}"/>
    <cellStyle name="40% - Accent2 2 4 2" xfId="2899" xr:uid="{00000000-0005-0000-0000-0000A0040000}"/>
    <cellStyle name="40% - Accent2 2 4 2 2" xfId="7122" xr:uid="{00000000-0005-0000-0000-0000A1040000}"/>
    <cellStyle name="40% - Accent2 2 4 2 2 2" xfId="15557" xr:uid="{60553715-4CE1-41FA-B363-CCC9B9D92AE1}"/>
    <cellStyle name="40% - Accent2 2 4 2 3" xfId="11339" xr:uid="{0F02A7EC-8E48-4807-937A-D209F1D989CC}"/>
    <cellStyle name="40% - Accent2 2 4 3" xfId="4977" xr:uid="{00000000-0005-0000-0000-0000A2040000}"/>
    <cellStyle name="40% - Accent2 2 4 3 2" xfId="13412" xr:uid="{822FD021-667A-4745-ABA8-FAEEE9C1A93B}"/>
    <cellStyle name="40% - Accent2 2 4 4" xfId="9194" xr:uid="{A71C1EAE-AD64-44D7-A46F-33064A0FC7EE}"/>
    <cellStyle name="40% - Accent2 2 5" xfId="1081" xr:uid="{00000000-0005-0000-0000-0000A3040000}"/>
    <cellStyle name="40% - Accent2 2 5 2" xfId="3312" xr:uid="{00000000-0005-0000-0000-0000A4040000}"/>
    <cellStyle name="40% - Accent2 2 5 2 2" xfId="7535" xr:uid="{00000000-0005-0000-0000-0000A5040000}"/>
    <cellStyle name="40% - Accent2 2 5 2 2 2" xfId="15970" xr:uid="{B68A2DC9-83EE-4D85-84B6-ED188BAB0D5A}"/>
    <cellStyle name="40% - Accent2 2 5 2 3" xfId="11752" xr:uid="{51F82812-E6A5-4CB5-A55E-6A0AF0B4F62E}"/>
    <cellStyle name="40% - Accent2 2 5 3" xfId="5390" xr:uid="{00000000-0005-0000-0000-0000A6040000}"/>
    <cellStyle name="40% - Accent2 2 5 3 2" xfId="13825" xr:uid="{A409FC0B-3C2C-41EE-89AA-9CB2987E138D}"/>
    <cellStyle name="40% - Accent2 2 5 4" xfId="9607" xr:uid="{60F8AE88-25BD-4178-9E32-31F63CFC348A}"/>
    <cellStyle name="40% - Accent2 2 6" xfId="1495" xr:uid="{00000000-0005-0000-0000-0000A7040000}"/>
    <cellStyle name="40% - Accent2 2 6 2" xfId="3725" xr:uid="{00000000-0005-0000-0000-0000A8040000}"/>
    <cellStyle name="40% - Accent2 2 6 2 2" xfId="7948" xr:uid="{00000000-0005-0000-0000-0000A9040000}"/>
    <cellStyle name="40% - Accent2 2 6 2 2 2" xfId="16383" xr:uid="{9BB393A7-68AF-47B7-A392-C09C160D15FF}"/>
    <cellStyle name="40% - Accent2 2 6 2 3" xfId="12165" xr:uid="{C2D93632-D4F3-4347-A6D6-D02E1CC12155}"/>
    <cellStyle name="40% - Accent2 2 6 3" xfId="5803" xr:uid="{00000000-0005-0000-0000-0000AA040000}"/>
    <cellStyle name="40% - Accent2 2 6 3 2" xfId="14238" xr:uid="{41834710-EC2B-42DA-BB65-3A4EDB707A80}"/>
    <cellStyle name="40% - Accent2 2 6 4" xfId="10020" xr:uid="{32FE08D1-4F79-4F33-B103-5B228995C33A}"/>
    <cellStyle name="40% - Accent2 2 7" xfId="1909" xr:uid="{00000000-0005-0000-0000-0000AB040000}"/>
    <cellStyle name="40% - Accent2 2 7 2" xfId="4138" xr:uid="{00000000-0005-0000-0000-0000AC040000}"/>
    <cellStyle name="40% - Accent2 2 7 2 2" xfId="8361" xr:uid="{00000000-0005-0000-0000-0000AD040000}"/>
    <cellStyle name="40% - Accent2 2 7 2 2 2" xfId="16796" xr:uid="{C9C1D120-D1A3-4A4E-A833-B73D201BB985}"/>
    <cellStyle name="40% - Accent2 2 7 2 3" xfId="12578" xr:uid="{6C5CF018-5274-41E6-B76E-91B10E9CBD49}"/>
    <cellStyle name="40% - Accent2 2 7 3" xfId="6216" xr:uid="{00000000-0005-0000-0000-0000AE040000}"/>
    <cellStyle name="40% - Accent2 2 7 3 2" xfId="14651" xr:uid="{9B75CD9A-4777-45FD-8CC3-792E393C8C56}"/>
    <cellStyle name="40% - Accent2 2 7 4" xfId="10433" xr:uid="{3CD1A0F8-D5C3-41F7-BE02-9EE7478555AC}"/>
    <cellStyle name="40% - Accent2 2 8" xfId="2322" xr:uid="{00000000-0005-0000-0000-0000AF040000}"/>
    <cellStyle name="40% - Accent2 2 8 2" xfId="6629" xr:uid="{00000000-0005-0000-0000-0000B0040000}"/>
    <cellStyle name="40% - Accent2 2 8 2 2" xfId="15064" xr:uid="{4B6592E2-4B8E-49BB-B4DE-5A7ED6059F07}"/>
    <cellStyle name="40% - Accent2 2 8 3" xfId="10846" xr:uid="{BD9F395A-3B2C-44D8-9E6D-AAA4282ECE1A}"/>
    <cellStyle name="40% - Accent2 2 9" xfId="4563" xr:uid="{00000000-0005-0000-0000-0000B1040000}"/>
    <cellStyle name="40% - Accent2 2 9 2" xfId="12998" xr:uid="{223F8255-B7FC-4C91-8E78-EFFA8E51483D}"/>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2 2 2" xfId="15562" xr:uid="{B6204818-C399-41D9-A4A8-226494F74C43}"/>
    <cellStyle name="40% - Accent2 3 2 2 2 3" xfId="11344" xr:uid="{CCB99DFA-7D52-4C2C-8D7F-CBB00F4A0D3E}"/>
    <cellStyle name="40% - Accent2 3 2 2 3" xfId="4982" xr:uid="{00000000-0005-0000-0000-0000B7040000}"/>
    <cellStyle name="40% - Accent2 3 2 2 3 2" xfId="13417" xr:uid="{AD6D1460-A199-4626-9C0A-12A341634FE8}"/>
    <cellStyle name="40% - Accent2 3 2 2 4" xfId="9199" xr:uid="{779594CD-0621-4966-B3B3-521A906C12E1}"/>
    <cellStyle name="40% - Accent2 3 2 3" xfId="1086" xr:uid="{00000000-0005-0000-0000-0000B8040000}"/>
    <cellStyle name="40% - Accent2 3 2 3 2" xfId="3317" xr:uid="{00000000-0005-0000-0000-0000B9040000}"/>
    <cellStyle name="40% - Accent2 3 2 3 2 2" xfId="7540" xr:uid="{00000000-0005-0000-0000-0000BA040000}"/>
    <cellStyle name="40% - Accent2 3 2 3 2 2 2" xfId="15975" xr:uid="{BC088A50-3F97-43F4-8550-3BDFC8458840}"/>
    <cellStyle name="40% - Accent2 3 2 3 2 3" xfId="11757" xr:uid="{F26BA67F-DDB0-4134-A8C8-E7D95792842E}"/>
    <cellStyle name="40% - Accent2 3 2 3 3" xfId="5395" xr:uid="{00000000-0005-0000-0000-0000BB040000}"/>
    <cellStyle name="40% - Accent2 3 2 3 3 2" xfId="13830" xr:uid="{91DAF9C7-BD84-4D0B-B8ED-B30304F6F358}"/>
    <cellStyle name="40% - Accent2 3 2 3 4" xfId="9612" xr:uid="{66B87C9B-7147-4181-8264-7225DE490D31}"/>
    <cellStyle name="40% - Accent2 3 2 4" xfId="1500" xr:uid="{00000000-0005-0000-0000-0000BC040000}"/>
    <cellStyle name="40% - Accent2 3 2 4 2" xfId="3730" xr:uid="{00000000-0005-0000-0000-0000BD040000}"/>
    <cellStyle name="40% - Accent2 3 2 4 2 2" xfId="7953" xr:uid="{00000000-0005-0000-0000-0000BE040000}"/>
    <cellStyle name="40% - Accent2 3 2 4 2 2 2" xfId="16388" xr:uid="{6BCD8499-5E8F-4F7F-9F3B-ED86EBE28898}"/>
    <cellStyle name="40% - Accent2 3 2 4 2 3" xfId="12170" xr:uid="{5E212823-6A5B-499B-B5DF-8D7B32D28F30}"/>
    <cellStyle name="40% - Accent2 3 2 4 3" xfId="5808" xr:uid="{00000000-0005-0000-0000-0000BF040000}"/>
    <cellStyle name="40% - Accent2 3 2 4 3 2" xfId="14243" xr:uid="{007D164D-4192-4BCB-B05D-C85E6CED3F7A}"/>
    <cellStyle name="40% - Accent2 3 2 4 4" xfId="10025" xr:uid="{5F5838E5-44F8-40F6-BC05-885CA6B4A98A}"/>
    <cellStyle name="40% - Accent2 3 2 5" xfId="1914" xr:uid="{00000000-0005-0000-0000-0000C0040000}"/>
    <cellStyle name="40% - Accent2 3 2 5 2" xfId="4143" xr:uid="{00000000-0005-0000-0000-0000C1040000}"/>
    <cellStyle name="40% - Accent2 3 2 5 2 2" xfId="8366" xr:uid="{00000000-0005-0000-0000-0000C2040000}"/>
    <cellStyle name="40% - Accent2 3 2 5 2 2 2" xfId="16801" xr:uid="{8F56B919-5DE1-4DDE-990B-608EBA705FB2}"/>
    <cellStyle name="40% - Accent2 3 2 5 2 3" xfId="12583" xr:uid="{B604024C-C78D-492C-ABDA-77879C1F5E34}"/>
    <cellStyle name="40% - Accent2 3 2 5 3" xfId="6221" xr:uid="{00000000-0005-0000-0000-0000C3040000}"/>
    <cellStyle name="40% - Accent2 3 2 5 3 2" xfId="14656" xr:uid="{3AA18AE0-A821-44E3-A3CC-37597ED5EB2E}"/>
    <cellStyle name="40% - Accent2 3 2 5 4" xfId="10438" xr:uid="{B0EE5C12-D4E3-49A7-9109-08AE6896782A}"/>
    <cellStyle name="40% - Accent2 3 2 6" xfId="2327" xr:uid="{00000000-0005-0000-0000-0000C4040000}"/>
    <cellStyle name="40% - Accent2 3 2 6 2" xfId="6634" xr:uid="{00000000-0005-0000-0000-0000C5040000}"/>
    <cellStyle name="40% - Accent2 3 2 6 2 2" xfId="15069" xr:uid="{34C5597A-49CF-4805-8973-54EA149B29A0}"/>
    <cellStyle name="40% - Accent2 3 2 6 3" xfId="10851" xr:uid="{96F2556B-9979-4F35-86B0-EC0C5759DE48}"/>
    <cellStyle name="40% - Accent2 3 2 7" xfId="4568" xr:uid="{00000000-0005-0000-0000-0000C6040000}"/>
    <cellStyle name="40% - Accent2 3 2 7 2" xfId="13003" xr:uid="{8DBF95A5-2CF2-4086-BAB2-E47C8AB31DF4}"/>
    <cellStyle name="40% - Accent2 3 2 8" xfId="8785" xr:uid="{EA87D39B-916B-4E88-A7E8-5B7C567C9268}"/>
    <cellStyle name="40% - Accent2 3 3" xfId="632" xr:uid="{00000000-0005-0000-0000-0000C7040000}"/>
    <cellStyle name="40% - Accent2 3 3 2" xfId="2903" xr:uid="{00000000-0005-0000-0000-0000C8040000}"/>
    <cellStyle name="40% - Accent2 3 3 2 2" xfId="7126" xr:uid="{00000000-0005-0000-0000-0000C9040000}"/>
    <cellStyle name="40% - Accent2 3 3 2 2 2" xfId="15561" xr:uid="{68B34DDD-486A-47D8-8481-0BD737799C6F}"/>
    <cellStyle name="40% - Accent2 3 3 2 3" xfId="11343" xr:uid="{8793B1F3-42B2-4473-8222-39834C31B084}"/>
    <cellStyle name="40% - Accent2 3 3 3" xfId="4981" xr:uid="{00000000-0005-0000-0000-0000CA040000}"/>
    <cellStyle name="40% - Accent2 3 3 3 2" xfId="13416" xr:uid="{DC18C89A-B916-48A9-91A3-3B53D90154E6}"/>
    <cellStyle name="40% - Accent2 3 3 4" xfId="9198" xr:uid="{3D275D7B-5397-40D8-9C4D-B697D92322F2}"/>
    <cellStyle name="40% - Accent2 3 4" xfId="1085" xr:uid="{00000000-0005-0000-0000-0000CB040000}"/>
    <cellStyle name="40% - Accent2 3 4 2" xfId="3316" xr:uid="{00000000-0005-0000-0000-0000CC040000}"/>
    <cellStyle name="40% - Accent2 3 4 2 2" xfId="7539" xr:uid="{00000000-0005-0000-0000-0000CD040000}"/>
    <cellStyle name="40% - Accent2 3 4 2 2 2" xfId="15974" xr:uid="{94B6270F-1E99-48E0-AC6B-9C012788ECE6}"/>
    <cellStyle name="40% - Accent2 3 4 2 3" xfId="11756" xr:uid="{954B1137-75E7-4A26-8D26-59020596B27E}"/>
    <cellStyle name="40% - Accent2 3 4 3" xfId="5394" xr:uid="{00000000-0005-0000-0000-0000CE040000}"/>
    <cellStyle name="40% - Accent2 3 4 3 2" xfId="13829" xr:uid="{10364DA9-B983-4DB8-A301-EAAE98389442}"/>
    <cellStyle name="40% - Accent2 3 4 4" xfId="9611" xr:uid="{588C2A39-5CC6-4BE0-A741-EE64CCEFEBBC}"/>
    <cellStyle name="40% - Accent2 3 5" xfId="1499" xr:uid="{00000000-0005-0000-0000-0000CF040000}"/>
    <cellStyle name="40% - Accent2 3 5 2" xfId="3729" xr:uid="{00000000-0005-0000-0000-0000D0040000}"/>
    <cellStyle name="40% - Accent2 3 5 2 2" xfId="7952" xr:uid="{00000000-0005-0000-0000-0000D1040000}"/>
    <cellStyle name="40% - Accent2 3 5 2 2 2" xfId="16387" xr:uid="{65C4396B-7EAE-423D-9D6B-0104C35DCF3A}"/>
    <cellStyle name="40% - Accent2 3 5 2 3" xfId="12169" xr:uid="{E1D18779-90AF-43D1-937F-C15575380537}"/>
    <cellStyle name="40% - Accent2 3 5 3" xfId="5807" xr:uid="{00000000-0005-0000-0000-0000D2040000}"/>
    <cellStyle name="40% - Accent2 3 5 3 2" xfId="14242" xr:uid="{9879DA21-FA0E-46ED-B01B-2274BA165B50}"/>
    <cellStyle name="40% - Accent2 3 5 4" xfId="10024" xr:uid="{7A019BD8-E876-45C5-A898-2378E62AB62C}"/>
    <cellStyle name="40% - Accent2 3 6" xfId="1913" xr:uid="{00000000-0005-0000-0000-0000D3040000}"/>
    <cellStyle name="40% - Accent2 3 6 2" xfId="4142" xr:uid="{00000000-0005-0000-0000-0000D4040000}"/>
    <cellStyle name="40% - Accent2 3 6 2 2" xfId="8365" xr:uid="{00000000-0005-0000-0000-0000D5040000}"/>
    <cellStyle name="40% - Accent2 3 6 2 2 2" xfId="16800" xr:uid="{3BB674B7-C539-4DF6-9264-84CDB59B4E94}"/>
    <cellStyle name="40% - Accent2 3 6 2 3" xfId="12582" xr:uid="{0517FF4C-519A-4409-BDE3-4DC2C63AF9FD}"/>
    <cellStyle name="40% - Accent2 3 6 3" xfId="6220" xr:uid="{00000000-0005-0000-0000-0000D6040000}"/>
    <cellStyle name="40% - Accent2 3 6 3 2" xfId="14655" xr:uid="{A2342FBD-70A5-4B8F-A9A0-5886071B748C}"/>
    <cellStyle name="40% - Accent2 3 6 4" xfId="10437" xr:uid="{F59180D8-85EC-4495-BAD9-9AFC3CADE15E}"/>
    <cellStyle name="40% - Accent2 3 7" xfId="2326" xr:uid="{00000000-0005-0000-0000-0000D7040000}"/>
    <cellStyle name="40% - Accent2 3 7 2" xfId="6633" xr:uid="{00000000-0005-0000-0000-0000D8040000}"/>
    <cellStyle name="40% - Accent2 3 7 2 2" xfId="15068" xr:uid="{97451708-766C-4188-9FAD-0770BB0F43DB}"/>
    <cellStyle name="40% - Accent2 3 7 3" xfId="10850" xr:uid="{76D398DC-C026-4579-B62E-092CE2476FEB}"/>
    <cellStyle name="40% - Accent2 3 8" xfId="4567" xr:uid="{00000000-0005-0000-0000-0000D9040000}"/>
    <cellStyle name="40% - Accent2 3 8 2" xfId="13002" xr:uid="{FA422EB5-CA22-4DBF-95E3-63CFF39EA148}"/>
    <cellStyle name="40% - Accent2 3 9" xfId="8784" xr:uid="{CFF28B6E-D645-4345-B48A-05C48E9714A1}"/>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2 2 2" xfId="15563" xr:uid="{CF3E6F8B-136C-473C-A59E-F0C926D3F9B3}"/>
    <cellStyle name="40% - Accent2 4 2 2 3" xfId="11345" xr:uid="{343CB98F-920C-4078-B277-2DEFAC83AEEC}"/>
    <cellStyle name="40% - Accent2 4 2 3" xfId="4983" xr:uid="{00000000-0005-0000-0000-0000DE040000}"/>
    <cellStyle name="40% - Accent2 4 2 3 2" xfId="13418" xr:uid="{AC290EF0-80E1-459C-8713-C1D1542827A2}"/>
    <cellStyle name="40% - Accent2 4 2 4" xfId="9200" xr:uid="{7C556EEB-55E0-4550-AABC-5C8001B196B8}"/>
    <cellStyle name="40% - Accent2 4 3" xfId="1087" xr:uid="{00000000-0005-0000-0000-0000DF040000}"/>
    <cellStyle name="40% - Accent2 4 3 2" xfId="3318" xr:uid="{00000000-0005-0000-0000-0000E0040000}"/>
    <cellStyle name="40% - Accent2 4 3 2 2" xfId="7541" xr:uid="{00000000-0005-0000-0000-0000E1040000}"/>
    <cellStyle name="40% - Accent2 4 3 2 2 2" xfId="15976" xr:uid="{12F8F6E6-8012-46A5-9C24-B8A950068315}"/>
    <cellStyle name="40% - Accent2 4 3 2 3" xfId="11758" xr:uid="{A3219180-1AC7-4778-BD3C-386039D1C783}"/>
    <cellStyle name="40% - Accent2 4 3 3" xfId="5396" xr:uid="{00000000-0005-0000-0000-0000E2040000}"/>
    <cellStyle name="40% - Accent2 4 3 3 2" xfId="13831" xr:uid="{FC9B76F9-979B-44D7-AB8C-5A9DEC132A2A}"/>
    <cellStyle name="40% - Accent2 4 3 4" xfId="9613" xr:uid="{30218455-F3D2-4CA7-951F-0C68D4EAD87C}"/>
    <cellStyle name="40% - Accent2 4 4" xfId="1501" xr:uid="{00000000-0005-0000-0000-0000E3040000}"/>
    <cellStyle name="40% - Accent2 4 4 2" xfId="3731" xr:uid="{00000000-0005-0000-0000-0000E4040000}"/>
    <cellStyle name="40% - Accent2 4 4 2 2" xfId="7954" xr:uid="{00000000-0005-0000-0000-0000E5040000}"/>
    <cellStyle name="40% - Accent2 4 4 2 2 2" xfId="16389" xr:uid="{F94CB2E6-AD69-4BB9-8397-C1A6FB63B203}"/>
    <cellStyle name="40% - Accent2 4 4 2 3" xfId="12171" xr:uid="{F4CE6D44-7CC4-45E7-8941-1A104FE30BC4}"/>
    <cellStyle name="40% - Accent2 4 4 3" xfId="5809" xr:uid="{00000000-0005-0000-0000-0000E6040000}"/>
    <cellStyle name="40% - Accent2 4 4 3 2" xfId="14244" xr:uid="{46DD5046-0A41-4983-A803-6584EF39220F}"/>
    <cellStyle name="40% - Accent2 4 4 4" xfId="10026" xr:uid="{2A5B1C08-71F5-450E-BC60-786C919A6ACF}"/>
    <cellStyle name="40% - Accent2 4 5" xfId="1915" xr:uid="{00000000-0005-0000-0000-0000E7040000}"/>
    <cellStyle name="40% - Accent2 4 5 2" xfId="4144" xr:uid="{00000000-0005-0000-0000-0000E8040000}"/>
    <cellStyle name="40% - Accent2 4 5 2 2" xfId="8367" xr:uid="{00000000-0005-0000-0000-0000E9040000}"/>
    <cellStyle name="40% - Accent2 4 5 2 2 2" xfId="16802" xr:uid="{28AFDE0E-131C-4A83-A229-7C9C32CC3BEF}"/>
    <cellStyle name="40% - Accent2 4 5 2 3" xfId="12584" xr:uid="{28706A33-A10C-4CED-A9B9-0D6CE683F4E4}"/>
    <cellStyle name="40% - Accent2 4 5 3" xfId="6222" xr:uid="{00000000-0005-0000-0000-0000EA040000}"/>
    <cellStyle name="40% - Accent2 4 5 3 2" xfId="14657" xr:uid="{3C7B97DD-40CE-4312-9915-BB71EB2F54C3}"/>
    <cellStyle name="40% - Accent2 4 5 4" xfId="10439" xr:uid="{388020BD-C286-42C4-908C-DEE865A945BB}"/>
    <cellStyle name="40% - Accent2 4 6" xfId="2328" xr:uid="{00000000-0005-0000-0000-0000EB040000}"/>
    <cellStyle name="40% - Accent2 4 6 2" xfId="6635" xr:uid="{00000000-0005-0000-0000-0000EC040000}"/>
    <cellStyle name="40% - Accent2 4 6 2 2" xfId="15070" xr:uid="{C6AFFE86-0C5D-4FE1-BF7B-A2D689030600}"/>
    <cellStyle name="40% - Accent2 4 6 3" xfId="10852" xr:uid="{950607BC-38B2-46D6-86E9-1B67E1A3BFBF}"/>
    <cellStyle name="40% - Accent2 4 7" xfId="4569" xr:uid="{00000000-0005-0000-0000-0000ED040000}"/>
    <cellStyle name="40% - Accent2 4 7 2" xfId="13004" xr:uid="{CDCB654F-0403-44A9-B3D9-8037DEE7EB56}"/>
    <cellStyle name="40% - Accent2 4 8" xfId="8786" xr:uid="{176F55CB-1932-4A0A-8CCE-11AEBC9D5FF8}"/>
    <cellStyle name="40% - Accent2 5" xfId="627" xr:uid="{00000000-0005-0000-0000-0000EE040000}"/>
    <cellStyle name="40% - Accent2 5 2" xfId="2898" xr:uid="{00000000-0005-0000-0000-0000EF040000}"/>
    <cellStyle name="40% - Accent2 5 2 2" xfId="7121" xr:uid="{00000000-0005-0000-0000-0000F0040000}"/>
    <cellStyle name="40% - Accent2 5 2 2 2" xfId="15556" xr:uid="{C42D4B7F-3B20-416F-B2A7-9A0097A026DA}"/>
    <cellStyle name="40% - Accent2 5 2 3" xfId="11338" xr:uid="{24A07D8D-5766-4AA4-A60E-C4E0D2633D78}"/>
    <cellStyle name="40% - Accent2 5 3" xfId="4976" xr:uid="{00000000-0005-0000-0000-0000F1040000}"/>
    <cellStyle name="40% - Accent2 5 3 2" xfId="13411" xr:uid="{74144C62-5D2E-417A-A7C0-0FB8CD27EB40}"/>
    <cellStyle name="40% - Accent2 5 4" xfId="9193" xr:uid="{C4070C61-DF6C-4309-ACA1-2672C861FAD2}"/>
    <cellStyle name="40% - Accent2 6" xfId="1080" xr:uid="{00000000-0005-0000-0000-0000F2040000}"/>
    <cellStyle name="40% - Accent2 6 2" xfId="3311" xr:uid="{00000000-0005-0000-0000-0000F3040000}"/>
    <cellStyle name="40% - Accent2 6 2 2" xfId="7534" xr:uid="{00000000-0005-0000-0000-0000F4040000}"/>
    <cellStyle name="40% - Accent2 6 2 2 2" xfId="15969" xr:uid="{B78B2354-04C2-4DA8-B387-2BF12091BC9D}"/>
    <cellStyle name="40% - Accent2 6 2 3" xfId="11751" xr:uid="{07C25382-44F6-4196-8592-4A2F5FCE6B8B}"/>
    <cellStyle name="40% - Accent2 6 3" xfId="5389" xr:uid="{00000000-0005-0000-0000-0000F5040000}"/>
    <cellStyle name="40% - Accent2 6 3 2" xfId="13824" xr:uid="{50FCAAFD-B269-4D01-8321-C354099C5B4B}"/>
    <cellStyle name="40% - Accent2 6 4" xfId="9606" xr:uid="{16A1E4ED-CD5C-4C3B-9208-7C99606D107A}"/>
    <cellStyle name="40% - Accent2 7" xfId="1494" xr:uid="{00000000-0005-0000-0000-0000F6040000}"/>
    <cellStyle name="40% - Accent2 7 2" xfId="3724" xr:uid="{00000000-0005-0000-0000-0000F7040000}"/>
    <cellStyle name="40% - Accent2 7 2 2" xfId="7947" xr:uid="{00000000-0005-0000-0000-0000F8040000}"/>
    <cellStyle name="40% - Accent2 7 2 2 2" xfId="16382" xr:uid="{A166BFD1-C988-4648-A44B-95DC5C9C9423}"/>
    <cellStyle name="40% - Accent2 7 2 3" xfId="12164" xr:uid="{120DD7BC-9659-4123-8D71-65C25FE97ADB}"/>
    <cellStyle name="40% - Accent2 7 3" xfId="5802" xr:uid="{00000000-0005-0000-0000-0000F9040000}"/>
    <cellStyle name="40% - Accent2 7 3 2" xfId="14237" xr:uid="{068D825F-C187-4F54-A262-35FDC3825F52}"/>
    <cellStyle name="40% - Accent2 7 4" xfId="10019" xr:uid="{589FB777-38BA-4340-A721-0A0BDFFFF8FD}"/>
    <cellStyle name="40% - Accent2 8" xfId="1908" xr:uid="{00000000-0005-0000-0000-0000FA040000}"/>
    <cellStyle name="40% - Accent2 8 2" xfId="4137" xr:uid="{00000000-0005-0000-0000-0000FB040000}"/>
    <cellStyle name="40% - Accent2 8 2 2" xfId="8360" xr:uid="{00000000-0005-0000-0000-0000FC040000}"/>
    <cellStyle name="40% - Accent2 8 2 2 2" xfId="16795" xr:uid="{772CAE9C-7B62-4F70-9C62-B322B6DDC909}"/>
    <cellStyle name="40% - Accent2 8 2 3" xfId="12577" xr:uid="{5235A9EF-ADAF-401D-8C44-2759B05694AE}"/>
    <cellStyle name="40% - Accent2 8 3" xfId="6215" xr:uid="{00000000-0005-0000-0000-0000FD040000}"/>
    <cellStyle name="40% - Accent2 8 3 2" xfId="14650" xr:uid="{79AF781E-CA01-4D25-B286-F174EBE932CC}"/>
    <cellStyle name="40% - Accent2 8 4" xfId="10432" xr:uid="{0CB4F64C-4E99-4765-A530-9D30257935AA}"/>
    <cellStyle name="40% - Accent2 9" xfId="2321" xr:uid="{00000000-0005-0000-0000-0000FE040000}"/>
    <cellStyle name="40% - Accent2 9 2" xfId="6628" xr:uid="{00000000-0005-0000-0000-0000FF040000}"/>
    <cellStyle name="40% - Accent2 9 2 2" xfId="15063" xr:uid="{1F577E22-707A-4B18-9C61-28DC1222D2B7}"/>
    <cellStyle name="40% - Accent2 9 3" xfId="10845" xr:uid="{894AD7F1-1E4A-4F2C-978B-613238E6D9F3}"/>
    <cellStyle name="40% - Accent3" xfId="65" builtinId="39" customBuiltin="1"/>
    <cellStyle name="40% - Accent3 10" xfId="4570" xr:uid="{00000000-0005-0000-0000-000001050000}"/>
    <cellStyle name="40% - Accent3 10 2" xfId="13005" xr:uid="{DE4812CF-6EC6-4569-959D-F89BC449CF4F}"/>
    <cellStyle name="40% - Accent3 11" xfId="8787" xr:uid="{9FC37391-15A6-48F6-9029-8CB676880C1E}"/>
    <cellStyle name="40% - Accent3 2" xfId="66" xr:uid="{00000000-0005-0000-0000-000002050000}"/>
    <cellStyle name="40% - Accent3 2 10" xfId="8788" xr:uid="{5471C90E-2416-4A19-9B9B-24EE1E07FCBC}"/>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2 2 2" xfId="15567" xr:uid="{AEC233CC-0C2D-4DCB-9487-30D5899F57E8}"/>
    <cellStyle name="40% - Accent3 2 2 2 2 2 3" xfId="11349" xr:uid="{BDA24156-C807-40A1-A944-BB969344C826}"/>
    <cellStyle name="40% - Accent3 2 2 2 2 3" xfId="4987" xr:uid="{00000000-0005-0000-0000-000008050000}"/>
    <cellStyle name="40% - Accent3 2 2 2 2 3 2" xfId="13422" xr:uid="{00BAE47B-3DD1-4574-8BAE-259A2155F67F}"/>
    <cellStyle name="40% - Accent3 2 2 2 2 4" xfId="9204" xr:uid="{9A97B8B2-1D45-4EC3-B28E-93BEE3A942A2}"/>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2 2 2" xfId="15980" xr:uid="{D0F61274-86B1-4039-9A8F-8A5B3049B6A6}"/>
    <cellStyle name="40% - Accent3 2 2 2 3 2 3" xfId="11762" xr:uid="{3C226010-79AD-41CE-AA3C-4ABC0C04DEC7}"/>
    <cellStyle name="40% - Accent3 2 2 2 3 3" xfId="5400" xr:uid="{00000000-0005-0000-0000-00000C050000}"/>
    <cellStyle name="40% - Accent3 2 2 2 3 3 2" xfId="13835" xr:uid="{42757C9A-B27A-45B8-BBC7-FCBBA06A9539}"/>
    <cellStyle name="40% - Accent3 2 2 2 3 4" xfId="9617" xr:uid="{40970A11-204E-4AC1-A9B9-48525BEE2D27}"/>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2 2 2" xfId="16393" xr:uid="{A6AB35D9-2631-4396-9B8D-6FC7A9808260}"/>
    <cellStyle name="40% - Accent3 2 2 2 4 2 3" xfId="12175" xr:uid="{8DAF4709-613A-4E9F-B7F2-FBB2D249DD61}"/>
    <cellStyle name="40% - Accent3 2 2 2 4 3" xfId="5813" xr:uid="{00000000-0005-0000-0000-000010050000}"/>
    <cellStyle name="40% - Accent3 2 2 2 4 3 2" xfId="14248" xr:uid="{DEA49EBB-EB8A-4470-8C5D-E69E9EA5EA6F}"/>
    <cellStyle name="40% - Accent3 2 2 2 4 4" xfId="10030" xr:uid="{5CF1D426-308C-4175-955A-680F0E342CF3}"/>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2 2 2" xfId="16806" xr:uid="{3D4393C6-446E-40B0-BF6B-FB6B773F0688}"/>
    <cellStyle name="40% - Accent3 2 2 2 5 2 3" xfId="12588" xr:uid="{86EFF8F2-5B9D-42F6-AFB3-CD4F6465E68F}"/>
    <cellStyle name="40% - Accent3 2 2 2 5 3" xfId="6226" xr:uid="{00000000-0005-0000-0000-000014050000}"/>
    <cellStyle name="40% - Accent3 2 2 2 5 3 2" xfId="14661" xr:uid="{DD574800-3296-468A-916B-57A495C64887}"/>
    <cellStyle name="40% - Accent3 2 2 2 5 4" xfId="10443" xr:uid="{BEAD79EB-E25F-4500-977A-1DEE71484AD8}"/>
    <cellStyle name="40% - Accent3 2 2 2 6" xfId="2332" xr:uid="{00000000-0005-0000-0000-000015050000}"/>
    <cellStyle name="40% - Accent3 2 2 2 6 2" xfId="6639" xr:uid="{00000000-0005-0000-0000-000016050000}"/>
    <cellStyle name="40% - Accent3 2 2 2 6 2 2" xfId="15074" xr:uid="{136BF66D-0CF1-404F-85DB-D9E157164B10}"/>
    <cellStyle name="40% - Accent3 2 2 2 6 3" xfId="10856" xr:uid="{6ACB2F28-5578-41E8-9448-6B77263AA9A4}"/>
    <cellStyle name="40% - Accent3 2 2 2 7" xfId="4573" xr:uid="{00000000-0005-0000-0000-000017050000}"/>
    <cellStyle name="40% - Accent3 2 2 2 7 2" xfId="13008" xr:uid="{147FB72F-3D5A-47A9-87E1-A392B5262004}"/>
    <cellStyle name="40% - Accent3 2 2 2 8" xfId="8790" xr:uid="{7649AAAB-0324-440B-A673-C5F49747B0A3}"/>
    <cellStyle name="40% - Accent3 2 2 3" xfId="637" xr:uid="{00000000-0005-0000-0000-000018050000}"/>
    <cellStyle name="40% - Accent3 2 2 3 2" xfId="2908" xr:uid="{00000000-0005-0000-0000-000019050000}"/>
    <cellStyle name="40% - Accent3 2 2 3 2 2" xfId="7131" xr:uid="{00000000-0005-0000-0000-00001A050000}"/>
    <cellStyle name="40% - Accent3 2 2 3 2 2 2" xfId="15566" xr:uid="{BA0C3567-3196-4773-A1F1-1DA61C424564}"/>
    <cellStyle name="40% - Accent3 2 2 3 2 3" xfId="11348" xr:uid="{ACED8A5E-E027-4762-A0AB-9E422AF357AD}"/>
    <cellStyle name="40% - Accent3 2 2 3 3" xfId="4986" xr:uid="{00000000-0005-0000-0000-00001B050000}"/>
    <cellStyle name="40% - Accent3 2 2 3 3 2" xfId="13421" xr:uid="{F88CE2B1-B191-4905-9328-2385C116147F}"/>
    <cellStyle name="40% - Accent3 2 2 3 4" xfId="9203" xr:uid="{733A7EC9-4A2F-456D-8D5E-997FC0B510FA}"/>
    <cellStyle name="40% - Accent3 2 2 4" xfId="1090" xr:uid="{00000000-0005-0000-0000-00001C050000}"/>
    <cellStyle name="40% - Accent3 2 2 4 2" xfId="3321" xr:uid="{00000000-0005-0000-0000-00001D050000}"/>
    <cellStyle name="40% - Accent3 2 2 4 2 2" xfId="7544" xr:uid="{00000000-0005-0000-0000-00001E050000}"/>
    <cellStyle name="40% - Accent3 2 2 4 2 2 2" xfId="15979" xr:uid="{D8131225-8BD1-41F8-9BC4-9E55F4F22766}"/>
    <cellStyle name="40% - Accent3 2 2 4 2 3" xfId="11761" xr:uid="{E13EF8A0-4428-446D-A7C5-BA2F7EC0A8CE}"/>
    <cellStyle name="40% - Accent3 2 2 4 3" xfId="5399" xr:uid="{00000000-0005-0000-0000-00001F050000}"/>
    <cellStyle name="40% - Accent3 2 2 4 3 2" xfId="13834" xr:uid="{5EF228A9-C357-4231-9541-E117A5FB72F3}"/>
    <cellStyle name="40% - Accent3 2 2 4 4" xfId="9616" xr:uid="{278D4BBB-69AE-4FBD-9228-0048DA21EE41}"/>
    <cellStyle name="40% - Accent3 2 2 5" xfId="1504" xr:uid="{00000000-0005-0000-0000-000020050000}"/>
    <cellStyle name="40% - Accent3 2 2 5 2" xfId="3734" xr:uid="{00000000-0005-0000-0000-000021050000}"/>
    <cellStyle name="40% - Accent3 2 2 5 2 2" xfId="7957" xr:uid="{00000000-0005-0000-0000-000022050000}"/>
    <cellStyle name="40% - Accent3 2 2 5 2 2 2" xfId="16392" xr:uid="{10B4887E-6308-4BAD-A506-EF8DFAF77BE7}"/>
    <cellStyle name="40% - Accent3 2 2 5 2 3" xfId="12174" xr:uid="{A6549D38-DD30-49C8-B921-FA88F78AFA4B}"/>
    <cellStyle name="40% - Accent3 2 2 5 3" xfId="5812" xr:uid="{00000000-0005-0000-0000-000023050000}"/>
    <cellStyle name="40% - Accent3 2 2 5 3 2" xfId="14247" xr:uid="{2569F109-23BC-498D-9CCF-FC721531306A}"/>
    <cellStyle name="40% - Accent3 2 2 5 4" xfId="10029" xr:uid="{4E3685A0-59A1-4595-A433-87558666B672}"/>
    <cellStyle name="40% - Accent3 2 2 6" xfId="1918" xr:uid="{00000000-0005-0000-0000-000024050000}"/>
    <cellStyle name="40% - Accent3 2 2 6 2" xfId="4147" xr:uid="{00000000-0005-0000-0000-000025050000}"/>
    <cellStyle name="40% - Accent3 2 2 6 2 2" xfId="8370" xr:uid="{00000000-0005-0000-0000-000026050000}"/>
    <cellStyle name="40% - Accent3 2 2 6 2 2 2" xfId="16805" xr:uid="{85B970AF-D881-4F4A-9941-EB68700A4BDB}"/>
    <cellStyle name="40% - Accent3 2 2 6 2 3" xfId="12587" xr:uid="{25BA0C12-CCDD-4482-99F8-CE35A4BF7F1E}"/>
    <cellStyle name="40% - Accent3 2 2 6 3" xfId="6225" xr:uid="{00000000-0005-0000-0000-000027050000}"/>
    <cellStyle name="40% - Accent3 2 2 6 3 2" xfId="14660" xr:uid="{57D3A7F7-A76E-45D0-BB80-547A5CCD5FB1}"/>
    <cellStyle name="40% - Accent3 2 2 6 4" xfId="10442" xr:uid="{C9031A62-EA13-4265-A13F-3F0F3BEA2218}"/>
    <cellStyle name="40% - Accent3 2 2 7" xfId="2331" xr:uid="{00000000-0005-0000-0000-000028050000}"/>
    <cellStyle name="40% - Accent3 2 2 7 2" xfId="6638" xr:uid="{00000000-0005-0000-0000-000029050000}"/>
    <cellStyle name="40% - Accent3 2 2 7 2 2" xfId="15073" xr:uid="{2E10DAC1-67C0-4174-9367-E0886F751A71}"/>
    <cellStyle name="40% - Accent3 2 2 7 3" xfId="10855" xr:uid="{0377D39C-6477-4697-A479-0AF86D3847ED}"/>
    <cellStyle name="40% - Accent3 2 2 8" xfId="4572" xr:uid="{00000000-0005-0000-0000-00002A050000}"/>
    <cellStyle name="40% - Accent3 2 2 8 2" xfId="13007" xr:uid="{25DE2BAB-15B3-49B9-903F-4C3D588CB808}"/>
    <cellStyle name="40% - Accent3 2 2 9" xfId="8789" xr:uid="{FA4B548A-0519-4C52-A096-71FCF22332EE}"/>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2 2 2" xfId="15568" xr:uid="{F0552AB2-4DD9-429C-9AD5-DC980E71189E}"/>
    <cellStyle name="40% - Accent3 2 3 2 2 3" xfId="11350" xr:uid="{6FD3008E-24E4-4392-AF55-6AD79A824E59}"/>
    <cellStyle name="40% - Accent3 2 3 2 3" xfId="4988" xr:uid="{00000000-0005-0000-0000-00002F050000}"/>
    <cellStyle name="40% - Accent3 2 3 2 3 2" xfId="13423" xr:uid="{EBA3E3EB-6630-4FF6-8288-7ECB6BECB652}"/>
    <cellStyle name="40% - Accent3 2 3 2 4" xfId="9205" xr:uid="{1E15BF46-2EBA-4576-9715-1B96E6A7F4B8}"/>
    <cellStyle name="40% - Accent3 2 3 3" xfId="1092" xr:uid="{00000000-0005-0000-0000-000030050000}"/>
    <cellStyle name="40% - Accent3 2 3 3 2" xfId="3323" xr:uid="{00000000-0005-0000-0000-000031050000}"/>
    <cellStyle name="40% - Accent3 2 3 3 2 2" xfId="7546" xr:uid="{00000000-0005-0000-0000-000032050000}"/>
    <cellStyle name="40% - Accent3 2 3 3 2 2 2" xfId="15981" xr:uid="{5592A7A9-AC18-4383-897F-824D4BFC9A70}"/>
    <cellStyle name="40% - Accent3 2 3 3 2 3" xfId="11763" xr:uid="{48EAD14D-95A3-43C9-B5D8-E8D37360AE39}"/>
    <cellStyle name="40% - Accent3 2 3 3 3" xfId="5401" xr:uid="{00000000-0005-0000-0000-000033050000}"/>
    <cellStyle name="40% - Accent3 2 3 3 3 2" xfId="13836" xr:uid="{A75A5131-79A0-4EAB-8FC7-5C554DA7F883}"/>
    <cellStyle name="40% - Accent3 2 3 3 4" xfId="9618" xr:uid="{1B568D61-C7A6-4C33-BD2A-CD3B73C5601E}"/>
    <cellStyle name="40% - Accent3 2 3 4" xfId="1506" xr:uid="{00000000-0005-0000-0000-000034050000}"/>
    <cellStyle name="40% - Accent3 2 3 4 2" xfId="3736" xr:uid="{00000000-0005-0000-0000-000035050000}"/>
    <cellStyle name="40% - Accent3 2 3 4 2 2" xfId="7959" xr:uid="{00000000-0005-0000-0000-000036050000}"/>
    <cellStyle name="40% - Accent3 2 3 4 2 2 2" xfId="16394" xr:uid="{396A8DC8-D180-45C2-9A20-20F26436ADC3}"/>
    <cellStyle name="40% - Accent3 2 3 4 2 3" xfId="12176" xr:uid="{CB33BEC1-4E49-4244-9B3D-FFFEBB4CE63C}"/>
    <cellStyle name="40% - Accent3 2 3 4 3" xfId="5814" xr:uid="{00000000-0005-0000-0000-000037050000}"/>
    <cellStyle name="40% - Accent3 2 3 4 3 2" xfId="14249" xr:uid="{8604B35B-C6EA-41ED-A524-C8F8B52D6A68}"/>
    <cellStyle name="40% - Accent3 2 3 4 4" xfId="10031" xr:uid="{F5DCF44A-17DD-402D-817A-82EB8B4F4F6C}"/>
    <cellStyle name="40% - Accent3 2 3 5" xfId="1920" xr:uid="{00000000-0005-0000-0000-000038050000}"/>
    <cellStyle name="40% - Accent3 2 3 5 2" xfId="4149" xr:uid="{00000000-0005-0000-0000-000039050000}"/>
    <cellStyle name="40% - Accent3 2 3 5 2 2" xfId="8372" xr:uid="{00000000-0005-0000-0000-00003A050000}"/>
    <cellStyle name="40% - Accent3 2 3 5 2 2 2" xfId="16807" xr:uid="{3A673CC8-0612-4539-A1D8-08F99F7F69E1}"/>
    <cellStyle name="40% - Accent3 2 3 5 2 3" xfId="12589" xr:uid="{CD91E8A3-A66B-4CB0-8AD8-67C1F3B075FB}"/>
    <cellStyle name="40% - Accent3 2 3 5 3" xfId="6227" xr:uid="{00000000-0005-0000-0000-00003B050000}"/>
    <cellStyle name="40% - Accent3 2 3 5 3 2" xfId="14662" xr:uid="{81562713-38E9-407B-9EE0-88FADEEBFC84}"/>
    <cellStyle name="40% - Accent3 2 3 5 4" xfId="10444" xr:uid="{20B1BF9B-0729-4E8C-96F3-461A68402240}"/>
    <cellStyle name="40% - Accent3 2 3 6" xfId="2333" xr:uid="{00000000-0005-0000-0000-00003C050000}"/>
    <cellStyle name="40% - Accent3 2 3 6 2" xfId="6640" xr:uid="{00000000-0005-0000-0000-00003D050000}"/>
    <cellStyle name="40% - Accent3 2 3 6 2 2" xfId="15075" xr:uid="{EB647CF3-F470-4C00-BA7E-48757CF25C25}"/>
    <cellStyle name="40% - Accent3 2 3 6 3" xfId="10857" xr:uid="{0E7CB712-192C-4EF9-8193-55F71AFEA47E}"/>
    <cellStyle name="40% - Accent3 2 3 7" xfId="4574" xr:uid="{00000000-0005-0000-0000-00003E050000}"/>
    <cellStyle name="40% - Accent3 2 3 7 2" xfId="13009" xr:uid="{964728F8-0245-4D6E-8EF9-1BE1F464162E}"/>
    <cellStyle name="40% - Accent3 2 3 8" xfId="8791" xr:uid="{75E273B1-C855-4BF3-A2AE-3439774A056E}"/>
    <cellStyle name="40% - Accent3 2 4" xfId="636" xr:uid="{00000000-0005-0000-0000-00003F050000}"/>
    <cellStyle name="40% - Accent3 2 4 2" xfId="2907" xr:uid="{00000000-0005-0000-0000-000040050000}"/>
    <cellStyle name="40% - Accent3 2 4 2 2" xfId="7130" xr:uid="{00000000-0005-0000-0000-000041050000}"/>
    <cellStyle name="40% - Accent3 2 4 2 2 2" xfId="15565" xr:uid="{A19E27F6-BA10-4DDF-AE8A-34ED2E7E388F}"/>
    <cellStyle name="40% - Accent3 2 4 2 3" xfId="11347" xr:uid="{FC386C4C-68EA-4730-AD1D-F659935ABFEA}"/>
    <cellStyle name="40% - Accent3 2 4 3" xfId="4985" xr:uid="{00000000-0005-0000-0000-000042050000}"/>
    <cellStyle name="40% - Accent3 2 4 3 2" xfId="13420" xr:uid="{FA76B5DD-9797-40D2-995A-F85478689363}"/>
    <cellStyle name="40% - Accent3 2 4 4" xfId="9202" xr:uid="{E32CA0D8-A65A-4021-9BE6-DD1F93E7FD94}"/>
    <cellStyle name="40% - Accent3 2 5" xfId="1089" xr:uid="{00000000-0005-0000-0000-000043050000}"/>
    <cellStyle name="40% - Accent3 2 5 2" xfId="3320" xr:uid="{00000000-0005-0000-0000-000044050000}"/>
    <cellStyle name="40% - Accent3 2 5 2 2" xfId="7543" xr:uid="{00000000-0005-0000-0000-000045050000}"/>
    <cellStyle name="40% - Accent3 2 5 2 2 2" xfId="15978" xr:uid="{9C973E68-7141-4FAA-AD86-F025C7164662}"/>
    <cellStyle name="40% - Accent3 2 5 2 3" xfId="11760" xr:uid="{98E92399-6D2C-46F8-BA1F-573A647456AE}"/>
    <cellStyle name="40% - Accent3 2 5 3" xfId="5398" xr:uid="{00000000-0005-0000-0000-000046050000}"/>
    <cellStyle name="40% - Accent3 2 5 3 2" xfId="13833" xr:uid="{94AF4EAA-091B-494A-B6B7-6D5E6619F392}"/>
    <cellStyle name="40% - Accent3 2 5 4" xfId="9615" xr:uid="{BE4DCBE6-6AB0-45A8-9AFC-CE3B5C4B0BB7}"/>
    <cellStyle name="40% - Accent3 2 6" xfId="1503" xr:uid="{00000000-0005-0000-0000-000047050000}"/>
    <cellStyle name="40% - Accent3 2 6 2" xfId="3733" xr:uid="{00000000-0005-0000-0000-000048050000}"/>
    <cellStyle name="40% - Accent3 2 6 2 2" xfId="7956" xr:uid="{00000000-0005-0000-0000-000049050000}"/>
    <cellStyle name="40% - Accent3 2 6 2 2 2" xfId="16391" xr:uid="{41604696-7F34-4370-BEA3-B6B03AB7939A}"/>
    <cellStyle name="40% - Accent3 2 6 2 3" xfId="12173" xr:uid="{7C9AFE3A-14A7-4A1F-B2D1-2B8058E18F86}"/>
    <cellStyle name="40% - Accent3 2 6 3" xfId="5811" xr:uid="{00000000-0005-0000-0000-00004A050000}"/>
    <cellStyle name="40% - Accent3 2 6 3 2" xfId="14246" xr:uid="{7370E6FA-1525-4967-B087-2F38C127ABD9}"/>
    <cellStyle name="40% - Accent3 2 6 4" xfId="10028" xr:uid="{C2CD215C-7C64-4D53-876E-2A8D39DE9939}"/>
    <cellStyle name="40% - Accent3 2 7" xfId="1917" xr:uid="{00000000-0005-0000-0000-00004B050000}"/>
    <cellStyle name="40% - Accent3 2 7 2" xfId="4146" xr:uid="{00000000-0005-0000-0000-00004C050000}"/>
    <cellStyle name="40% - Accent3 2 7 2 2" xfId="8369" xr:uid="{00000000-0005-0000-0000-00004D050000}"/>
    <cellStyle name="40% - Accent3 2 7 2 2 2" xfId="16804" xr:uid="{CFB87471-B02A-4B22-911A-0DB6C003559C}"/>
    <cellStyle name="40% - Accent3 2 7 2 3" xfId="12586" xr:uid="{FD0B52BE-603B-4A8B-A179-34590828E112}"/>
    <cellStyle name="40% - Accent3 2 7 3" xfId="6224" xr:uid="{00000000-0005-0000-0000-00004E050000}"/>
    <cellStyle name="40% - Accent3 2 7 3 2" xfId="14659" xr:uid="{4050D3F5-15AE-4BC1-9377-E4E372D1550A}"/>
    <cellStyle name="40% - Accent3 2 7 4" xfId="10441" xr:uid="{E9AECCF4-4DDA-4B66-A2F9-287B074E67AB}"/>
    <cellStyle name="40% - Accent3 2 8" xfId="2330" xr:uid="{00000000-0005-0000-0000-00004F050000}"/>
    <cellStyle name="40% - Accent3 2 8 2" xfId="6637" xr:uid="{00000000-0005-0000-0000-000050050000}"/>
    <cellStyle name="40% - Accent3 2 8 2 2" xfId="15072" xr:uid="{257E96C5-2DD6-4A8F-AD0F-365BCEED5223}"/>
    <cellStyle name="40% - Accent3 2 8 3" xfId="10854" xr:uid="{BF07D039-C73D-4E5B-9A5F-D4F8F53C2567}"/>
    <cellStyle name="40% - Accent3 2 9" xfId="4571" xr:uid="{00000000-0005-0000-0000-000051050000}"/>
    <cellStyle name="40% - Accent3 2 9 2" xfId="13006" xr:uid="{005FABCC-F98E-40BA-8FBA-B8FC1CFBCE88}"/>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2 2 2" xfId="15570" xr:uid="{2D5A9129-DD02-48CC-B972-828BD81A654A}"/>
    <cellStyle name="40% - Accent3 3 2 2 2 3" xfId="11352" xr:uid="{0A1C42B0-32DD-4424-AA92-F7AEC6C0A21B}"/>
    <cellStyle name="40% - Accent3 3 2 2 3" xfId="4990" xr:uid="{00000000-0005-0000-0000-000057050000}"/>
    <cellStyle name="40% - Accent3 3 2 2 3 2" xfId="13425" xr:uid="{70BED357-1FE2-4B67-B04F-E91FFB1B137B}"/>
    <cellStyle name="40% - Accent3 3 2 2 4" xfId="9207" xr:uid="{4FB3AF5C-51E3-4D38-BFC3-AFDAF6A5BB9B}"/>
    <cellStyle name="40% - Accent3 3 2 3" xfId="1094" xr:uid="{00000000-0005-0000-0000-000058050000}"/>
    <cellStyle name="40% - Accent3 3 2 3 2" xfId="3325" xr:uid="{00000000-0005-0000-0000-000059050000}"/>
    <cellStyle name="40% - Accent3 3 2 3 2 2" xfId="7548" xr:uid="{00000000-0005-0000-0000-00005A050000}"/>
    <cellStyle name="40% - Accent3 3 2 3 2 2 2" xfId="15983" xr:uid="{20B4AA91-C547-430A-9DB0-1A46946C9E16}"/>
    <cellStyle name="40% - Accent3 3 2 3 2 3" xfId="11765" xr:uid="{486D1A2B-AF1D-4CF6-B184-12ECDFB14C06}"/>
    <cellStyle name="40% - Accent3 3 2 3 3" xfId="5403" xr:uid="{00000000-0005-0000-0000-00005B050000}"/>
    <cellStyle name="40% - Accent3 3 2 3 3 2" xfId="13838" xr:uid="{F41A4A5C-375B-4B8B-9FDE-E29244EDB0DF}"/>
    <cellStyle name="40% - Accent3 3 2 3 4" xfId="9620" xr:uid="{D198F4A3-6F85-491E-9208-89EB9ED95129}"/>
    <cellStyle name="40% - Accent3 3 2 4" xfId="1508" xr:uid="{00000000-0005-0000-0000-00005C050000}"/>
    <cellStyle name="40% - Accent3 3 2 4 2" xfId="3738" xr:uid="{00000000-0005-0000-0000-00005D050000}"/>
    <cellStyle name="40% - Accent3 3 2 4 2 2" xfId="7961" xr:uid="{00000000-0005-0000-0000-00005E050000}"/>
    <cellStyle name="40% - Accent3 3 2 4 2 2 2" xfId="16396" xr:uid="{32FC6699-C8F1-4F72-9D73-EC5642791118}"/>
    <cellStyle name="40% - Accent3 3 2 4 2 3" xfId="12178" xr:uid="{1EA3259A-CC61-4C54-9B1D-5B1ECF7CE31B}"/>
    <cellStyle name="40% - Accent3 3 2 4 3" xfId="5816" xr:uid="{00000000-0005-0000-0000-00005F050000}"/>
    <cellStyle name="40% - Accent3 3 2 4 3 2" xfId="14251" xr:uid="{5B959D41-136E-4A66-A577-67F51EBD92D4}"/>
    <cellStyle name="40% - Accent3 3 2 4 4" xfId="10033" xr:uid="{0FA1BAFA-4B48-4063-8CE1-23BAD3580EEB}"/>
    <cellStyle name="40% - Accent3 3 2 5" xfId="1922" xr:uid="{00000000-0005-0000-0000-000060050000}"/>
    <cellStyle name="40% - Accent3 3 2 5 2" xfId="4151" xr:uid="{00000000-0005-0000-0000-000061050000}"/>
    <cellStyle name="40% - Accent3 3 2 5 2 2" xfId="8374" xr:uid="{00000000-0005-0000-0000-000062050000}"/>
    <cellStyle name="40% - Accent3 3 2 5 2 2 2" xfId="16809" xr:uid="{F59AA7A9-062F-412E-B0AF-F8984371B5C6}"/>
    <cellStyle name="40% - Accent3 3 2 5 2 3" xfId="12591" xr:uid="{66156019-DEAE-4FA0-AF8C-3A1215B67C1A}"/>
    <cellStyle name="40% - Accent3 3 2 5 3" xfId="6229" xr:uid="{00000000-0005-0000-0000-000063050000}"/>
    <cellStyle name="40% - Accent3 3 2 5 3 2" xfId="14664" xr:uid="{41AF999E-1483-4CC9-A998-0230896110D9}"/>
    <cellStyle name="40% - Accent3 3 2 5 4" xfId="10446" xr:uid="{4BE206D5-5E9E-4805-AC32-1F9E03FA88F8}"/>
    <cellStyle name="40% - Accent3 3 2 6" xfId="2335" xr:uid="{00000000-0005-0000-0000-000064050000}"/>
    <cellStyle name="40% - Accent3 3 2 6 2" xfId="6642" xr:uid="{00000000-0005-0000-0000-000065050000}"/>
    <cellStyle name="40% - Accent3 3 2 6 2 2" xfId="15077" xr:uid="{23233CD9-1D19-4086-9C7B-6D38B7F970AE}"/>
    <cellStyle name="40% - Accent3 3 2 6 3" xfId="10859" xr:uid="{FA199729-DB33-492B-AB61-709E8DA323C2}"/>
    <cellStyle name="40% - Accent3 3 2 7" xfId="4576" xr:uid="{00000000-0005-0000-0000-000066050000}"/>
    <cellStyle name="40% - Accent3 3 2 7 2" xfId="13011" xr:uid="{21F3E3A4-F71E-411C-A598-6FDD859BE1CB}"/>
    <cellStyle name="40% - Accent3 3 2 8" xfId="8793" xr:uid="{512B345A-129F-4242-945C-652ED604D230}"/>
    <cellStyle name="40% - Accent3 3 3" xfId="640" xr:uid="{00000000-0005-0000-0000-000067050000}"/>
    <cellStyle name="40% - Accent3 3 3 2" xfId="2911" xr:uid="{00000000-0005-0000-0000-000068050000}"/>
    <cellStyle name="40% - Accent3 3 3 2 2" xfId="7134" xr:uid="{00000000-0005-0000-0000-000069050000}"/>
    <cellStyle name="40% - Accent3 3 3 2 2 2" xfId="15569" xr:uid="{E3DD3C94-3601-48F3-B40F-6162ADF2DA79}"/>
    <cellStyle name="40% - Accent3 3 3 2 3" xfId="11351" xr:uid="{1DC2E84F-863E-41C9-A023-9D45E1AEB804}"/>
    <cellStyle name="40% - Accent3 3 3 3" xfId="4989" xr:uid="{00000000-0005-0000-0000-00006A050000}"/>
    <cellStyle name="40% - Accent3 3 3 3 2" xfId="13424" xr:uid="{6C12814B-1555-417A-AD30-24F213BFAED7}"/>
    <cellStyle name="40% - Accent3 3 3 4" xfId="9206" xr:uid="{074ACB25-994A-4054-B418-E423FD61B2F9}"/>
    <cellStyle name="40% - Accent3 3 4" xfId="1093" xr:uid="{00000000-0005-0000-0000-00006B050000}"/>
    <cellStyle name="40% - Accent3 3 4 2" xfId="3324" xr:uid="{00000000-0005-0000-0000-00006C050000}"/>
    <cellStyle name="40% - Accent3 3 4 2 2" xfId="7547" xr:uid="{00000000-0005-0000-0000-00006D050000}"/>
    <cellStyle name="40% - Accent3 3 4 2 2 2" xfId="15982" xr:uid="{97C5B965-3C4B-4E26-AFCD-355306C22D97}"/>
    <cellStyle name="40% - Accent3 3 4 2 3" xfId="11764" xr:uid="{A1F8D92E-6F7C-4BF8-9912-E709B70E5BFA}"/>
    <cellStyle name="40% - Accent3 3 4 3" xfId="5402" xr:uid="{00000000-0005-0000-0000-00006E050000}"/>
    <cellStyle name="40% - Accent3 3 4 3 2" xfId="13837" xr:uid="{83559539-705B-484E-86CF-3FACF2882B0C}"/>
    <cellStyle name="40% - Accent3 3 4 4" xfId="9619" xr:uid="{FBCE6F79-5C29-46DF-890B-0E1F55C341E8}"/>
    <cellStyle name="40% - Accent3 3 5" xfId="1507" xr:uid="{00000000-0005-0000-0000-00006F050000}"/>
    <cellStyle name="40% - Accent3 3 5 2" xfId="3737" xr:uid="{00000000-0005-0000-0000-000070050000}"/>
    <cellStyle name="40% - Accent3 3 5 2 2" xfId="7960" xr:uid="{00000000-0005-0000-0000-000071050000}"/>
    <cellStyle name="40% - Accent3 3 5 2 2 2" xfId="16395" xr:uid="{A0837A97-6AE7-43EB-A1E0-CAA0D497FDA6}"/>
    <cellStyle name="40% - Accent3 3 5 2 3" xfId="12177" xr:uid="{C110A0DC-30CA-4FD7-9CC1-B9EE4D13CD86}"/>
    <cellStyle name="40% - Accent3 3 5 3" xfId="5815" xr:uid="{00000000-0005-0000-0000-000072050000}"/>
    <cellStyle name="40% - Accent3 3 5 3 2" xfId="14250" xr:uid="{81C01306-2FE6-4495-AC0E-78E0F7F7F341}"/>
    <cellStyle name="40% - Accent3 3 5 4" xfId="10032" xr:uid="{DB0330A7-C459-42A8-9407-A7A483747ED8}"/>
    <cellStyle name="40% - Accent3 3 6" xfId="1921" xr:uid="{00000000-0005-0000-0000-000073050000}"/>
    <cellStyle name="40% - Accent3 3 6 2" xfId="4150" xr:uid="{00000000-0005-0000-0000-000074050000}"/>
    <cellStyle name="40% - Accent3 3 6 2 2" xfId="8373" xr:uid="{00000000-0005-0000-0000-000075050000}"/>
    <cellStyle name="40% - Accent3 3 6 2 2 2" xfId="16808" xr:uid="{B5D88B56-C696-4716-BB7A-D48D06817BA5}"/>
    <cellStyle name="40% - Accent3 3 6 2 3" xfId="12590" xr:uid="{B96B1E7C-2033-4781-80F9-597F48CC11E1}"/>
    <cellStyle name="40% - Accent3 3 6 3" xfId="6228" xr:uid="{00000000-0005-0000-0000-000076050000}"/>
    <cellStyle name="40% - Accent3 3 6 3 2" xfId="14663" xr:uid="{E4A6D7F4-B142-481E-8EAD-55BEFEF01D47}"/>
    <cellStyle name="40% - Accent3 3 6 4" xfId="10445" xr:uid="{06A5EC0B-C3B6-4377-819D-443C126AE683}"/>
    <cellStyle name="40% - Accent3 3 7" xfId="2334" xr:uid="{00000000-0005-0000-0000-000077050000}"/>
    <cellStyle name="40% - Accent3 3 7 2" xfId="6641" xr:uid="{00000000-0005-0000-0000-000078050000}"/>
    <cellStyle name="40% - Accent3 3 7 2 2" xfId="15076" xr:uid="{E3ACBB32-37AB-4CAA-B1A3-5139BC11FF9F}"/>
    <cellStyle name="40% - Accent3 3 7 3" xfId="10858" xr:uid="{71BC2008-982B-4144-9C79-CD8C61D31B46}"/>
    <cellStyle name="40% - Accent3 3 8" xfId="4575" xr:uid="{00000000-0005-0000-0000-000079050000}"/>
    <cellStyle name="40% - Accent3 3 8 2" xfId="13010" xr:uid="{5BB0C37C-4B38-42F2-BCBA-FD47BECED6C0}"/>
    <cellStyle name="40% - Accent3 3 9" xfId="8792" xr:uid="{46FB8413-21AD-416B-B85A-B601E6A36BA9}"/>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2 2 2" xfId="15571" xr:uid="{346B6B9D-48BB-4339-84BC-9861CB0704FE}"/>
    <cellStyle name="40% - Accent3 4 2 2 3" xfId="11353" xr:uid="{46AA7B2C-1209-4DF6-8D17-92E649E85C93}"/>
    <cellStyle name="40% - Accent3 4 2 3" xfId="4991" xr:uid="{00000000-0005-0000-0000-00007E050000}"/>
    <cellStyle name="40% - Accent3 4 2 3 2" xfId="13426" xr:uid="{54B96D66-C139-4999-8C92-F881075890B2}"/>
    <cellStyle name="40% - Accent3 4 2 4" xfId="9208" xr:uid="{8C5A83D8-0E53-4B72-9E41-AE5C02975EDB}"/>
    <cellStyle name="40% - Accent3 4 3" xfId="1095" xr:uid="{00000000-0005-0000-0000-00007F050000}"/>
    <cellStyle name="40% - Accent3 4 3 2" xfId="3326" xr:uid="{00000000-0005-0000-0000-000080050000}"/>
    <cellStyle name="40% - Accent3 4 3 2 2" xfId="7549" xr:uid="{00000000-0005-0000-0000-000081050000}"/>
    <cellStyle name="40% - Accent3 4 3 2 2 2" xfId="15984" xr:uid="{22A0758A-6C21-4C19-B1CE-C40627C80277}"/>
    <cellStyle name="40% - Accent3 4 3 2 3" xfId="11766" xr:uid="{FAB304BC-F032-47FC-8FA0-82890BDC6C0D}"/>
    <cellStyle name="40% - Accent3 4 3 3" xfId="5404" xr:uid="{00000000-0005-0000-0000-000082050000}"/>
    <cellStyle name="40% - Accent3 4 3 3 2" xfId="13839" xr:uid="{C48BB262-A5DD-4F62-A10B-42963C31BBA7}"/>
    <cellStyle name="40% - Accent3 4 3 4" xfId="9621" xr:uid="{B880B55C-7C61-4706-BF58-728C3728FFB8}"/>
    <cellStyle name="40% - Accent3 4 4" xfId="1509" xr:uid="{00000000-0005-0000-0000-000083050000}"/>
    <cellStyle name="40% - Accent3 4 4 2" xfId="3739" xr:uid="{00000000-0005-0000-0000-000084050000}"/>
    <cellStyle name="40% - Accent3 4 4 2 2" xfId="7962" xr:uid="{00000000-0005-0000-0000-000085050000}"/>
    <cellStyle name="40% - Accent3 4 4 2 2 2" xfId="16397" xr:uid="{EAD1ED4C-91C3-47C9-84BA-030D6E603EB5}"/>
    <cellStyle name="40% - Accent3 4 4 2 3" xfId="12179" xr:uid="{96841F0D-AD6C-43CA-956F-7DA60E336807}"/>
    <cellStyle name="40% - Accent3 4 4 3" xfId="5817" xr:uid="{00000000-0005-0000-0000-000086050000}"/>
    <cellStyle name="40% - Accent3 4 4 3 2" xfId="14252" xr:uid="{8F558A32-190D-43AD-9633-7E73E8FADF9F}"/>
    <cellStyle name="40% - Accent3 4 4 4" xfId="10034" xr:uid="{9E1999B0-75F6-4694-B0F8-B3C18210D250}"/>
    <cellStyle name="40% - Accent3 4 5" xfId="1923" xr:uid="{00000000-0005-0000-0000-000087050000}"/>
    <cellStyle name="40% - Accent3 4 5 2" xfId="4152" xr:uid="{00000000-0005-0000-0000-000088050000}"/>
    <cellStyle name="40% - Accent3 4 5 2 2" xfId="8375" xr:uid="{00000000-0005-0000-0000-000089050000}"/>
    <cellStyle name="40% - Accent3 4 5 2 2 2" xfId="16810" xr:uid="{7DB9C599-8C94-428B-8560-DE6D1781C2A0}"/>
    <cellStyle name="40% - Accent3 4 5 2 3" xfId="12592" xr:uid="{89202D1E-DD2A-417A-B78A-1E7EF6BE6502}"/>
    <cellStyle name="40% - Accent3 4 5 3" xfId="6230" xr:uid="{00000000-0005-0000-0000-00008A050000}"/>
    <cellStyle name="40% - Accent3 4 5 3 2" xfId="14665" xr:uid="{E2A858F6-186C-4974-9BF9-E47406214833}"/>
    <cellStyle name="40% - Accent3 4 5 4" xfId="10447" xr:uid="{23839688-EDFA-4C20-8BF9-A045503AD0B2}"/>
    <cellStyle name="40% - Accent3 4 6" xfId="2336" xr:uid="{00000000-0005-0000-0000-00008B050000}"/>
    <cellStyle name="40% - Accent3 4 6 2" xfId="6643" xr:uid="{00000000-0005-0000-0000-00008C050000}"/>
    <cellStyle name="40% - Accent3 4 6 2 2" xfId="15078" xr:uid="{646CB76E-DD93-451B-8B85-40CED06B027F}"/>
    <cellStyle name="40% - Accent3 4 6 3" xfId="10860" xr:uid="{DDC8BB96-754D-4F92-85F4-DE0C03FFA042}"/>
    <cellStyle name="40% - Accent3 4 7" xfId="4577" xr:uid="{00000000-0005-0000-0000-00008D050000}"/>
    <cellStyle name="40% - Accent3 4 7 2" xfId="13012" xr:uid="{7D37FC42-CD76-4218-BA2E-01B1E1B1A9A8}"/>
    <cellStyle name="40% - Accent3 4 8" xfId="8794" xr:uid="{8765FC74-6A73-4A4D-903C-FFC4F896F631}"/>
    <cellStyle name="40% - Accent3 5" xfId="635" xr:uid="{00000000-0005-0000-0000-00008E050000}"/>
    <cellStyle name="40% - Accent3 5 2" xfId="2906" xr:uid="{00000000-0005-0000-0000-00008F050000}"/>
    <cellStyle name="40% - Accent3 5 2 2" xfId="7129" xr:uid="{00000000-0005-0000-0000-000090050000}"/>
    <cellStyle name="40% - Accent3 5 2 2 2" xfId="15564" xr:uid="{A4C8D281-C451-4B60-91C6-D34506AA5C9B}"/>
    <cellStyle name="40% - Accent3 5 2 3" xfId="11346" xr:uid="{47307984-3524-474C-BBDD-29515B63D712}"/>
    <cellStyle name="40% - Accent3 5 3" xfId="4984" xr:uid="{00000000-0005-0000-0000-000091050000}"/>
    <cellStyle name="40% - Accent3 5 3 2" xfId="13419" xr:uid="{64B6BFDD-594E-4199-9F76-0F29568DFB31}"/>
    <cellStyle name="40% - Accent3 5 4" xfId="9201" xr:uid="{9E9D1164-CD83-4BB3-A352-3BC8D0D0FE33}"/>
    <cellStyle name="40% - Accent3 6" xfId="1088" xr:uid="{00000000-0005-0000-0000-000092050000}"/>
    <cellStyle name="40% - Accent3 6 2" xfId="3319" xr:uid="{00000000-0005-0000-0000-000093050000}"/>
    <cellStyle name="40% - Accent3 6 2 2" xfId="7542" xr:uid="{00000000-0005-0000-0000-000094050000}"/>
    <cellStyle name="40% - Accent3 6 2 2 2" xfId="15977" xr:uid="{1C24EF8E-A2F8-426B-9B10-CD06BA101CD8}"/>
    <cellStyle name="40% - Accent3 6 2 3" xfId="11759" xr:uid="{FD607387-BEF1-4244-98A5-4E03BA906293}"/>
    <cellStyle name="40% - Accent3 6 3" xfId="5397" xr:uid="{00000000-0005-0000-0000-000095050000}"/>
    <cellStyle name="40% - Accent3 6 3 2" xfId="13832" xr:uid="{151E7406-39C3-46C3-99F5-C83D17CC686B}"/>
    <cellStyle name="40% - Accent3 6 4" xfId="9614" xr:uid="{146AC2AB-DDFB-40AD-9D65-F41663323B8F}"/>
    <cellStyle name="40% - Accent3 7" xfId="1502" xr:uid="{00000000-0005-0000-0000-000096050000}"/>
    <cellStyle name="40% - Accent3 7 2" xfId="3732" xr:uid="{00000000-0005-0000-0000-000097050000}"/>
    <cellStyle name="40% - Accent3 7 2 2" xfId="7955" xr:uid="{00000000-0005-0000-0000-000098050000}"/>
    <cellStyle name="40% - Accent3 7 2 2 2" xfId="16390" xr:uid="{694D2CEA-8948-468E-9B30-2C272D5638DA}"/>
    <cellStyle name="40% - Accent3 7 2 3" xfId="12172" xr:uid="{E6F01499-FD9F-4B05-927F-A455548AFA1B}"/>
    <cellStyle name="40% - Accent3 7 3" xfId="5810" xr:uid="{00000000-0005-0000-0000-000099050000}"/>
    <cellStyle name="40% - Accent3 7 3 2" xfId="14245" xr:uid="{8DD2A5B8-F8CE-4058-B8A9-120C7BBF0123}"/>
    <cellStyle name="40% - Accent3 7 4" xfId="10027" xr:uid="{6C42CC32-E989-4605-8BC6-972652545E2A}"/>
    <cellStyle name="40% - Accent3 8" xfId="1916" xr:uid="{00000000-0005-0000-0000-00009A050000}"/>
    <cellStyle name="40% - Accent3 8 2" xfId="4145" xr:uid="{00000000-0005-0000-0000-00009B050000}"/>
    <cellStyle name="40% - Accent3 8 2 2" xfId="8368" xr:uid="{00000000-0005-0000-0000-00009C050000}"/>
    <cellStyle name="40% - Accent3 8 2 2 2" xfId="16803" xr:uid="{D6B6B0AF-C4C9-4BA1-97C9-95022040DD80}"/>
    <cellStyle name="40% - Accent3 8 2 3" xfId="12585" xr:uid="{B3198C25-1621-43EE-BF31-F157260A5925}"/>
    <cellStyle name="40% - Accent3 8 3" xfId="6223" xr:uid="{00000000-0005-0000-0000-00009D050000}"/>
    <cellStyle name="40% - Accent3 8 3 2" xfId="14658" xr:uid="{9AA3DDD6-67E5-4FEA-94AA-8129167CACAD}"/>
    <cellStyle name="40% - Accent3 8 4" xfId="10440" xr:uid="{F7098389-8C09-48C4-89DF-4433034073FF}"/>
    <cellStyle name="40% - Accent3 9" xfId="2329" xr:uid="{00000000-0005-0000-0000-00009E050000}"/>
    <cellStyle name="40% - Accent3 9 2" xfId="6636" xr:uid="{00000000-0005-0000-0000-00009F050000}"/>
    <cellStyle name="40% - Accent3 9 2 2" xfId="15071" xr:uid="{0AD23BAC-958C-46D6-92B5-A614CCAE7A61}"/>
    <cellStyle name="40% - Accent3 9 3" xfId="10853" xr:uid="{996C074B-B58F-4C11-9650-51D47A10334B}"/>
    <cellStyle name="40% - Accent4" xfId="73" builtinId="43" customBuiltin="1"/>
    <cellStyle name="40% - Accent4 10" xfId="4578" xr:uid="{00000000-0005-0000-0000-0000A1050000}"/>
    <cellStyle name="40% - Accent4 10 2" xfId="13013" xr:uid="{B347C601-02A5-4E37-9355-BFFC676A4251}"/>
    <cellStyle name="40% - Accent4 11" xfId="8795" xr:uid="{53BFCD55-4B4A-4791-B4CF-203F3D9D48FC}"/>
    <cellStyle name="40% - Accent4 2" xfId="74" xr:uid="{00000000-0005-0000-0000-0000A2050000}"/>
    <cellStyle name="40% - Accent4 2 10" xfId="8796" xr:uid="{8AD3AA05-4986-4EC0-B27E-F9BA1C157318}"/>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2 2 2" xfId="15575" xr:uid="{01BF807B-84A7-43AA-8E70-3D2B851E5C8F}"/>
    <cellStyle name="40% - Accent4 2 2 2 2 2 3" xfId="11357" xr:uid="{9529DA28-DA89-4086-95EC-338275741485}"/>
    <cellStyle name="40% - Accent4 2 2 2 2 3" xfId="4995" xr:uid="{00000000-0005-0000-0000-0000A8050000}"/>
    <cellStyle name="40% - Accent4 2 2 2 2 3 2" xfId="13430" xr:uid="{77144ED5-F8F6-4E15-815C-31E7EF3ECC9B}"/>
    <cellStyle name="40% - Accent4 2 2 2 2 4" xfId="9212" xr:uid="{EADB35E5-BA22-45A6-89D3-CB4227C3BF2C}"/>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2 2 2" xfId="15988" xr:uid="{B6C09636-5FB7-4157-8F57-50F1989B0DC5}"/>
    <cellStyle name="40% - Accent4 2 2 2 3 2 3" xfId="11770" xr:uid="{8961DD54-1356-41E6-B696-44A9856EDE90}"/>
    <cellStyle name="40% - Accent4 2 2 2 3 3" xfId="5408" xr:uid="{00000000-0005-0000-0000-0000AC050000}"/>
    <cellStyle name="40% - Accent4 2 2 2 3 3 2" xfId="13843" xr:uid="{A97EBEB2-22C7-4357-A798-57BE33337EFF}"/>
    <cellStyle name="40% - Accent4 2 2 2 3 4" xfId="9625" xr:uid="{8ED3F409-DA18-47B5-8F3C-40D2812D2623}"/>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2 2 2" xfId="16401" xr:uid="{9AD0423F-8AEA-4E6F-9D0F-4FC79BE474D2}"/>
    <cellStyle name="40% - Accent4 2 2 2 4 2 3" xfId="12183" xr:uid="{75BBE605-0A10-4BE2-AED6-F8D317A5E72D}"/>
    <cellStyle name="40% - Accent4 2 2 2 4 3" xfId="5821" xr:uid="{00000000-0005-0000-0000-0000B0050000}"/>
    <cellStyle name="40% - Accent4 2 2 2 4 3 2" xfId="14256" xr:uid="{E490361F-E7B9-4D8A-B13E-461D7F6B3493}"/>
    <cellStyle name="40% - Accent4 2 2 2 4 4" xfId="10038" xr:uid="{673508AE-21BA-4257-B776-C9A72DBE6FF8}"/>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2 2 2" xfId="16814" xr:uid="{4E53C056-DACF-4A03-A7E4-0F6B93EA12B5}"/>
    <cellStyle name="40% - Accent4 2 2 2 5 2 3" xfId="12596" xr:uid="{364AAA12-33C5-4971-8E06-F6FA862EDBB2}"/>
    <cellStyle name="40% - Accent4 2 2 2 5 3" xfId="6234" xr:uid="{00000000-0005-0000-0000-0000B4050000}"/>
    <cellStyle name="40% - Accent4 2 2 2 5 3 2" xfId="14669" xr:uid="{6701DCE3-9957-4928-99ED-21BA3020BCB2}"/>
    <cellStyle name="40% - Accent4 2 2 2 5 4" xfId="10451" xr:uid="{2419C5B1-38B6-4DE5-B028-93EB4EEDEE86}"/>
    <cellStyle name="40% - Accent4 2 2 2 6" xfId="2340" xr:uid="{00000000-0005-0000-0000-0000B5050000}"/>
    <cellStyle name="40% - Accent4 2 2 2 6 2" xfId="6647" xr:uid="{00000000-0005-0000-0000-0000B6050000}"/>
    <cellStyle name="40% - Accent4 2 2 2 6 2 2" xfId="15082" xr:uid="{A5FB81BF-870F-4560-89CC-85404C1829AB}"/>
    <cellStyle name="40% - Accent4 2 2 2 6 3" xfId="10864" xr:uid="{3054310B-316E-453C-BB52-5246C73D7288}"/>
    <cellStyle name="40% - Accent4 2 2 2 7" xfId="4581" xr:uid="{00000000-0005-0000-0000-0000B7050000}"/>
    <cellStyle name="40% - Accent4 2 2 2 7 2" xfId="13016" xr:uid="{43B63CF1-627D-49CC-89EF-88295AE52729}"/>
    <cellStyle name="40% - Accent4 2 2 2 8" xfId="8798" xr:uid="{D9A22217-19CA-4577-875C-EE6437C77905}"/>
    <cellStyle name="40% - Accent4 2 2 3" xfId="645" xr:uid="{00000000-0005-0000-0000-0000B8050000}"/>
    <cellStyle name="40% - Accent4 2 2 3 2" xfId="2916" xr:uid="{00000000-0005-0000-0000-0000B9050000}"/>
    <cellStyle name="40% - Accent4 2 2 3 2 2" xfId="7139" xr:uid="{00000000-0005-0000-0000-0000BA050000}"/>
    <cellStyle name="40% - Accent4 2 2 3 2 2 2" xfId="15574" xr:uid="{B6F6626A-2A4D-40F5-990E-37884AEDF25E}"/>
    <cellStyle name="40% - Accent4 2 2 3 2 3" xfId="11356" xr:uid="{25B3E060-B8D6-4430-B1F2-48DE8640874B}"/>
    <cellStyle name="40% - Accent4 2 2 3 3" xfId="4994" xr:uid="{00000000-0005-0000-0000-0000BB050000}"/>
    <cellStyle name="40% - Accent4 2 2 3 3 2" xfId="13429" xr:uid="{924B46BE-103F-41B7-B504-6996DCBC6D3B}"/>
    <cellStyle name="40% - Accent4 2 2 3 4" xfId="9211" xr:uid="{CCC7C35C-997C-4805-B53C-F4A4C92916C9}"/>
    <cellStyle name="40% - Accent4 2 2 4" xfId="1098" xr:uid="{00000000-0005-0000-0000-0000BC050000}"/>
    <cellStyle name="40% - Accent4 2 2 4 2" xfId="3329" xr:uid="{00000000-0005-0000-0000-0000BD050000}"/>
    <cellStyle name="40% - Accent4 2 2 4 2 2" xfId="7552" xr:uid="{00000000-0005-0000-0000-0000BE050000}"/>
    <cellStyle name="40% - Accent4 2 2 4 2 2 2" xfId="15987" xr:uid="{A772DFD8-BD8B-43B6-A835-8402423A2AC9}"/>
    <cellStyle name="40% - Accent4 2 2 4 2 3" xfId="11769" xr:uid="{6C416F88-D1B1-42B1-8AB7-917980D29D69}"/>
    <cellStyle name="40% - Accent4 2 2 4 3" xfId="5407" xr:uid="{00000000-0005-0000-0000-0000BF050000}"/>
    <cellStyle name="40% - Accent4 2 2 4 3 2" xfId="13842" xr:uid="{F70DEB09-BCCE-45F9-915C-598EB66C0AFD}"/>
    <cellStyle name="40% - Accent4 2 2 4 4" xfId="9624" xr:uid="{AEEABD5D-D7D8-41D1-8E8B-EFF67DAE529F}"/>
    <cellStyle name="40% - Accent4 2 2 5" xfId="1512" xr:uid="{00000000-0005-0000-0000-0000C0050000}"/>
    <cellStyle name="40% - Accent4 2 2 5 2" xfId="3742" xr:uid="{00000000-0005-0000-0000-0000C1050000}"/>
    <cellStyle name="40% - Accent4 2 2 5 2 2" xfId="7965" xr:uid="{00000000-0005-0000-0000-0000C2050000}"/>
    <cellStyle name="40% - Accent4 2 2 5 2 2 2" xfId="16400" xr:uid="{D5C6C5F2-377F-4246-9BFB-4DB8769C627A}"/>
    <cellStyle name="40% - Accent4 2 2 5 2 3" xfId="12182" xr:uid="{6B859719-534B-4AE3-8791-B710A6C4ADE3}"/>
    <cellStyle name="40% - Accent4 2 2 5 3" xfId="5820" xr:uid="{00000000-0005-0000-0000-0000C3050000}"/>
    <cellStyle name="40% - Accent4 2 2 5 3 2" xfId="14255" xr:uid="{D8D2CDE2-CA9E-4A42-BAA1-CF4B34AC44DE}"/>
    <cellStyle name="40% - Accent4 2 2 5 4" xfId="10037" xr:uid="{0CC4B065-EE30-4C7A-8D9D-BD8DC9527A23}"/>
    <cellStyle name="40% - Accent4 2 2 6" xfId="1926" xr:uid="{00000000-0005-0000-0000-0000C4050000}"/>
    <cellStyle name="40% - Accent4 2 2 6 2" xfId="4155" xr:uid="{00000000-0005-0000-0000-0000C5050000}"/>
    <cellStyle name="40% - Accent4 2 2 6 2 2" xfId="8378" xr:uid="{00000000-0005-0000-0000-0000C6050000}"/>
    <cellStyle name="40% - Accent4 2 2 6 2 2 2" xfId="16813" xr:uid="{F847FD5B-E1A2-4B67-AE60-566546B675DE}"/>
    <cellStyle name="40% - Accent4 2 2 6 2 3" xfId="12595" xr:uid="{7D541087-A705-4F74-BEE0-BAA10601D880}"/>
    <cellStyle name="40% - Accent4 2 2 6 3" xfId="6233" xr:uid="{00000000-0005-0000-0000-0000C7050000}"/>
    <cellStyle name="40% - Accent4 2 2 6 3 2" xfId="14668" xr:uid="{D7489904-60DF-4CFC-B93B-194DD0B33562}"/>
    <cellStyle name="40% - Accent4 2 2 6 4" xfId="10450" xr:uid="{DB56AD9A-6BCA-4E98-8789-4978220EA93C}"/>
    <cellStyle name="40% - Accent4 2 2 7" xfId="2339" xr:uid="{00000000-0005-0000-0000-0000C8050000}"/>
    <cellStyle name="40% - Accent4 2 2 7 2" xfId="6646" xr:uid="{00000000-0005-0000-0000-0000C9050000}"/>
    <cellStyle name="40% - Accent4 2 2 7 2 2" xfId="15081" xr:uid="{80BC5E69-B686-45E1-8AC4-38A4CCDF41E1}"/>
    <cellStyle name="40% - Accent4 2 2 7 3" xfId="10863" xr:uid="{06BD0186-3354-4882-AFC4-04CBBA4802D1}"/>
    <cellStyle name="40% - Accent4 2 2 8" xfId="4580" xr:uid="{00000000-0005-0000-0000-0000CA050000}"/>
    <cellStyle name="40% - Accent4 2 2 8 2" xfId="13015" xr:uid="{BF6721E4-F103-49F9-AD91-6D34D895D994}"/>
    <cellStyle name="40% - Accent4 2 2 9" xfId="8797" xr:uid="{DE721590-E0E3-4E64-920F-C833694AFBB5}"/>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2 2 2" xfId="15576" xr:uid="{840454DC-33B4-4CE2-B194-5EFDAFFD6EBA}"/>
    <cellStyle name="40% - Accent4 2 3 2 2 3" xfId="11358" xr:uid="{742DCCD0-23D3-4052-9C61-14BB91F01058}"/>
    <cellStyle name="40% - Accent4 2 3 2 3" xfId="4996" xr:uid="{00000000-0005-0000-0000-0000CF050000}"/>
    <cellStyle name="40% - Accent4 2 3 2 3 2" xfId="13431" xr:uid="{C21566A6-E5FD-41B8-8CDA-5CB8A271AE4A}"/>
    <cellStyle name="40% - Accent4 2 3 2 4" xfId="9213" xr:uid="{DB0D55B8-5C95-433C-8044-F18D8D8BDD3F}"/>
    <cellStyle name="40% - Accent4 2 3 3" xfId="1100" xr:uid="{00000000-0005-0000-0000-0000D0050000}"/>
    <cellStyle name="40% - Accent4 2 3 3 2" xfId="3331" xr:uid="{00000000-0005-0000-0000-0000D1050000}"/>
    <cellStyle name="40% - Accent4 2 3 3 2 2" xfId="7554" xr:uid="{00000000-0005-0000-0000-0000D2050000}"/>
    <cellStyle name="40% - Accent4 2 3 3 2 2 2" xfId="15989" xr:uid="{366B7ECD-C418-41B6-8B27-044FF78FBFE0}"/>
    <cellStyle name="40% - Accent4 2 3 3 2 3" xfId="11771" xr:uid="{5F27A307-D9CD-411E-8522-E90993664B77}"/>
    <cellStyle name="40% - Accent4 2 3 3 3" xfId="5409" xr:uid="{00000000-0005-0000-0000-0000D3050000}"/>
    <cellStyle name="40% - Accent4 2 3 3 3 2" xfId="13844" xr:uid="{8EC195BF-3405-424B-966E-02E29468B977}"/>
    <cellStyle name="40% - Accent4 2 3 3 4" xfId="9626" xr:uid="{90788A8D-BA0D-4E9E-B12B-47FCC3CBC8E3}"/>
    <cellStyle name="40% - Accent4 2 3 4" xfId="1514" xr:uid="{00000000-0005-0000-0000-0000D4050000}"/>
    <cellStyle name="40% - Accent4 2 3 4 2" xfId="3744" xr:uid="{00000000-0005-0000-0000-0000D5050000}"/>
    <cellStyle name="40% - Accent4 2 3 4 2 2" xfId="7967" xr:uid="{00000000-0005-0000-0000-0000D6050000}"/>
    <cellStyle name="40% - Accent4 2 3 4 2 2 2" xfId="16402" xr:uid="{775F1293-ED9E-4535-B43E-71BFA47717E5}"/>
    <cellStyle name="40% - Accent4 2 3 4 2 3" xfId="12184" xr:uid="{1ADBFB9F-E80F-4E1C-93B0-983503E189DC}"/>
    <cellStyle name="40% - Accent4 2 3 4 3" xfId="5822" xr:uid="{00000000-0005-0000-0000-0000D7050000}"/>
    <cellStyle name="40% - Accent4 2 3 4 3 2" xfId="14257" xr:uid="{83D0356F-7256-4622-9F87-C5BB00271C14}"/>
    <cellStyle name="40% - Accent4 2 3 4 4" xfId="10039" xr:uid="{C33296D9-77A1-4C14-B71F-652ED27B9967}"/>
    <cellStyle name="40% - Accent4 2 3 5" xfId="1928" xr:uid="{00000000-0005-0000-0000-0000D8050000}"/>
    <cellStyle name="40% - Accent4 2 3 5 2" xfId="4157" xr:uid="{00000000-0005-0000-0000-0000D9050000}"/>
    <cellStyle name="40% - Accent4 2 3 5 2 2" xfId="8380" xr:uid="{00000000-0005-0000-0000-0000DA050000}"/>
    <cellStyle name="40% - Accent4 2 3 5 2 2 2" xfId="16815" xr:uid="{0D6E464D-1F11-47ED-B08F-B217CCF6531C}"/>
    <cellStyle name="40% - Accent4 2 3 5 2 3" xfId="12597" xr:uid="{E563FF48-C675-4235-BCCD-34A93E1869EC}"/>
    <cellStyle name="40% - Accent4 2 3 5 3" xfId="6235" xr:uid="{00000000-0005-0000-0000-0000DB050000}"/>
    <cellStyle name="40% - Accent4 2 3 5 3 2" xfId="14670" xr:uid="{6E1A97C7-2B36-4369-9F5A-B4E43D948A77}"/>
    <cellStyle name="40% - Accent4 2 3 5 4" xfId="10452" xr:uid="{1CD2C47C-F315-4E4C-B5A6-5709F11322ED}"/>
    <cellStyle name="40% - Accent4 2 3 6" xfId="2341" xr:uid="{00000000-0005-0000-0000-0000DC050000}"/>
    <cellStyle name="40% - Accent4 2 3 6 2" xfId="6648" xr:uid="{00000000-0005-0000-0000-0000DD050000}"/>
    <cellStyle name="40% - Accent4 2 3 6 2 2" xfId="15083" xr:uid="{F5B559FF-5CB6-4464-AB08-A82E1C44B78E}"/>
    <cellStyle name="40% - Accent4 2 3 6 3" xfId="10865" xr:uid="{80748B31-50A7-4A4B-B064-9534F490B5F9}"/>
    <cellStyle name="40% - Accent4 2 3 7" xfId="4582" xr:uid="{00000000-0005-0000-0000-0000DE050000}"/>
    <cellStyle name="40% - Accent4 2 3 7 2" xfId="13017" xr:uid="{AE9E47E7-1447-4F02-A469-A82F43C8AF1B}"/>
    <cellStyle name="40% - Accent4 2 3 8" xfId="8799" xr:uid="{024BE7C7-8607-41C7-9420-192F43F10BC8}"/>
    <cellStyle name="40% - Accent4 2 4" xfId="644" xr:uid="{00000000-0005-0000-0000-0000DF050000}"/>
    <cellStyle name="40% - Accent4 2 4 2" xfId="2915" xr:uid="{00000000-0005-0000-0000-0000E0050000}"/>
    <cellStyle name="40% - Accent4 2 4 2 2" xfId="7138" xr:uid="{00000000-0005-0000-0000-0000E1050000}"/>
    <cellStyle name="40% - Accent4 2 4 2 2 2" xfId="15573" xr:uid="{208380D2-B07F-4D98-AE87-AD239F9C3848}"/>
    <cellStyle name="40% - Accent4 2 4 2 3" xfId="11355" xr:uid="{45BA1442-89F5-4283-874E-5EC413046365}"/>
    <cellStyle name="40% - Accent4 2 4 3" xfId="4993" xr:uid="{00000000-0005-0000-0000-0000E2050000}"/>
    <cellStyle name="40% - Accent4 2 4 3 2" xfId="13428" xr:uid="{157993C0-480A-4233-B31A-FF803DFD2515}"/>
    <cellStyle name="40% - Accent4 2 4 4" xfId="9210" xr:uid="{A8D6EA04-3077-4B2B-A25B-287CF2808CE4}"/>
    <cellStyle name="40% - Accent4 2 5" xfId="1097" xr:uid="{00000000-0005-0000-0000-0000E3050000}"/>
    <cellStyle name="40% - Accent4 2 5 2" xfId="3328" xr:uid="{00000000-0005-0000-0000-0000E4050000}"/>
    <cellStyle name="40% - Accent4 2 5 2 2" xfId="7551" xr:uid="{00000000-0005-0000-0000-0000E5050000}"/>
    <cellStyle name="40% - Accent4 2 5 2 2 2" xfId="15986" xr:uid="{B4E7ED5C-E25A-49F6-9A96-5572FBF05194}"/>
    <cellStyle name="40% - Accent4 2 5 2 3" xfId="11768" xr:uid="{BEA75208-ADF1-4F10-A400-522F89AB1372}"/>
    <cellStyle name="40% - Accent4 2 5 3" xfId="5406" xr:uid="{00000000-0005-0000-0000-0000E6050000}"/>
    <cellStyle name="40% - Accent4 2 5 3 2" xfId="13841" xr:uid="{189B62CB-B3C6-466A-BCC4-8BF54B699AAA}"/>
    <cellStyle name="40% - Accent4 2 5 4" xfId="9623" xr:uid="{FEE4FFA2-964F-4427-9346-5406446429B1}"/>
    <cellStyle name="40% - Accent4 2 6" xfId="1511" xr:uid="{00000000-0005-0000-0000-0000E7050000}"/>
    <cellStyle name="40% - Accent4 2 6 2" xfId="3741" xr:uid="{00000000-0005-0000-0000-0000E8050000}"/>
    <cellStyle name="40% - Accent4 2 6 2 2" xfId="7964" xr:uid="{00000000-0005-0000-0000-0000E9050000}"/>
    <cellStyle name="40% - Accent4 2 6 2 2 2" xfId="16399" xr:uid="{34925FD5-4383-4CA7-AE60-87E404DF7E5A}"/>
    <cellStyle name="40% - Accent4 2 6 2 3" xfId="12181" xr:uid="{04D26CA0-E009-4C79-930F-BF643EAA67DD}"/>
    <cellStyle name="40% - Accent4 2 6 3" xfId="5819" xr:uid="{00000000-0005-0000-0000-0000EA050000}"/>
    <cellStyle name="40% - Accent4 2 6 3 2" xfId="14254" xr:uid="{DA1C7755-D685-4AE8-B991-AF9E11B56C49}"/>
    <cellStyle name="40% - Accent4 2 6 4" xfId="10036" xr:uid="{EEECFAA0-16F2-4FD4-82CA-0AF23C8B92A6}"/>
    <cellStyle name="40% - Accent4 2 7" xfId="1925" xr:uid="{00000000-0005-0000-0000-0000EB050000}"/>
    <cellStyle name="40% - Accent4 2 7 2" xfId="4154" xr:uid="{00000000-0005-0000-0000-0000EC050000}"/>
    <cellStyle name="40% - Accent4 2 7 2 2" xfId="8377" xr:uid="{00000000-0005-0000-0000-0000ED050000}"/>
    <cellStyle name="40% - Accent4 2 7 2 2 2" xfId="16812" xr:uid="{2E0AC96B-769E-4725-8894-723313A7F41C}"/>
    <cellStyle name="40% - Accent4 2 7 2 3" xfId="12594" xr:uid="{68BE4354-01C9-4136-8D9B-2728EA9A908A}"/>
    <cellStyle name="40% - Accent4 2 7 3" xfId="6232" xr:uid="{00000000-0005-0000-0000-0000EE050000}"/>
    <cellStyle name="40% - Accent4 2 7 3 2" xfId="14667" xr:uid="{B23D4F69-F8DD-4FF4-9B73-8D35DFD535F2}"/>
    <cellStyle name="40% - Accent4 2 7 4" xfId="10449" xr:uid="{55107389-17B9-4D0C-9A7E-96EAE192BB35}"/>
    <cellStyle name="40% - Accent4 2 8" xfId="2338" xr:uid="{00000000-0005-0000-0000-0000EF050000}"/>
    <cellStyle name="40% - Accent4 2 8 2" xfId="6645" xr:uid="{00000000-0005-0000-0000-0000F0050000}"/>
    <cellStyle name="40% - Accent4 2 8 2 2" xfId="15080" xr:uid="{3D0EB113-97BB-4284-B74E-F429C86D3ACA}"/>
    <cellStyle name="40% - Accent4 2 8 3" xfId="10862" xr:uid="{B6A2AE7C-2D96-4D0D-89F8-309974F5A78D}"/>
    <cellStyle name="40% - Accent4 2 9" xfId="4579" xr:uid="{00000000-0005-0000-0000-0000F1050000}"/>
    <cellStyle name="40% - Accent4 2 9 2" xfId="13014" xr:uid="{DC9180ED-8118-4DB3-9BCF-F1C50BDCA79F}"/>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2 2 2" xfId="15578" xr:uid="{7C98E166-CAA5-4D0C-BB9B-08E4D3C8F0B7}"/>
    <cellStyle name="40% - Accent4 3 2 2 2 3" xfId="11360" xr:uid="{A7A5654B-78AB-4C93-832E-80ACC66D3663}"/>
    <cellStyle name="40% - Accent4 3 2 2 3" xfId="4998" xr:uid="{00000000-0005-0000-0000-0000F7050000}"/>
    <cellStyle name="40% - Accent4 3 2 2 3 2" xfId="13433" xr:uid="{E962013D-3D6A-495A-9E9D-711BE5847C88}"/>
    <cellStyle name="40% - Accent4 3 2 2 4" xfId="9215" xr:uid="{AD62F96E-FB8B-4548-B1BC-4380C863D98B}"/>
    <cellStyle name="40% - Accent4 3 2 3" xfId="1102" xr:uid="{00000000-0005-0000-0000-0000F8050000}"/>
    <cellStyle name="40% - Accent4 3 2 3 2" xfId="3333" xr:uid="{00000000-0005-0000-0000-0000F9050000}"/>
    <cellStyle name="40% - Accent4 3 2 3 2 2" xfId="7556" xr:uid="{00000000-0005-0000-0000-0000FA050000}"/>
    <cellStyle name="40% - Accent4 3 2 3 2 2 2" xfId="15991" xr:uid="{510F984D-E2F1-4D48-A9B1-4135FEB10F10}"/>
    <cellStyle name="40% - Accent4 3 2 3 2 3" xfId="11773" xr:uid="{5F0E89D9-E1A0-40BF-BCC1-6D72EAA07BA8}"/>
    <cellStyle name="40% - Accent4 3 2 3 3" xfId="5411" xr:uid="{00000000-0005-0000-0000-0000FB050000}"/>
    <cellStyle name="40% - Accent4 3 2 3 3 2" xfId="13846" xr:uid="{45B5136C-7F9C-4302-808C-7BA5A2328931}"/>
    <cellStyle name="40% - Accent4 3 2 3 4" xfId="9628" xr:uid="{C8567EA8-1A9D-448B-9CB0-9C74985D7DAA}"/>
    <cellStyle name="40% - Accent4 3 2 4" xfId="1516" xr:uid="{00000000-0005-0000-0000-0000FC050000}"/>
    <cellStyle name="40% - Accent4 3 2 4 2" xfId="3746" xr:uid="{00000000-0005-0000-0000-0000FD050000}"/>
    <cellStyle name="40% - Accent4 3 2 4 2 2" xfId="7969" xr:uid="{00000000-0005-0000-0000-0000FE050000}"/>
    <cellStyle name="40% - Accent4 3 2 4 2 2 2" xfId="16404" xr:uid="{CD75DE63-EB11-450C-B4DF-F598C2C65EC5}"/>
    <cellStyle name="40% - Accent4 3 2 4 2 3" xfId="12186" xr:uid="{DC17295E-0767-4537-AD51-4FE298BC9386}"/>
    <cellStyle name="40% - Accent4 3 2 4 3" xfId="5824" xr:uid="{00000000-0005-0000-0000-0000FF050000}"/>
    <cellStyle name="40% - Accent4 3 2 4 3 2" xfId="14259" xr:uid="{AF48B405-84F8-4CC5-A1E7-48103B7EA0EF}"/>
    <cellStyle name="40% - Accent4 3 2 4 4" xfId="10041" xr:uid="{F8160BA8-5B4B-4A9C-AD84-87AB4172B360}"/>
    <cellStyle name="40% - Accent4 3 2 5" xfId="1930" xr:uid="{00000000-0005-0000-0000-000000060000}"/>
    <cellStyle name="40% - Accent4 3 2 5 2" xfId="4159" xr:uid="{00000000-0005-0000-0000-000001060000}"/>
    <cellStyle name="40% - Accent4 3 2 5 2 2" xfId="8382" xr:uid="{00000000-0005-0000-0000-000002060000}"/>
    <cellStyle name="40% - Accent4 3 2 5 2 2 2" xfId="16817" xr:uid="{50D4050B-BD8C-474B-B7C1-E260CF964437}"/>
    <cellStyle name="40% - Accent4 3 2 5 2 3" xfId="12599" xr:uid="{777C0069-9ED6-4F27-B467-C3116CB42ECF}"/>
    <cellStyle name="40% - Accent4 3 2 5 3" xfId="6237" xr:uid="{00000000-0005-0000-0000-000003060000}"/>
    <cellStyle name="40% - Accent4 3 2 5 3 2" xfId="14672" xr:uid="{4FB7055C-2DA5-419D-AE53-5378B2E96410}"/>
    <cellStyle name="40% - Accent4 3 2 5 4" xfId="10454" xr:uid="{F733F85C-078E-4D77-9403-67106739BB4E}"/>
    <cellStyle name="40% - Accent4 3 2 6" xfId="2343" xr:uid="{00000000-0005-0000-0000-000004060000}"/>
    <cellStyle name="40% - Accent4 3 2 6 2" xfId="6650" xr:uid="{00000000-0005-0000-0000-000005060000}"/>
    <cellStyle name="40% - Accent4 3 2 6 2 2" xfId="15085" xr:uid="{AF1B6FFB-6C59-4CDC-BBB0-C94BB588DB99}"/>
    <cellStyle name="40% - Accent4 3 2 6 3" xfId="10867" xr:uid="{10C80836-06AD-476A-91D1-0009F938EF08}"/>
    <cellStyle name="40% - Accent4 3 2 7" xfId="4584" xr:uid="{00000000-0005-0000-0000-000006060000}"/>
    <cellStyle name="40% - Accent4 3 2 7 2" xfId="13019" xr:uid="{C710C1D5-0765-419B-B93E-63B8C42867C6}"/>
    <cellStyle name="40% - Accent4 3 2 8" xfId="8801" xr:uid="{5BD7CF23-D95E-4023-AEA2-E795D0F18277}"/>
    <cellStyle name="40% - Accent4 3 3" xfId="648" xr:uid="{00000000-0005-0000-0000-000007060000}"/>
    <cellStyle name="40% - Accent4 3 3 2" xfId="2919" xr:uid="{00000000-0005-0000-0000-000008060000}"/>
    <cellStyle name="40% - Accent4 3 3 2 2" xfId="7142" xr:uid="{00000000-0005-0000-0000-000009060000}"/>
    <cellStyle name="40% - Accent4 3 3 2 2 2" xfId="15577" xr:uid="{4C0156A3-AD53-4130-AB8D-9E6ED3A3C724}"/>
    <cellStyle name="40% - Accent4 3 3 2 3" xfId="11359" xr:uid="{A08F3582-76DD-40BB-9220-C45D07D49641}"/>
    <cellStyle name="40% - Accent4 3 3 3" xfId="4997" xr:uid="{00000000-0005-0000-0000-00000A060000}"/>
    <cellStyle name="40% - Accent4 3 3 3 2" xfId="13432" xr:uid="{53EEDD63-A1B9-4544-BB92-DF3055CCDE71}"/>
    <cellStyle name="40% - Accent4 3 3 4" xfId="9214" xr:uid="{80B8F6CA-1015-4C99-AD5A-33AFF9DA8018}"/>
    <cellStyle name="40% - Accent4 3 4" xfId="1101" xr:uid="{00000000-0005-0000-0000-00000B060000}"/>
    <cellStyle name="40% - Accent4 3 4 2" xfId="3332" xr:uid="{00000000-0005-0000-0000-00000C060000}"/>
    <cellStyle name="40% - Accent4 3 4 2 2" xfId="7555" xr:uid="{00000000-0005-0000-0000-00000D060000}"/>
    <cellStyle name="40% - Accent4 3 4 2 2 2" xfId="15990" xr:uid="{CA5A36AE-3BD6-4B46-A295-383AC8D30AE8}"/>
    <cellStyle name="40% - Accent4 3 4 2 3" xfId="11772" xr:uid="{83C2F962-D0C8-4EA2-A719-0FC7ABA093C0}"/>
    <cellStyle name="40% - Accent4 3 4 3" xfId="5410" xr:uid="{00000000-0005-0000-0000-00000E060000}"/>
    <cellStyle name="40% - Accent4 3 4 3 2" xfId="13845" xr:uid="{249B81C5-31E0-4D95-B058-9E8725A700FE}"/>
    <cellStyle name="40% - Accent4 3 4 4" xfId="9627" xr:uid="{C8E57E4F-AC3F-4B39-A395-6DBD6ED04DB3}"/>
    <cellStyle name="40% - Accent4 3 5" xfId="1515" xr:uid="{00000000-0005-0000-0000-00000F060000}"/>
    <cellStyle name="40% - Accent4 3 5 2" xfId="3745" xr:uid="{00000000-0005-0000-0000-000010060000}"/>
    <cellStyle name="40% - Accent4 3 5 2 2" xfId="7968" xr:uid="{00000000-0005-0000-0000-000011060000}"/>
    <cellStyle name="40% - Accent4 3 5 2 2 2" xfId="16403" xr:uid="{DC955895-6CB1-4D4D-BCA8-251A730724C8}"/>
    <cellStyle name="40% - Accent4 3 5 2 3" xfId="12185" xr:uid="{641D84E3-9D82-44E9-AE86-2753652BD260}"/>
    <cellStyle name="40% - Accent4 3 5 3" xfId="5823" xr:uid="{00000000-0005-0000-0000-000012060000}"/>
    <cellStyle name="40% - Accent4 3 5 3 2" xfId="14258" xr:uid="{8DF9AB5F-8DB8-4A07-8732-894611D1326C}"/>
    <cellStyle name="40% - Accent4 3 5 4" xfId="10040" xr:uid="{5681CEAA-91E9-4142-A43C-CE69A9A88252}"/>
    <cellStyle name="40% - Accent4 3 6" xfId="1929" xr:uid="{00000000-0005-0000-0000-000013060000}"/>
    <cellStyle name="40% - Accent4 3 6 2" xfId="4158" xr:uid="{00000000-0005-0000-0000-000014060000}"/>
    <cellStyle name="40% - Accent4 3 6 2 2" xfId="8381" xr:uid="{00000000-0005-0000-0000-000015060000}"/>
    <cellStyle name="40% - Accent4 3 6 2 2 2" xfId="16816" xr:uid="{38664A66-5F42-4E1B-AA2E-A029906F8D54}"/>
    <cellStyle name="40% - Accent4 3 6 2 3" xfId="12598" xr:uid="{6210147B-75CF-44A5-8795-140D234C30C2}"/>
    <cellStyle name="40% - Accent4 3 6 3" xfId="6236" xr:uid="{00000000-0005-0000-0000-000016060000}"/>
    <cellStyle name="40% - Accent4 3 6 3 2" xfId="14671" xr:uid="{15181998-8EB9-41B4-A209-B4702252B465}"/>
    <cellStyle name="40% - Accent4 3 6 4" xfId="10453" xr:uid="{E4C08984-81C0-47F5-868B-CDBC3C925B4D}"/>
    <cellStyle name="40% - Accent4 3 7" xfId="2342" xr:uid="{00000000-0005-0000-0000-000017060000}"/>
    <cellStyle name="40% - Accent4 3 7 2" xfId="6649" xr:uid="{00000000-0005-0000-0000-000018060000}"/>
    <cellStyle name="40% - Accent4 3 7 2 2" xfId="15084" xr:uid="{39FCED20-FB34-43C9-913E-AF5BC868F327}"/>
    <cellStyle name="40% - Accent4 3 7 3" xfId="10866" xr:uid="{32113705-6266-4C9B-8C3B-62AEA81F9E98}"/>
    <cellStyle name="40% - Accent4 3 8" xfId="4583" xr:uid="{00000000-0005-0000-0000-000019060000}"/>
    <cellStyle name="40% - Accent4 3 8 2" xfId="13018" xr:uid="{D9EFCF9E-A7EA-48BD-B98C-319CF951B402}"/>
    <cellStyle name="40% - Accent4 3 9" xfId="8800" xr:uid="{3FE7DC8B-F47F-4A05-B8E0-696C9D869181}"/>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2 2 2" xfId="15579" xr:uid="{05B48066-ADC8-4716-A593-79194C851EF0}"/>
    <cellStyle name="40% - Accent4 4 2 2 3" xfId="11361" xr:uid="{198EE374-FF9D-4113-86E5-56DD69C96369}"/>
    <cellStyle name="40% - Accent4 4 2 3" xfId="4999" xr:uid="{00000000-0005-0000-0000-00001E060000}"/>
    <cellStyle name="40% - Accent4 4 2 3 2" xfId="13434" xr:uid="{7424D598-E9B4-4524-84FF-39A9214C86FC}"/>
    <cellStyle name="40% - Accent4 4 2 4" xfId="9216" xr:uid="{13DCB127-CF0B-4AB7-BB1D-09102C9ED304}"/>
    <cellStyle name="40% - Accent4 4 3" xfId="1103" xr:uid="{00000000-0005-0000-0000-00001F060000}"/>
    <cellStyle name="40% - Accent4 4 3 2" xfId="3334" xr:uid="{00000000-0005-0000-0000-000020060000}"/>
    <cellStyle name="40% - Accent4 4 3 2 2" xfId="7557" xr:uid="{00000000-0005-0000-0000-000021060000}"/>
    <cellStyle name="40% - Accent4 4 3 2 2 2" xfId="15992" xr:uid="{71595EE6-C8FC-424C-90B6-6854BD293EA5}"/>
    <cellStyle name="40% - Accent4 4 3 2 3" xfId="11774" xr:uid="{A248711E-062B-4606-AA5A-8F5173605132}"/>
    <cellStyle name="40% - Accent4 4 3 3" xfId="5412" xr:uid="{00000000-0005-0000-0000-000022060000}"/>
    <cellStyle name="40% - Accent4 4 3 3 2" xfId="13847" xr:uid="{40E9E0C2-4FDB-4F49-B259-E801419B908A}"/>
    <cellStyle name="40% - Accent4 4 3 4" xfId="9629" xr:uid="{A6661699-B87E-4019-80E8-54870EA344A9}"/>
    <cellStyle name="40% - Accent4 4 4" xfId="1517" xr:uid="{00000000-0005-0000-0000-000023060000}"/>
    <cellStyle name="40% - Accent4 4 4 2" xfId="3747" xr:uid="{00000000-0005-0000-0000-000024060000}"/>
    <cellStyle name="40% - Accent4 4 4 2 2" xfId="7970" xr:uid="{00000000-0005-0000-0000-000025060000}"/>
    <cellStyle name="40% - Accent4 4 4 2 2 2" xfId="16405" xr:uid="{1CA6DC11-B0DA-4EF5-9BFA-262F1D148AE2}"/>
    <cellStyle name="40% - Accent4 4 4 2 3" xfId="12187" xr:uid="{8FDB27DF-2E10-47C2-8789-29EE0696BF0D}"/>
    <cellStyle name="40% - Accent4 4 4 3" xfId="5825" xr:uid="{00000000-0005-0000-0000-000026060000}"/>
    <cellStyle name="40% - Accent4 4 4 3 2" xfId="14260" xr:uid="{A1645456-C68B-44B7-9493-04F226FBE912}"/>
    <cellStyle name="40% - Accent4 4 4 4" xfId="10042" xr:uid="{B4793A5E-D589-4A6E-8345-C1A292749A27}"/>
    <cellStyle name="40% - Accent4 4 5" xfId="1931" xr:uid="{00000000-0005-0000-0000-000027060000}"/>
    <cellStyle name="40% - Accent4 4 5 2" xfId="4160" xr:uid="{00000000-0005-0000-0000-000028060000}"/>
    <cellStyle name="40% - Accent4 4 5 2 2" xfId="8383" xr:uid="{00000000-0005-0000-0000-000029060000}"/>
    <cellStyle name="40% - Accent4 4 5 2 2 2" xfId="16818" xr:uid="{5BF359C2-BCBD-4EB9-BD08-95B4A18145FD}"/>
    <cellStyle name="40% - Accent4 4 5 2 3" xfId="12600" xr:uid="{2BC0CDA2-A345-446E-969C-7527B6E22D1C}"/>
    <cellStyle name="40% - Accent4 4 5 3" xfId="6238" xr:uid="{00000000-0005-0000-0000-00002A060000}"/>
    <cellStyle name="40% - Accent4 4 5 3 2" xfId="14673" xr:uid="{B67CAA75-8099-4E82-89D1-8244E365578A}"/>
    <cellStyle name="40% - Accent4 4 5 4" xfId="10455" xr:uid="{B0D54887-1402-4108-95BB-6B548B33E01C}"/>
    <cellStyle name="40% - Accent4 4 6" xfId="2344" xr:uid="{00000000-0005-0000-0000-00002B060000}"/>
    <cellStyle name="40% - Accent4 4 6 2" xfId="6651" xr:uid="{00000000-0005-0000-0000-00002C060000}"/>
    <cellStyle name="40% - Accent4 4 6 2 2" xfId="15086" xr:uid="{137FAD91-7491-4EC6-AF89-9C19DFB3C5DF}"/>
    <cellStyle name="40% - Accent4 4 6 3" xfId="10868" xr:uid="{FB87D24B-86CD-49E9-8CF1-9140992232F9}"/>
    <cellStyle name="40% - Accent4 4 7" xfId="4585" xr:uid="{00000000-0005-0000-0000-00002D060000}"/>
    <cellStyle name="40% - Accent4 4 7 2" xfId="13020" xr:uid="{E7133185-6494-4135-86A7-ABAB1763D1E2}"/>
    <cellStyle name="40% - Accent4 4 8" xfId="8802" xr:uid="{B9BBA8B5-9C20-4A7D-8522-E604C9E189B1}"/>
    <cellStyle name="40% - Accent4 5" xfId="643" xr:uid="{00000000-0005-0000-0000-00002E060000}"/>
    <cellStyle name="40% - Accent4 5 2" xfId="2914" xr:uid="{00000000-0005-0000-0000-00002F060000}"/>
    <cellStyle name="40% - Accent4 5 2 2" xfId="7137" xr:uid="{00000000-0005-0000-0000-000030060000}"/>
    <cellStyle name="40% - Accent4 5 2 2 2" xfId="15572" xr:uid="{82D1C22B-A81D-47C8-86BF-C7549094CE4C}"/>
    <cellStyle name="40% - Accent4 5 2 3" xfId="11354" xr:uid="{CC53A3B2-A4FC-4A41-82BF-5A5FDB0135FD}"/>
    <cellStyle name="40% - Accent4 5 3" xfId="4992" xr:uid="{00000000-0005-0000-0000-000031060000}"/>
    <cellStyle name="40% - Accent4 5 3 2" xfId="13427" xr:uid="{2B22E244-356F-407B-B600-863E9472A2BE}"/>
    <cellStyle name="40% - Accent4 5 4" xfId="9209" xr:uid="{AA1A7516-781B-47AD-AEDF-7694B26548A3}"/>
    <cellStyle name="40% - Accent4 6" xfId="1096" xr:uid="{00000000-0005-0000-0000-000032060000}"/>
    <cellStyle name="40% - Accent4 6 2" xfId="3327" xr:uid="{00000000-0005-0000-0000-000033060000}"/>
    <cellStyle name="40% - Accent4 6 2 2" xfId="7550" xr:uid="{00000000-0005-0000-0000-000034060000}"/>
    <cellStyle name="40% - Accent4 6 2 2 2" xfId="15985" xr:uid="{957AC531-462B-42C7-8F9D-BC54567D9E4B}"/>
    <cellStyle name="40% - Accent4 6 2 3" xfId="11767" xr:uid="{F3D16329-A2CD-4B15-9E8A-CDF4BEDA3382}"/>
    <cellStyle name="40% - Accent4 6 3" xfId="5405" xr:uid="{00000000-0005-0000-0000-000035060000}"/>
    <cellStyle name="40% - Accent4 6 3 2" xfId="13840" xr:uid="{4115073F-7A5D-4831-9023-6851EB2C1687}"/>
    <cellStyle name="40% - Accent4 6 4" xfId="9622" xr:uid="{AEA1048B-3E81-47C1-ADFF-8A3DB7728734}"/>
    <cellStyle name="40% - Accent4 7" xfId="1510" xr:uid="{00000000-0005-0000-0000-000036060000}"/>
    <cellStyle name="40% - Accent4 7 2" xfId="3740" xr:uid="{00000000-0005-0000-0000-000037060000}"/>
    <cellStyle name="40% - Accent4 7 2 2" xfId="7963" xr:uid="{00000000-0005-0000-0000-000038060000}"/>
    <cellStyle name="40% - Accent4 7 2 2 2" xfId="16398" xr:uid="{5E3C6971-9AC0-4B78-B2E0-677058415F2C}"/>
    <cellStyle name="40% - Accent4 7 2 3" xfId="12180" xr:uid="{180E4D50-5AE7-4166-9321-618E76AD50C2}"/>
    <cellStyle name="40% - Accent4 7 3" xfId="5818" xr:uid="{00000000-0005-0000-0000-000039060000}"/>
    <cellStyle name="40% - Accent4 7 3 2" xfId="14253" xr:uid="{559D352E-577A-4A0A-B79E-1A79FC476960}"/>
    <cellStyle name="40% - Accent4 7 4" xfId="10035" xr:uid="{40935532-FFC1-40B9-A7B3-D791D3C84181}"/>
    <cellStyle name="40% - Accent4 8" xfId="1924" xr:uid="{00000000-0005-0000-0000-00003A060000}"/>
    <cellStyle name="40% - Accent4 8 2" xfId="4153" xr:uid="{00000000-0005-0000-0000-00003B060000}"/>
    <cellStyle name="40% - Accent4 8 2 2" xfId="8376" xr:uid="{00000000-0005-0000-0000-00003C060000}"/>
    <cellStyle name="40% - Accent4 8 2 2 2" xfId="16811" xr:uid="{6F592A6A-0FD3-45E3-9B36-9FC69BEF334D}"/>
    <cellStyle name="40% - Accent4 8 2 3" xfId="12593" xr:uid="{5D1D0567-A5E8-4B1D-911B-C23B61A119DB}"/>
    <cellStyle name="40% - Accent4 8 3" xfId="6231" xr:uid="{00000000-0005-0000-0000-00003D060000}"/>
    <cellStyle name="40% - Accent4 8 3 2" xfId="14666" xr:uid="{85979A72-DD46-4A9D-B8A3-CE82B4F15991}"/>
    <cellStyle name="40% - Accent4 8 4" xfId="10448" xr:uid="{33DA340E-F9DC-40D9-96AC-F80A25116F88}"/>
    <cellStyle name="40% - Accent4 9" xfId="2337" xr:uid="{00000000-0005-0000-0000-00003E060000}"/>
    <cellStyle name="40% - Accent4 9 2" xfId="6644" xr:uid="{00000000-0005-0000-0000-00003F060000}"/>
    <cellStyle name="40% - Accent4 9 2 2" xfId="15079" xr:uid="{A4A76BE1-6608-4561-81A0-9C270BEFE33C}"/>
    <cellStyle name="40% - Accent4 9 3" xfId="10861" xr:uid="{B6058515-2490-4CA8-ABC1-F14F18A16809}"/>
    <cellStyle name="40% - Accent5" xfId="81" builtinId="47" customBuiltin="1"/>
    <cellStyle name="40% - Accent5 10" xfId="4586" xr:uid="{00000000-0005-0000-0000-000041060000}"/>
    <cellStyle name="40% - Accent5 10 2" xfId="13021" xr:uid="{46988088-62FB-46F1-9BEF-BE1F719082B7}"/>
    <cellStyle name="40% - Accent5 11" xfId="8803" xr:uid="{320339ED-AD4B-4460-BD68-E498DAC6C3EF}"/>
    <cellStyle name="40% - Accent5 2" xfId="82" xr:uid="{00000000-0005-0000-0000-000042060000}"/>
    <cellStyle name="40% - Accent5 2 10" xfId="8804" xr:uid="{511C4AC8-1444-4A47-B3F7-07D313E8455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2 2 2" xfId="15583" xr:uid="{A8FC94AB-018D-4F12-9872-26BF72E5F32B}"/>
    <cellStyle name="40% - Accent5 2 2 2 2 2 3" xfId="11365" xr:uid="{54460893-C266-4003-994E-30A6D3AD7E89}"/>
    <cellStyle name="40% - Accent5 2 2 2 2 3" xfId="5003" xr:uid="{00000000-0005-0000-0000-000048060000}"/>
    <cellStyle name="40% - Accent5 2 2 2 2 3 2" xfId="13438" xr:uid="{AC783579-4EA7-4232-B1BD-1F8277A62001}"/>
    <cellStyle name="40% - Accent5 2 2 2 2 4" xfId="9220" xr:uid="{B384DFEF-E232-479D-93A4-044082D198CB}"/>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2 2 2" xfId="15996" xr:uid="{54B13C30-9D1C-4D86-B910-DA7855F34EAB}"/>
    <cellStyle name="40% - Accent5 2 2 2 3 2 3" xfId="11778" xr:uid="{8FE9292C-672E-4943-B379-2703333643A7}"/>
    <cellStyle name="40% - Accent5 2 2 2 3 3" xfId="5416" xr:uid="{00000000-0005-0000-0000-00004C060000}"/>
    <cellStyle name="40% - Accent5 2 2 2 3 3 2" xfId="13851" xr:uid="{9CA696B7-D3EE-423B-88F7-BC449610F025}"/>
    <cellStyle name="40% - Accent5 2 2 2 3 4" xfId="9633" xr:uid="{8B2A67C1-D5E7-4346-98EB-B9D9D99D372A}"/>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2 2 2" xfId="16409" xr:uid="{483F393C-7D71-4A9D-BD94-BE56EA4862E4}"/>
    <cellStyle name="40% - Accent5 2 2 2 4 2 3" xfId="12191" xr:uid="{8C01DA6A-9D63-4672-A522-660BC4C6000D}"/>
    <cellStyle name="40% - Accent5 2 2 2 4 3" xfId="5829" xr:uid="{00000000-0005-0000-0000-000050060000}"/>
    <cellStyle name="40% - Accent5 2 2 2 4 3 2" xfId="14264" xr:uid="{4A849B55-604B-4FA1-A076-928906F9B9B1}"/>
    <cellStyle name="40% - Accent5 2 2 2 4 4" xfId="10046" xr:uid="{EE29D614-1210-4B52-A04E-EEF0429413AF}"/>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2 2 2" xfId="16822" xr:uid="{B34077B4-95A3-44A2-992E-6473530398C4}"/>
    <cellStyle name="40% - Accent5 2 2 2 5 2 3" xfId="12604" xr:uid="{D6C39A48-B20F-4DE6-9A97-0C70ACF67544}"/>
    <cellStyle name="40% - Accent5 2 2 2 5 3" xfId="6242" xr:uid="{00000000-0005-0000-0000-000054060000}"/>
    <cellStyle name="40% - Accent5 2 2 2 5 3 2" xfId="14677" xr:uid="{A1A19422-EC9C-4E55-A90A-DACB99AEE8B9}"/>
    <cellStyle name="40% - Accent5 2 2 2 5 4" xfId="10459" xr:uid="{51D08DF8-9A3C-4882-BEEA-C7A84306E580}"/>
    <cellStyle name="40% - Accent5 2 2 2 6" xfId="2348" xr:uid="{00000000-0005-0000-0000-000055060000}"/>
    <cellStyle name="40% - Accent5 2 2 2 6 2" xfId="6655" xr:uid="{00000000-0005-0000-0000-000056060000}"/>
    <cellStyle name="40% - Accent5 2 2 2 6 2 2" xfId="15090" xr:uid="{672421F9-D790-40C2-9A0A-1393BAA9076D}"/>
    <cellStyle name="40% - Accent5 2 2 2 6 3" xfId="10872" xr:uid="{43308487-04B1-4ECC-A58B-320284C6D057}"/>
    <cellStyle name="40% - Accent5 2 2 2 7" xfId="4589" xr:uid="{00000000-0005-0000-0000-000057060000}"/>
    <cellStyle name="40% - Accent5 2 2 2 7 2" xfId="13024" xr:uid="{39D72FBE-78F7-4C97-A1A3-3914B3911825}"/>
    <cellStyle name="40% - Accent5 2 2 2 8" xfId="8806" xr:uid="{5314461E-8FF9-43E2-B664-2FCE38E0B9E6}"/>
    <cellStyle name="40% - Accent5 2 2 3" xfId="653" xr:uid="{00000000-0005-0000-0000-000058060000}"/>
    <cellStyle name="40% - Accent5 2 2 3 2" xfId="2924" xr:uid="{00000000-0005-0000-0000-000059060000}"/>
    <cellStyle name="40% - Accent5 2 2 3 2 2" xfId="7147" xr:uid="{00000000-0005-0000-0000-00005A060000}"/>
    <cellStyle name="40% - Accent5 2 2 3 2 2 2" xfId="15582" xr:uid="{2010E3DA-DFA6-492A-8E1D-2A205D19423C}"/>
    <cellStyle name="40% - Accent5 2 2 3 2 3" xfId="11364" xr:uid="{82EAF18C-D155-4AD9-9643-3EE325739974}"/>
    <cellStyle name="40% - Accent5 2 2 3 3" xfId="5002" xr:uid="{00000000-0005-0000-0000-00005B060000}"/>
    <cellStyle name="40% - Accent5 2 2 3 3 2" xfId="13437" xr:uid="{B9D60706-8EDD-4F8C-94D7-C7F79BB93D61}"/>
    <cellStyle name="40% - Accent5 2 2 3 4" xfId="9219" xr:uid="{F35D6DAB-426D-4395-B845-FD8766FCB6CA}"/>
    <cellStyle name="40% - Accent5 2 2 4" xfId="1106" xr:uid="{00000000-0005-0000-0000-00005C060000}"/>
    <cellStyle name="40% - Accent5 2 2 4 2" xfId="3337" xr:uid="{00000000-0005-0000-0000-00005D060000}"/>
    <cellStyle name="40% - Accent5 2 2 4 2 2" xfId="7560" xr:uid="{00000000-0005-0000-0000-00005E060000}"/>
    <cellStyle name="40% - Accent5 2 2 4 2 2 2" xfId="15995" xr:uid="{F2D71573-30FE-4D06-BF6E-BFB387B1B315}"/>
    <cellStyle name="40% - Accent5 2 2 4 2 3" xfId="11777" xr:uid="{5EED13DD-EF01-4EB1-BF3B-6B0798C1C75F}"/>
    <cellStyle name="40% - Accent5 2 2 4 3" xfId="5415" xr:uid="{00000000-0005-0000-0000-00005F060000}"/>
    <cellStyle name="40% - Accent5 2 2 4 3 2" xfId="13850" xr:uid="{22CA842D-3A7D-417F-840F-5FCA487A8685}"/>
    <cellStyle name="40% - Accent5 2 2 4 4" xfId="9632" xr:uid="{E48E0BCC-C3FF-48D6-A288-CB0BBD20C90D}"/>
    <cellStyle name="40% - Accent5 2 2 5" xfId="1520" xr:uid="{00000000-0005-0000-0000-000060060000}"/>
    <cellStyle name="40% - Accent5 2 2 5 2" xfId="3750" xr:uid="{00000000-0005-0000-0000-000061060000}"/>
    <cellStyle name="40% - Accent5 2 2 5 2 2" xfId="7973" xr:uid="{00000000-0005-0000-0000-000062060000}"/>
    <cellStyle name="40% - Accent5 2 2 5 2 2 2" xfId="16408" xr:uid="{12CC9D51-260C-40E2-9E59-2AAC486B8412}"/>
    <cellStyle name="40% - Accent5 2 2 5 2 3" xfId="12190" xr:uid="{30484B51-A289-4D4D-A64D-6880BA9DE65B}"/>
    <cellStyle name="40% - Accent5 2 2 5 3" xfId="5828" xr:uid="{00000000-0005-0000-0000-000063060000}"/>
    <cellStyle name="40% - Accent5 2 2 5 3 2" xfId="14263" xr:uid="{8A97534C-3865-415C-BDFF-30C0D6B3561E}"/>
    <cellStyle name="40% - Accent5 2 2 5 4" xfId="10045" xr:uid="{598EF764-68D6-4916-98D9-CAFEEBC6DD75}"/>
    <cellStyle name="40% - Accent5 2 2 6" xfId="1934" xr:uid="{00000000-0005-0000-0000-000064060000}"/>
    <cellStyle name="40% - Accent5 2 2 6 2" xfId="4163" xr:uid="{00000000-0005-0000-0000-000065060000}"/>
    <cellStyle name="40% - Accent5 2 2 6 2 2" xfId="8386" xr:uid="{00000000-0005-0000-0000-000066060000}"/>
    <cellStyle name="40% - Accent5 2 2 6 2 2 2" xfId="16821" xr:uid="{2B277EF1-09B8-4E31-8E01-409E4921E338}"/>
    <cellStyle name="40% - Accent5 2 2 6 2 3" xfId="12603" xr:uid="{057796F2-86AB-4A6F-815F-73CBFEFCCA9B}"/>
    <cellStyle name="40% - Accent5 2 2 6 3" xfId="6241" xr:uid="{00000000-0005-0000-0000-000067060000}"/>
    <cellStyle name="40% - Accent5 2 2 6 3 2" xfId="14676" xr:uid="{946A4F6D-9096-422E-87C1-BAB55C73798F}"/>
    <cellStyle name="40% - Accent5 2 2 6 4" xfId="10458" xr:uid="{6D7BEB27-0BFC-45B7-8142-FF0F98D51EAF}"/>
    <cellStyle name="40% - Accent5 2 2 7" xfId="2347" xr:uid="{00000000-0005-0000-0000-000068060000}"/>
    <cellStyle name="40% - Accent5 2 2 7 2" xfId="6654" xr:uid="{00000000-0005-0000-0000-000069060000}"/>
    <cellStyle name="40% - Accent5 2 2 7 2 2" xfId="15089" xr:uid="{A9F5C691-4FDC-4179-88E0-4D7E22600273}"/>
    <cellStyle name="40% - Accent5 2 2 7 3" xfId="10871" xr:uid="{DF8A86DC-346A-40E2-9107-55F128597D79}"/>
    <cellStyle name="40% - Accent5 2 2 8" xfId="4588" xr:uid="{00000000-0005-0000-0000-00006A060000}"/>
    <cellStyle name="40% - Accent5 2 2 8 2" xfId="13023" xr:uid="{B1340DEB-C7C7-47FF-99C1-DCCF57DF317C}"/>
    <cellStyle name="40% - Accent5 2 2 9" xfId="8805" xr:uid="{CCD3B3F9-4AC0-416B-B7F7-66D5DCB84508}"/>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2 2 2" xfId="15584" xr:uid="{9FA72B36-0D75-4E8D-A162-DDBB816BB4B4}"/>
    <cellStyle name="40% - Accent5 2 3 2 2 3" xfId="11366" xr:uid="{3E4780F6-CEA2-483D-9FA8-25C6761B7F11}"/>
    <cellStyle name="40% - Accent5 2 3 2 3" xfId="5004" xr:uid="{00000000-0005-0000-0000-00006F060000}"/>
    <cellStyle name="40% - Accent5 2 3 2 3 2" xfId="13439" xr:uid="{07547F4D-43D6-429F-AABF-4972DBF715AB}"/>
    <cellStyle name="40% - Accent5 2 3 2 4" xfId="9221" xr:uid="{227DE831-2CD5-4F6F-89BD-17770C14FEDF}"/>
    <cellStyle name="40% - Accent5 2 3 3" xfId="1108" xr:uid="{00000000-0005-0000-0000-000070060000}"/>
    <cellStyle name="40% - Accent5 2 3 3 2" xfId="3339" xr:uid="{00000000-0005-0000-0000-000071060000}"/>
    <cellStyle name="40% - Accent5 2 3 3 2 2" xfId="7562" xr:uid="{00000000-0005-0000-0000-000072060000}"/>
    <cellStyle name="40% - Accent5 2 3 3 2 2 2" xfId="15997" xr:uid="{9284A272-565E-4DA9-993D-B5D8ACF0C6AC}"/>
    <cellStyle name="40% - Accent5 2 3 3 2 3" xfId="11779" xr:uid="{3C4BA73F-87A3-46C7-B555-372119FF7258}"/>
    <cellStyle name="40% - Accent5 2 3 3 3" xfId="5417" xr:uid="{00000000-0005-0000-0000-000073060000}"/>
    <cellStyle name="40% - Accent5 2 3 3 3 2" xfId="13852" xr:uid="{14BB5ECF-CD3A-4C67-85F5-1A16D2306447}"/>
    <cellStyle name="40% - Accent5 2 3 3 4" xfId="9634" xr:uid="{E0BF88D3-7BB3-40D7-B736-46B1A618EB01}"/>
    <cellStyle name="40% - Accent5 2 3 4" xfId="1522" xr:uid="{00000000-0005-0000-0000-000074060000}"/>
    <cellStyle name="40% - Accent5 2 3 4 2" xfId="3752" xr:uid="{00000000-0005-0000-0000-000075060000}"/>
    <cellStyle name="40% - Accent5 2 3 4 2 2" xfId="7975" xr:uid="{00000000-0005-0000-0000-000076060000}"/>
    <cellStyle name="40% - Accent5 2 3 4 2 2 2" xfId="16410" xr:uid="{305CAE49-93C9-4AE7-B3BE-EA06C7E65D45}"/>
    <cellStyle name="40% - Accent5 2 3 4 2 3" xfId="12192" xr:uid="{1471DD90-85D2-47EC-8CE5-69C9EBD6398F}"/>
    <cellStyle name="40% - Accent5 2 3 4 3" xfId="5830" xr:uid="{00000000-0005-0000-0000-000077060000}"/>
    <cellStyle name="40% - Accent5 2 3 4 3 2" xfId="14265" xr:uid="{74F7E8A3-25CF-4060-9DE3-E5A726579E0D}"/>
    <cellStyle name="40% - Accent5 2 3 4 4" xfId="10047" xr:uid="{AAE5FED2-98ED-4328-B4FC-A5B8CE767E8E}"/>
    <cellStyle name="40% - Accent5 2 3 5" xfId="1936" xr:uid="{00000000-0005-0000-0000-000078060000}"/>
    <cellStyle name="40% - Accent5 2 3 5 2" xfId="4165" xr:uid="{00000000-0005-0000-0000-000079060000}"/>
    <cellStyle name="40% - Accent5 2 3 5 2 2" xfId="8388" xr:uid="{00000000-0005-0000-0000-00007A060000}"/>
    <cellStyle name="40% - Accent5 2 3 5 2 2 2" xfId="16823" xr:uid="{618727C5-3871-4F6A-8198-320AC9B11811}"/>
    <cellStyle name="40% - Accent5 2 3 5 2 3" xfId="12605" xr:uid="{29D450B7-E5FD-4183-B72F-1C014D2B4389}"/>
    <cellStyle name="40% - Accent5 2 3 5 3" xfId="6243" xr:uid="{00000000-0005-0000-0000-00007B060000}"/>
    <cellStyle name="40% - Accent5 2 3 5 3 2" xfId="14678" xr:uid="{91831CA4-246E-4C09-96DD-E9AA4154E399}"/>
    <cellStyle name="40% - Accent5 2 3 5 4" xfId="10460" xr:uid="{A6078657-E640-4BDF-8968-CA701029B653}"/>
    <cellStyle name="40% - Accent5 2 3 6" xfId="2349" xr:uid="{00000000-0005-0000-0000-00007C060000}"/>
    <cellStyle name="40% - Accent5 2 3 6 2" xfId="6656" xr:uid="{00000000-0005-0000-0000-00007D060000}"/>
    <cellStyle name="40% - Accent5 2 3 6 2 2" xfId="15091" xr:uid="{A9DE6091-B276-44C9-BA33-0319BCDEF81F}"/>
    <cellStyle name="40% - Accent5 2 3 6 3" xfId="10873" xr:uid="{DB07A89C-619D-4388-AA97-F542C6BC3D07}"/>
    <cellStyle name="40% - Accent5 2 3 7" xfId="4590" xr:uid="{00000000-0005-0000-0000-00007E060000}"/>
    <cellStyle name="40% - Accent5 2 3 7 2" xfId="13025" xr:uid="{C53B8A35-EFE6-41D3-89C0-D9F51B4D23AB}"/>
    <cellStyle name="40% - Accent5 2 3 8" xfId="8807" xr:uid="{2A89E9F1-E56B-40C0-AA84-9FC325CD3947}"/>
    <cellStyle name="40% - Accent5 2 4" xfId="652" xr:uid="{00000000-0005-0000-0000-00007F060000}"/>
    <cellStyle name="40% - Accent5 2 4 2" xfId="2923" xr:uid="{00000000-0005-0000-0000-000080060000}"/>
    <cellStyle name="40% - Accent5 2 4 2 2" xfId="7146" xr:uid="{00000000-0005-0000-0000-000081060000}"/>
    <cellStyle name="40% - Accent5 2 4 2 2 2" xfId="15581" xr:uid="{1EB13871-F3D7-4D80-987A-56803441D0C6}"/>
    <cellStyle name="40% - Accent5 2 4 2 3" xfId="11363" xr:uid="{EA5EF5BD-83F2-42CD-8CCF-4BFBAE71775B}"/>
    <cellStyle name="40% - Accent5 2 4 3" xfId="5001" xr:uid="{00000000-0005-0000-0000-000082060000}"/>
    <cellStyle name="40% - Accent5 2 4 3 2" xfId="13436" xr:uid="{3214B23E-CF5E-42AE-A9EA-F451C2BAF4B0}"/>
    <cellStyle name="40% - Accent5 2 4 4" xfId="9218" xr:uid="{F5C66F2C-DA93-43DD-B8F3-66E1E9592B57}"/>
    <cellStyle name="40% - Accent5 2 5" xfId="1105" xr:uid="{00000000-0005-0000-0000-000083060000}"/>
    <cellStyle name="40% - Accent5 2 5 2" xfId="3336" xr:uid="{00000000-0005-0000-0000-000084060000}"/>
    <cellStyle name="40% - Accent5 2 5 2 2" xfId="7559" xr:uid="{00000000-0005-0000-0000-000085060000}"/>
    <cellStyle name="40% - Accent5 2 5 2 2 2" xfId="15994" xr:uid="{965BD26C-4B17-4AAE-8E73-441E2D0A1A23}"/>
    <cellStyle name="40% - Accent5 2 5 2 3" xfId="11776" xr:uid="{A7FDDD90-10C2-4599-B736-88A5CBD321FA}"/>
    <cellStyle name="40% - Accent5 2 5 3" xfId="5414" xr:uid="{00000000-0005-0000-0000-000086060000}"/>
    <cellStyle name="40% - Accent5 2 5 3 2" xfId="13849" xr:uid="{9AD161B8-338E-4A28-A8D2-D076E6EEA114}"/>
    <cellStyle name="40% - Accent5 2 5 4" xfId="9631" xr:uid="{3EF181F5-2224-4800-9F78-860E7A389BC6}"/>
    <cellStyle name="40% - Accent5 2 6" xfId="1519" xr:uid="{00000000-0005-0000-0000-000087060000}"/>
    <cellStyle name="40% - Accent5 2 6 2" xfId="3749" xr:uid="{00000000-0005-0000-0000-000088060000}"/>
    <cellStyle name="40% - Accent5 2 6 2 2" xfId="7972" xr:uid="{00000000-0005-0000-0000-000089060000}"/>
    <cellStyle name="40% - Accent5 2 6 2 2 2" xfId="16407" xr:uid="{9551EEAD-5FCF-45D3-91AF-0F52CE051D7E}"/>
    <cellStyle name="40% - Accent5 2 6 2 3" xfId="12189" xr:uid="{D78206C3-0C11-4C8C-A9C0-E337573C980A}"/>
    <cellStyle name="40% - Accent5 2 6 3" xfId="5827" xr:uid="{00000000-0005-0000-0000-00008A060000}"/>
    <cellStyle name="40% - Accent5 2 6 3 2" xfId="14262" xr:uid="{E72CDCB9-A793-4F92-8808-E0A7737D2A6D}"/>
    <cellStyle name="40% - Accent5 2 6 4" xfId="10044" xr:uid="{15F9DED8-0863-4DB1-BFFF-C301355ADD66}"/>
    <cellStyle name="40% - Accent5 2 7" xfId="1933" xr:uid="{00000000-0005-0000-0000-00008B060000}"/>
    <cellStyle name="40% - Accent5 2 7 2" xfId="4162" xr:uid="{00000000-0005-0000-0000-00008C060000}"/>
    <cellStyle name="40% - Accent5 2 7 2 2" xfId="8385" xr:uid="{00000000-0005-0000-0000-00008D060000}"/>
    <cellStyle name="40% - Accent5 2 7 2 2 2" xfId="16820" xr:uid="{7B7A322C-22A6-403C-9B04-AB13FA734162}"/>
    <cellStyle name="40% - Accent5 2 7 2 3" xfId="12602" xr:uid="{2E98397A-376D-4E4E-82CB-E2190F40CB16}"/>
    <cellStyle name="40% - Accent5 2 7 3" xfId="6240" xr:uid="{00000000-0005-0000-0000-00008E060000}"/>
    <cellStyle name="40% - Accent5 2 7 3 2" xfId="14675" xr:uid="{ADAA0FDE-2D81-4641-A12E-FEC01F20F5C3}"/>
    <cellStyle name="40% - Accent5 2 7 4" xfId="10457" xr:uid="{FFACC356-A760-41E7-9CCB-03F067793738}"/>
    <cellStyle name="40% - Accent5 2 8" xfId="2346" xr:uid="{00000000-0005-0000-0000-00008F060000}"/>
    <cellStyle name="40% - Accent5 2 8 2" xfId="6653" xr:uid="{00000000-0005-0000-0000-000090060000}"/>
    <cellStyle name="40% - Accent5 2 8 2 2" xfId="15088" xr:uid="{A787E823-7611-454D-AAA5-8198D980786C}"/>
    <cellStyle name="40% - Accent5 2 8 3" xfId="10870" xr:uid="{77948FDB-6AF2-43B3-999F-02441C151933}"/>
    <cellStyle name="40% - Accent5 2 9" xfId="4587" xr:uid="{00000000-0005-0000-0000-000091060000}"/>
    <cellStyle name="40% - Accent5 2 9 2" xfId="13022" xr:uid="{15B640E9-6328-490D-8781-45462B109D49}"/>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2 2 2" xfId="15586" xr:uid="{972511AF-0721-404E-BAC1-B0FD023F2F06}"/>
    <cellStyle name="40% - Accent5 3 2 2 2 3" xfId="11368" xr:uid="{331D795E-ED3A-4FBE-B8FB-0D55902BAE24}"/>
    <cellStyle name="40% - Accent5 3 2 2 3" xfId="5006" xr:uid="{00000000-0005-0000-0000-000097060000}"/>
    <cellStyle name="40% - Accent5 3 2 2 3 2" xfId="13441" xr:uid="{179DB669-3D10-4FF3-8051-12F58F9C82DC}"/>
    <cellStyle name="40% - Accent5 3 2 2 4" xfId="9223" xr:uid="{F5F39F75-852A-4459-9A30-0BBF8DADF9EB}"/>
    <cellStyle name="40% - Accent5 3 2 3" xfId="1110" xr:uid="{00000000-0005-0000-0000-000098060000}"/>
    <cellStyle name="40% - Accent5 3 2 3 2" xfId="3341" xr:uid="{00000000-0005-0000-0000-000099060000}"/>
    <cellStyle name="40% - Accent5 3 2 3 2 2" xfId="7564" xr:uid="{00000000-0005-0000-0000-00009A060000}"/>
    <cellStyle name="40% - Accent5 3 2 3 2 2 2" xfId="15999" xr:uid="{E73F28EE-9901-4DFB-9C19-A58AEC739B89}"/>
    <cellStyle name="40% - Accent5 3 2 3 2 3" xfId="11781" xr:uid="{DC90D0D2-65F4-449B-8956-796889944F57}"/>
    <cellStyle name="40% - Accent5 3 2 3 3" xfId="5419" xr:uid="{00000000-0005-0000-0000-00009B060000}"/>
    <cellStyle name="40% - Accent5 3 2 3 3 2" xfId="13854" xr:uid="{425077F3-CFB1-4233-BF13-218C38C4BA82}"/>
    <cellStyle name="40% - Accent5 3 2 3 4" xfId="9636" xr:uid="{AF32FB97-D602-43BC-8FC8-C396C5BD69DB}"/>
    <cellStyle name="40% - Accent5 3 2 4" xfId="1524" xr:uid="{00000000-0005-0000-0000-00009C060000}"/>
    <cellStyle name="40% - Accent5 3 2 4 2" xfId="3754" xr:uid="{00000000-0005-0000-0000-00009D060000}"/>
    <cellStyle name="40% - Accent5 3 2 4 2 2" xfId="7977" xr:uid="{00000000-0005-0000-0000-00009E060000}"/>
    <cellStyle name="40% - Accent5 3 2 4 2 2 2" xfId="16412" xr:uid="{09954DF4-E220-4D7E-9DD2-D56F2E91546F}"/>
    <cellStyle name="40% - Accent5 3 2 4 2 3" xfId="12194" xr:uid="{210C3B15-B381-4710-9218-8D1269A092A4}"/>
    <cellStyle name="40% - Accent5 3 2 4 3" xfId="5832" xr:uid="{00000000-0005-0000-0000-00009F060000}"/>
    <cellStyle name="40% - Accent5 3 2 4 3 2" xfId="14267" xr:uid="{895C4BBA-A1DF-4C78-903A-F24D8B4451C8}"/>
    <cellStyle name="40% - Accent5 3 2 4 4" xfId="10049" xr:uid="{E296534A-0296-4BE5-9A37-0173F8DDD81A}"/>
    <cellStyle name="40% - Accent5 3 2 5" xfId="1938" xr:uid="{00000000-0005-0000-0000-0000A0060000}"/>
    <cellStyle name="40% - Accent5 3 2 5 2" xfId="4167" xr:uid="{00000000-0005-0000-0000-0000A1060000}"/>
    <cellStyle name="40% - Accent5 3 2 5 2 2" xfId="8390" xr:uid="{00000000-0005-0000-0000-0000A2060000}"/>
    <cellStyle name="40% - Accent5 3 2 5 2 2 2" xfId="16825" xr:uid="{B5B4D2F6-D422-4DB1-BC6A-CEEC795986F9}"/>
    <cellStyle name="40% - Accent5 3 2 5 2 3" xfId="12607" xr:uid="{3FE1026A-0D8F-415C-AB72-0A7C0AC1D6B7}"/>
    <cellStyle name="40% - Accent5 3 2 5 3" xfId="6245" xr:uid="{00000000-0005-0000-0000-0000A3060000}"/>
    <cellStyle name="40% - Accent5 3 2 5 3 2" xfId="14680" xr:uid="{73EFDD7C-089A-4FCA-A29A-E2BAAB21DC01}"/>
    <cellStyle name="40% - Accent5 3 2 5 4" xfId="10462" xr:uid="{9C1EB841-29AE-451E-AA14-A357A2520FB2}"/>
    <cellStyle name="40% - Accent5 3 2 6" xfId="2351" xr:uid="{00000000-0005-0000-0000-0000A4060000}"/>
    <cellStyle name="40% - Accent5 3 2 6 2" xfId="6658" xr:uid="{00000000-0005-0000-0000-0000A5060000}"/>
    <cellStyle name="40% - Accent5 3 2 6 2 2" xfId="15093" xr:uid="{88200571-3406-4FE8-88A0-4A7D3E1F3A9F}"/>
    <cellStyle name="40% - Accent5 3 2 6 3" xfId="10875" xr:uid="{8C04FD1A-B523-4F4B-B293-636F5D4E8CE7}"/>
    <cellStyle name="40% - Accent5 3 2 7" xfId="4592" xr:uid="{00000000-0005-0000-0000-0000A6060000}"/>
    <cellStyle name="40% - Accent5 3 2 7 2" xfId="13027" xr:uid="{20A61D03-2874-4181-AF1D-3BBF8D098B21}"/>
    <cellStyle name="40% - Accent5 3 2 8" xfId="8809" xr:uid="{D33A599E-E83E-4DBD-BC0A-7F603194A473}"/>
    <cellStyle name="40% - Accent5 3 3" xfId="656" xr:uid="{00000000-0005-0000-0000-0000A7060000}"/>
    <cellStyle name="40% - Accent5 3 3 2" xfId="2927" xr:uid="{00000000-0005-0000-0000-0000A8060000}"/>
    <cellStyle name="40% - Accent5 3 3 2 2" xfId="7150" xr:uid="{00000000-0005-0000-0000-0000A9060000}"/>
    <cellStyle name="40% - Accent5 3 3 2 2 2" xfId="15585" xr:uid="{220A0587-2152-4965-8D94-1CA04CD7DF69}"/>
    <cellStyle name="40% - Accent5 3 3 2 3" xfId="11367" xr:uid="{76738788-A992-413D-AC08-A1675208E5EC}"/>
    <cellStyle name="40% - Accent5 3 3 3" xfId="5005" xr:uid="{00000000-0005-0000-0000-0000AA060000}"/>
    <cellStyle name="40% - Accent5 3 3 3 2" xfId="13440" xr:uid="{48BF4E93-3404-44AB-B18C-5995F917FE44}"/>
    <cellStyle name="40% - Accent5 3 3 4" xfId="9222" xr:uid="{F4EC1DE3-CE91-427B-997C-F11ABAB97977}"/>
    <cellStyle name="40% - Accent5 3 4" xfId="1109" xr:uid="{00000000-0005-0000-0000-0000AB060000}"/>
    <cellStyle name="40% - Accent5 3 4 2" xfId="3340" xr:uid="{00000000-0005-0000-0000-0000AC060000}"/>
    <cellStyle name="40% - Accent5 3 4 2 2" xfId="7563" xr:uid="{00000000-0005-0000-0000-0000AD060000}"/>
    <cellStyle name="40% - Accent5 3 4 2 2 2" xfId="15998" xr:uid="{E7A70E1D-96F2-42E2-A13F-A8FEAE04EDB8}"/>
    <cellStyle name="40% - Accent5 3 4 2 3" xfId="11780" xr:uid="{500C4B4A-4FC7-4FEC-85F0-4842680523B8}"/>
    <cellStyle name="40% - Accent5 3 4 3" xfId="5418" xr:uid="{00000000-0005-0000-0000-0000AE060000}"/>
    <cellStyle name="40% - Accent5 3 4 3 2" xfId="13853" xr:uid="{F885F830-CA0D-4A4F-A91A-DA5A06625999}"/>
    <cellStyle name="40% - Accent5 3 4 4" xfId="9635" xr:uid="{55AE58BC-3074-49EA-BB34-269EE228127C}"/>
    <cellStyle name="40% - Accent5 3 5" xfId="1523" xr:uid="{00000000-0005-0000-0000-0000AF060000}"/>
    <cellStyle name="40% - Accent5 3 5 2" xfId="3753" xr:uid="{00000000-0005-0000-0000-0000B0060000}"/>
    <cellStyle name="40% - Accent5 3 5 2 2" xfId="7976" xr:uid="{00000000-0005-0000-0000-0000B1060000}"/>
    <cellStyle name="40% - Accent5 3 5 2 2 2" xfId="16411" xr:uid="{1FD6DDEF-B0C7-4A48-94E5-D8BFE71AF52B}"/>
    <cellStyle name="40% - Accent5 3 5 2 3" xfId="12193" xr:uid="{21253E9E-191F-479F-8484-59D816031A98}"/>
    <cellStyle name="40% - Accent5 3 5 3" xfId="5831" xr:uid="{00000000-0005-0000-0000-0000B2060000}"/>
    <cellStyle name="40% - Accent5 3 5 3 2" xfId="14266" xr:uid="{E49C98D7-FFB8-4A18-BFC1-FE27880C8B5F}"/>
    <cellStyle name="40% - Accent5 3 5 4" xfId="10048" xr:uid="{0D1E3B40-0382-4F3B-9010-92C2FB5DF621}"/>
    <cellStyle name="40% - Accent5 3 6" xfId="1937" xr:uid="{00000000-0005-0000-0000-0000B3060000}"/>
    <cellStyle name="40% - Accent5 3 6 2" xfId="4166" xr:uid="{00000000-0005-0000-0000-0000B4060000}"/>
    <cellStyle name="40% - Accent5 3 6 2 2" xfId="8389" xr:uid="{00000000-0005-0000-0000-0000B5060000}"/>
    <cellStyle name="40% - Accent5 3 6 2 2 2" xfId="16824" xr:uid="{108417C7-D2C9-4E63-86B0-761CD8986E88}"/>
    <cellStyle name="40% - Accent5 3 6 2 3" xfId="12606" xr:uid="{46555FF8-A99B-4EBE-BDDD-27EBC38D5742}"/>
    <cellStyle name="40% - Accent5 3 6 3" xfId="6244" xr:uid="{00000000-0005-0000-0000-0000B6060000}"/>
    <cellStyle name="40% - Accent5 3 6 3 2" xfId="14679" xr:uid="{B8E5DE33-5256-4086-80FD-EB50AF5E2870}"/>
    <cellStyle name="40% - Accent5 3 6 4" xfId="10461" xr:uid="{AC2898D7-23C7-4EE7-9C2D-3772E5548059}"/>
    <cellStyle name="40% - Accent5 3 7" xfId="2350" xr:uid="{00000000-0005-0000-0000-0000B7060000}"/>
    <cellStyle name="40% - Accent5 3 7 2" xfId="6657" xr:uid="{00000000-0005-0000-0000-0000B8060000}"/>
    <cellStyle name="40% - Accent5 3 7 2 2" xfId="15092" xr:uid="{C106F1AD-5630-4CD1-B056-B3AB2032E87F}"/>
    <cellStyle name="40% - Accent5 3 7 3" xfId="10874" xr:uid="{C0212D9C-2139-455C-9BD8-43A414DE9A1F}"/>
    <cellStyle name="40% - Accent5 3 8" xfId="4591" xr:uid="{00000000-0005-0000-0000-0000B9060000}"/>
    <cellStyle name="40% - Accent5 3 8 2" xfId="13026" xr:uid="{5887665E-E9DC-4954-ABD6-E030B3F16B12}"/>
    <cellStyle name="40% - Accent5 3 9" xfId="8808" xr:uid="{045809E9-F09B-4CCC-893A-8C5E5C36DC41}"/>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2 2 2" xfId="15587" xr:uid="{30DA50FD-05F9-458E-9512-CA92A19005B7}"/>
    <cellStyle name="40% - Accent5 4 2 2 3" xfId="11369" xr:uid="{BF29D3D6-AB72-4ACE-A733-7C768EACC716}"/>
    <cellStyle name="40% - Accent5 4 2 3" xfId="5007" xr:uid="{00000000-0005-0000-0000-0000BE060000}"/>
    <cellStyle name="40% - Accent5 4 2 3 2" xfId="13442" xr:uid="{7F07298E-E727-4496-A735-BAA942CEB8C5}"/>
    <cellStyle name="40% - Accent5 4 2 4" xfId="9224" xr:uid="{420CAAF7-BDAC-4101-9C00-86A3C485E153}"/>
    <cellStyle name="40% - Accent5 4 3" xfId="1111" xr:uid="{00000000-0005-0000-0000-0000BF060000}"/>
    <cellStyle name="40% - Accent5 4 3 2" xfId="3342" xr:uid="{00000000-0005-0000-0000-0000C0060000}"/>
    <cellStyle name="40% - Accent5 4 3 2 2" xfId="7565" xr:uid="{00000000-0005-0000-0000-0000C1060000}"/>
    <cellStyle name="40% - Accent5 4 3 2 2 2" xfId="16000" xr:uid="{1DE46222-8ECA-4189-B5D4-B4509AA2556A}"/>
    <cellStyle name="40% - Accent5 4 3 2 3" xfId="11782" xr:uid="{F9930480-143A-4DAF-A7A9-5754D701951C}"/>
    <cellStyle name="40% - Accent5 4 3 3" xfId="5420" xr:uid="{00000000-0005-0000-0000-0000C2060000}"/>
    <cellStyle name="40% - Accent5 4 3 3 2" xfId="13855" xr:uid="{30A52E67-505C-468F-A562-F6E436382B28}"/>
    <cellStyle name="40% - Accent5 4 3 4" xfId="9637" xr:uid="{C7305AC4-F50F-4083-AE8B-3D3D754EF4DB}"/>
    <cellStyle name="40% - Accent5 4 4" xfId="1525" xr:uid="{00000000-0005-0000-0000-0000C3060000}"/>
    <cellStyle name="40% - Accent5 4 4 2" xfId="3755" xr:uid="{00000000-0005-0000-0000-0000C4060000}"/>
    <cellStyle name="40% - Accent5 4 4 2 2" xfId="7978" xr:uid="{00000000-0005-0000-0000-0000C5060000}"/>
    <cellStyle name="40% - Accent5 4 4 2 2 2" xfId="16413" xr:uid="{A5E3112E-1ACF-4BA6-A9CF-EED2C201DEF8}"/>
    <cellStyle name="40% - Accent5 4 4 2 3" xfId="12195" xr:uid="{1C74972A-039A-4835-BE3C-F7FACF0C1D8A}"/>
    <cellStyle name="40% - Accent5 4 4 3" xfId="5833" xr:uid="{00000000-0005-0000-0000-0000C6060000}"/>
    <cellStyle name="40% - Accent5 4 4 3 2" xfId="14268" xr:uid="{A81A8089-C8FF-425B-8723-E8859C5F8269}"/>
    <cellStyle name="40% - Accent5 4 4 4" xfId="10050" xr:uid="{58CDD032-A81A-4FDF-8E56-515FAD39B183}"/>
    <cellStyle name="40% - Accent5 4 5" xfId="1939" xr:uid="{00000000-0005-0000-0000-0000C7060000}"/>
    <cellStyle name="40% - Accent5 4 5 2" xfId="4168" xr:uid="{00000000-0005-0000-0000-0000C8060000}"/>
    <cellStyle name="40% - Accent5 4 5 2 2" xfId="8391" xr:uid="{00000000-0005-0000-0000-0000C9060000}"/>
    <cellStyle name="40% - Accent5 4 5 2 2 2" xfId="16826" xr:uid="{EBD553D5-3915-4762-A8DA-A2D0CD920145}"/>
    <cellStyle name="40% - Accent5 4 5 2 3" xfId="12608" xr:uid="{68B388F5-8719-4DDA-9E84-CF09439F63A9}"/>
    <cellStyle name="40% - Accent5 4 5 3" xfId="6246" xr:uid="{00000000-0005-0000-0000-0000CA060000}"/>
    <cellStyle name="40% - Accent5 4 5 3 2" xfId="14681" xr:uid="{B42F2180-34C4-4B81-8E25-F7DB096E0BA1}"/>
    <cellStyle name="40% - Accent5 4 5 4" xfId="10463" xr:uid="{573C2624-14F7-4BB2-BEAF-AD6352FC1CCB}"/>
    <cellStyle name="40% - Accent5 4 6" xfId="2352" xr:uid="{00000000-0005-0000-0000-0000CB060000}"/>
    <cellStyle name="40% - Accent5 4 6 2" xfId="6659" xr:uid="{00000000-0005-0000-0000-0000CC060000}"/>
    <cellStyle name="40% - Accent5 4 6 2 2" xfId="15094" xr:uid="{9F922D53-34FD-408B-AB8A-16A52E4E37FC}"/>
    <cellStyle name="40% - Accent5 4 6 3" xfId="10876" xr:uid="{9000356C-D7E9-4F7D-9E51-F88153A417F7}"/>
    <cellStyle name="40% - Accent5 4 7" xfId="4593" xr:uid="{00000000-0005-0000-0000-0000CD060000}"/>
    <cellStyle name="40% - Accent5 4 7 2" xfId="13028" xr:uid="{B17A5E84-4B23-48E4-9095-C8A8C8CA3355}"/>
    <cellStyle name="40% - Accent5 4 8" xfId="8810" xr:uid="{23A9A2E0-5DC3-4198-86D0-25DC6135898D}"/>
    <cellStyle name="40% - Accent5 5" xfId="651" xr:uid="{00000000-0005-0000-0000-0000CE060000}"/>
    <cellStyle name="40% - Accent5 5 2" xfId="2922" xr:uid="{00000000-0005-0000-0000-0000CF060000}"/>
    <cellStyle name="40% - Accent5 5 2 2" xfId="7145" xr:uid="{00000000-0005-0000-0000-0000D0060000}"/>
    <cellStyle name="40% - Accent5 5 2 2 2" xfId="15580" xr:uid="{075E01D9-1091-4A9C-A8DB-EFF56AB6CB4B}"/>
    <cellStyle name="40% - Accent5 5 2 3" xfId="11362" xr:uid="{73F45C8E-D754-4DF7-9B68-E1782F023444}"/>
    <cellStyle name="40% - Accent5 5 3" xfId="5000" xr:uid="{00000000-0005-0000-0000-0000D1060000}"/>
    <cellStyle name="40% - Accent5 5 3 2" xfId="13435" xr:uid="{C60DC292-ED23-4199-A571-5661313D643B}"/>
    <cellStyle name="40% - Accent5 5 4" xfId="9217" xr:uid="{D6572905-FD76-4453-8E14-81EFB8EB51CC}"/>
    <cellStyle name="40% - Accent5 6" xfId="1104" xr:uid="{00000000-0005-0000-0000-0000D2060000}"/>
    <cellStyle name="40% - Accent5 6 2" xfId="3335" xr:uid="{00000000-0005-0000-0000-0000D3060000}"/>
    <cellStyle name="40% - Accent5 6 2 2" xfId="7558" xr:uid="{00000000-0005-0000-0000-0000D4060000}"/>
    <cellStyle name="40% - Accent5 6 2 2 2" xfId="15993" xr:uid="{82B26FB7-796D-412D-B6CB-1A47A3805899}"/>
    <cellStyle name="40% - Accent5 6 2 3" xfId="11775" xr:uid="{561085BD-1B83-406A-A765-26CC6A1DC0A8}"/>
    <cellStyle name="40% - Accent5 6 3" xfId="5413" xr:uid="{00000000-0005-0000-0000-0000D5060000}"/>
    <cellStyle name="40% - Accent5 6 3 2" xfId="13848" xr:uid="{008E8685-C98D-4A5F-ABA5-25EDA690ED74}"/>
    <cellStyle name="40% - Accent5 6 4" xfId="9630" xr:uid="{2F6CC802-0352-4062-928D-653F638A1EF6}"/>
    <cellStyle name="40% - Accent5 7" xfId="1518" xr:uid="{00000000-0005-0000-0000-0000D6060000}"/>
    <cellStyle name="40% - Accent5 7 2" xfId="3748" xr:uid="{00000000-0005-0000-0000-0000D7060000}"/>
    <cellStyle name="40% - Accent5 7 2 2" xfId="7971" xr:uid="{00000000-0005-0000-0000-0000D8060000}"/>
    <cellStyle name="40% - Accent5 7 2 2 2" xfId="16406" xr:uid="{C269D814-7CC5-40B7-BEA7-C53DCECDC89F}"/>
    <cellStyle name="40% - Accent5 7 2 3" xfId="12188" xr:uid="{11435C84-19E0-48BE-A661-441CA276DA18}"/>
    <cellStyle name="40% - Accent5 7 3" xfId="5826" xr:uid="{00000000-0005-0000-0000-0000D9060000}"/>
    <cellStyle name="40% - Accent5 7 3 2" xfId="14261" xr:uid="{BCFAE5D7-0548-422A-BFFC-C3AE4F9F479E}"/>
    <cellStyle name="40% - Accent5 7 4" xfId="10043" xr:uid="{B0856045-A48E-4706-9937-354B429244A3}"/>
    <cellStyle name="40% - Accent5 8" xfId="1932" xr:uid="{00000000-0005-0000-0000-0000DA060000}"/>
    <cellStyle name="40% - Accent5 8 2" xfId="4161" xr:uid="{00000000-0005-0000-0000-0000DB060000}"/>
    <cellStyle name="40% - Accent5 8 2 2" xfId="8384" xr:uid="{00000000-0005-0000-0000-0000DC060000}"/>
    <cellStyle name="40% - Accent5 8 2 2 2" xfId="16819" xr:uid="{D7596D9D-A4A4-41D7-B3D4-D803EACD1C8A}"/>
    <cellStyle name="40% - Accent5 8 2 3" xfId="12601" xr:uid="{906850B6-E6A8-4B85-B6C2-0024F122F593}"/>
    <cellStyle name="40% - Accent5 8 3" xfId="6239" xr:uid="{00000000-0005-0000-0000-0000DD060000}"/>
    <cellStyle name="40% - Accent5 8 3 2" xfId="14674" xr:uid="{DFFBD7DC-41DD-4A15-A756-887E77CEBA31}"/>
    <cellStyle name="40% - Accent5 8 4" xfId="10456" xr:uid="{90B968DE-6EF9-4134-93CC-FAEFC6D8C073}"/>
    <cellStyle name="40% - Accent5 9" xfId="2345" xr:uid="{00000000-0005-0000-0000-0000DE060000}"/>
    <cellStyle name="40% - Accent5 9 2" xfId="6652" xr:uid="{00000000-0005-0000-0000-0000DF060000}"/>
    <cellStyle name="40% - Accent5 9 2 2" xfId="15087" xr:uid="{840C48AA-21D6-4B91-8B53-5AD97122CAF7}"/>
    <cellStyle name="40% - Accent5 9 3" xfId="10869" xr:uid="{4B796401-0995-4242-AB3C-900994564C47}"/>
    <cellStyle name="40% - Accent6" xfId="89" builtinId="51" customBuiltin="1"/>
    <cellStyle name="40% - Accent6 10" xfId="4594" xr:uid="{00000000-0005-0000-0000-0000E1060000}"/>
    <cellStyle name="40% - Accent6 10 2" xfId="13029" xr:uid="{86B9AF2A-EA2D-4AA3-9AD8-4E79D00F72D3}"/>
    <cellStyle name="40% - Accent6 11" xfId="8811" xr:uid="{E3A4C6E4-9CD1-408E-A852-618E2DC423B3}"/>
    <cellStyle name="40% - Accent6 2" xfId="90" xr:uid="{00000000-0005-0000-0000-0000E2060000}"/>
    <cellStyle name="40% - Accent6 2 10" xfId="8812" xr:uid="{D3034068-225C-4C14-809B-A2E26B82B765}"/>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2 2 2" xfId="15591" xr:uid="{4C33410E-98F5-4326-8E62-3F49E04D3BAE}"/>
    <cellStyle name="40% - Accent6 2 2 2 2 2 3" xfId="11373" xr:uid="{BFD9FAAE-94C5-47EC-9D48-732DFD037D08}"/>
    <cellStyle name="40% - Accent6 2 2 2 2 3" xfId="5011" xr:uid="{00000000-0005-0000-0000-0000E8060000}"/>
    <cellStyle name="40% - Accent6 2 2 2 2 3 2" xfId="13446" xr:uid="{361CF902-FFAB-4A8D-9610-9AA61B4B8D19}"/>
    <cellStyle name="40% - Accent6 2 2 2 2 4" xfId="9228" xr:uid="{D5C6A7EE-56CC-4FF2-B650-0E329A22AAB7}"/>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2 2 2" xfId="16004" xr:uid="{5E7D3568-59CB-4987-B665-7B5DD4A2DDD4}"/>
    <cellStyle name="40% - Accent6 2 2 2 3 2 3" xfId="11786" xr:uid="{06C087F5-37BA-4F2B-BF9C-46052BB72D99}"/>
    <cellStyle name="40% - Accent6 2 2 2 3 3" xfId="5424" xr:uid="{00000000-0005-0000-0000-0000EC060000}"/>
    <cellStyle name="40% - Accent6 2 2 2 3 3 2" xfId="13859" xr:uid="{08F0F8C5-2FEB-40B5-BAA1-C2BDC0B8BD5E}"/>
    <cellStyle name="40% - Accent6 2 2 2 3 4" xfId="9641" xr:uid="{5713A026-B235-46F5-9CCE-654FE1C6E2ED}"/>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2 2 2" xfId="16417" xr:uid="{CE098B8C-E024-4253-BF7E-0820300997C1}"/>
    <cellStyle name="40% - Accent6 2 2 2 4 2 3" xfId="12199" xr:uid="{F12A649D-8728-4D6E-B28E-44F3653583E2}"/>
    <cellStyle name="40% - Accent6 2 2 2 4 3" xfId="5837" xr:uid="{00000000-0005-0000-0000-0000F0060000}"/>
    <cellStyle name="40% - Accent6 2 2 2 4 3 2" xfId="14272" xr:uid="{44666B80-E785-4437-A650-CF13B7A5169D}"/>
    <cellStyle name="40% - Accent6 2 2 2 4 4" xfId="10054" xr:uid="{5FC6240D-F65E-4088-B2D2-8947FBEEFDA6}"/>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2 2 2" xfId="16830" xr:uid="{FD727475-CF8D-45E3-9CF3-8B870A7DBF8D}"/>
    <cellStyle name="40% - Accent6 2 2 2 5 2 3" xfId="12612" xr:uid="{71EF198C-26DF-4D14-A305-888E34D66FE9}"/>
    <cellStyle name="40% - Accent6 2 2 2 5 3" xfId="6250" xr:uid="{00000000-0005-0000-0000-0000F4060000}"/>
    <cellStyle name="40% - Accent6 2 2 2 5 3 2" xfId="14685" xr:uid="{E5DA2E40-5EC9-4754-8062-95C1E52A754A}"/>
    <cellStyle name="40% - Accent6 2 2 2 5 4" xfId="10467" xr:uid="{3921F1D9-2AD5-4FD5-BA60-8E86235F542E}"/>
    <cellStyle name="40% - Accent6 2 2 2 6" xfId="2356" xr:uid="{00000000-0005-0000-0000-0000F5060000}"/>
    <cellStyle name="40% - Accent6 2 2 2 6 2" xfId="6663" xr:uid="{00000000-0005-0000-0000-0000F6060000}"/>
    <cellStyle name="40% - Accent6 2 2 2 6 2 2" xfId="15098" xr:uid="{486FBFA0-B761-4169-AD1E-269D339F822A}"/>
    <cellStyle name="40% - Accent6 2 2 2 6 3" xfId="10880" xr:uid="{5DFA4BBC-1707-450D-A43B-D5B380CE2C72}"/>
    <cellStyle name="40% - Accent6 2 2 2 7" xfId="4597" xr:uid="{00000000-0005-0000-0000-0000F7060000}"/>
    <cellStyle name="40% - Accent6 2 2 2 7 2" xfId="13032" xr:uid="{8083D8F9-92DA-4833-972A-8F296EBF39FD}"/>
    <cellStyle name="40% - Accent6 2 2 2 8" xfId="8814" xr:uid="{92048083-1EC0-4601-8EE4-3C0AEC502E51}"/>
    <cellStyle name="40% - Accent6 2 2 3" xfId="661" xr:uid="{00000000-0005-0000-0000-0000F8060000}"/>
    <cellStyle name="40% - Accent6 2 2 3 2" xfId="2932" xr:uid="{00000000-0005-0000-0000-0000F9060000}"/>
    <cellStyle name="40% - Accent6 2 2 3 2 2" xfId="7155" xr:uid="{00000000-0005-0000-0000-0000FA060000}"/>
    <cellStyle name="40% - Accent6 2 2 3 2 2 2" xfId="15590" xr:uid="{19EE6FDE-EBFE-4209-A280-FD0E90F65C15}"/>
    <cellStyle name="40% - Accent6 2 2 3 2 3" xfId="11372" xr:uid="{14DE7FA6-7659-4E5F-96B2-6E8F346D8B11}"/>
    <cellStyle name="40% - Accent6 2 2 3 3" xfId="5010" xr:uid="{00000000-0005-0000-0000-0000FB060000}"/>
    <cellStyle name="40% - Accent6 2 2 3 3 2" xfId="13445" xr:uid="{66FB3356-FEBB-472E-A0EB-F66AA6584BE9}"/>
    <cellStyle name="40% - Accent6 2 2 3 4" xfId="9227" xr:uid="{169BAA80-15CC-476F-9810-FAB6FDCFA242}"/>
    <cellStyle name="40% - Accent6 2 2 4" xfId="1114" xr:uid="{00000000-0005-0000-0000-0000FC060000}"/>
    <cellStyle name="40% - Accent6 2 2 4 2" xfId="3345" xr:uid="{00000000-0005-0000-0000-0000FD060000}"/>
    <cellStyle name="40% - Accent6 2 2 4 2 2" xfId="7568" xr:uid="{00000000-0005-0000-0000-0000FE060000}"/>
    <cellStyle name="40% - Accent6 2 2 4 2 2 2" xfId="16003" xr:uid="{878696F3-1497-4838-932A-F8F9857DECBC}"/>
    <cellStyle name="40% - Accent6 2 2 4 2 3" xfId="11785" xr:uid="{0259CCA0-5B9B-4910-B5FE-D54ADFFF9FA4}"/>
    <cellStyle name="40% - Accent6 2 2 4 3" xfId="5423" xr:uid="{00000000-0005-0000-0000-0000FF060000}"/>
    <cellStyle name="40% - Accent6 2 2 4 3 2" xfId="13858" xr:uid="{496C34AD-A120-409C-95F5-A104152EF206}"/>
    <cellStyle name="40% - Accent6 2 2 4 4" xfId="9640" xr:uid="{B2B2984A-7D49-45CE-BA4B-6EAC86812B4E}"/>
    <cellStyle name="40% - Accent6 2 2 5" xfId="1528" xr:uid="{00000000-0005-0000-0000-000000070000}"/>
    <cellStyle name="40% - Accent6 2 2 5 2" xfId="3758" xr:uid="{00000000-0005-0000-0000-000001070000}"/>
    <cellStyle name="40% - Accent6 2 2 5 2 2" xfId="7981" xr:uid="{00000000-0005-0000-0000-000002070000}"/>
    <cellStyle name="40% - Accent6 2 2 5 2 2 2" xfId="16416" xr:uid="{9889C50C-D549-4105-9D11-8E36BA5184F4}"/>
    <cellStyle name="40% - Accent6 2 2 5 2 3" xfId="12198" xr:uid="{74A789A2-2F29-471A-B507-E1D8BCBF6263}"/>
    <cellStyle name="40% - Accent6 2 2 5 3" xfId="5836" xr:uid="{00000000-0005-0000-0000-000003070000}"/>
    <cellStyle name="40% - Accent6 2 2 5 3 2" xfId="14271" xr:uid="{2C479D53-B088-41C6-B36C-C07C81C558D8}"/>
    <cellStyle name="40% - Accent6 2 2 5 4" xfId="10053" xr:uid="{0EC35822-5D06-4CF9-9840-C20AD1EA5913}"/>
    <cellStyle name="40% - Accent6 2 2 6" xfId="1942" xr:uid="{00000000-0005-0000-0000-000004070000}"/>
    <cellStyle name="40% - Accent6 2 2 6 2" xfId="4171" xr:uid="{00000000-0005-0000-0000-000005070000}"/>
    <cellStyle name="40% - Accent6 2 2 6 2 2" xfId="8394" xr:uid="{00000000-0005-0000-0000-000006070000}"/>
    <cellStyle name="40% - Accent6 2 2 6 2 2 2" xfId="16829" xr:uid="{885D8459-C936-4D0C-BF37-8435FAFBFE90}"/>
    <cellStyle name="40% - Accent6 2 2 6 2 3" xfId="12611" xr:uid="{54D2C2E3-837A-402D-83C5-EEE165D74947}"/>
    <cellStyle name="40% - Accent6 2 2 6 3" xfId="6249" xr:uid="{00000000-0005-0000-0000-000007070000}"/>
    <cellStyle name="40% - Accent6 2 2 6 3 2" xfId="14684" xr:uid="{489B7CAC-BEEE-4CD6-81F3-29BFFA5FA6B9}"/>
    <cellStyle name="40% - Accent6 2 2 6 4" xfId="10466" xr:uid="{9D3CB212-8D55-4C99-B2C7-0137C58D696C}"/>
    <cellStyle name="40% - Accent6 2 2 7" xfId="2355" xr:uid="{00000000-0005-0000-0000-000008070000}"/>
    <cellStyle name="40% - Accent6 2 2 7 2" xfId="6662" xr:uid="{00000000-0005-0000-0000-000009070000}"/>
    <cellStyle name="40% - Accent6 2 2 7 2 2" xfId="15097" xr:uid="{C8E62D09-D3F6-4721-8BDD-FD7EE02A88ED}"/>
    <cellStyle name="40% - Accent6 2 2 7 3" xfId="10879" xr:uid="{0D31686B-8114-47C9-9A00-116658D13BEC}"/>
    <cellStyle name="40% - Accent6 2 2 8" xfId="4596" xr:uid="{00000000-0005-0000-0000-00000A070000}"/>
    <cellStyle name="40% - Accent6 2 2 8 2" xfId="13031" xr:uid="{596A1476-79ED-4780-B8EE-9195A67B367B}"/>
    <cellStyle name="40% - Accent6 2 2 9" xfId="8813" xr:uid="{0B9074B7-046E-4C77-A4D7-833CAAF3534F}"/>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2 2 2" xfId="15592" xr:uid="{9783492D-CD98-49AD-8BA9-4AC0AF247B26}"/>
    <cellStyle name="40% - Accent6 2 3 2 2 3" xfId="11374" xr:uid="{7563CFC9-989C-4CA6-9DD5-B0A41678D035}"/>
    <cellStyle name="40% - Accent6 2 3 2 3" xfId="5012" xr:uid="{00000000-0005-0000-0000-00000F070000}"/>
    <cellStyle name="40% - Accent6 2 3 2 3 2" xfId="13447" xr:uid="{E65D423A-3ECB-4A67-A4ED-19D4DDFA8ABD}"/>
    <cellStyle name="40% - Accent6 2 3 2 4" xfId="9229" xr:uid="{AB272866-01C4-4C24-A9BE-A415D1B82694}"/>
    <cellStyle name="40% - Accent6 2 3 3" xfId="1116" xr:uid="{00000000-0005-0000-0000-000010070000}"/>
    <cellStyle name="40% - Accent6 2 3 3 2" xfId="3347" xr:uid="{00000000-0005-0000-0000-000011070000}"/>
    <cellStyle name="40% - Accent6 2 3 3 2 2" xfId="7570" xr:uid="{00000000-0005-0000-0000-000012070000}"/>
    <cellStyle name="40% - Accent6 2 3 3 2 2 2" xfId="16005" xr:uid="{B88EEAEA-3340-4856-B5AF-2207B406A665}"/>
    <cellStyle name="40% - Accent6 2 3 3 2 3" xfId="11787" xr:uid="{C54BB650-DA7D-47EE-A043-86C8A0EDA9CC}"/>
    <cellStyle name="40% - Accent6 2 3 3 3" xfId="5425" xr:uid="{00000000-0005-0000-0000-000013070000}"/>
    <cellStyle name="40% - Accent6 2 3 3 3 2" xfId="13860" xr:uid="{85FD7B00-DE5C-40D2-9E0A-036560195CF4}"/>
    <cellStyle name="40% - Accent6 2 3 3 4" xfId="9642" xr:uid="{5DE892FD-FA20-4480-A7AC-92C56C7AD624}"/>
    <cellStyle name="40% - Accent6 2 3 4" xfId="1530" xr:uid="{00000000-0005-0000-0000-000014070000}"/>
    <cellStyle name="40% - Accent6 2 3 4 2" xfId="3760" xr:uid="{00000000-0005-0000-0000-000015070000}"/>
    <cellStyle name="40% - Accent6 2 3 4 2 2" xfId="7983" xr:uid="{00000000-0005-0000-0000-000016070000}"/>
    <cellStyle name="40% - Accent6 2 3 4 2 2 2" xfId="16418" xr:uid="{F5AC80DD-A9E5-47D0-AB52-4319963A43B5}"/>
    <cellStyle name="40% - Accent6 2 3 4 2 3" xfId="12200" xr:uid="{B266969E-4954-432B-AD62-3E64B1F3BDFF}"/>
    <cellStyle name="40% - Accent6 2 3 4 3" xfId="5838" xr:uid="{00000000-0005-0000-0000-000017070000}"/>
    <cellStyle name="40% - Accent6 2 3 4 3 2" xfId="14273" xr:uid="{1B42201E-258A-4A38-A2D9-D369E00347DD}"/>
    <cellStyle name="40% - Accent6 2 3 4 4" xfId="10055" xr:uid="{6934E26E-6667-40B2-8271-48E727DE5F90}"/>
    <cellStyle name="40% - Accent6 2 3 5" xfId="1944" xr:uid="{00000000-0005-0000-0000-000018070000}"/>
    <cellStyle name="40% - Accent6 2 3 5 2" xfId="4173" xr:uid="{00000000-0005-0000-0000-000019070000}"/>
    <cellStyle name="40% - Accent6 2 3 5 2 2" xfId="8396" xr:uid="{00000000-0005-0000-0000-00001A070000}"/>
    <cellStyle name="40% - Accent6 2 3 5 2 2 2" xfId="16831" xr:uid="{53936CCB-0E51-4A3B-B609-FD7A5B052D8F}"/>
    <cellStyle name="40% - Accent6 2 3 5 2 3" xfId="12613" xr:uid="{38D19260-7270-4C70-89E0-02E27726DEA8}"/>
    <cellStyle name="40% - Accent6 2 3 5 3" xfId="6251" xr:uid="{00000000-0005-0000-0000-00001B070000}"/>
    <cellStyle name="40% - Accent6 2 3 5 3 2" xfId="14686" xr:uid="{B7FD663E-02FF-40AE-85E3-24AB597211C0}"/>
    <cellStyle name="40% - Accent6 2 3 5 4" xfId="10468" xr:uid="{B2E66204-9DEF-4156-BB1F-30ACD79D0D59}"/>
    <cellStyle name="40% - Accent6 2 3 6" xfId="2357" xr:uid="{00000000-0005-0000-0000-00001C070000}"/>
    <cellStyle name="40% - Accent6 2 3 6 2" xfId="6664" xr:uid="{00000000-0005-0000-0000-00001D070000}"/>
    <cellStyle name="40% - Accent6 2 3 6 2 2" xfId="15099" xr:uid="{B9535324-A7E0-4C36-89D1-2DCD8FCC6C4E}"/>
    <cellStyle name="40% - Accent6 2 3 6 3" xfId="10881" xr:uid="{78617F0C-7090-4324-AEE3-3EF2349C7348}"/>
    <cellStyle name="40% - Accent6 2 3 7" xfId="4598" xr:uid="{00000000-0005-0000-0000-00001E070000}"/>
    <cellStyle name="40% - Accent6 2 3 7 2" xfId="13033" xr:uid="{23474D80-FE00-46C9-821A-5EC11876F133}"/>
    <cellStyle name="40% - Accent6 2 3 8" xfId="8815" xr:uid="{27928792-9855-47BA-9EE8-3446CF3D1B7E}"/>
    <cellStyle name="40% - Accent6 2 4" xfId="660" xr:uid="{00000000-0005-0000-0000-00001F070000}"/>
    <cellStyle name="40% - Accent6 2 4 2" xfId="2931" xr:uid="{00000000-0005-0000-0000-000020070000}"/>
    <cellStyle name="40% - Accent6 2 4 2 2" xfId="7154" xr:uid="{00000000-0005-0000-0000-000021070000}"/>
    <cellStyle name="40% - Accent6 2 4 2 2 2" xfId="15589" xr:uid="{3FC30D29-6782-4413-AF22-62BD7538D993}"/>
    <cellStyle name="40% - Accent6 2 4 2 3" xfId="11371" xr:uid="{EDB50349-4244-4510-B45B-9B9717D634EB}"/>
    <cellStyle name="40% - Accent6 2 4 3" xfId="5009" xr:uid="{00000000-0005-0000-0000-000022070000}"/>
    <cellStyle name="40% - Accent6 2 4 3 2" xfId="13444" xr:uid="{C9B09F6C-4C43-4DFD-A34D-3A12273C5CFD}"/>
    <cellStyle name="40% - Accent6 2 4 4" xfId="9226" xr:uid="{37719B21-14D5-4E3A-9AF4-423EA71888EC}"/>
    <cellStyle name="40% - Accent6 2 5" xfId="1113" xr:uid="{00000000-0005-0000-0000-000023070000}"/>
    <cellStyle name="40% - Accent6 2 5 2" xfId="3344" xr:uid="{00000000-0005-0000-0000-000024070000}"/>
    <cellStyle name="40% - Accent6 2 5 2 2" xfId="7567" xr:uid="{00000000-0005-0000-0000-000025070000}"/>
    <cellStyle name="40% - Accent6 2 5 2 2 2" xfId="16002" xr:uid="{992019E0-9188-4E5F-9D47-B2922632CFE4}"/>
    <cellStyle name="40% - Accent6 2 5 2 3" xfId="11784" xr:uid="{7FB2500F-95F8-4322-9807-E9D5A78CA139}"/>
    <cellStyle name="40% - Accent6 2 5 3" xfId="5422" xr:uid="{00000000-0005-0000-0000-000026070000}"/>
    <cellStyle name="40% - Accent6 2 5 3 2" xfId="13857" xr:uid="{66849080-893D-42E5-A4C3-F397D3DD2ED6}"/>
    <cellStyle name="40% - Accent6 2 5 4" xfId="9639" xr:uid="{E4B27CB0-646E-4FE9-9694-13D842387147}"/>
    <cellStyle name="40% - Accent6 2 6" xfId="1527" xr:uid="{00000000-0005-0000-0000-000027070000}"/>
    <cellStyle name="40% - Accent6 2 6 2" xfId="3757" xr:uid="{00000000-0005-0000-0000-000028070000}"/>
    <cellStyle name="40% - Accent6 2 6 2 2" xfId="7980" xr:uid="{00000000-0005-0000-0000-000029070000}"/>
    <cellStyle name="40% - Accent6 2 6 2 2 2" xfId="16415" xr:uid="{1833EE69-E039-4479-A825-A0C878E322E7}"/>
    <cellStyle name="40% - Accent6 2 6 2 3" xfId="12197" xr:uid="{D427B2A3-8C46-4310-A82F-F5654A389423}"/>
    <cellStyle name="40% - Accent6 2 6 3" xfId="5835" xr:uid="{00000000-0005-0000-0000-00002A070000}"/>
    <cellStyle name="40% - Accent6 2 6 3 2" xfId="14270" xr:uid="{19035D1D-A624-497E-8D16-9CA17849103E}"/>
    <cellStyle name="40% - Accent6 2 6 4" xfId="10052" xr:uid="{60193CD9-5A41-476B-B1A5-B6382E3F657F}"/>
    <cellStyle name="40% - Accent6 2 7" xfId="1941" xr:uid="{00000000-0005-0000-0000-00002B070000}"/>
    <cellStyle name="40% - Accent6 2 7 2" xfId="4170" xr:uid="{00000000-0005-0000-0000-00002C070000}"/>
    <cellStyle name="40% - Accent6 2 7 2 2" xfId="8393" xr:uid="{00000000-0005-0000-0000-00002D070000}"/>
    <cellStyle name="40% - Accent6 2 7 2 2 2" xfId="16828" xr:uid="{38BDC501-9D40-46E9-9317-7C8E6A024D54}"/>
    <cellStyle name="40% - Accent6 2 7 2 3" xfId="12610" xr:uid="{9447E424-543F-490D-8651-CC3C91628BEC}"/>
    <cellStyle name="40% - Accent6 2 7 3" xfId="6248" xr:uid="{00000000-0005-0000-0000-00002E070000}"/>
    <cellStyle name="40% - Accent6 2 7 3 2" xfId="14683" xr:uid="{F6598A94-B8D4-4A77-9653-5E9BB6203765}"/>
    <cellStyle name="40% - Accent6 2 7 4" xfId="10465" xr:uid="{0685B602-92FA-47FC-9CFF-35BB2C2F80EA}"/>
    <cellStyle name="40% - Accent6 2 8" xfId="2354" xr:uid="{00000000-0005-0000-0000-00002F070000}"/>
    <cellStyle name="40% - Accent6 2 8 2" xfId="6661" xr:uid="{00000000-0005-0000-0000-000030070000}"/>
    <cellStyle name="40% - Accent6 2 8 2 2" xfId="15096" xr:uid="{164F638C-71A1-4D82-8590-EFDFFAE80A6B}"/>
    <cellStyle name="40% - Accent6 2 8 3" xfId="10878" xr:uid="{61D86AB5-7FCB-4BD3-BE21-DA501A74EF71}"/>
    <cellStyle name="40% - Accent6 2 9" xfId="4595" xr:uid="{00000000-0005-0000-0000-000031070000}"/>
    <cellStyle name="40% - Accent6 2 9 2" xfId="13030" xr:uid="{7F36EF78-9B45-461A-9825-49A0E3CCC228}"/>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2 2 2" xfId="15594" xr:uid="{67A6E0DF-A095-438B-ACAD-7B62CB9FDEA6}"/>
    <cellStyle name="40% - Accent6 3 2 2 2 3" xfId="11376" xr:uid="{1CB2B2C1-547F-470C-835C-1368C181DBEF}"/>
    <cellStyle name="40% - Accent6 3 2 2 3" xfId="5014" xr:uid="{00000000-0005-0000-0000-000037070000}"/>
    <cellStyle name="40% - Accent6 3 2 2 3 2" xfId="13449" xr:uid="{6BE307AB-167F-4DEC-A132-BC31FC14B6C8}"/>
    <cellStyle name="40% - Accent6 3 2 2 4" xfId="9231" xr:uid="{AC94FD22-2936-4709-A260-4928A892F72C}"/>
    <cellStyle name="40% - Accent6 3 2 3" xfId="1118" xr:uid="{00000000-0005-0000-0000-000038070000}"/>
    <cellStyle name="40% - Accent6 3 2 3 2" xfId="3349" xr:uid="{00000000-0005-0000-0000-000039070000}"/>
    <cellStyle name="40% - Accent6 3 2 3 2 2" xfId="7572" xr:uid="{00000000-0005-0000-0000-00003A070000}"/>
    <cellStyle name="40% - Accent6 3 2 3 2 2 2" xfId="16007" xr:uid="{3AE82898-C7C3-4594-B379-1B31A3286C77}"/>
    <cellStyle name="40% - Accent6 3 2 3 2 3" xfId="11789" xr:uid="{F6695E4B-7196-4DC6-94DC-54151E0E30B8}"/>
    <cellStyle name="40% - Accent6 3 2 3 3" xfId="5427" xr:uid="{00000000-0005-0000-0000-00003B070000}"/>
    <cellStyle name="40% - Accent6 3 2 3 3 2" xfId="13862" xr:uid="{834BC063-2921-490C-B353-C37C4D8A2C53}"/>
    <cellStyle name="40% - Accent6 3 2 3 4" xfId="9644" xr:uid="{880D97CA-1FAB-4A52-9EC6-AD3E44543484}"/>
    <cellStyle name="40% - Accent6 3 2 4" xfId="1532" xr:uid="{00000000-0005-0000-0000-00003C070000}"/>
    <cellStyle name="40% - Accent6 3 2 4 2" xfId="3762" xr:uid="{00000000-0005-0000-0000-00003D070000}"/>
    <cellStyle name="40% - Accent6 3 2 4 2 2" xfId="7985" xr:uid="{00000000-0005-0000-0000-00003E070000}"/>
    <cellStyle name="40% - Accent6 3 2 4 2 2 2" xfId="16420" xr:uid="{1EA67F0B-96E4-4515-82E1-FCE1E223D9E7}"/>
    <cellStyle name="40% - Accent6 3 2 4 2 3" xfId="12202" xr:uid="{FA1A8DAB-AD71-474B-BCD1-43C6DD2E45B7}"/>
    <cellStyle name="40% - Accent6 3 2 4 3" xfId="5840" xr:uid="{00000000-0005-0000-0000-00003F070000}"/>
    <cellStyle name="40% - Accent6 3 2 4 3 2" xfId="14275" xr:uid="{BF82D566-9E01-452F-9DCE-CEB719051DB8}"/>
    <cellStyle name="40% - Accent6 3 2 4 4" xfId="10057" xr:uid="{72AC9AC9-0408-4ADC-8E9F-5D1865AD0DA6}"/>
    <cellStyle name="40% - Accent6 3 2 5" xfId="1946" xr:uid="{00000000-0005-0000-0000-000040070000}"/>
    <cellStyle name="40% - Accent6 3 2 5 2" xfId="4175" xr:uid="{00000000-0005-0000-0000-000041070000}"/>
    <cellStyle name="40% - Accent6 3 2 5 2 2" xfId="8398" xr:uid="{00000000-0005-0000-0000-000042070000}"/>
    <cellStyle name="40% - Accent6 3 2 5 2 2 2" xfId="16833" xr:uid="{0CFD4F20-8339-4A69-BB45-9C85134B15C6}"/>
    <cellStyle name="40% - Accent6 3 2 5 2 3" xfId="12615" xr:uid="{19D0EF9E-B5E0-4944-A2E0-EF3EFA119096}"/>
    <cellStyle name="40% - Accent6 3 2 5 3" xfId="6253" xr:uid="{00000000-0005-0000-0000-000043070000}"/>
    <cellStyle name="40% - Accent6 3 2 5 3 2" xfId="14688" xr:uid="{341CE7FF-F65A-4FA6-9684-8D356801D94A}"/>
    <cellStyle name="40% - Accent6 3 2 5 4" xfId="10470" xr:uid="{299EFE92-BBBB-45CD-B8E1-9191EA174567}"/>
    <cellStyle name="40% - Accent6 3 2 6" xfId="2359" xr:uid="{00000000-0005-0000-0000-000044070000}"/>
    <cellStyle name="40% - Accent6 3 2 6 2" xfId="6666" xr:uid="{00000000-0005-0000-0000-000045070000}"/>
    <cellStyle name="40% - Accent6 3 2 6 2 2" xfId="15101" xr:uid="{F45B58DC-DCFA-45E4-AA3D-265BDC83628D}"/>
    <cellStyle name="40% - Accent6 3 2 6 3" xfId="10883" xr:uid="{BC047497-BCF5-4BE1-9226-C39D2A711E17}"/>
    <cellStyle name="40% - Accent6 3 2 7" xfId="4600" xr:uid="{00000000-0005-0000-0000-000046070000}"/>
    <cellStyle name="40% - Accent6 3 2 7 2" xfId="13035" xr:uid="{136ABCC7-9AB5-44A0-B9FC-51EFD48C63C0}"/>
    <cellStyle name="40% - Accent6 3 2 8" xfId="8817" xr:uid="{AF747AAB-5C97-4566-BCCB-5E9FBBEEFDCF}"/>
    <cellStyle name="40% - Accent6 3 3" xfId="664" xr:uid="{00000000-0005-0000-0000-000047070000}"/>
    <cellStyle name="40% - Accent6 3 3 2" xfId="2935" xr:uid="{00000000-0005-0000-0000-000048070000}"/>
    <cellStyle name="40% - Accent6 3 3 2 2" xfId="7158" xr:uid="{00000000-0005-0000-0000-000049070000}"/>
    <cellStyle name="40% - Accent6 3 3 2 2 2" xfId="15593" xr:uid="{A00FC3AF-1BFE-499F-B89C-68A68EF178FF}"/>
    <cellStyle name="40% - Accent6 3 3 2 3" xfId="11375" xr:uid="{B8DF0E0B-73DF-4DEC-B107-9D6AEAF10977}"/>
    <cellStyle name="40% - Accent6 3 3 3" xfId="5013" xr:uid="{00000000-0005-0000-0000-00004A070000}"/>
    <cellStyle name="40% - Accent6 3 3 3 2" xfId="13448" xr:uid="{2B36986F-81F8-47FC-963D-B6484261DF31}"/>
    <cellStyle name="40% - Accent6 3 3 4" xfId="9230" xr:uid="{2E407798-6A72-4D41-9E6C-8192BF912F53}"/>
    <cellStyle name="40% - Accent6 3 4" xfId="1117" xr:uid="{00000000-0005-0000-0000-00004B070000}"/>
    <cellStyle name="40% - Accent6 3 4 2" xfId="3348" xr:uid="{00000000-0005-0000-0000-00004C070000}"/>
    <cellStyle name="40% - Accent6 3 4 2 2" xfId="7571" xr:uid="{00000000-0005-0000-0000-00004D070000}"/>
    <cellStyle name="40% - Accent6 3 4 2 2 2" xfId="16006" xr:uid="{6508AF31-127D-4DC4-9303-ECC6B191B80E}"/>
    <cellStyle name="40% - Accent6 3 4 2 3" xfId="11788" xr:uid="{2337FC58-572D-4ADC-99BE-7393832A5D76}"/>
    <cellStyle name="40% - Accent6 3 4 3" xfId="5426" xr:uid="{00000000-0005-0000-0000-00004E070000}"/>
    <cellStyle name="40% - Accent6 3 4 3 2" xfId="13861" xr:uid="{2B26D98F-0DB2-4DD1-BB61-61F967607735}"/>
    <cellStyle name="40% - Accent6 3 4 4" xfId="9643" xr:uid="{94F6DD7D-E42E-4471-9E0C-88A8F1EBD8AD}"/>
    <cellStyle name="40% - Accent6 3 5" xfId="1531" xr:uid="{00000000-0005-0000-0000-00004F070000}"/>
    <cellStyle name="40% - Accent6 3 5 2" xfId="3761" xr:uid="{00000000-0005-0000-0000-000050070000}"/>
    <cellStyle name="40% - Accent6 3 5 2 2" xfId="7984" xr:uid="{00000000-0005-0000-0000-000051070000}"/>
    <cellStyle name="40% - Accent6 3 5 2 2 2" xfId="16419" xr:uid="{1587ED4C-1F06-4332-84C0-CBAFFC9ABA99}"/>
    <cellStyle name="40% - Accent6 3 5 2 3" xfId="12201" xr:uid="{20CD60AA-0162-4C42-8F94-EE1807BDF066}"/>
    <cellStyle name="40% - Accent6 3 5 3" xfId="5839" xr:uid="{00000000-0005-0000-0000-000052070000}"/>
    <cellStyle name="40% - Accent6 3 5 3 2" xfId="14274" xr:uid="{84EC9FAD-9BE4-46FA-8873-0D50943F321C}"/>
    <cellStyle name="40% - Accent6 3 5 4" xfId="10056" xr:uid="{B8143C7B-4FC1-4C0C-B505-2A1FAABD4549}"/>
    <cellStyle name="40% - Accent6 3 6" xfId="1945" xr:uid="{00000000-0005-0000-0000-000053070000}"/>
    <cellStyle name="40% - Accent6 3 6 2" xfId="4174" xr:uid="{00000000-0005-0000-0000-000054070000}"/>
    <cellStyle name="40% - Accent6 3 6 2 2" xfId="8397" xr:uid="{00000000-0005-0000-0000-000055070000}"/>
    <cellStyle name="40% - Accent6 3 6 2 2 2" xfId="16832" xr:uid="{3669368C-E93F-4F9C-84C0-A3908F227105}"/>
    <cellStyle name="40% - Accent6 3 6 2 3" xfId="12614" xr:uid="{BC156C34-6C04-4894-8D2F-83A1059E93D1}"/>
    <cellStyle name="40% - Accent6 3 6 3" xfId="6252" xr:uid="{00000000-0005-0000-0000-000056070000}"/>
    <cellStyle name="40% - Accent6 3 6 3 2" xfId="14687" xr:uid="{4E58958D-FD0B-4856-945A-3821F071E9E3}"/>
    <cellStyle name="40% - Accent6 3 6 4" xfId="10469" xr:uid="{74839B47-EE37-4BD5-91AA-88FA4CF8B042}"/>
    <cellStyle name="40% - Accent6 3 7" xfId="2358" xr:uid="{00000000-0005-0000-0000-000057070000}"/>
    <cellStyle name="40% - Accent6 3 7 2" xfId="6665" xr:uid="{00000000-0005-0000-0000-000058070000}"/>
    <cellStyle name="40% - Accent6 3 7 2 2" xfId="15100" xr:uid="{498132BB-65DA-4B0B-AC33-08CB169DE2D4}"/>
    <cellStyle name="40% - Accent6 3 7 3" xfId="10882" xr:uid="{988E2561-BD01-4218-A5B3-8D9DC6E1EE17}"/>
    <cellStyle name="40% - Accent6 3 8" xfId="4599" xr:uid="{00000000-0005-0000-0000-000059070000}"/>
    <cellStyle name="40% - Accent6 3 8 2" xfId="13034" xr:uid="{74262F93-219A-423C-8FD4-9732D5EC8ED9}"/>
    <cellStyle name="40% - Accent6 3 9" xfId="8816" xr:uid="{E59D64D1-F4D0-4555-8F9F-0640EFFB2295}"/>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2 2 2" xfId="15595" xr:uid="{B03466B9-7955-4655-BF9B-C35BBE3B4233}"/>
    <cellStyle name="40% - Accent6 4 2 2 3" xfId="11377" xr:uid="{83A56E5C-9D29-4C02-950B-4EB6C656236A}"/>
    <cellStyle name="40% - Accent6 4 2 3" xfId="5015" xr:uid="{00000000-0005-0000-0000-00005E070000}"/>
    <cellStyle name="40% - Accent6 4 2 3 2" xfId="13450" xr:uid="{0DA2AACB-2598-4369-BC33-4159619A9ADB}"/>
    <cellStyle name="40% - Accent6 4 2 4" xfId="9232" xr:uid="{DBD73945-13A1-4439-B9DD-B73A2E08AB6F}"/>
    <cellStyle name="40% - Accent6 4 3" xfId="1119" xr:uid="{00000000-0005-0000-0000-00005F070000}"/>
    <cellStyle name="40% - Accent6 4 3 2" xfId="3350" xr:uid="{00000000-0005-0000-0000-000060070000}"/>
    <cellStyle name="40% - Accent6 4 3 2 2" xfId="7573" xr:uid="{00000000-0005-0000-0000-000061070000}"/>
    <cellStyle name="40% - Accent6 4 3 2 2 2" xfId="16008" xr:uid="{134F97CC-AE97-4A58-B5BC-E519873CAEFC}"/>
    <cellStyle name="40% - Accent6 4 3 2 3" xfId="11790" xr:uid="{E1232F1D-9CD4-4738-A8FF-0628AF10B592}"/>
    <cellStyle name="40% - Accent6 4 3 3" xfId="5428" xr:uid="{00000000-0005-0000-0000-000062070000}"/>
    <cellStyle name="40% - Accent6 4 3 3 2" xfId="13863" xr:uid="{BED8B33D-4E12-4B25-8A0E-2C3219F0A856}"/>
    <cellStyle name="40% - Accent6 4 3 4" xfId="9645" xr:uid="{8B0B2074-76DC-4F3E-89AB-C42C07A0D504}"/>
    <cellStyle name="40% - Accent6 4 4" xfId="1533" xr:uid="{00000000-0005-0000-0000-000063070000}"/>
    <cellStyle name="40% - Accent6 4 4 2" xfId="3763" xr:uid="{00000000-0005-0000-0000-000064070000}"/>
    <cellStyle name="40% - Accent6 4 4 2 2" xfId="7986" xr:uid="{00000000-0005-0000-0000-000065070000}"/>
    <cellStyle name="40% - Accent6 4 4 2 2 2" xfId="16421" xr:uid="{9DEA4BBC-04C9-4EAE-AC3B-B592AA43D202}"/>
    <cellStyle name="40% - Accent6 4 4 2 3" xfId="12203" xr:uid="{FC176DD5-FC9D-40A4-8E56-B5433E83824F}"/>
    <cellStyle name="40% - Accent6 4 4 3" xfId="5841" xr:uid="{00000000-0005-0000-0000-000066070000}"/>
    <cellStyle name="40% - Accent6 4 4 3 2" xfId="14276" xr:uid="{0B600B4A-7333-40DC-B5CD-D5C8CC29B9DA}"/>
    <cellStyle name="40% - Accent6 4 4 4" xfId="10058" xr:uid="{45E134F5-87FF-46D6-8444-375C2535EE5F}"/>
    <cellStyle name="40% - Accent6 4 5" xfId="1947" xr:uid="{00000000-0005-0000-0000-000067070000}"/>
    <cellStyle name="40% - Accent6 4 5 2" xfId="4176" xr:uid="{00000000-0005-0000-0000-000068070000}"/>
    <cellStyle name="40% - Accent6 4 5 2 2" xfId="8399" xr:uid="{00000000-0005-0000-0000-000069070000}"/>
    <cellStyle name="40% - Accent6 4 5 2 2 2" xfId="16834" xr:uid="{BF70A13E-3BAB-47E4-923D-E857CD5930C8}"/>
    <cellStyle name="40% - Accent6 4 5 2 3" xfId="12616" xr:uid="{BC44A324-4ED7-42BF-AE56-C75D921781D3}"/>
    <cellStyle name="40% - Accent6 4 5 3" xfId="6254" xr:uid="{00000000-0005-0000-0000-00006A070000}"/>
    <cellStyle name="40% - Accent6 4 5 3 2" xfId="14689" xr:uid="{C90F88A3-AAC3-4F28-BFF8-74EC96DB43AE}"/>
    <cellStyle name="40% - Accent6 4 5 4" xfId="10471" xr:uid="{91F99578-F127-49D5-9851-E362683FC3C3}"/>
    <cellStyle name="40% - Accent6 4 6" xfId="2360" xr:uid="{00000000-0005-0000-0000-00006B070000}"/>
    <cellStyle name="40% - Accent6 4 6 2" xfId="6667" xr:uid="{00000000-0005-0000-0000-00006C070000}"/>
    <cellStyle name="40% - Accent6 4 6 2 2" xfId="15102" xr:uid="{009050C1-145D-4A82-9D03-12453EB310E1}"/>
    <cellStyle name="40% - Accent6 4 6 3" xfId="10884" xr:uid="{FAB13BA1-D458-43AD-8695-71C1F654E22C}"/>
    <cellStyle name="40% - Accent6 4 7" xfId="4601" xr:uid="{00000000-0005-0000-0000-00006D070000}"/>
    <cellStyle name="40% - Accent6 4 7 2" xfId="13036" xr:uid="{358ADC82-15C4-4BC2-BD3E-F73D98F40C0B}"/>
    <cellStyle name="40% - Accent6 4 8" xfId="8818" xr:uid="{C7ABDB5A-2D57-4E1E-9505-DB51FCC05F99}"/>
    <cellStyle name="40% - Accent6 5" xfId="659" xr:uid="{00000000-0005-0000-0000-00006E070000}"/>
    <cellStyle name="40% - Accent6 5 2" xfId="2930" xr:uid="{00000000-0005-0000-0000-00006F070000}"/>
    <cellStyle name="40% - Accent6 5 2 2" xfId="7153" xr:uid="{00000000-0005-0000-0000-000070070000}"/>
    <cellStyle name="40% - Accent6 5 2 2 2" xfId="15588" xr:uid="{F18F91E0-9DC1-45C0-9DE5-6DEC3AEAE308}"/>
    <cellStyle name="40% - Accent6 5 2 3" xfId="11370" xr:uid="{3059E34D-5A50-4B27-B405-9FFAB8EE16CF}"/>
    <cellStyle name="40% - Accent6 5 3" xfId="5008" xr:uid="{00000000-0005-0000-0000-000071070000}"/>
    <cellStyle name="40% - Accent6 5 3 2" xfId="13443" xr:uid="{DEBC67D0-5A8A-49FF-8B72-62C0609552D0}"/>
    <cellStyle name="40% - Accent6 5 4" xfId="9225" xr:uid="{A48568D4-832F-40D8-AC21-5FCC51CDB83F}"/>
    <cellStyle name="40% - Accent6 6" xfId="1112" xr:uid="{00000000-0005-0000-0000-000072070000}"/>
    <cellStyle name="40% - Accent6 6 2" xfId="3343" xr:uid="{00000000-0005-0000-0000-000073070000}"/>
    <cellStyle name="40% - Accent6 6 2 2" xfId="7566" xr:uid="{00000000-0005-0000-0000-000074070000}"/>
    <cellStyle name="40% - Accent6 6 2 2 2" xfId="16001" xr:uid="{5C45FEDB-6A66-4DD7-B843-E256BEE902DB}"/>
    <cellStyle name="40% - Accent6 6 2 3" xfId="11783" xr:uid="{BA4BEDA5-5B26-4CC6-8370-51189B0E8FEB}"/>
    <cellStyle name="40% - Accent6 6 3" xfId="5421" xr:uid="{00000000-0005-0000-0000-000075070000}"/>
    <cellStyle name="40% - Accent6 6 3 2" xfId="13856" xr:uid="{AEE87410-FF53-4058-ACAC-82DCB7AA1509}"/>
    <cellStyle name="40% - Accent6 6 4" xfId="9638" xr:uid="{79320DD9-3B36-45A4-A76E-8A08D87E35F7}"/>
    <cellStyle name="40% - Accent6 7" xfId="1526" xr:uid="{00000000-0005-0000-0000-000076070000}"/>
    <cellStyle name="40% - Accent6 7 2" xfId="3756" xr:uid="{00000000-0005-0000-0000-000077070000}"/>
    <cellStyle name="40% - Accent6 7 2 2" xfId="7979" xr:uid="{00000000-0005-0000-0000-000078070000}"/>
    <cellStyle name="40% - Accent6 7 2 2 2" xfId="16414" xr:uid="{523D9DA8-23E5-4144-91A3-4A176101D419}"/>
    <cellStyle name="40% - Accent6 7 2 3" xfId="12196" xr:uid="{42100F0D-F2C1-417E-B518-A0AC71710898}"/>
    <cellStyle name="40% - Accent6 7 3" xfId="5834" xr:uid="{00000000-0005-0000-0000-000079070000}"/>
    <cellStyle name="40% - Accent6 7 3 2" xfId="14269" xr:uid="{03F0DA50-6C8B-4E9F-8607-F558DFD3DC71}"/>
    <cellStyle name="40% - Accent6 7 4" xfId="10051" xr:uid="{E05D720F-C2CB-423D-A22F-C8950C1FC156}"/>
    <cellStyle name="40% - Accent6 8" xfId="1940" xr:uid="{00000000-0005-0000-0000-00007A070000}"/>
    <cellStyle name="40% - Accent6 8 2" xfId="4169" xr:uid="{00000000-0005-0000-0000-00007B070000}"/>
    <cellStyle name="40% - Accent6 8 2 2" xfId="8392" xr:uid="{00000000-0005-0000-0000-00007C070000}"/>
    <cellStyle name="40% - Accent6 8 2 2 2" xfId="16827" xr:uid="{8F301378-BE13-4D3E-8F98-FEE607177A54}"/>
    <cellStyle name="40% - Accent6 8 2 3" xfId="12609" xr:uid="{4C301FBD-1DA9-49E1-A83D-2D026AF88FBA}"/>
    <cellStyle name="40% - Accent6 8 3" xfId="6247" xr:uid="{00000000-0005-0000-0000-00007D070000}"/>
    <cellStyle name="40% - Accent6 8 3 2" xfId="14682" xr:uid="{8E857EAF-AE5A-4592-B368-48A24FF8952B}"/>
    <cellStyle name="40% - Accent6 8 4" xfId="10464" xr:uid="{D996E634-AA9D-429A-BA7D-C230147BD09F}"/>
    <cellStyle name="40% - Accent6 9" xfId="2353" xr:uid="{00000000-0005-0000-0000-00007E070000}"/>
    <cellStyle name="40% - Accent6 9 2" xfId="6660" xr:uid="{00000000-0005-0000-0000-00007F070000}"/>
    <cellStyle name="40% - Accent6 9 2 2" xfId="15095" xr:uid="{D01362AC-E56C-4EF8-B0F1-3546092B9FEC}"/>
    <cellStyle name="40% - Accent6 9 3" xfId="10877" xr:uid="{7D0B19B8-E2FF-4AC8-8A3D-3CC10759F037}"/>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0 2 2" xfId="15420" xr:uid="{E0B5ADDB-8D52-4ABB-9465-9A26BB082F03}"/>
    <cellStyle name="Comma 4 2 2 2 10 3" xfId="11202" xr:uid="{05DBEB83-B031-4940-B38A-5397E73C39FC}"/>
    <cellStyle name="Comma 4 2 2 2 11" xfId="4602" xr:uid="{00000000-0005-0000-0000-0000A3070000}"/>
    <cellStyle name="Comma 4 2 2 2 11 2" xfId="13037" xr:uid="{E94BFA37-DDE2-4105-8103-88E30F368762}"/>
    <cellStyle name="Comma 4 2 2 2 12" xfId="8819" xr:uid="{1FFBC5B0-6774-4134-AD17-2F4853CC0A81}"/>
    <cellStyle name="Comma 4 2 2 2 2" xfId="129" xr:uid="{00000000-0005-0000-0000-0000A4070000}"/>
    <cellStyle name="Comma 4 2 2 2 2 10" xfId="4603" xr:uid="{00000000-0005-0000-0000-0000A5070000}"/>
    <cellStyle name="Comma 4 2 2 2 2 10 2" xfId="13038" xr:uid="{DDC34DDC-A891-43B8-8E36-70CE8D3D5857}"/>
    <cellStyle name="Comma 4 2 2 2 2 11" xfId="8820" xr:uid="{BC24ECAB-0AF8-4386-A596-15B7550CD502}"/>
    <cellStyle name="Comma 4 2 2 2 2 2" xfId="130" xr:uid="{00000000-0005-0000-0000-0000A6070000}"/>
    <cellStyle name="Comma 4 2 2 2 2 2 10" xfId="8821" xr:uid="{DF1CFFB4-26AB-46FD-87B4-8A9D2FFAA37E}"/>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2 2 2" xfId="15598" xr:uid="{BE6FBA07-2DF3-428C-A897-DD77EE4FCE3B}"/>
    <cellStyle name="Comma 4 2 2 2 2 2 2 2 3" xfId="11380" xr:uid="{281F9B6D-7D9A-4ABE-9407-CE838945BE79}"/>
    <cellStyle name="Comma 4 2 2 2 2 2 2 3" xfId="5018" xr:uid="{00000000-0005-0000-0000-0000AA070000}"/>
    <cellStyle name="Comma 4 2 2 2 2 2 2 3 2" xfId="13453" xr:uid="{248FB9A5-6095-427C-8A82-96D64F59E769}"/>
    <cellStyle name="Comma 4 2 2 2 2 2 2 4" xfId="9235" xr:uid="{4C4B974E-BFD2-4E36-98D6-9E0BBEC94017}"/>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2 2 2" xfId="16011" xr:uid="{B1AA2916-69A1-49DC-AE14-2450D2F7E888}"/>
    <cellStyle name="Comma 4 2 2 2 2 2 3 2 3" xfId="11793" xr:uid="{C5776577-C16F-45AA-887B-DC87A26B1658}"/>
    <cellStyle name="Comma 4 2 2 2 2 2 3 3" xfId="5431" xr:uid="{00000000-0005-0000-0000-0000AE070000}"/>
    <cellStyle name="Comma 4 2 2 2 2 2 3 3 2" xfId="13866" xr:uid="{DF290155-8392-4C61-AB45-0F8439FB431A}"/>
    <cellStyle name="Comma 4 2 2 2 2 2 3 4" xfId="9648" xr:uid="{53790B3D-659D-439A-82A9-F9F8F88395E2}"/>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2 2 2" xfId="16424" xr:uid="{A072CF87-9CF8-4FA2-B8D9-EEF478D4338A}"/>
    <cellStyle name="Comma 4 2 2 2 2 2 4 2 3" xfId="12206" xr:uid="{598F679B-BC33-4865-8EC4-BDFD39C20D25}"/>
    <cellStyle name="Comma 4 2 2 2 2 2 4 3" xfId="5844" xr:uid="{00000000-0005-0000-0000-0000B2070000}"/>
    <cellStyle name="Comma 4 2 2 2 2 2 4 3 2" xfId="14279" xr:uid="{DAEDD457-3C7C-422E-AD70-3B22509E2072}"/>
    <cellStyle name="Comma 4 2 2 2 2 2 4 4" xfId="10061" xr:uid="{67EC0F78-76BB-4F1A-8B47-4F6A98031B37}"/>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2 2 2" xfId="16837" xr:uid="{224E4F63-AEFC-4A75-BEE0-7908D11C1B24}"/>
    <cellStyle name="Comma 4 2 2 2 2 2 5 2 3" xfId="12619" xr:uid="{7F5FA8ED-D204-4586-BB18-EA3C0A90E0E2}"/>
    <cellStyle name="Comma 4 2 2 2 2 2 5 3" xfId="6257" xr:uid="{00000000-0005-0000-0000-0000B6070000}"/>
    <cellStyle name="Comma 4 2 2 2 2 2 5 3 2" xfId="14692" xr:uid="{77B53C14-C727-4683-953D-CF74B489201B}"/>
    <cellStyle name="Comma 4 2 2 2 2 2 5 4" xfId="10474" xr:uid="{6B481F7F-FBEE-4BB1-B418-E576A901B4C4}"/>
    <cellStyle name="Comma 4 2 2 2 2 2 6" xfId="2385" xr:uid="{00000000-0005-0000-0000-0000B7070000}"/>
    <cellStyle name="Comma 4 2 2 2 2 2 6 2" xfId="6670" xr:uid="{00000000-0005-0000-0000-0000B8070000}"/>
    <cellStyle name="Comma 4 2 2 2 2 2 6 2 2" xfId="15105" xr:uid="{DD6485E7-C1AB-4979-B033-5E234DF58DA9}"/>
    <cellStyle name="Comma 4 2 2 2 2 2 6 3" xfId="10887" xr:uid="{198D7B85-344B-4E1D-8DB7-2C1659CD5F1C}"/>
    <cellStyle name="Comma 4 2 2 2 2 2 7" xfId="2380" xr:uid="{00000000-0005-0000-0000-0000B9070000}"/>
    <cellStyle name="Comma 4 2 2 2 2 2 8" xfId="2763" xr:uid="{00000000-0005-0000-0000-0000BA070000}"/>
    <cellStyle name="Comma 4 2 2 2 2 2 8 2" xfId="6987" xr:uid="{00000000-0005-0000-0000-0000BB070000}"/>
    <cellStyle name="Comma 4 2 2 2 2 2 8 2 2" xfId="15422" xr:uid="{5191937E-1FB7-4D6F-A1D1-4C2244026239}"/>
    <cellStyle name="Comma 4 2 2 2 2 2 8 3" xfId="11204" xr:uid="{D5E3C19C-4035-49A7-A950-8CF54FA42390}"/>
    <cellStyle name="Comma 4 2 2 2 2 2 9" xfId="4604" xr:uid="{00000000-0005-0000-0000-0000BC070000}"/>
    <cellStyle name="Comma 4 2 2 2 2 2 9 2" xfId="13039" xr:uid="{3486262A-46B6-4181-A8DB-624D52202A8F}"/>
    <cellStyle name="Comma 4 2 2 2 2 3" xfId="668" xr:uid="{00000000-0005-0000-0000-0000BD070000}"/>
    <cellStyle name="Comma 4 2 2 2 2 3 2" xfId="2939" xr:uid="{00000000-0005-0000-0000-0000BE070000}"/>
    <cellStyle name="Comma 4 2 2 2 2 3 2 2" xfId="7162" xr:uid="{00000000-0005-0000-0000-0000BF070000}"/>
    <cellStyle name="Comma 4 2 2 2 2 3 2 2 2" xfId="15597" xr:uid="{17049ECF-1E0A-450C-BF18-10A3BFBAF7B2}"/>
    <cellStyle name="Comma 4 2 2 2 2 3 2 3" xfId="11379" xr:uid="{D65D9118-54E3-471B-995D-9765608F3A52}"/>
    <cellStyle name="Comma 4 2 2 2 2 3 3" xfId="5017" xr:uid="{00000000-0005-0000-0000-0000C0070000}"/>
    <cellStyle name="Comma 4 2 2 2 2 3 3 2" xfId="13452" xr:uid="{E84C3BD3-1561-4D8A-93BE-A1A7BA6FAB82}"/>
    <cellStyle name="Comma 4 2 2 2 2 3 4" xfId="9234" xr:uid="{409607DE-7B15-4508-8A28-302F8CA5100D}"/>
    <cellStyle name="Comma 4 2 2 2 2 4" xfId="1121" xr:uid="{00000000-0005-0000-0000-0000C1070000}"/>
    <cellStyle name="Comma 4 2 2 2 2 4 2" xfId="3352" xr:uid="{00000000-0005-0000-0000-0000C2070000}"/>
    <cellStyle name="Comma 4 2 2 2 2 4 2 2" xfId="7575" xr:uid="{00000000-0005-0000-0000-0000C3070000}"/>
    <cellStyle name="Comma 4 2 2 2 2 4 2 2 2" xfId="16010" xr:uid="{13831407-1734-4E24-81D4-D21583946D37}"/>
    <cellStyle name="Comma 4 2 2 2 2 4 2 3" xfId="11792" xr:uid="{5039140F-5280-4E72-BEE1-7B80EDFF28A6}"/>
    <cellStyle name="Comma 4 2 2 2 2 4 3" xfId="5430" xr:uid="{00000000-0005-0000-0000-0000C4070000}"/>
    <cellStyle name="Comma 4 2 2 2 2 4 3 2" xfId="13865" xr:uid="{349CDFD9-B098-456F-82B9-4EA5BBE49D27}"/>
    <cellStyle name="Comma 4 2 2 2 2 4 4" xfId="9647" xr:uid="{BE54FAEC-1EF4-4973-A8E6-DD1A8A32516F}"/>
    <cellStyle name="Comma 4 2 2 2 2 5" xfId="1535" xr:uid="{00000000-0005-0000-0000-0000C5070000}"/>
    <cellStyle name="Comma 4 2 2 2 2 5 2" xfId="3765" xr:uid="{00000000-0005-0000-0000-0000C6070000}"/>
    <cellStyle name="Comma 4 2 2 2 2 5 2 2" xfId="7988" xr:uid="{00000000-0005-0000-0000-0000C7070000}"/>
    <cellStyle name="Comma 4 2 2 2 2 5 2 2 2" xfId="16423" xr:uid="{B46CCEC7-D6D0-4403-BEA5-0462B1CFA3B9}"/>
    <cellStyle name="Comma 4 2 2 2 2 5 2 3" xfId="12205" xr:uid="{4CDB9F12-3DFC-4366-BCCF-A572892109BC}"/>
    <cellStyle name="Comma 4 2 2 2 2 5 3" xfId="5843" xr:uid="{00000000-0005-0000-0000-0000C8070000}"/>
    <cellStyle name="Comma 4 2 2 2 2 5 3 2" xfId="14278" xr:uid="{D908B278-5244-438A-B33B-87A3D52DBB6A}"/>
    <cellStyle name="Comma 4 2 2 2 2 5 4" xfId="10060" xr:uid="{7A67EE01-EBF6-417F-86A0-EB08EFE6F5C4}"/>
    <cellStyle name="Comma 4 2 2 2 2 6" xfId="1949" xr:uid="{00000000-0005-0000-0000-0000C9070000}"/>
    <cellStyle name="Comma 4 2 2 2 2 6 2" xfId="4178" xr:uid="{00000000-0005-0000-0000-0000CA070000}"/>
    <cellStyle name="Comma 4 2 2 2 2 6 2 2" xfId="8401" xr:uid="{00000000-0005-0000-0000-0000CB070000}"/>
    <cellStyle name="Comma 4 2 2 2 2 6 2 2 2" xfId="16836" xr:uid="{491BFD87-A5BE-4E56-BD37-9759412ED533}"/>
    <cellStyle name="Comma 4 2 2 2 2 6 2 3" xfId="12618" xr:uid="{C689B22F-91FF-416C-9181-1A3476CE84EF}"/>
    <cellStyle name="Comma 4 2 2 2 2 6 3" xfId="6256" xr:uid="{00000000-0005-0000-0000-0000CC070000}"/>
    <cellStyle name="Comma 4 2 2 2 2 6 3 2" xfId="14691" xr:uid="{15CEAE64-29EE-4C55-89E4-FEC5A8FC497D}"/>
    <cellStyle name="Comma 4 2 2 2 2 6 4" xfId="10473" xr:uid="{57960778-B97C-417A-B558-2FA03CFED376}"/>
    <cellStyle name="Comma 4 2 2 2 2 7" xfId="2384" xr:uid="{00000000-0005-0000-0000-0000CD070000}"/>
    <cellStyle name="Comma 4 2 2 2 2 7 2" xfId="6669" xr:uid="{00000000-0005-0000-0000-0000CE070000}"/>
    <cellStyle name="Comma 4 2 2 2 2 7 2 2" xfId="15104" xr:uid="{583F257C-CA56-4B16-9C2D-7ED4223E89B8}"/>
    <cellStyle name="Comma 4 2 2 2 2 7 3" xfId="10886" xr:uid="{42AF3CFC-ACBC-4912-A3D2-799861589733}"/>
    <cellStyle name="Comma 4 2 2 2 2 8" xfId="2381" xr:uid="{00000000-0005-0000-0000-0000CF070000}"/>
    <cellStyle name="Comma 4 2 2 2 2 9" xfId="2762" xr:uid="{00000000-0005-0000-0000-0000D0070000}"/>
    <cellStyle name="Comma 4 2 2 2 2 9 2" xfId="6986" xr:uid="{00000000-0005-0000-0000-0000D1070000}"/>
    <cellStyle name="Comma 4 2 2 2 2 9 2 2" xfId="15421" xr:uid="{610CA590-B351-476B-8CDB-D021F8165C1A}"/>
    <cellStyle name="Comma 4 2 2 2 2 9 3" xfId="11203" xr:uid="{46269155-6457-4CBC-BBE3-D2E3BA3BE213}"/>
    <cellStyle name="Comma 4 2 2 2 3" xfId="131" xr:uid="{00000000-0005-0000-0000-0000D2070000}"/>
    <cellStyle name="Comma 4 2 2 2 3 10" xfId="8822" xr:uid="{8FCFAF81-05AF-4827-BD6F-62A685B991F7}"/>
    <cellStyle name="Comma 4 2 2 2 3 2" xfId="670" xr:uid="{00000000-0005-0000-0000-0000D3070000}"/>
    <cellStyle name="Comma 4 2 2 2 3 2 2" xfId="2941" xr:uid="{00000000-0005-0000-0000-0000D4070000}"/>
    <cellStyle name="Comma 4 2 2 2 3 2 2 2" xfId="7164" xr:uid="{00000000-0005-0000-0000-0000D5070000}"/>
    <cellStyle name="Comma 4 2 2 2 3 2 2 2 2" xfId="15599" xr:uid="{8E23FA79-B159-4E53-85DF-D23279CFD4B0}"/>
    <cellStyle name="Comma 4 2 2 2 3 2 2 3" xfId="11381" xr:uid="{6815CB1F-F7D2-4903-BC24-BA14FAB40163}"/>
    <cellStyle name="Comma 4 2 2 2 3 2 3" xfId="5019" xr:uid="{00000000-0005-0000-0000-0000D6070000}"/>
    <cellStyle name="Comma 4 2 2 2 3 2 3 2" xfId="13454" xr:uid="{D06A43F5-2259-4BAC-8C2F-AE4E40471376}"/>
    <cellStyle name="Comma 4 2 2 2 3 2 4" xfId="9236" xr:uid="{AF524D91-949F-4F7E-B1C4-2B96FFD6963B}"/>
    <cellStyle name="Comma 4 2 2 2 3 3" xfId="1123" xr:uid="{00000000-0005-0000-0000-0000D7070000}"/>
    <cellStyle name="Comma 4 2 2 2 3 3 2" xfId="3354" xr:uid="{00000000-0005-0000-0000-0000D8070000}"/>
    <cellStyle name="Comma 4 2 2 2 3 3 2 2" xfId="7577" xr:uid="{00000000-0005-0000-0000-0000D9070000}"/>
    <cellStyle name="Comma 4 2 2 2 3 3 2 2 2" xfId="16012" xr:uid="{490976FB-6547-412A-9D87-BA20A75E7F67}"/>
    <cellStyle name="Comma 4 2 2 2 3 3 2 3" xfId="11794" xr:uid="{67462EB3-ADAC-4BB5-97AD-7E9F254BE44A}"/>
    <cellStyle name="Comma 4 2 2 2 3 3 3" xfId="5432" xr:uid="{00000000-0005-0000-0000-0000DA070000}"/>
    <cellStyle name="Comma 4 2 2 2 3 3 3 2" xfId="13867" xr:uid="{B1CEAD80-4039-4460-992B-F685BB5D16D3}"/>
    <cellStyle name="Comma 4 2 2 2 3 3 4" xfId="9649" xr:uid="{409B44DB-E4C2-4B04-BDFE-57329DEDB67B}"/>
    <cellStyle name="Comma 4 2 2 2 3 4" xfId="1537" xr:uid="{00000000-0005-0000-0000-0000DB070000}"/>
    <cellStyle name="Comma 4 2 2 2 3 4 2" xfId="3767" xr:uid="{00000000-0005-0000-0000-0000DC070000}"/>
    <cellStyle name="Comma 4 2 2 2 3 4 2 2" xfId="7990" xr:uid="{00000000-0005-0000-0000-0000DD070000}"/>
    <cellStyle name="Comma 4 2 2 2 3 4 2 2 2" xfId="16425" xr:uid="{562BC20B-EF28-4AB4-8986-03D2A244EC78}"/>
    <cellStyle name="Comma 4 2 2 2 3 4 2 3" xfId="12207" xr:uid="{5B775CFA-3474-4A72-9909-96BE800C0DDD}"/>
    <cellStyle name="Comma 4 2 2 2 3 4 3" xfId="5845" xr:uid="{00000000-0005-0000-0000-0000DE070000}"/>
    <cellStyle name="Comma 4 2 2 2 3 4 3 2" xfId="14280" xr:uid="{6D5396A6-E34C-4BCB-B321-7D6CE682EEBE}"/>
    <cellStyle name="Comma 4 2 2 2 3 4 4" xfId="10062" xr:uid="{A5137FD8-0DA5-4391-966F-997D7AFB7932}"/>
    <cellStyle name="Comma 4 2 2 2 3 5" xfId="1951" xr:uid="{00000000-0005-0000-0000-0000DF070000}"/>
    <cellStyle name="Comma 4 2 2 2 3 5 2" xfId="4180" xr:uid="{00000000-0005-0000-0000-0000E0070000}"/>
    <cellStyle name="Comma 4 2 2 2 3 5 2 2" xfId="8403" xr:uid="{00000000-0005-0000-0000-0000E1070000}"/>
    <cellStyle name="Comma 4 2 2 2 3 5 2 2 2" xfId="16838" xr:uid="{8100927C-2C24-4001-AB5B-92486FDB65E0}"/>
    <cellStyle name="Comma 4 2 2 2 3 5 2 3" xfId="12620" xr:uid="{19FC1D1F-6EFE-485C-A5EA-AE876B2DB39C}"/>
    <cellStyle name="Comma 4 2 2 2 3 5 3" xfId="6258" xr:uid="{00000000-0005-0000-0000-0000E2070000}"/>
    <cellStyle name="Comma 4 2 2 2 3 5 3 2" xfId="14693" xr:uid="{D4C3090C-DD41-43FC-B84C-61936BA3D6C4}"/>
    <cellStyle name="Comma 4 2 2 2 3 5 4" xfId="10475" xr:uid="{BA7400E0-D6A1-4C58-AEBE-B3083028357F}"/>
    <cellStyle name="Comma 4 2 2 2 3 6" xfId="2386" xr:uid="{00000000-0005-0000-0000-0000E3070000}"/>
    <cellStyle name="Comma 4 2 2 2 3 6 2" xfId="6671" xr:uid="{00000000-0005-0000-0000-0000E4070000}"/>
    <cellStyle name="Comma 4 2 2 2 3 6 2 2" xfId="15106" xr:uid="{6A85368D-0F73-4AFB-924D-F6D37A840A60}"/>
    <cellStyle name="Comma 4 2 2 2 3 6 3" xfId="10888" xr:uid="{CBF527B9-3AC3-4FF7-BD77-996C75C3A8EC}"/>
    <cellStyle name="Comma 4 2 2 2 3 7" xfId="2379" xr:uid="{00000000-0005-0000-0000-0000E5070000}"/>
    <cellStyle name="Comma 4 2 2 2 3 8" xfId="2764" xr:uid="{00000000-0005-0000-0000-0000E6070000}"/>
    <cellStyle name="Comma 4 2 2 2 3 8 2" xfId="6988" xr:uid="{00000000-0005-0000-0000-0000E7070000}"/>
    <cellStyle name="Comma 4 2 2 2 3 8 2 2" xfId="15423" xr:uid="{FE2F3779-8730-429E-AD90-FFA9EE50A550}"/>
    <cellStyle name="Comma 4 2 2 2 3 8 3" xfId="11205" xr:uid="{D3D59E3D-4B87-4537-BF52-BDAB5E406077}"/>
    <cellStyle name="Comma 4 2 2 2 3 9" xfId="4605" xr:uid="{00000000-0005-0000-0000-0000E8070000}"/>
    <cellStyle name="Comma 4 2 2 2 3 9 2" xfId="13040" xr:uid="{4837186E-9EC7-4CE3-84F5-B2CDEE05E294}"/>
    <cellStyle name="Comma 4 2 2 2 4" xfId="667" xr:uid="{00000000-0005-0000-0000-0000E9070000}"/>
    <cellStyle name="Comma 4 2 2 2 4 2" xfId="2938" xr:uid="{00000000-0005-0000-0000-0000EA070000}"/>
    <cellStyle name="Comma 4 2 2 2 4 2 2" xfId="7161" xr:uid="{00000000-0005-0000-0000-0000EB070000}"/>
    <cellStyle name="Comma 4 2 2 2 4 2 2 2" xfId="15596" xr:uid="{90EF8AE8-AB3F-4991-9EBC-85BC904B08A6}"/>
    <cellStyle name="Comma 4 2 2 2 4 2 3" xfId="11378" xr:uid="{C5D13D8B-EEB9-4E79-8B7A-65A92BB9A21C}"/>
    <cellStyle name="Comma 4 2 2 2 4 3" xfId="5016" xr:uid="{00000000-0005-0000-0000-0000EC070000}"/>
    <cellStyle name="Comma 4 2 2 2 4 3 2" xfId="13451" xr:uid="{AF0D39CE-872D-49BF-8CB6-7DDFF721B154}"/>
    <cellStyle name="Comma 4 2 2 2 4 4" xfId="9233" xr:uid="{78649EA2-4077-4A87-90F6-59076C59F8F6}"/>
    <cellStyle name="Comma 4 2 2 2 5" xfId="1120" xr:uid="{00000000-0005-0000-0000-0000ED070000}"/>
    <cellStyle name="Comma 4 2 2 2 5 2" xfId="3351" xr:uid="{00000000-0005-0000-0000-0000EE070000}"/>
    <cellStyle name="Comma 4 2 2 2 5 2 2" xfId="7574" xr:uid="{00000000-0005-0000-0000-0000EF070000}"/>
    <cellStyle name="Comma 4 2 2 2 5 2 2 2" xfId="16009" xr:uid="{83D48940-8F31-49E9-AB15-E0DD46911ADC}"/>
    <cellStyle name="Comma 4 2 2 2 5 2 3" xfId="11791" xr:uid="{DC38C44D-18C6-45B8-AA14-26AB7BD558D5}"/>
    <cellStyle name="Comma 4 2 2 2 5 3" xfId="5429" xr:uid="{00000000-0005-0000-0000-0000F0070000}"/>
    <cellStyle name="Comma 4 2 2 2 5 3 2" xfId="13864" xr:uid="{77CAD3F4-546D-4DB2-A939-5B9CC73A9817}"/>
    <cellStyle name="Comma 4 2 2 2 5 4" xfId="9646" xr:uid="{E32B14BE-A187-4A58-A40B-7A5FFFC0D113}"/>
    <cellStyle name="Comma 4 2 2 2 6" xfId="1534" xr:uid="{00000000-0005-0000-0000-0000F1070000}"/>
    <cellStyle name="Comma 4 2 2 2 6 2" xfId="3764" xr:uid="{00000000-0005-0000-0000-0000F2070000}"/>
    <cellStyle name="Comma 4 2 2 2 6 2 2" xfId="7987" xr:uid="{00000000-0005-0000-0000-0000F3070000}"/>
    <cellStyle name="Comma 4 2 2 2 6 2 2 2" xfId="16422" xr:uid="{65DED348-E7C5-4001-AAED-C32D267174A0}"/>
    <cellStyle name="Comma 4 2 2 2 6 2 3" xfId="12204" xr:uid="{4CF1475E-2332-464F-A589-BAE7F32D60C6}"/>
    <cellStyle name="Comma 4 2 2 2 6 3" xfId="5842" xr:uid="{00000000-0005-0000-0000-0000F4070000}"/>
    <cellStyle name="Comma 4 2 2 2 6 3 2" xfId="14277" xr:uid="{EA320450-5368-410A-A03F-669E2B85279D}"/>
    <cellStyle name="Comma 4 2 2 2 6 4" xfId="10059" xr:uid="{12CCD6A5-B7F8-4FE8-9C0D-9FD2E8AE84C4}"/>
    <cellStyle name="Comma 4 2 2 2 7" xfId="1948" xr:uid="{00000000-0005-0000-0000-0000F5070000}"/>
    <cellStyle name="Comma 4 2 2 2 7 2" xfId="4177" xr:uid="{00000000-0005-0000-0000-0000F6070000}"/>
    <cellStyle name="Comma 4 2 2 2 7 2 2" xfId="8400" xr:uid="{00000000-0005-0000-0000-0000F7070000}"/>
    <cellStyle name="Comma 4 2 2 2 7 2 2 2" xfId="16835" xr:uid="{14732965-CFFD-4BA9-B629-FC7D0FFD32C0}"/>
    <cellStyle name="Comma 4 2 2 2 7 2 3" xfId="12617" xr:uid="{6DF72B81-B3AD-454D-BA33-75034542A8E6}"/>
    <cellStyle name="Comma 4 2 2 2 7 3" xfId="6255" xr:uid="{00000000-0005-0000-0000-0000F8070000}"/>
    <cellStyle name="Comma 4 2 2 2 7 3 2" xfId="14690" xr:uid="{127A873F-EEA5-499C-996B-317B9A956028}"/>
    <cellStyle name="Comma 4 2 2 2 7 4" xfId="10472" xr:uid="{532366C6-D60D-4FBE-B53F-1D6009BEE86E}"/>
    <cellStyle name="Comma 4 2 2 2 8" xfId="2383" xr:uid="{00000000-0005-0000-0000-0000F9070000}"/>
    <cellStyle name="Comma 4 2 2 2 8 2" xfId="6668" xr:uid="{00000000-0005-0000-0000-0000FA070000}"/>
    <cellStyle name="Comma 4 2 2 2 8 2 2" xfId="15103" xr:uid="{C32FD5B7-C5B2-4133-A574-082F414B8430}"/>
    <cellStyle name="Comma 4 2 2 2 8 3" xfId="10885" xr:uid="{37AC11D3-EB6F-4DC2-B0C9-940CC9C82F08}"/>
    <cellStyle name="Comma 4 2 2 2 9" xfId="2382" xr:uid="{00000000-0005-0000-0000-0000FB070000}"/>
    <cellStyle name="Comma 4 2 2 3" xfId="132" xr:uid="{00000000-0005-0000-0000-0000FC070000}"/>
    <cellStyle name="Comma 4 2 2 3 10" xfId="4606" xr:uid="{00000000-0005-0000-0000-0000FD070000}"/>
    <cellStyle name="Comma 4 2 2 3 10 2" xfId="13041" xr:uid="{92B2695D-B728-49BB-9601-8E4B7A66EB29}"/>
    <cellStyle name="Comma 4 2 2 3 11" xfId="8823" xr:uid="{F0664085-9C5C-45AE-934A-225ADA8E1B0C}"/>
    <cellStyle name="Comma 4 2 2 3 2" xfId="133" xr:uid="{00000000-0005-0000-0000-0000FE070000}"/>
    <cellStyle name="Comma 4 2 2 3 2 10" xfId="8824" xr:uid="{73CE3959-14AA-4A67-B1ED-13F335FB6EFB}"/>
    <cellStyle name="Comma 4 2 2 3 2 2" xfId="672" xr:uid="{00000000-0005-0000-0000-0000FF070000}"/>
    <cellStyle name="Comma 4 2 2 3 2 2 2" xfId="2943" xr:uid="{00000000-0005-0000-0000-000000080000}"/>
    <cellStyle name="Comma 4 2 2 3 2 2 2 2" xfId="7166" xr:uid="{00000000-0005-0000-0000-000001080000}"/>
    <cellStyle name="Comma 4 2 2 3 2 2 2 2 2" xfId="15601" xr:uid="{75BFA85D-2342-4D74-B376-082D0FB203EF}"/>
    <cellStyle name="Comma 4 2 2 3 2 2 2 3" xfId="11383" xr:uid="{46DDCBAF-9C0E-467A-97BA-27AD35433A0D}"/>
    <cellStyle name="Comma 4 2 2 3 2 2 3" xfId="5021" xr:uid="{00000000-0005-0000-0000-000002080000}"/>
    <cellStyle name="Comma 4 2 2 3 2 2 3 2" xfId="13456" xr:uid="{45DB859F-3BA9-4E4E-9E5B-7688603E5B2C}"/>
    <cellStyle name="Comma 4 2 2 3 2 2 4" xfId="9238" xr:uid="{947437D8-AF66-4E4E-82AD-16C57919A254}"/>
    <cellStyle name="Comma 4 2 2 3 2 3" xfId="1125" xr:uid="{00000000-0005-0000-0000-000003080000}"/>
    <cellStyle name="Comma 4 2 2 3 2 3 2" xfId="3356" xr:uid="{00000000-0005-0000-0000-000004080000}"/>
    <cellStyle name="Comma 4 2 2 3 2 3 2 2" xfId="7579" xr:uid="{00000000-0005-0000-0000-000005080000}"/>
    <cellStyle name="Comma 4 2 2 3 2 3 2 2 2" xfId="16014" xr:uid="{A54E3B37-99F4-4B88-972D-657244BB975D}"/>
    <cellStyle name="Comma 4 2 2 3 2 3 2 3" xfId="11796" xr:uid="{656C1C6F-C876-4961-997A-D2955B2DA1F1}"/>
    <cellStyle name="Comma 4 2 2 3 2 3 3" xfId="5434" xr:uid="{00000000-0005-0000-0000-000006080000}"/>
    <cellStyle name="Comma 4 2 2 3 2 3 3 2" xfId="13869" xr:uid="{25DAA959-174B-4F6E-B202-8D29B831E0B8}"/>
    <cellStyle name="Comma 4 2 2 3 2 3 4" xfId="9651" xr:uid="{BFBA74CF-0262-4DBE-BF00-AD1C44D20DDE}"/>
    <cellStyle name="Comma 4 2 2 3 2 4" xfId="1539" xr:uid="{00000000-0005-0000-0000-000007080000}"/>
    <cellStyle name="Comma 4 2 2 3 2 4 2" xfId="3769" xr:uid="{00000000-0005-0000-0000-000008080000}"/>
    <cellStyle name="Comma 4 2 2 3 2 4 2 2" xfId="7992" xr:uid="{00000000-0005-0000-0000-000009080000}"/>
    <cellStyle name="Comma 4 2 2 3 2 4 2 2 2" xfId="16427" xr:uid="{5562C2B5-6EE9-4771-926A-81252B1B77F2}"/>
    <cellStyle name="Comma 4 2 2 3 2 4 2 3" xfId="12209" xr:uid="{81D5E2D6-B55D-4F27-9D9E-C09BA3D95ABB}"/>
    <cellStyle name="Comma 4 2 2 3 2 4 3" xfId="5847" xr:uid="{00000000-0005-0000-0000-00000A080000}"/>
    <cellStyle name="Comma 4 2 2 3 2 4 3 2" xfId="14282" xr:uid="{A84E51AE-273C-4CF3-86CC-E4E55A6960B7}"/>
    <cellStyle name="Comma 4 2 2 3 2 4 4" xfId="10064" xr:uid="{54379FAB-F7BE-4F67-8280-F9CA0A3F5784}"/>
    <cellStyle name="Comma 4 2 2 3 2 5" xfId="1953" xr:uid="{00000000-0005-0000-0000-00000B080000}"/>
    <cellStyle name="Comma 4 2 2 3 2 5 2" xfId="4182" xr:uid="{00000000-0005-0000-0000-00000C080000}"/>
    <cellStyle name="Comma 4 2 2 3 2 5 2 2" xfId="8405" xr:uid="{00000000-0005-0000-0000-00000D080000}"/>
    <cellStyle name="Comma 4 2 2 3 2 5 2 2 2" xfId="16840" xr:uid="{09AFB39E-8C91-4C9A-86E7-53047A069F99}"/>
    <cellStyle name="Comma 4 2 2 3 2 5 2 3" xfId="12622" xr:uid="{401367B3-B937-42A1-94E9-57CB83E0BAF7}"/>
    <cellStyle name="Comma 4 2 2 3 2 5 3" xfId="6260" xr:uid="{00000000-0005-0000-0000-00000E080000}"/>
    <cellStyle name="Comma 4 2 2 3 2 5 3 2" xfId="14695" xr:uid="{CE503EBF-5BF6-4821-9971-3439C6A5668B}"/>
    <cellStyle name="Comma 4 2 2 3 2 5 4" xfId="10477" xr:uid="{93EDB477-9DDA-4B17-BB8A-AB1500837494}"/>
    <cellStyle name="Comma 4 2 2 3 2 6" xfId="2388" xr:uid="{00000000-0005-0000-0000-00000F080000}"/>
    <cellStyle name="Comma 4 2 2 3 2 6 2" xfId="6673" xr:uid="{00000000-0005-0000-0000-000010080000}"/>
    <cellStyle name="Comma 4 2 2 3 2 6 2 2" xfId="15108" xr:uid="{AF83529E-4359-4518-8ACC-F8C7D831BF50}"/>
    <cellStyle name="Comma 4 2 2 3 2 6 3" xfId="10890" xr:uid="{753C7A3A-A717-4E91-AF94-895AE4D9CB8B}"/>
    <cellStyle name="Comma 4 2 2 3 2 7" xfId="2377" xr:uid="{00000000-0005-0000-0000-000011080000}"/>
    <cellStyle name="Comma 4 2 2 3 2 8" xfId="2766" xr:uid="{00000000-0005-0000-0000-000012080000}"/>
    <cellStyle name="Comma 4 2 2 3 2 8 2" xfId="6990" xr:uid="{00000000-0005-0000-0000-000013080000}"/>
    <cellStyle name="Comma 4 2 2 3 2 8 2 2" xfId="15425" xr:uid="{D9B25498-D6C1-4788-B757-EB61C9345F77}"/>
    <cellStyle name="Comma 4 2 2 3 2 8 3" xfId="11207" xr:uid="{02C1E8FD-40EB-4D57-820A-1B7D814E7362}"/>
    <cellStyle name="Comma 4 2 2 3 2 9" xfId="4607" xr:uid="{00000000-0005-0000-0000-000014080000}"/>
    <cellStyle name="Comma 4 2 2 3 2 9 2" xfId="13042" xr:uid="{81A902FC-FB10-42CA-8492-E9ABFEE565EC}"/>
    <cellStyle name="Comma 4 2 2 3 3" xfId="671" xr:uid="{00000000-0005-0000-0000-000015080000}"/>
    <cellStyle name="Comma 4 2 2 3 3 2" xfId="2942" xr:uid="{00000000-0005-0000-0000-000016080000}"/>
    <cellStyle name="Comma 4 2 2 3 3 2 2" xfId="7165" xr:uid="{00000000-0005-0000-0000-000017080000}"/>
    <cellStyle name="Comma 4 2 2 3 3 2 2 2" xfId="15600" xr:uid="{BE821B65-9336-4C90-943C-9E95D695DF05}"/>
    <cellStyle name="Comma 4 2 2 3 3 2 3" xfId="11382" xr:uid="{4FFB55F4-DAEF-4BB9-971A-75365C18C203}"/>
    <cellStyle name="Comma 4 2 2 3 3 3" xfId="5020" xr:uid="{00000000-0005-0000-0000-000018080000}"/>
    <cellStyle name="Comma 4 2 2 3 3 3 2" xfId="13455" xr:uid="{955A1CE8-ED1B-4009-84DB-A0C5BE006C96}"/>
    <cellStyle name="Comma 4 2 2 3 3 4" xfId="9237" xr:uid="{D3C13AF3-42DF-4D95-9AF4-B26F182B7A9B}"/>
    <cellStyle name="Comma 4 2 2 3 4" xfId="1124" xr:uid="{00000000-0005-0000-0000-000019080000}"/>
    <cellStyle name="Comma 4 2 2 3 4 2" xfId="3355" xr:uid="{00000000-0005-0000-0000-00001A080000}"/>
    <cellStyle name="Comma 4 2 2 3 4 2 2" xfId="7578" xr:uid="{00000000-0005-0000-0000-00001B080000}"/>
    <cellStyle name="Comma 4 2 2 3 4 2 2 2" xfId="16013" xr:uid="{F4124062-3F60-4111-B569-07E31A37AB2F}"/>
    <cellStyle name="Comma 4 2 2 3 4 2 3" xfId="11795" xr:uid="{4083173D-FBAF-4BAD-AF83-D492A7ACEC2E}"/>
    <cellStyle name="Comma 4 2 2 3 4 3" xfId="5433" xr:uid="{00000000-0005-0000-0000-00001C080000}"/>
    <cellStyle name="Comma 4 2 2 3 4 3 2" xfId="13868" xr:uid="{F75C89C8-FCA6-4C27-AA6E-2A0DD71D8650}"/>
    <cellStyle name="Comma 4 2 2 3 4 4" xfId="9650" xr:uid="{1EDB8876-DAA5-4AF0-B6C7-1F5468309E46}"/>
    <cellStyle name="Comma 4 2 2 3 5" xfId="1538" xr:uid="{00000000-0005-0000-0000-00001D080000}"/>
    <cellStyle name="Comma 4 2 2 3 5 2" xfId="3768" xr:uid="{00000000-0005-0000-0000-00001E080000}"/>
    <cellStyle name="Comma 4 2 2 3 5 2 2" xfId="7991" xr:uid="{00000000-0005-0000-0000-00001F080000}"/>
    <cellStyle name="Comma 4 2 2 3 5 2 2 2" xfId="16426" xr:uid="{A4C552A8-1FBA-4972-946C-A89744195849}"/>
    <cellStyle name="Comma 4 2 2 3 5 2 3" xfId="12208" xr:uid="{DDCF0B60-9E49-4886-B7DF-FC30C6BC67F4}"/>
    <cellStyle name="Comma 4 2 2 3 5 3" xfId="5846" xr:uid="{00000000-0005-0000-0000-000020080000}"/>
    <cellStyle name="Comma 4 2 2 3 5 3 2" xfId="14281" xr:uid="{7D9E3D20-CEFE-49A0-9331-ECCE06D72E62}"/>
    <cellStyle name="Comma 4 2 2 3 5 4" xfId="10063" xr:uid="{3D09904B-4F68-441D-A2BD-CBAD1D90EB6B}"/>
    <cellStyle name="Comma 4 2 2 3 6" xfId="1952" xr:uid="{00000000-0005-0000-0000-000021080000}"/>
    <cellStyle name="Comma 4 2 2 3 6 2" xfId="4181" xr:uid="{00000000-0005-0000-0000-000022080000}"/>
    <cellStyle name="Comma 4 2 2 3 6 2 2" xfId="8404" xr:uid="{00000000-0005-0000-0000-000023080000}"/>
    <cellStyle name="Comma 4 2 2 3 6 2 2 2" xfId="16839" xr:uid="{EEEA0981-8CAC-44C7-84AF-422F57121333}"/>
    <cellStyle name="Comma 4 2 2 3 6 2 3" xfId="12621" xr:uid="{FEAB8D34-7C02-4A44-808F-F6760980FA53}"/>
    <cellStyle name="Comma 4 2 2 3 6 3" xfId="6259" xr:uid="{00000000-0005-0000-0000-000024080000}"/>
    <cellStyle name="Comma 4 2 2 3 6 3 2" xfId="14694" xr:uid="{1256172D-52FB-4E97-B6FE-8D04DD844122}"/>
    <cellStyle name="Comma 4 2 2 3 6 4" xfId="10476" xr:uid="{D8AD13FD-15CC-489E-91ED-AF43C00022E9}"/>
    <cellStyle name="Comma 4 2 2 3 7" xfId="2387" xr:uid="{00000000-0005-0000-0000-000025080000}"/>
    <cellStyle name="Comma 4 2 2 3 7 2" xfId="6672" xr:uid="{00000000-0005-0000-0000-000026080000}"/>
    <cellStyle name="Comma 4 2 2 3 7 2 2" xfId="15107" xr:uid="{ABE5A376-EF85-4014-BC91-DD0D9D03054E}"/>
    <cellStyle name="Comma 4 2 2 3 7 3" xfId="10889" xr:uid="{1EF96A57-40D0-40CA-B29B-D3A13264C9F1}"/>
    <cellStyle name="Comma 4 2 2 3 8" xfId="2378" xr:uid="{00000000-0005-0000-0000-000027080000}"/>
    <cellStyle name="Comma 4 2 2 3 9" xfId="2765" xr:uid="{00000000-0005-0000-0000-000028080000}"/>
    <cellStyle name="Comma 4 2 2 3 9 2" xfId="6989" xr:uid="{00000000-0005-0000-0000-000029080000}"/>
    <cellStyle name="Comma 4 2 2 3 9 2 2" xfId="15424" xr:uid="{2D52FB9C-07EC-4740-BAC4-46E27DC97682}"/>
    <cellStyle name="Comma 4 2 2 3 9 3" xfId="11206" xr:uid="{EC362C4D-AA5B-49A4-8CAD-6BD5BC243E41}"/>
    <cellStyle name="Comma 4 2 2 4" xfId="134" xr:uid="{00000000-0005-0000-0000-00002A080000}"/>
    <cellStyle name="Comma 4 2 2 4 10" xfId="8825" xr:uid="{B97ABED3-6D73-48CC-A94E-ABBB60CFBF1C}"/>
    <cellStyle name="Comma 4 2 2 4 2" xfId="673" xr:uid="{00000000-0005-0000-0000-00002B080000}"/>
    <cellStyle name="Comma 4 2 2 4 2 2" xfId="2944" xr:uid="{00000000-0005-0000-0000-00002C080000}"/>
    <cellStyle name="Comma 4 2 2 4 2 2 2" xfId="7167" xr:uid="{00000000-0005-0000-0000-00002D080000}"/>
    <cellStyle name="Comma 4 2 2 4 2 2 2 2" xfId="15602" xr:uid="{B0DAF9F5-3815-40A5-B403-9FCBA2AC8AEE}"/>
    <cellStyle name="Comma 4 2 2 4 2 2 3" xfId="11384" xr:uid="{9F5359C5-381E-47E6-97A8-41A3E748E9C0}"/>
    <cellStyle name="Comma 4 2 2 4 2 3" xfId="5022" xr:uid="{00000000-0005-0000-0000-00002E080000}"/>
    <cellStyle name="Comma 4 2 2 4 2 3 2" xfId="13457" xr:uid="{8DF641A8-D4DB-40AC-82DB-4BDB11DC08C4}"/>
    <cellStyle name="Comma 4 2 2 4 2 4" xfId="9239" xr:uid="{4F5D1679-B10E-4DD4-9D96-55635B7CB772}"/>
    <cellStyle name="Comma 4 2 2 4 3" xfId="1126" xr:uid="{00000000-0005-0000-0000-00002F080000}"/>
    <cellStyle name="Comma 4 2 2 4 3 2" xfId="3357" xr:uid="{00000000-0005-0000-0000-000030080000}"/>
    <cellStyle name="Comma 4 2 2 4 3 2 2" xfId="7580" xr:uid="{00000000-0005-0000-0000-000031080000}"/>
    <cellStyle name="Comma 4 2 2 4 3 2 2 2" xfId="16015" xr:uid="{0D3F08A5-3A41-4F77-8EF0-B160CA1EEAC4}"/>
    <cellStyle name="Comma 4 2 2 4 3 2 3" xfId="11797" xr:uid="{0736F39F-884E-46F4-A01F-ECC4FFB43D97}"/>
    <cellStyle name="Comma 4 2 2 4 3 3" xfId="5435" xr:uid="{00000000-0005-0000-0000-000032080000}"/>
    <cellStyle name="Comma 4 2 2 4 3 3 2" xfId="13870" xr:uid="{4C390F4C-F3FC-4FCA-AF03-E82FE7932890}"/>
    <cellStyle name="Comma 4 2 2 4 3 4" xfId="9652" xr:uid="{FD71C5F8-4E5B-40E3-9D83-0976EF62D1AC}"/>
    <cellStyle name="Comma 4 2 2 4 4" xfId="1540" xr:uid="{00000000-0005-0000-0000-000033080000}"/>
    <cellStyle name="Comma 4 2 2 4 4 2" xfId="3770" xr:uid="{00000000-0005-0000-0000-000034080000}"/>
    <cellStyle name="Comma 4 2 2 4 4 2 2" xfId="7993" xr:uid="{00000000-0005-0000-0000-000035080000}"/>
    <cellStyle name="Comma 4 2 2 4 4 2 2 2" xfId="16428" xr:uid="{528FCF79-C180-4C76-A416-48E40A48A942}"/>
    <cellStyle name="Comma 4 2 2 4 4 2 3" xfId="12210" xr:uid="{DFB38444-90E5-424B-A377-CC77E1A21C00}"/>
    <cellStyle name="Comma 4 2 2 4 4 3" xfId="5848" xr:uid="{00000000-0005-0000-0000-000036080000}"/>
    <cellStyle name="Comma 4 2 2 4 4 3 2" xfId="14283" xr:uid="{1D2BDEA6-6991-457B-83EC-D98C2A3311CD}"/>
    <cellStyle name="Comma 4 2 2 4 4 4" xfId="10065" xr:uid="{D6C3815F-1261-4FCE-AA11-0736AFC1F359}"/>
    <cellStyle name="Comma 4 2 2 4 5" xfId="1954" xr:uid="{00000000-0005-0000-0000-000037080000}"/>
    <cellStyle name="Comma 4 2 2 4 5 2" xfId="4183" xr:uid="{00000000-0005-0000-0000-000038080000}"/>
    <cellStyle name="Comma 4 2 2 4 5 2 2" xfId="8406" xr:uid="{00000000-0005-0000-0000-000039080000}"/>
    <cellStyle name="Comma 4 2 2 4 5 2 2 2" xfId="16841" xr:uid="{E759C04D-9286-4034-82F7-26FE7D80020B}"/>
    <cellStyle name="Comma 4 2 2 4 5 2 3" xfId="12623" xr:uid="{2F17FB43-3366-4CEB-B154-9F10AC6365FA}"/>
    <cellStyle name="Comma 4 2 2 4 5 3" xfId="6261" xr:uid="{00000000-0005-0000-0000-00003A080000}"/>
    <cellStyle name="Comma 4 2 2 4 5 3 2" xfId="14696" xr:uid="{5F55AB94-DAB3-4589-A289-ACE34D0C6BC9}"/>
    <cellStyle name="Comma 4 2 2 4 5 4" xfId="10478" xr:uid="{3DD6D1A5-87D1-49FF-91B1-846A6CC3C7DA}"/>
    <cellStyle name="Comma 4 2 2 4 6" xfId="2389" xr:uid="{00000000-0005-0000-0000-00003B080000}"/>
    <cellStyle name="Comma 4 2 2 4 6 2" xfId="6674" xr:uid="{00000000-0005-0000-0000-00003C080000}"/>
    <cellStyle name="Comma 4 2 2 4 6 2 2" xfId="15109" xr:uid="{84E3EAEC-1DF7-44DE-8B5B-D8948BD80679}"/>
    <cellStyle name="Comma 4 2 2 4 6 3" xfId="10891" xr:uid="{D7755476-47D0-4DDD-9973-CE221FE6AC46}"/>
    <cellStyle name="Comma 4 2 2 4 7" xfId="2376" xr:uid="{00000000-0005-0000-0000-00003D080000}"/>
    <cellStyle name="Comma 4 2 2 4 8" xfId="2767" xr:uid="{00000000-0005-0000-0000-00003E080000}"/>
    <cellStyle name="Comma 4 2 2 4 8 2" xfId="6991" xr:uid="{00000000-0005-0000-0000-00003F080000}"/>
    <cellStyle name="Comma 4 2 2 4 8 2 2" xfId="15426" xr:uid="{D2240BAC-1E4A-4626-86B4-9C8559AFE2A9}"/>
    <cellStyle name="Comma 4 2 2 4 8 3" xfId="11208" xr:uid="{1C672B8F-A95B-4700-82B5-38CE3254BE35}"/>
    <cellStyle name="Comma 4 2 2 4 9" xfId="4608" xr:uid="{00000000-0005-0000-0000-000040080000}"/>
    <cellStyle name="Comma 4 2 2 4 9 2" xfId="13043" xr:uid="{0ACBCAB9-BF21-4426-9978-D147C2C7BBD8}"/>
    <cellStyle name="Comma 4 2 2 5" xfId="135" xr:uid="{00000000-0005-0000-0000-000041080000}"/>
    <cellStyle name="Comma 4 2 2 5 10" xfId="8826" xr:uid="{EC3C992F-E1FD-4449-BBC9-92C4F0C177BB}"/>
    <cellStyle name="Comma 4 2 2 5 2" xfId="674" xr:uid="{00000000-0005-0000-0000-000042080000}"/>
    <cellStyle name="Comma 4 2 2 5 2 2" xfId="2945" xr:uid="{00000000-0005-0000-0000-000043080000}"/>
    <cellStyle name="Comma 4 2 2 5 2 2 2" xfId="7168" xr:uid="{00000000-0005-0000-0000-000044080000}"/>
    <cellStyle name="Comma 4 2 2 5 2 2 2 2" xfId="15603" xr:uid="{265C1BA4-49C8-4CD1-B268-1A512663A09B}"/>
    <cellStyle name="Comma 4 2 2 5 2 2 3" xfId="11385" xr:uid="{75963ED6-2D76-4E5A-9E72-4A0DA8FEFB5E}"/>
    <cellStyle name="Comma 4 2 2 5 2 3" xfId="5023" xr:uid="{00000000-0005-0000-0000-000045080000}"/>
    <cellStyle name="Comma 4 2 2 5 2 3 2" xfId="13458" xr:uid="{B74D8D13-F2AF-42D3-BBCE-F25AA5161960}"/>
    <cellStyle name="Comma 4 2 2 5 2 4" xfId="9240" xr:uid="{54B12336-1C82-4954-BB69-FDBC5ACF73A6}"/>
    <cellStyle name="Comma 4 2 2 5 3" xfId="1127" xr:uid="{00000000-0005-0000-0000-000046080000}"/>
    <cellStyle name="Comma 4 2 2 5 3 2" xfId="3358" xr:uid="{00000000-0005-0000-0000-000047080000}"/>
    <cellStyle name="Comma 4 2 2 5 3 2 2" xfId="7581" xr:uid="{00000000-0005-0000-0000-000048080000}"/>
    <cellStyle name="Comma 4 2 2 5 3 2 2 2" xfId="16016" xr:uid="{220B9A01-028E-494F-B741-05448FCCF9E5}"/>
    <cellStyle name="Comma 4 2 2 5 3 2 3" xfId="11798" xr:uid="{358E8104-D57E-4431-BFD7-5E13E5C2F9B2}"/>
    <cellStyle name="Comma 4 2 2 5 3 3" xfId="5436" xr:uid="{00000000-0005-0000-0000-000049080000}"/>
    <cellStyle name="Comma 4 2 2 5 3 3 2" xfId="13871" xr:uid="{9676BE5F-1081-41B8-A30A-B4477D85D4A1}"/>
    <cellStyle name="Comma 4 2 2 5 3 4" xfId="9653" xr:uid="{FDDF440B-DC1D-4334-BC44-72B0E185440E}"/>
    <cellStyle name="Comma 4 2 2 5 4" xfId="1541" xr:uid="{00000000-0005-0000-0000-00004A080000}"/>
    <cellStyle name="Comma 4 2 2 5 4 2" xfId="3771" xr:uid="{00000000-0005-0000-0000-00004B080000}"/>
    <cellStyle name="Comma 4 2 2 5 4 2 2" xfId="7994" xr:uid="{00000000-0005-0000-0000-00004C080000}"/>
    <cellStyle name="Comma 4 2 2 5 4 2 2 2" xfId="16429" xr:uid="{D71C5143-B740-4330-9F86-089489204303}"/>
    <cellStyle name="Comma 4 2 2 5 4 2 3" xfId="12211" xr:uid="{BBED623A-1EC3-4B91-8606-5AE62E546B12}"/>
    <cellStyle name="Comma 4 2 2 5 4 3" xfId="5849" xr:uid="{00000000-0005-0000-0000-00004D080000}"/>
    <cellStyle name="Comma 4 2 2 5 4 3 2" xfId="14284" xr:uid="{42730781-77B4-48F9-9871-1635C603291A}"/>
    <cellStyle name="Comma 4 2 2 5 4 4" xfId="10066" xr:uid="{1F100703-7A95-4F4A-99E9-CC2CFE302EEE}"/>
    <cellStyle name="Comma 4 2 2 5 5" xfId="1955" xr:uid="{00000000-0005-0000-0000-00004E080000}"/>
    <cellStyle name="Comma 4 2 2 5 5 2" xfId="4184" xr:uid="{00000000-0005-0000-0000-00004F080000}"/>
    <cellStyle name="Comma 4 2 2 5 5 2 2" xfId="8407" xr:uid="{00000000-0005-0000-0000-000050080000}"/>
    <cellStyle name="Comma 4 2 2 5 5 2 2 2" xfId="16842" xr:uid="{7C28E995-5DEA-41B2-992E-A7D9D64A2973}"/>
    <cellStyle name="Comma 4 2 2 5 5 2 3" xfId="12624" xr:uid="{BE88B69A-5413-4219-B8D3-12D5D48B78ED}"/>
    <cellStyle name="Comma 4 2 2 5 5 3" xfId="6262" xr:uid="{00000000-0005-0000-0000-000051080000}"/>
    <cellStyle name="Comma 4 2 2 5 5 3 2" xfId="14697" xr:uid="{3F7C9B91-9927-45F7-8EB6-D4F026238330}"/>
    <cellStyle name="Comma 4 2 2 5 5 4" xfId="10479" xr:uid="{00368916-6092-4460-9F39-A532DF6C8515}"/>
    <cellStyle name="Comma 4 2 2 5 6" xfId="2390" xr:uid="{00000000-0005-0000-0000-000052080000}"/>
    <cellStyle name="Comma 4 2 2 5 6 2" xfId="6675" xr:uid="{00000000-0005-0000-0000-000053080000}"/>
    <cellStyle name="Comma 4 2 2 5 6 2 2" xfId="15110" xr:uid="{E1CAC394-0CF4-4543-94F0-E6F5C26BD401}"/>
    <cellStyle name="Comma 4 2 2 5 6 3" xfId="10892" xr:uid="{AC3BEEB4-9D4F-42CF-867E-BB8C5164347A}"/>
    <cellStyle name="Comma 4 2 2 5 7" xfId="2375" xr:uid="{00000000-0005-0000-0000-000054080000}"/>
    <cellStyle name="Comma 4 2 2 5 8" xfId="2768" xr:uid="{00000000-0005-0000-0000-000055080000}"/>
    <cellStyle name="Comma 4 2 2 5 8 2" xfId="6992" xr:uid="{00000000-0005-0000-0000-000056080000}"/>
    <cellStyle name="Comma 4 2 2 5 8 2 2" xfId="15427" xr:uid="{B04F2AF7-AA06-4147-B478-675C33F675CD}"/>
    <cellStyle name="Comma 4 2 2 5 8 3" xfId="11209" xr:uid="{F7203F45-B44D-448F-9F1B-45EC64C47C29}"/>
    <cellStyle name="Comma 4 2 2 5 9" xfId="4609" xr:uid="{00000000-0005-0000-0000-000057080000}"/>
    <cellStyle name="Comma 4 2 2 5 9 2" xfId="13044" xr:uid="{4B778C4E-C084-4534-9BBB-131298C892DC}"/>
    <cellStyle name="Comma 4 2 3" xfId="136" xr:uid="{00000000-0005-0000-0000-000058080000}"/>
    <cellStyle name="Comma 4 2 3 10" xfId="2769" xr:uid="{00000000-0005-0000-0000-000059080000}"/>
    <cellStyle name="Comma 4 2 3 10 2" xfId="6993" xr:uid="{00000000-0005-0000-0000-00005A080000}"/>
    <cellStyle name="Comma 4 2 3 10 2 2" xfId="15428" xr:uid="{71F43E19-93D6-4114-BFF3-69C935ADB9AB}"/>
    <cellStyle name="Comma 4 2 3 10 3" xfId="11210" xr:uid="{2418F591-A83F-450F-8775-81A40D71ECE2}"/>
    <cellStyle name="Comma 4 2 3 11" xfId="4610" xr:uid="{00000000-0005-0000-0000-00005B080000}"/>
    <cellStyle name="Comma 4 2 3 11 2" xfId="13045" xr:uid="{AD0ED56D-4591-42F5-8DA1-0EABCBE3FB7F}"/>
    <cellStyle name="Comma 4 2 3 12" xfId="8827" xr:uid="{829DBB4A-D203-4404-A77E-6A14B7ED418E}"/>
    <cellStyle name="Comma 4 2 3 2" xfId="137" xr:uid="{00000000-0005-0000-0000-00005C080000}"/>
    <cellStyle name="Comma 4 2 3 2 10" xfId="4611" xr:uid="{00000000-0005-0000-0000-00005D080000}"/>
    <cellStyle name="Comma 4 2 3 2 10 2" xfId="13046" xr:uid="{00313673-8967-4F4C-9BA0-C37573F6C6DD}"/>
    <cellStyle name="Comma 4 2 3 2 11" xfId="8828" xr:uid="{5BF36C9F-0ADD-4914-9606-32063D5D001D}"/>
    <cellStyle name="Comma 4 2 3 2 2" xfId="138" xr:uid="{00000000-0005-0000-0000-00005E080000}"/>
    <cellStyle name="Comma 4 2 3 2 2 10" xfId="8829" xr:uid="{6987312B-400E-4EB0-8C28-5270BC511937}"/>
    <cellStyle name="Comma 4 2 3 2 2 2" xfId="677" xr:uid="{00000000-0005-0000-0000-00005F080000}"/>
    <cellStyle name="Comma 4 2 3 2 2 2 2" xfId="2948" xr:uid="{00000000-0005-0000-0000-000060080000}"/>
    <cellStyle name="Comma 4 2 3 2 2 2 2 2" xfId="7171" xr:uid="{00000000-0005-0000-0000-000061080000}"/>
    <cellStyle name="Comma 4 2 3 2 2 2 2 2 2" xfId="15606" xr:uid="{1B16117A-4238-47B6-A4B9-0954AB830C45}"/>
    <cellStyle name="Comma 4 2 3 2 2 2 2 3" xfId="11388" xr:uid="{92C33C53-4517-4A77-9A99-D17740BE0B9F}"/>
    <cellStyle name="Comma 4 2 3 2 2 2 3" xfId="5026" xr:uid="{00000000-0005-0000-0000-000062080000}"/>
    <cellStyle name="Comma 4 2 3 2 2 2 3 2" xfId="13461" xr:uid="{7A0339A6-8547-468C-AF7B-83B8B89AAEC5}"/>
    <cellStyle name="Comma 4 2 3 2 2 2 4" xfId="9243" xr:uid="{E60897B2-5827-4FA3-8406-653B875E0614}"/>
    <cellStyle name="Comma 4 2 3 2 2 3" xfId="1130" xr:uid="{00000000-0005-0000-0000-000063080000}"/>
    <cellStyle name="Comma 4 2 3 2 2 3 2" xfId="3361" xr:uid="{00000000-0005-0000-0000-000064080000}"/>
    <cellStyle name="Comma 4 2 3 2 2 3 2 2" xfId="7584" xr:uid="{00000000-0005-0000-0000-000065080000}"/>
    <cellStyle name="Comma 4 2 3 2 2 3 2 2 2" xfId="16019" xr:uid="{62ADF9E7-352B-47BD-B876-53C54ECA562A}"/>
    <cellStyle name="Comma 4 2 3 2 2 3 2 3" xfId="11801" xr:uid="{6259E13D-FB8C-4D9B-A7FB-1F19B1D63C4A}"/>
    <cellStyle name="Comma 4 2 3 2 2 3 3" xfId="5439" xr:uid="{00000000-0005-0000-0000-000066080000}"/>
    <cellStyle name="Comma 4 2 3 2 2 3 3 2" xfId="13874" xr:uid="{042D2D0C-254A-4752-9C03-4B06C43003D6}"/>
    <cellStyle name="Comma 4 2 3 2 2 3 4" xfId="9656" xr:uid="{4B539C95-8246-439A-9AE3-8630AD3E68F4}"/>
    <cellStyle name="Comma 4 2 3 2 2 4" xfId="1544" xr:uid="{00000000-0005-0000-0000-000067080000}"/>
    <cellStyle name="Comma 4 2 3 2 2 4 2" xfId="3774" xr:uid="{00000000-0005-0000-0000-000068080000}"/>
    <cellStyle name="Comma 4 2 3 2 2 4 2 2" xfId="7997" xr:uid="{00000000-0005-0000-0000-000069080000}"/>
    <cellStyle name="Comma 4 2 3 2 2 4 2 2 2" xfId="16432" xr:uid="{AEDEFC92-1274-4C3B-933E-BB65D3E99D9B}"/>
    <cellStyle name="Comma 4 2 3 2 2 4 2 3" xfId="12214" xr:uid="{B5CA738F-558C-497F-BEFC-400B1E8547B7}"/>
    <cellStyle name="Comma 4 2 3 2 2 4 3" xfId="5852" xr:uid="{00000000-0005-0000-0000-00006A080000}"/>
    <cellStyle name="Comma 4 2 3 2 2 4 3 2" xfId="14287" xr:uid="{23012F19-9038-4156-A961-CE7D7918F076}"/>
    <cellStyle name="Comma 4 2 3 2 2 4 4" xfId="10069" xr:uid="{7D3A42B5-9E3A-4007-9ECA-2296469307A1}"/>
    <cellStyle name="Comma 4 2 3 2 2 5" xfId="1958" xr:uid="{00000000-0005-0000-0000-00006B080000}"/>
    <cellStyle name="Comma 4 2 3 2 2 5 2" xfId="4187" xr:uid="{00000000-0005-0000-0000-00006C080000}"/>
    <cellStyle name="Comma 4 2 3 2 2 5 2 2" xfId="8410" xr:uid="{00000000-0005-0000-0000-00006D080000}"/>
    <cellStyle name="Comma 4 2 3 2 2 5 2 2 2" xfId="16845" xr:uid="{ED3E0043-38DE-41B6-B0E2-31D232CB7CFA}"/>
    <cellStyle name="Comma 4 2 3 2 2 5 2 3" xfId="12627" xr:uid="{156D0683-0C61-4FAC-A302-D31F6D6A7038}"/>
    <cellStyle name="Comma 4 2 3 2 2 5 3" xfId="6265" xr:uid="{00000000-0005-0000-0000-00006E080000}"/>
    <cellStyle name="Comma 4 2 3 2 2 5 3 2" xfId="14700" xr:uid="{02528134-48AD-457D-B536-31113131A22C}"/>
    <cellStyle name="Comma 4 2 3 2 2 5 4" xfId="10482" xr:uid="{77703944-445A-41C1-B145-85F69BC297BF}"/>
    <cellStyle name="Comma 4 2 3 2 2 6" xfId="2393" xr:uid="{00000000-0005-0000-0000-00006F080000}"/>
    <cellStyle name="Comma 4 2 3 2 2 6 2" xfId="6678" xr:uid="{00000000-0005-0000-0000-000070080000}"/>
    <cellStyle name="Comma 4 2 3 2 2 6 2 2" xfId="15113" xr:uid="{E8E3BEC6-5D51-4E68-A88E-8644484FCDA5}"/>
    <cellStyle name="Comma 4 2 3 2 2 6 3" xfId="10895" xr:uid="{B12AC363-565A-4F9A-B971-9F11D03AB3AB}"/>
    <cellStyle name="Comma 4 2 3 2 2 7" xfId="2372" xr:uid="{00000000-0005-0000-0000-000071080000}"/>
    <cellStyle name="Comma 4 2 3 2 2 8" xfId="2771" xr:uid="{00000000-0005-0000-0000-000072080000}"/>
    <cellStyle name="Comma 4 2 3 2 2 8 2" xfId="6995" xr:uid="{00000000-0005-0000-0000-000073080000}"/>
    <cellStyle name="Comma 4 2 3 2 2 8 2 2" xfId="15430" xr:uid="{2FD577F6-3EBC-4893-B835-6558BB1A8983}"/>
    <cellStyle name="Comma 4 2 3 2 2 8 3" xfId="11212" xr:uid="{F9C3B66E-ADB9-48E8-8AE5-A3BF673A023C}"/>
    <cellStyle name="Comma 4 2 3 2 2 9" xfId="4612" xr:uid="{00000000-0005-0000-0000-000074080000}"/>
    <cellStyle name="Comma 4 2 3 2 2 9 2" xfId="13047" xr:uid="{75AB1BB4-7736-43A1-A785-39DEE71FF69E}"/>
    <cellStyle name="Comma 4 2 3 2 3" xfId="676" xr:uid="{00000000-0005-0000-0000-000075080000}"/>
    <cellStyle name="Comma 4 2 3 2 3 2" xfId="2947" xr:uid="{00000000-0005-0000-0000-000076080000}"/>
    <cellStyle name="Comma 4 2 3 2 3 2 2" xfId="7170" xr:uid="{00000000-0005-0000-0000-000077080000}"/>
    <cellStyle name="Comma 4 2 3 2 3 2 2 2" xfId="15605" xr:uid="{C8A19655-6A05-4AF5-BA5E-95C5BE13451E}"/>
    <cellStyle name="Comma 4 2 3 2 3 2 3" xfId="11387" xr:uid="{8D4F00C5-524B-40C4-BF29-00497FAC5019}"/>
    <cellStyle name="Comma 4 2 3 2 3 3" xfId="5025" xr:uid="{00000000-0005-0000-0000-000078080000}"/>
    <cellStyle name="Comma 4 2 3 2 3 3 2" xfId="13460" xr:uid="{11F15AEF-1D16-4636-9072-501358703983}"/>
    <cellStyle name="Comma 4 2 3 2 3 4" xfId="9242" xr:uid="{95AF49FA-2A55-493C-ACB9-82BD49589B9A}"/>
    <cellStyle name="Comma 4 2 3 2 4" xfId="1129" xr:uid="{00000000-0005-0000-0000-000079080000}"/>
    <cellStyle name="Comma 4 2 3 2 4 2" xfId="3360" xr:uid="{00000000-0005-0000-0000-00007A080000}"/>
    <cellStyle name="Comma 4 2 3 2 4 2 2" xfId="7583" xr:uid="{00000000-0005-0000-0000-00007B080000}"/>
    <cellStyle name="Comma 4 2 3 2 4 2 2 2" xfId="16018" xr:uid="{EA5FA3C3-773C-4933-89C8-58A53D295185}"/>
    <cellStyle name="Comma 4 2 3 2 4 2 3" xfId="11800" xr:uid="{D2C0D7AF-482D-4131-822B-66FF32461310}"/>
    <cellStyle name="Comma 4 2 3 2 4 3" xfId="5438" xr:uid="{00000000-0005-0000-0000-00007C080000}"/>
    <cellStyle name="Comma 4 2 3 2 4 3 2" xfId="13873" xr:uid="{25F87A17-0C48-425E-A7BC-4C8359459767}"/>
    <cellStyle name="Comma 4 2 3 2 4 4" xfId="9655" xr:uid="{B4D47511-4BF1-496D-B6C5-52AA31FEE14F}"/>
    <cellStyle name="Comma 4 2 3 2 5" xfId="1543" xr:uid="{00000000-0005-0000-0000-00007D080000}"/>
    <cellStyle name="Comma 4 2 3 2 5 2" xfId="3773" xr:uid="{00000000-0005-0000-0000-00007E080000}"/>
    <cellStyle name="Comma 4 2 3 2 5 2 2" xfId="7996" xr:uid="{00000000-0005-0000-0000-00007F080000}"/>
    <cellStyle name="Comma 4 2 3 2 5 2 2 2" xfId="16431" xr:uid="{4BCF558C-00EB-4BCD-B9CA-C02BA57F8886}"/>
    <cellStyle name="Comma 4 2 3 2 5 2 3" xfId="12213" xr:uid="{4389F8B4-506D-4923-AB01-0189346782D1}"/>
    <cellStyle name="Comma 4 2 3 2 5 3" xfId="5851" xr:uid="{00000000-0005-0000-0000-000080080000}"/>
    <cellStyle name="Comma 4 2 3 2 5 3 2" xfId="14286" xr:uid="{8EDE27E1-87ED-41B4-B0FB-B7F1DA410700}"/>
    <cellStyle name="Comma 4 2 3 2 5 4" xfId="10068" xr:uid="{26567130-E644-4C5C-8C0B-3317B4162AF8}"/>
    <cellStyle name="Comma 4 2 3 2 6" xfId="1957" xr:uid="{00000000-0005-0000-0000-000081080000}"/>
    <cellStyle name="Comma 4 2 3 2 6 2" xfId="4186" xr:uid="{00000000-0005-0000-0000-000082080000}"/>
    <cellStyle name="Comma 4 2 3 2 6 2 2" xfId="8409" xr:uid="{00000000-0005-0000-0000-000083080000}"/>
    <cellStyle name="Comma 4 2 3 2 6 2 2 2" xfId="16844" xr:uid="{AFE4997C-BBB8-48AF-8276-84EE87B3A0B5}"/>
    <cellStyle name="Comma 4 2 3 2 6 2 3" xfId="12626" xr:uid="{9DC3F8D0-DD75-4787-A47C-3184915DA24A}"/>
    <cellStyle name="Comma 4 2 3 2 6 3" xfId="6264" xr:uid="{00000000-0005-0000-0000-000084080000}"/>
    <cellStyle name="Comma 4 2 3 2 6 3 2" xfId="14699" xr:uid="{EB5D1069-F7B8-4D67-8784-F0B4B7090AB4}"/>
    <cellStyle name="Comma 4 2 3 2 6 4" xfId="10481" xr:uid="{1D8556EB-F47F-4187-AF31-FE4FFBB95D16}"/>
    <cellStyle name="Comma 4 2 3 2 7" xfId="2392" xr:uid="{00000000-0005-0000-0000-000085080000}"/>
    <cellStyle name="Comma 4 2 3 2 7 2" xfId="6677" xr:uid="{00000000-0005-0000-0000-000086080000}"/>
    <cellStyle name="Comma 4 2 3 2 7 2 2" xfId="15112" xr:uid="{626DB976-3C95-4E28-AEB7-0CE2A134A197}"/>
    <cellStyle name="Comma 4 2 3 2 7 3" xfId="10894" xr:uid="{EBFFCB19-0D09-4C78-AADC-633567158E10}"/>
    <cellStyle name="Comma 4 2 3 2 8" xfId="2373" xr:uid="{00000000-0005-0000-0000-000087080000}"/>
    <cellStyle name="Comma 4 2 3 2 9" xfId="2770" xr:uid="{00000000-0005-0000-0000-000088080000}"/>
    <cellStyle name="Comma 4 2 3 2 9 2" xfId="6994" xr:uid="{00000000-0005-0000-0000-000089080000}"/>
    <cellStyle name="Comma 4 2 3 2 9 2 2" xfId="15429" xr:uid="{72454E9B-CF2C-447F-A6C4-1203004E7303}"/>
    <cellStyle name="Comma 4 2 3 2 9 3" xfId="11211" xr:uid="{1DB9537D-25CD-432C-8FC5-4C09046206C9}"/>
    <cellStyle name="Comma 4 2 3 3" xfId="139" xr:uid="{00000000-0005-0000-0000-00008A080000}"/>
    <cellStyle name="Comma 4 2 3 3 10" xfId="8830" xr:uid="{18B35EA3-3164-4474-BE42-926EB7C3B752}"/>
    <cellStyle name="Comma 4 2 3 3 2" xfId="678" xr:uid="{00000000-0005-0000-0000-00008B080000}"/>
    <cellStyle name="Comma 4 2 3 3 2 2" xfId="2949" xr:uid="{00000000-0005-0000-0000-00008C080000}"/>
    <cellStyle name="Comma 4 2 3 3 2 2 2" xfId="7172" xr:uid="{00000000-0005-0000-0000-00008D080000}"/>
    <cellStyle name="Comma 4 2 3 3 2 2 2 2" xfId="15607" xr:uid="{D44E69F6-5684-40E5-8282-84B0BAC25EDC}"/>
    <cellStyle name="Comma 4 2 3 3 2 2 3" xfId="11389" xr:uid="{98606BC0-ADD1-4058-B769-6BDBAC9162E8}"/>
    <cellStyle name="Comma 4 2 3 3 2 3" xfId="5027" xr:uid="{00000000-0005-0000-0000-00008E080000}"/>
    <cellStyle name="Comma 4 2 3 3 2 3 2" xfId="13462" xr:uid="{B3A014F0-6BEE-4D5F-84EE-A6E5503C6BA8}"/>
    <cellStyle name="Comma 4 2 3 3 2 4" xfId="9244" xr:uid="{A1E5FD5B-D01E-410E-9798-E074E30848A9}"/>
    <cellStyle name="Comma 4 2 3 3 3" xfId="1131" xr:uid="{00000000-0005-0000-0000-00008F080000}"/>
    <cellStyle name="Comma 4 2 3 3 3 2" xfId="3362" xr:uid="{00000000-0005-0000-0000-000090080000}"/>
    <cellStyle name="Comma 4 2 3 3 3 2 2" xfId="7585" xr:uid="{00000000-0005-0000-0000-000091080000}"/>
    <cellStyle name="Comma 4 2 3 3 3 2 2 2" xfId="16020" xr:uid="{959FDDFF-8671-4004-A3C6-BA72AAAAE2FF}"/>
    <cellStyle name="Comma 4 2 3 3 3 2 3" xfId="11802" xr:uid="{42F64732-964A-4058-8589-35538DEEE65D}"/>
    <cellStyle name="Comma 4 2 3 3 3 3" xfId="5440" xr:uid="{00000000-0005-0000-0000-000092080000}"/>
    <cellStyle name="Comma 4 2 3 3 3 3 2" xfId="13875" xr:uid="{363E9F57-9BA4-486F-ADAB-B918247D33B9}"/>
    <cellStyle name="Comma 4 2 3 3 3 4" xfId="9657" xr:uid="{4DD6E7EE-06A5-4D96-80B7-EA9A520A462C}"/>
    <cellStyle name="Comma 4 2 3 3 4" xfId="1545" xr:uid="{00000000-0005-0000-0000-000093080000}"/>
    <cellStyle name="Comma 4 2 3 3 4 2" xfId="3775" xr:uid="{00000000-0005-0000-0000-000094080000}"/>
    <cellStyle name="Comma 4 2 3 3 4 2 2" xfId="7998" xr:uid="{00000000-0005-0000-0000-000095080000}"/>
    <cellStyle name="Comma 4 2 3 3 4 2 2 2" xfId="16433" xr:uid="{F7913CC2-6580-46DB-9CB0-D29BB2DD6181}"/>
    <cellStyle name="Comma 4 2 3 3 4 2 3" xfId="12215" xr:uid="{D385BA37-F87C-411B-9410-4032BC4FB6C1}"/>
    <cellStyle name="Comma 4 2 3 3 4 3" xfId="5853" xr:uid="{00000000-0005-0000-0000-000096080000}"/>
    <cellStyle name="Comma 4 2 3 3 4 3 2" xfId="14288" xr:uid="{0A95F594-1AFD-4C54-8417-1322CC3B1E81}"/>
    <cellStyle name="Comma 4 2 3 3 4 4" xfId="10070" xr:uid="{0B5E2436-D9F3-414F-926E-86876320EB90}"/>
    <cellStyle name="Comma 4 2 3 3 5" xfId="1959" xr:uid="{00000000-0005-0000-0000-000097080000}"/>
    <cellStyle name="Comma 4 2 3 3 5 2" xfId="4188" xr:uid="{00000000-0005-0000-0000-000098080000}"/>
    <cellStyle name="Comma 4 2 3 3 5 2 2" xfId="8411" xr:uid="{00000000-0005-0000-0000-000099080000}"/>
    <cellStyle name="Comma 4 2 3 3 5 2 2 2" xfId="16846" xr:uid="{F90B3E4D-44C9-4FE7-8BC7-B6B4BCAECF89}"/>
    <cellStyle name="Comma 4 2 3 3 5 2 3" xfId="12628" xr:uid="{DA1833F9-41F7-4233-BDE4-1647325B9BF3}"/>
    <cellStyle name="Comma 4 2 3 3 5 3" xfId="6266" xr:uid="{00000000-0005-0000-0000-00009A080000}"/>
    <cellStyle name="Comma 4 2 3 3 5 3 2" xfId="14701" xr:uid="{F633E89D-A281-4ED8-A9D8-C43E1FF477B9}"/>
    <cellStyle name="Comma 4 2 3 3 5 4" xfId="10483" xr:uid="{6FCE1827-7769-4571-9D5E-8B096E20B02C}"/>
    <cellStyle name="Comma 4 2 3 3 6" xfId="2394" xr:uid="{00000000-0005-0000-0000-00009B080000}"/>
    <cellStyle name="Comma 4 2 3 3 6 2" xfId="6679" xr:uid="{00000000-0005-0000-0000-00009C080000}"/>
    <cellStyle name="Comma 4 2 3 3 6 2 2" xfId="15114" xr:uid="{34772981-5AB7-4D46-874F-1CB5703B8BBA}"/>
    <cellStyle name="Comma 4 2 3 3 6 3" xfId="10896" xr:uid="{2B1F4DF8-C0FE-45A7-B632-C06E7C60FC7A}"/>
    <cellStyle name="Comma 4 2 3 3 7" xfId="2371" xr:uid="{00000000-0005-0000-0000-00009D080000}"/>
    <cellStyle name="Comma 4 2 3 3 8" xfId="2772" xr:uid="{00000000-0005-0000-0000-00009E080000}"/>
    <cellStyle name="Comma 4 2 3 3 8 2" xfId="6996" xr:uid="{00000000-0005-0000-0000-00009F080000}"/>
    <cellStyle name="Comma 4 2 3 3 8 2 2" xfId="15431" xr:uid="{1B4B2EFD-B1A7-4EDC-8040-F3A69DE474A6}"/>
    <cellStyle name="Comma 4 2 3 3 8 3" xfId="11213" xr:uid="{6B8F4C88-C132-42CB-93D1-CCC20E1E7C18}"/>
    <cellStyle name="Comma 4 2 3 3 9" xfId="4613" xr:uid="{00000000-0005-0000-0000-0000A0080000}"/>
    <cellStyle name="Comma 4 2 3 3 9 2" xfId="13048" xr:uid="{A5B36811-67FA-4FD3-BFD8-1622A1161D3F}"/>
    <cellStyle name="Comma 4 2 3 4" xfId="675" xr:uid="{00000000-0005-0000-0000-0000A1080000}"/>
    <cellStyle name="Comma 4 2 3 4 2" xfId="2946" xr:uid="{00000000-0005-0000-0000-0000A2080000}"/>
    <cellStyle name="Comma 4 2 3 4 2 2" xfId="7169" xr:uid="{00000000-0005-0000-0000-0000A3080000}"/>
    <cellStyle name="Comma 4 2 3 4 2 2 2" xfId="15604" xr:uid="{B25EBDF8-2393-42F4-A290-AE9C13CBC3A7}"/>
    <cellStyle name="Comma 4 2 3 4 2 3" xfId="11386" xr:uid="{27984CE7-BC50-4AB7-B29A-85ED37BF26DC}"/>
    <cellStyle name="Comma 4 2 3 4 3" xfId="5024" xr:uid="{00000000-0005-0000-0000-0000A4080000}"/>
    <cellStyle name="Comma 4 2 3 4 3 2" xfId="13459" xr:uid="{A3B0814C-A4E9-446C-97FC-21B4393F902D}"/>
    <cellStyle name="Comma 4 2 3 4 4" xfId="9241" xr:uid="{4E3E2CFC-3740-42AF-97B3-AB93ABB0495E}"/>
    <cellStyle name="Comma 4 2 3 5" xfId="1128" xr:uid="{00000000-0005-0000-0000-0000A5080000}"/>
    <cellStyle name="Comma 4 2 3 5 2" xfId="3359" xr:uid="{00000000-0005-0000-0000-0000A6080000}"/>
    <cellStyle name="Comma 4 2 3 5 2 2" xfId="7582" xr:uid="{00000000-0005-0000-0000-0000A7080000}"/>
    <cellStyle name="Comma 4 2 3 5 2 2 2" xfId="16017" xr:uid="{4C7F5A08-12D9-4385-9229-E7F4F588C654}"/>
    <cellStyle name="Comma 4 2 3 5 2 3" xfId="11799" xr:uid="{D0C4E57B-A6AE-4B88-B9A2-AE3A97A151BA}"/>
    <cellStyle name="Comma 4 2 3 5 3" xfId="5437" xr:uid="{00000000-0005-0000-0000-0000A8080000}"/>
    <cellStyle name="Comma 4 2 3 5 3 2" xfId="13872" xr:uid="{FC3C9B5F-549F-4803-9107-8B0B17AB9F85}"/>
    <cellStyle name="Comma 4 2 3 5 4" xfId="9654" xr:uid="{AAFDE2A2-7D59-4247-BE8B-652231CE137B}"/>
    <cellStyle name="Comma 4 2 3 6" xfId="1542" xr:uid="{00000000-0005-0000-0000-0000A9080000}"/>
    <cellStyle name="Comma 4 2 3 6 2" xfId="3772" xr:uid="{00000000-0005-0000-0000-0000AA080000}"/>
    <cellStyle name="Comma 4 2 3 6 2 2" xfId="7995" xr:uid="{00000000-0005-0000-0000-0000AB080000}"/>
    <cellStyle name="Comma 4 2 3 6 2 2 2" xfId="16430" xr:uid="{A763EA45-8ADB-40B3-95F9-9E0FFD5C8D9E}"/>
    <cellStyle name="Comma 4 2 3 6 2 3" xfId="12212" xr:uid="{09777FCD-B7B3-43A7-BF73-0A610DD7F39F}"/>
    <cellStyle name="Comma 4 2 3 6 3" xfId="5850" xr:uid="{00000000-0005-0000-0000-0000AC080000}"/>
    <cellStyle name="Comma 4 2 3 6 3 2" xfId="14285" xr:uid="{2815659D-65FD-4233-BCC4-0E9750D936D8}"/>
    <cellStyle name="Comma 4 2 3 6 4" xfId="10067" xr:uid="{2718A0FF-79A1-4E18-8BF9-2C9562A3A475}"/>
    <cellStyle name="Comma 4 2 3 7" xfId="1956" xr:uid="{00000000-0005-0000-0000-0000AD080000}"/>
    <cellStyle name="Comma 4 2 3 7 2" xfId="4185" xr:uid="{00000000-0005-0000-0000-0000AE080000}"/>
    <cellStyle name="Comma 4 2 3 7 2 2" xfId="8408" xr:uid="{00000000-0005-0000-0000-0000AF080000}"/>
    <cellStyle name="Comma 4 2 3 7 2 2 2" xfId="16843" xr:uid="{40A7156D-F196-4D4E-9725-797B49114D40}"/>
    <cellStyle name="Comma 4 2 3 7 2 3" xfId="12625" xr:uid="{48FB33D1-CDC4-4406-90C8-B48516C1CBF8}"/>
    <cellStyle name="Comma 4 2 3 7 3" xfId="6263" xr:uid="{00000000-0005-0000-0000-0000B0080000}"/>
    <cellStyle name="Comma 4 2 3 7 3 2" xfId="14698" xr:uid="{63D9213E-77E0-4AAD-BD1B-9A496A47492D}"/>
    <cellStyle name="Comma 4 2 3 7 4" xfId="10480" xr:uid="{C4B318C5-0494-423D-B16B-AFEB11FB3931}"/>
    <cellStyle name="Comma 4 2 3 8" xfId="2391" xr:uid="{00000000-0005-0000-0000-0000B1080000}"/>
    <cellStyle name="Comma 4 2 3 8 2" xfId="6676" xr:uid="{00000000-0005-0000-0000-0000B2080000}"/>
    <cellStyle name="Comma 4 2 3 8 2 2" xfId="15111" xr:uid="{5E9FE5C2-A59D-4965-B799-84C693DA4AD6}"/>
    <cellStyle name="Comma 4 2 3 8 3" xfId="10893" xr:uid="{7506EA1C-8DE8-4E42-A93C-1EDA8F68D754}"/>
    <cellStyle name="Comma 4 2 3 9" xfId="2374" xr:uid="{00000000-0005-0000-0000-0000B3080000}"/>
    <cellStyle name="Comma 4 2 4" xfId="140" xr:uid="{00000000-0005-0000-0000-0000B4080000}"/>
    <cellStyle name="Comma 4 2 4 10" xfId="4614" xr:uid="{00000000-0005-0000-0000-0000B5080000}"/>
    <cellStyle name="Comma 4 2 4 10 2" xfId="13049" xr:uid="{F2A52781-914A-4F79-A3EF-12079F68DEF5}"/>
    <cellStyle name="Comma 4 2 4 11" xfId="8831" xr:uid="{E1D20442-477D-4B61-9184-D81596E0AAB3}"/>
    <cellStyle name="Comma 4 2 4 2" xfId="141" xr:uid="{00000000-0005-0000-0000-0000B6080000}"/>
    <cellStyle name="Comma 4 2 4 2 10" xfId="8832" xr:uid="{D67BE845-9CBC-490B-83E8-E21CB904CDE9}"/>
    <cellStyle name="Comma 4 2 4 2 2" xfId="680" xr:uid="{00000000-0005-0000-0000-0000B7080000}"/>
    <cellStyle name="Comma 4 2 4 2 2 2" xfId="2951" xr:uid="{00000000-0005-0000-0000-0000B8080000}"/>
    <cellStyle name="Comma 4 2 4 2 2 2 2" xfId="7174" xr:uid="{00000000-0005-0000-0000-0000B9080000}"/>
    <cellStyle name="Comma 4 2 4 2 2 2 2 2" xfId="15609" xr:uid="{55116467-D3A3-4E0B-A240-17EB94C14471}"/>
    <cellStyle name="Comma 4 2 4 2 2 2 3" xfId="11391" xr:uid="{D06FB457-27F9-4F2F-AC89-3D3B8F30829C}"/>
    <cellStyle name="Comma 4 2 4 2 2 3" xfId="5029" xr:uid="{00000000-0005-0000-0000-0000BA080000}"/>
    <cellStyle name="Comma 4 2 4 2 2 3 2" xfId="13464" xr:uid="{7A18CEED-4231-4C6B-9B32-087760B2F7D1}"/>
    <cellStyle name="Comma 4 2 4 2 2 4" xfId="9246" xr:uid="{8B2FFDDD-278A-4D7E-A371-F9302FCEDB35}"/>
    <cellStyle name="Comma 4 2 4 2 3" xfId="1133" xr:uid="{00000000-0005-0000-0000-0000BB080000}"/>
    <cellStyle name="Comma 4 2 4 2 3 2" xfId="3364" xr:uid="{00000000-0005-0000-0000-0000BC080000}"/>
    <cellStyle name="Comma 4 2 4 2 3 2 2" xfId="7587" xr:uid="{00000000-0005-0000-0000-0000BD080000}"/>
    <cellStyle name="Comma 4 2 4 2 3 2 2 2" xfId="16022" xr:uid="{5A0685E4-BB7C-49C7-A177-CE17570BC0E6}"/>
    <cellStyle name="Comma 4 2 4 2 3 2 3" xfId="11804" xr:uid="{B0413E42-D9AD-44D6-8E92-DF662A4927DB}"/>
    <cellStyle name="Comma 4 2 4 2 3 3" xfId="5442" xr:uid="{00000000-0005-0000-0000-0000BE080000}"/>
    <cellStyle name="Comma 4 2 4 2 3 3 2" xfId="13877" xr:uid="{A68DFF13-B600-409C-8131-A3292249B88E}"/>
    <cellStyle name="Comma 4 2 4 2 3 4" xfId="9659" xr:uid="{B3C39F5A-9C31-4A4E-9695-182C1D3B3CA1}"/>
    <cellStyle name="Comma 4 2 4 2 4" xfId="1547" xr:uid="{00000000-0005-0000-0000-0000BF080000}"/>
    <cellStyle name="Comma 4 2 4 2 4 2" xfId="3777" xr:uid="{00000000-0005-0000-0000-0000C0080000}"/>
    <cellStyle name="Comma 4 2 4 2 4 2 2" xfId="8000" xr:uid="{00000000-0005-0000-0000-0000C1080000}"/>
    <cellStyle name="Comma 4 2 4 2 4 2 2 2" xfId="16435" xr:uid="{7CEDC34A-6164-4CF0-BAF2-9424BFC9226A}"/>
    <cellStyle name="Comma 4 2 4 2 4 2 3" xfId="12217" xr:uid="{3D96ABC1-DBEB-4DB2-A4F5-48D56510AB7E}"/>
    <cellStyle name="Comma 4 2 4 2 4 3" xfId="5855" xr:uid="{00000000-0005-0000-0000-0000C2080000}"/>
    <cellStyle name="Comma 4 2 4 2 4 3 2" xfId="14290" xr:uid="{F9F0DE22-E945-4294-A907-12AFA3CEA423}"/>
    <cellStyle name="Comma 4 2 4 2 4 4" xfId="10072" xr:uid="{2F93020F-730D-4A01-8729-6E94E02C2C9E}"/>
    <cellStyle name="Comma 4 2 4 2 5" xfId="1961" xr:uid="{00000000-0005-0000-0000-0000C3080000}"/>
    <cellStyle name="Comma 4 2 4 2 5 2" xfId="4190" xr:uid="{00000000-0005-0000-0000-0000C4080000}"/>
    <cellStyle name="Comma 4 2 4 2 5 2 2" xfId="8413" xr:uid="{00000000-0005-0000-0000-0000C5080000}"/>
    <cellStyle name="Comma 4 2 4 2 5 2 2 2" xfId="16848" xr:uid="{D4C25295-75EF-40ED-8A33-BE0FE53CC7B4}"/>
    <cellStyle name="Comma 4 2 4 2 5 2 3" xfId="12630" xr:uid="{338705BA-5E2B-4116-AF24-31DF8D21AAEB}"/>
    <cellStyle name="Comma 4 2 4 2 5 3" xfId="6268" xr:uid="{00000000-0005-0000-0000-0000C6080000}"/>
    <cellStyle name="Comma 4 2 4 2 5 3 2" xfId="14703" xr:uid="{D383539E-1206-48D8-9C4E-3CC1CCA15248}"/>
    <cellStyle name="Comma 4 2 4 2 5 4" xfId="10485" xr:uid="{5F48F0D9-64C3-4F72-B12E-4E3288C30E4D}"/>
    <cellStyle name="Comma 4 2 4 2 6" xfId="2396" xr:uid="{00000000-0005-0000-0000-0000C7080000}"/>
    <cellStyle name="Comma 4 2 4 2 6 2" xfId="6681" xr:uid="{00000000-0005-0000-0000-0000C8080000}"/>
    <cellStyle name="Comma 4 2 4 2 6 2 2" xfId="15116" xr:uid="{0BDEADDE-6D9B-40BA-988D-C943E03EDF02}"/>
    <cellStyle name="Comma 4 2 4 2 6 3" xfId="10898" xr:uid="{4A2CF93F-6E8A-4928-93A7-BC178F6746F3}"/>
    <cellStyle name="Comma 4 2 4 2 7" xfId="2369" xr:uid="{00000000-0005-0000-0000-0000C9080000}"/>
    <cellStyle name="Comma 4 2 4 2 8" xfId="2774" xr:uid="{00000000-0005-0000-0000-0000CA080000}"/>
    <cellStyle name="Comma 4 2 4 2 8 2" xfId="6998" xr:uid="{00000000-0005-0000-0000-0000CB080000}"/>
    <cellStyle name="Comma 4 2 4 2 8 2 2" xfId="15433" xr:uid="{2F46442C-372E-4C8C-B080-4D1DDF9390F3}"/>
    <cellStyle name="Comma 4 2 4 2 8 3" xfId="11215" xr:uid="{73341BDA-2A4B-47EF-936E-70CA752C3173}"/>
    <cellStyle name="Comma 4 2 4 2 9" xfId="4615" xr:uid="{00000000-0005-0000-0000-0000CC080000}"/>
    <cellStyle name="Comma 4 2 4 2 9 2" xfId="13050" xr:uid="{1CA5B852-694A-4870-A62A-201371EE732C}"/>
    <cellStyle name="Comma 4 2 4 3" xfId="679" xr:uid="{00000000-0005-0000-0000-0000CD080000}"/>
    <cellStyle name="Comma 4 2 4 3 2" xfId="2950" xr:uid="{00000000-0005-0000-0000-0000CE080000}"/>
    <cellStyle name="Comma 4 2 4 3 2 2" xfId="7173" xr:uid="{00000000-0005-0000-0000-0000CF080000}"/>
    <cellStyle name="Comma 4 2 4 3 2 2 2" xfId="15608" xr:uid="{82B53557-0F87-43F7-9870-4263AC7357A4}"/>
    <cellStyle name="Comma 4 2 4 3 2 3" xfId="11390" xr:uid="{877946CC-340E-4A75-B506-A798A094A323}"/>
    <cellStyle name="Comma 4 2 4 3 3" xfId="5028" xr:uid="{00000000-0005-0000-0000-0000D0080000}"/>
    <cellStyle name="Comma 4 2 4 3 3 2" xfId="13463" xr:uid="{64A5AA56-5994-4A9D-AF22-1563F784FF6F}"/>
    <cellStyle name="Comma 4 2 4 3 4" xfId="9245" xr:uid="{A4CCFE13-E8C2-46E5-BA37-96A55C26DD23}"/>
    <cellStyle name="Comma 4 2 4 4" xfId="1132" xr:uid="{00000000-0005-0000-0000-0000D1080000}"/>
    <cellStyle name="Comma 4 2 4 4 2" xfId="3363" xr:uid="{00000000-0005-0000-0000-0000D2080000}"/>
    <cellStyle name="Comma 4 2 4 4 2 2" xfId="7586" xr:uid="{00000000-0005-0000-0000-0000D3080000}"/>
    <cellStyle name="Comma 4 2 4 4 2 2 2" xfId="16021" xr:uid="{3B32D246-5A10-4077-9957-53C80D9C1084}"/>
    <cellStyle name="Comma 4 2 4 4 2 3" xfId="11803" xr:uid="{76C70344-35C2-49BA-A945-9D873E3EA4DD}"/>
    <cellStyle name="Comma 4 2 4 4 3" xfId="5441" xr:uid="{00000000-0005-0000-0000-0000D4080000}"/>
    <cellStyle name="Comma 4 2 4 4 3 2" xfId="13876" xr:uid="{6457794A-90F1-453C-A33B-DFA927A29F70}"/>
    <cellStyle name="Comma 4 2 4 4 4" xfId="9658" xr:uid="{1D7B2338-48F1-4A5C-ACD4-15559E6F7FC6}"/>
    <cellStyle name="Comma 4 2 4 5" xfId="1546" xr:uid="{00000000-0005-0000-0000-0000D5080000}"/>
    <cellStyle name="Comma 4 2 4 5 2" xfId="3776" xr:uid="{00000000-0005-0000-0000-0000D6080000}"/>
    <cellStyle name="Comma 4 2 4 5 2 2" xfId="7999" xr:uid="{00000000-0005-0000-0000-0000D7080000}"/>
    <cellStyle name="Comma 4 2 4 5 2 2 2" xfId="16434" xr:uid="{3B00BAEC-1C11-47B8-B52E-F9BCB35FC46B}"/>
    <cellStyle name="Comma 4 2 4 5 2 3" xfId="12216" xr:uid="{E78E5653-BE02-450A-B4AA-C1D8FA69C47B}"/>
    <cellStyle name="Comma 4 2 4 5 3" xfId="5854" xr:uid="{00000000-0005-0000-0000-0000D8080000}"/>
    <cellStyle name="Comma 4 2 4 5 3 2" xfId="14289" xr:uid="{9B2AC545-EB89-43FD-B3A2-F7CDDDB22C92}"/>
    <cellStyle name="Comma 4 2 4 5 4" xfId="10071" xr:uid="{3E9C4582-86AB-4C49-90A4-81663573B141}"/>
    <cellStyle name="Comma 4 2 4 6" xfId="1960" xr:uid="{00000000-0005-0000-0000-0000D9080000}"/>
    <cellStyle name="Comma 4 2 4 6 2" xfId="4189" xr:uid="{00000000-0005-0000-0000-0000DA080000}"/>
    <cellStyle name="Comma 4 2 4 6 2 2" xfId="8412" xr:uid="{00000000-0005-0000-0000-0000DB080000}"/>
    <cellStyle name="Comma 4 2 4 6 2 2 2" xfId="16847" xr:uid="{34237820-C3A8-47D8-A70A-292152129375}"/>
    <cellStyle name="Comma 4 2 4 6 2 3" xfId="12629" xr:uid="{D6B88CB1-8A53-42DF-833D-B44DDD2F0534}"/>
    <cellStyle name="Comma 4 2 4 6 3" xfId="6267" xr:uid="{00000000-0005-0000-0000-0000DC080000}"/>
    <cellStyle name="Comma 4 2 4 6 3 2" xfId="14702" xr:uid="{3F60108A-49E0-4E28-A0FD-D995FC90F151}"/>
    <cellStyle name="Comma 4 2 4 6 4" xfId="10484" xr:uid="{CCD7CDE4-BEE6-4BA1-8748-A91BD769F282}"/>
    <cellStyle name="Comma 4 2 4 7" xfId="2395" xr:uid="{00000000-0005-0000-0000-0000DD080000}"/>
    <cellStyle name="Comma 4 2 4 7 2" xfId="6680" xr:uid="{00000000-0005-0000-0000-0000DE080000}"/>
    <cellStyle name="Comma 4 2 4 7 2 2" xfId="15115" xr:uid="{725BBCB4-8780-43AC-9C5C-531070A07D5D}"/>
    <cellStyle name="Comma 4 2 4 7 3" xfId="10897" xr:uid="{92AE3840-BBF1-42FF-8146-8C744BD5936C}"/>
    <cellStyle name="Comma 4 2 4 8" xfId="2370" xr:uid="{00000000-0005-0000-0000-0000DF080000}"/>
    <cellStyle name="Comma 4 2 4 9" xfId="2773" xr:uid="{00000000-0005-0000-0000-0000E0080000}"/>
    <cellStyle name="Comma 4 2 4 9 2" xfId="6997" xr:uid="{00000000-0005-0000-0000-0000E1080000}"/>
    <cellStyle name="Comma 4 2 4 9 2 2" xfId="15432" xr:uid="{DEE6717E-DA5F-42DF-89D8-7558CE232EE3}"/>
    <cellStyle name="Comma 4 2 4 9 3" xfId="11214" xr:uid="{AFA5D0A6-B9DF-49BB-9B43-28C0D25C08CD}"/>
    <cellStyle name="Comma 4 2 5" xfId="142" xr:uid="{00000000-0005-0000-0000-0000E2080000}"/>
    <cellStyle name="Comma 4 2 5 10" xfId="8833" xr:uid="{97E35666-BB36-417A-9557-1BBC5013171C}"/>
    <cellStyle name="Comma 4 2 5 2" xfId="681" xr:uid="{00000000-0005-0000-0000-0000E3080000}"/>
    <cellStyle name="Comma 4 2 5 2 2" xfId="2952" xr:uid="{00000000-0005-0000-0000-0000E4080000}"/>
    <cellStyle name="Comma 4 2 5 2 2 2" xfId="7175" xr:uid="{00000000-0005-0000-0000-0000E5080000}"/>
    <cellStyle name="Comma 4 2 5 2 2 2 2" xfId="15610" xr:uid="{AA278ABA-B6D4-44A3-8E01-08CDBF0F0959}"/>
    <cellStyle name="Comma 4 2 5 2 2 3" xfId="11392" xr:uid="{A5C1ACD1-0F27-4192-8DE5-3DDA0C4A5D2F}"/>
    <cellStyle name="Comma 4 2 5 2 3" xfId="5030" xr:uid="{00000000-0005-0000-0000-0000E6080000}"/>
    <cellStyle name="Comma 4 2 5 2 3 2" xfId="13465" xr:uid="{3FBDD127-FBE1-47CF-A79B-062B2279B621}"/>
    <cellStyle name="Comma 4 2 5 2 4" xfId="9247" xr:uid="{F7A95129-E0CB-446E-9C9A-B022FAB7CC30}"/>
    <cellStyle name="Comma 4 2 5 3" xfId="1134" xr:uid="{00000000-0005-0000-0000-0000E7080000}"/>
    <cellStyle name="Comma 4 2 5 3 2" xfId="3365" xr:uid="{00000000-0005-0000-0000-0000E8080000}"/>
    <cellStyle name="Comma 4 2 5 3 2 2" xfId="7588" xr:uid="{00000000-0005-0000-0000-0000E9080000}"/>
    <cellStyle name="Comma 4 2 5 3 2 2 2" xfId="16023" xr:uid="{C12A4116-2187-4F58-9598-D79F005F3E01}"/>
    <cellStyle name="Comma 4 2 5 3 2 3" xfId="11805" xr:uid="{1B8D4DAA-286A-418A-A92E-FA19C795F3D5}"/>
    <cellStyle name="Comma 4 2 5 3 3" xfId="5443" xr:uid="{00000000-0005-0000-0000-0000EA080000}"/>
    <cellStyle name="Comma 4 2 5 3 3 2" xfId="13878" xr:uid="{65ED6202-E323-4C9C-9827-51DCB0ABAD67}"/>
    <cellStyle name="Comma 4 2 5 3 4" xfId="9660" xr:uid="{F062E989-1D69-45AC-BEEE-2867B218F421}"/>
    <cellStyle name="Comma 4 2 5 4" xfId="1548" xr:uid="{00000000-0005-0000-0000-0000EB080000}"/>
    <cellStyle name="Comma 4 2 5 4 2" xfId="3778" xr:uid="{00000000-0005-0000-0000-0000EC080000}"/>
    <cellStyle name="Comma 4 2 5 4 2 2" xfId="8001" xr:uid="{00000000-0005-0000-0000-0000ED080000}"/>
    <cellStyle name="Comma 4 2 5 4 2 2 2" xfId="16436" xr:uid="{CFA20C8F-0D06-4F41-963F-932EC6B44DAC}"/>
    <cellStyle name="Comma 4 2 5 4 2 3" xfId="12218" xr:uid="{509176FF-76CF-4533-AAEB-174BBF71F2CC}"/>
    <cellStyle name="Comma 4 2 5 4 3" xfId="5856" xr:uid="{00000000-0005-0000-0000-0000EE080000}"/>
    <cellStyle name="Comma 4 2 5 4 3 2" xfId="14291" xr:uid="{20973DF1-B2B0-42B0-A7A4-65D93B5B79FA}"/>
    <cellStyle name="Comma 4 2 5 4 4" xfId="10073" xr:uid="{A43B74C6-E955-45CB-99EA-3CA81E039634}"/>
    <cellStyle name="Comma 4 2 5 5" xfId="1962" xr:uid="{00000000-0005-0000-0000-0000EF080000}"/>
    <cellStyle name="Comma 4 2 5 5 2" xfId="4191" xr:uid="{00000000-0005-0000-0000-0000F0080000}"/>
    <cellStyle name="Comma 4 2 5 5 2 2" xfId="8414" xr:uid="{00000000-0005-0000-0000-0000F1080000}"/>
    <cellStyle name="Comma 4 2 5 5 2 2 2" xfId="16849" xr:uid="{216A1F06-9E37-43B2-9446-6F154A1F15BB}"/>
    <cellStyle name="Comma 4 2 5 5 2 3" xfId="12631" xr:uid="{3FAD3A16-F91C-4B3B-871F-D7EEA2553DB9}"/>
    <cellStyle name="Comma 4 2 5 5 3" xfId="6269" xr:uid="{00000000-0005-0000-0000-0000F2080000}"/>
    <cellStyle name="Comma 4 2 5 5 3 2" xfId="14704" xr:uid="{E5B9C66C-E477-4AA6-9871-593BB102180B}"/>
    <cellStyle name="Comma 4 2 5 5 4" xfId="10486" xr:uid="{5D542C2A-5FE5-4E56-92E3-273B50039B28}"/>
    <cellStyle name="Comma 4 2 5 6" xfId="2397" xr:uid="{00000000-0005-0000-0000-0000F3080000}"/>
    <cellStyle name="Comma 4 2 5 6 2" xfId="6682" xr:uid="{00000000-0005-0000-0000-0000F4080000}"/>
    <cellStyle name="Comma 4 2 5 6 2 2" xfId="15117" xr:uid="{B8CF8E2B-F2DA-42E1-A456-0AFEEF56A14D}"/>
    <cellStyle name="Comma 4 2 5 6 3" xfId="10899" xr:uid="{C76DAFAA-E4F3-427F-9F1E-D52583D62980}"/>
    <cellStyle name="Comma 4 2 5 7" xfId="2368" xr:uid="{00000000-0005-0000-0000-0000F5080000}"/>
    <cellStyle name="Comma 4 2 5 8" xfId="2775" xr:uid="{00000000-0005-0000-0000-0000F6080000}"/>
    <cellStyle name="Comma 4 2 5 8 2" xfId="6999" xr:uid="{00000000-0005-0000-0000-0000F7080000}"/>
    <cellStyle name="Comma 4 2 5 8 2 2" xfId="15434" xr:uid="{966B95AE-63F5-4983-B51C-53B3446B7040}"/>
    <cellStyle name="Comma 4 2 5 8 3" xfId="11216" xr:uid="{5961D973-D2C4-4A14-A509-BE965B0F840C}"/>
    <cellStyle name="Comma 4 2 5 9" xfId="4616" xr:uid="{00000000-0005-0000-0000-0000F8080000}"/>
    <cellStyle name="Comma 4 2 5 9 2" xfId="13051" xr:uid="{DFE9A159-014D-4304-B427-0C5F2CAED562}"/>
    <cellStyle name="Comma 4 2 6" xfId="143" xr:uid="{00000000-0005-0000-0000-0000F9080000}"/>
    <cellStyle name="Comma 4 2 6 10" xfId="8834" xr:uid="{0C51D746-4637-4AB4-B64A-680D7EAF2AD1}"/>
    <cellStyle name="Comma 4 2 6 2" xfId="682" xr:uid="{00000000-0005-0000-0000-0000FA080000}"/>
    <cellStyle name="Comma 4 2 6 2 2" xfId="2953" xr:uid="{00000000-0005-0000-0000-0000FB080000}"/>
    <cellStyle name="Comma 4 2 6 2 2 2" xfId="7176" xr:uid="{00000000-0005-0000-0000-0000FC080000}"/>
    <cellStyle name="Comma 4 2 6 2 2 2 2" xfId="15611" xr:uid="{43775869-6820-42ED-BEB1-733DC03CFAFA}"/>
    <cellStyle name="Comma 4 2 6 2 2 3" xfId="11393" xr:uid="{CDE505C9-EDCC-4FE3-96AE-58C0C1520E00}"/>
    <cellStyle name="Comma 4 2 6 2 3" xfId="5031" xr:uid="{00000000-0005-0000-0000-0000FD080000}"/>
    <cellStyle name="Comma 4 2 6 2 3 2" xfId="13466" xr:uid="{2B292605-0B14-40A1-9B23-E1C9169E5CBA}"/>
    <cellStyle name="Comma 4 2 6 2 4" xfId="9248" xr:uid="{B325DB94-D42E-4142-B428-62A066F27F02}"/>
    <cellStyle name="Comma 4 2 6 3" xfId="1135" xr:uid="{00000000-0005-0000-0000-0000FE080000}"/>
    <cellStyle name="Comma 4 2 6 3 2" xfId="3366" xr:uid="{00000000-0005-0000-0000-0000FF080000}"/>
    <cellStyle name="Comma 4 2 6 3 2 2" xfId="7589" xr:uid="{00000000-0005-0000-0000-000000090000}"/>
    <cellStyle name="Comma 4 2 6 3 2 2 2" xfId="16024" xr:uid="{4977C9C4-3387-4195-8D67-2FE6A6491AB3}"/>
    <cellStyle name="Comma 4 2 6 3 2 3" xfId="11806" xr:uid="{03949283-8A45-40C1-8655-CCB6B4940C72}"/>
    <cellStyle name="Comma 4 2 6 3 3" xfId="5444" xr:uid="{00000000-0005-0000-0000-000001090000}"/>
    <cellStyle name="Comma 4 2 6 3 3 2" xfId="13879" xr:uid="{753C76B5-D7B7-40B3-B4C1-D3A644D0FB59}"/>
    <cellStyle name="Comma 4 2 6 3 4" xfId="9661" xr:uid="{2E27407B-7217-4A4F-87D8-E7512CB8948F}"/>
    <cellStyle name="Comma 4 2 6 4" xfId="1549" xr:uid="{00000000-0005-0000-0000-000002090000}"/>
    <cellStyle name="Comma 4 2 6 4 2" xfId="3779" xr:uid="{00000000-0005-0000-0000-000003090000}"/>
    <cellStyle name="Comma 4 2 6 4 2 2" xfId="8002" xr:uid="{00000000-0005-0000-0000-000004090000}"/>
    <cellStyle name="Comma 4 2 6 4 2 2 2" xfId="16437" xr:uid="{4165BFB4-804F-420D-AA77-7A782A38D5A4}"/>
    <cellStyle name="Comma 4 2 6 4 2 3" xfId="12219" xr:uid="{774E304A-941C-4486-86B4-C7B957C7B4C6}"/>
    <cellStyle name="Comma 4 2 6 4 3" xfId="5857" xr:uid="{00000000-0005-0000-0000-000005090000}"/>
    <cellStyle name="Comma 4 2 6 4 3 2" xfId="14292" xr:uid="{4023F826-87CA-41CF-80B1-E1423F945D59}"/>
    <cellStyle name="Comma 4 2 6 4 4" xfId="10074" xr:uid="{DEDFD2AD-EE30-40CD-860D-86B6A9E2D537}"/>
    <cellStyle name="Comma 4 2 6 5" xfId="1963" xr:uid="{00000000-0005-0000-0000-000006090000}"/>
    <cellStyle name="Comma 4 2 6 5 2" xfId="4192" xr:uid="{00000000-0005-0000-0000-000007090000}"/>
    <cellStyle name="Comma 4 2 6 5 2 2" xfId="8415" xr:uid="{00000000-0005-0000-0000-000008090000}"/>
    <cellStyle name="Comma 4 2 6 5 2 2 2" xfId="16850" xr:uid="{05E2EC0E-ACA5-495C-BEE4-989186B6FFBF}"/>
    <cellStyle name="Comma 4 2 6 5 2 3" xfId="12632" xr:uid="{ADE35BD5-9057-499D-8543-D06382A84C05}"/>
    <cellStyle name="Comma 4 2 6 5 3" xfId="6270" xr:uid="{00000000-0005-0000-0000-000009090000}"/>
    <cellStyle name="Comma 4 2 6 5 3 2" xfId="14705" xr:uid="{3A00598F-45A2-4519-9320-D5ADAD022621}"/>
    <cellStyle name="Comma 4 2 6 5 4" xfId="10487" xr:uid="{3804AB77-21F3-4F28-8D3F-BFB5EF50F3B7}"/>
    <cellStyle name="Comma 4 2 6 6" xfId="2398" xr:uid="{00000000-0005-0000-0000-00000A090000}"/>
    <cellStyle name="Comma 4 2 6 6 2" xfId="6683" xr:uid="{00000000-0005-0000-0000-00000B090000}"/>
    <cellStyle name="Comma 4 2 6 6 2 2" xfId="15118" xr:uid="{8E81E90B-D346-4E4E-AFEB-2FD10E3160D0}"/>
    <cellStyle name="Comma 4 2 6 6 3" xfId="10900" xr:uid="{E28132F3-841F-4F73-89D9-A95EEB978B9B}"/>
    <cellStyle name="Comma 4 2 6 7" xfId="2367" xr:uid="{00000000-0005-0000-0000-00000C090000}"/>
    <cellStyle name="Comma 4 2 6 8" xfId="2776" xr:uid="{00000000-0005-0000-0000-00000D090000}"/>
    <cellStyle name="Comma 4 2 6 8 2" xfId="7000" xr:uid="{00000000-0005-0000-0000-00000E090000}"/>
    <cellStyle name="Comma 4 2 6 8 2 2" xfId="15435" xr:uid="{BA2935AE-8958-409A-A536-C2FC34C54835}"/>
    <cellStyle name="Comma 4 2 6 8 3" xfId="11217" xr:uid="{F849D855-94CC-4329-8C7B-154D4B4553C2}"/>
    <cellStyle name="Comma 4 2 6 9" xfId="4617" xr:uid="{00000000-0005-0000-0000-00000F090000}"/>
    <cellStyle name="Comma 4 2 6 9 2" xfId="13052" xr:uid="{B0DDA93F-61EB-4605-BD85-12335347B646}"/>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0 2 2" xfId="15436" xr:uid="{13E1FC75-47ED-483F-9C8F-1EC770319E54}"/>
    <cellStyle name="Comma 4 3 2 10 3" xfId="11218" xr:uid="{BDD60E9D-2868-4BB6-9322-687DD32AD1DE}"/>
    <cellStyle name="Comma 4 3 2 11" xfId="4618" xr:uid="{00000000-0005-0000-0000-000014090000}"/>
    <cellStyle name="Comma 4 3 2 11 2" xfId="13053" xr:uid="{891196F1-6046-413D-9F81-B79FBA9F4B61}"/>
    <cellStyle name="Comma 4 3 2 12" xfId="8835" xr:uid="{12F82B54-0D3A-40CF-BCC3-55CC522EF0B7}"/>
    <cellStyle name="Comma 4 3 2 2" xfId="146" xr:uid="{00000000-0005-0000-0000-000015090000}"/>
    <cellStyle name="Comma 4 3 2 2 10" xfId="4619" xr:uid="{00000000-0005-0000-0000-000016090000}"/>
    <cellStyle name="Comma 4 3 2 2 10 2" xfId="13054" xr:uid="{DBDBF079-98BB-45D2-9248-38BF365E704E}"/>
    <cellStyle name="Comma 4 3 2 2 11" xfId="8836" xr:uid="{6FDEB8D9-06F5-4D0B-9C66-A2990ECD8FC3}"/>
    <cellStyle name="Comma 4 3 2 2 2" xfId="147" xr:uid="{00000000-0005-0000-0000-000017090000}"/>
    <cellStyle name="Comma 4 3 2 2 2 10" xfId="8837" xr:uid="{2763ECA5-73F2-43CA-BF63-BA355D23BA95}"/>
    <cellStyle name="Comma 4 3 2 2 2 2" xfId="685" xr:uid="{00000000-0005-0000-0000-000018090000}"/>
    <cellStyle name="Comma 4 3 2 2 2 2 2" xfId="2956" xr:uid="{00000000-0005-0000-0000-000019090000}"/>
    <cellStyle name="Comma 4 3 2 2 2 2 2 2" xfId="7179" xr:uid="{00000000-0005-0000-0000-00001A090000}"/>
    <cellStyle name="Comma 4 3 2 2 2 2 2 2 2" xfId="15614" xr:uid="{8CA40046-B2B9-425B-80DB-5A8CB0835E96}"/>
    <cellStyle name="Comma 4 3 2 2 2 2 2 3" xfId="11396" xr:uid="{7EB60E06-45CE-45E5-AD82-AF88AA7A06FF}"/>
    <cellStyle name="Comma 4 3 2 2 2 2 3" xfId="5034" xr:uid="{00000000-0005-0000-0000-00001B090000}"/>
    <cellStyle name="Comma 4 3 2 2 2 2 3 2" xfId="13469" xr:uid="{2D8628FF-09F1-499A-84C9-685809E25B3A}"/>
    <cellStyle name="Comma 4 3 2 2 2 2 4" xfId="9251" xr:uid="{6289578F-FB37-4D77-A16F-DAC3184FC5BF}"/>
    <cellStyle name="Comma 4 3 2 2 2 3" xfId="1138" xr:uid="{00000000-0005-0000-0000-00001C090000}"/>
    <cellStyle name="Comma 4 3 2 2 2 3 2" xfId="3369" xr:uid="{00000000-0005-0000-0000-00001D090000}"/>
    <cellStyle name="Comma 4 3 2 2 2 3 2 2" xfId="7592" xr:uid="{00000000-0005-0000-0000-00001E090000}"/>
    <cellStyle name="Comma 4 3 2 2 2 3 2 2 2" xfId="16027" xr:uid="{AD982263-ACC9-451A-98CB-31D2C51E9436}"/>
    <cellStyle name="Comma 4 3 2 2 2 3 2 3" xfId="11809" xr:uid="{15557197-569F-4A03-8529-16985354A818}"/>
    <cellStyle name="Comma 4 3 2 2 2 3 3" xfId="5447" xr:uid="{00000000-0005-0000-0000-00001F090000}"/>
    <cellStyle name="Comma 4 3 2 2 2 3 3 2" xfId="13882" xr:uid="{549BBFEB-DAFB-49DD-8DA8-495E128B248B}"/>
    <cellStyle name="Comma 4 3 2 2 2 3 4" xfId="9664" xr:uid="{49A51D0C-8357-4FAA-BA48-EB37450C73B5}"/>
    <cellStyle name="Comma 4 3 2 2 2 4" xfId="1552" xr:uid="{00000000-0005-0000-0000-000020090000}"/>
    <cellStyle name="Comma 4 3 2 2 2 4 2" xfId="3782" xr:uid="{00000000-0005-0000-0000-000021090000}"/>
    <cellStyle name="Comma 4 3 2 2 2 4 2 2" xfId="8005" xr:uid="{00000000-0005-0000-0000-000022090000}"/>
    <cellStyle name="Comma 4 3 2 2 2 4 2 2 2" xfId="16440" xr:uid="{8F0B46D2-7FFA-4533-A18B-2E0EFD37EE7F}"/>
    <cellStyle name="Comma 4 3 2 2 2 4 2 3" xfId="12222" xr:uid="{E301A5E9-7E99-48DE-B55E-DCAE6AE91E7F}"/>
    <cellStyle name="Comma 4 3 2 2 2 4 3" xfId="5860" xr:uid="{00000000-0005-0000-0000-000023090000}"/>
    <cellStyle name="Comma 4 3 2 2 2 4 3 2" xfId="14295" xr:uid="{FD2B251C-D114-400A-821F-AFCB01F05D31}"/>
    <cellStyle name="Comma 4 3 2 2 2 4 4" xfId="10077" xr:uid="{1BA1A1FC-3DFF-4B31-8AA0-656F2E23BC27}"/>
    <cellStyle name="Comma 4 3 2 2 2 5" xfId="1966" xr:uid="{00000000-0005-0000-0000-000024090000}"/>
    <cellStyle name="Comma 4 3 2 2 2 5 2" xfId="4195" xr:uid="{00000000-0005-0000-0000-000025090000}"/>
    <cellStyle name="Comma 4 3 2 2 2 5 2 2" xfId="8418" xr:uid="{00000000-0005-0000-0000-000026090000}"/>
    <cellStyle name="Comma 4 3 2 2 2 5 2 2 2" xfId="16853" xr:uid="{E1110D54-7DFD-4E4C-8705-429DDE52FB53}"/>
    <cellStyle name="Comma 4 3 2 2 2 5 2 3" xfId="12635" xr:uid="{4C085488-B0C1-4045-B8AA-4F7405486BB2}"/>
    <cellStyle name="Comma 4 3 2 2 2 5 3" xfId="6273" xr:uid="{00000000-0005-0000-0000-000027090000}"/>
    <cellStyle name="Comma 4 3 2 2 2 5 3 2" xfId="14708" xr:uid="{F2650D25-875C-4AE5-BC27-903049066DEC}"/>
    <cellStyle name="Comma 4 3 2 2 2 5 4" xfId="10490" xr:uid="{AAB12DAC-F3B8-4782-9F5C-E08AD4464EBC}"/>
    <cellStyle name="Comma 4 3 2 2 2 6" xfId="2401" xr:uid="{00000000-0005-0000-0000-000028090000}"/>
    <cellStyle name="Comma 4 3 2 2 2 6 2" xfId="6686" xr:uid="{00000000-0005-0000-0000-000029090000}"/>
    <cellStyle name="Comma 4 3 2 2 2 6 2 2" xfId="15121" xr:uid="{1808F6D0-C9F8-457B-9A5B-C47AFB0AD962}"/>
    <cellStyle name="Comma 4 3 2 2 2 6 3" xfId="10903" xr:uid="{C1BBF253-00E9-49F0-9B13-C371E052D552}"/>
    <cellStyle name="Comma 4 3 2 2 2 7" xfId="2364" xr:uid="{00000000-0005-0000-0000-00002A090000}"/>
    <cellStyle name="Comma 4 3 2 2 2 8" xfId="2779" xr:uid="{00000000-0005-0000-0000-00002B090000}"/>
    <cellStyle name="Comma 4 3 2 2 2 8 2" xfId="7003" xr:uid="{00000000-0005-0000-0000-00002C090000}"/>
    <cellStyle name="Comma 4 3 2 2 2 8 2 2" xfId="15438" xr:uid="{C425A391-5C2E-403C-AC91-D4D11BB0D645}"/>
    <cellStyle name="Comma 4 3 2 2 2 8 3" xfId="11220" xr:uid="{B6FDCC15-0A85-4F0E-9ED0-BC0C9DBA671B}"/>
    <cellStyle name="Comma 4 3 2 2 2 9" xfId="4620" xr:uid="{00000000-0005-0000-0000-00002D090000}"/>
    <cellStyle name="Comma 4 3 2 2 2 9 2" xfId="13055" xr:uid="{98CF2D69-D3F1-4DD8-B824-0222ED78B9B4}"/>
    <cellStyle name="Comma 4 3 2 2 3" xfId="684" xr:uid="{00000000-0005-0000-0000-00002E090000}"/>
    <cellStyle name="Comma 4 3 2 2 3 2" xfId="2955" xr:uid="{00000000-0005-0000-0000-00002F090000}"/>
    <cellStyle name="Comma 4 3 2 2 3 2 2" xfId="7178" xr:uid="{00000000-0005-0000-0000-000030090000}"/>
    <cellStyle name="Comma 4 3 2 2 3 2 2 2" xfId="15613" xr:uid="{D0286EF7-D209-4E7F-A626-4C9126C477DD}"/>
    <cellStyle name="Comma 4 3 2 2 3 2 3" xfId="11395" xr:uid="{09A207E3-A0ED-486C-ABD3-975529E9AAE2}"/>
    <cellStyle name="Comma 4 3 2 2 3 3" xfId="5033" xr:uid="{00000000-0005-0000-0000-000031090000}"/>
    <cellStyle name="Comma 4 3 2 2 3 3 2" xfId="13468" xr:uid="{708DEA15-F2C8-42AE-AFBC-BCCD3C24F331}"/>
    <cellStyle name="Comma 4 3 2 2 3 4" xfId="9250" xr:uid="{04910A70-F23C-49B9-8C4F-809AE5994D5B}"/>
    <cellStyle name="Comma 4 3 2 2 4" xfId="1137" xr:uid="{00000000-0005-0000-0000-000032090000}"/>
    <cellStyle name="Comma 4 3 2 2 4 2" xfId="3368" xr:uid="{00000000-0005-0000-0000-000033090000}"/>
    <cellStyle name="Comma 4 3 2 2 4 2 2" xfId="7591" xr:uid="{00000000-0005-0000-0000-000034090000}"/>
    <cellStyle name="Comma 4 3 2 2 4 2 2 2" xfId="16026" xr:uid="{FA05E770-FFAC-49B3-9D17-076B0D8FA0AD}"/>
    <cellStyle name="Comma 4 3 2 2 4 2 3" xfId="11808" xr:uid="{E7691085-2F0D-419A-976B-81B42114E55B}"/>
    <cellStyle name="Comma 4 3 2 2 4 3" xfId="5446" xr:uid="{00000000-0005-0000-0000-000035090000}"/>
    <cellStyle name="Comma 4 3 2 2 4 3 2" xfId="13881" xr:uid="{32579717-B338-42DD-8D8C-03E35F77C4A7}"/>
    <cellStyle name="Comma 4 3 2 2 4 4" xfId="9663" xr:uid="{627683E9-C043-493C-BCF1-E43F2EA0AC1E}"/>
    <cellStyle name="Comma 4 3 2 2 5" xfId="1551" xr:uid="{00000000-0005-0000-0000-000036090000}"/>
    <cellStyle name="Comma 4 3 2 2 5 2" xfId="3781" xr:uid="{00000000-0005-0000-0000-000037090000}"/>
    <cellStyle name="Comma 4 3 2 2 5 2 2" xfId="8004" xr:uid="{00000000-0005-0000-0000-000038090000}"/>
    <cellStyle name="Comma 4 3 2 2 5 2 2 2" xfId="16439" xr:uid="{E5A06428-430E-4DB4-B0A5-801D795ABFF9}"/>
    <cellStyle name="Comma 4 3 2 2 5 2 3" xfId="12221" xr:uid="{BD086BF9-975B-4019-9DB2-1D890C5F12E8}"/>
    <cellStyle name="Comma 4 3 2 2 5 3" xfId="5859" xr:uid="{00000000-0005-0000-0000-000039090000}"/>
    <cellStyle name="Comma 4 3 2 2 5 3 2" xfId="14294" xr:uid="{AACD6E5B-8DCF-44AE-AFD4-237E55771AB3}"/>
    <cellStyle name="Comma 4 3 2 2 5 4" xfId="10076" xr:uid="{5E8ABAAD-B6AC-4C6B-A685-686BA2335265}"/>
    <cellStyle name="Comma 4 3 2 2 6" xfId="1965" xr:uid="{00000000-0005-0000-0000-00003A090000}"/>
    <cellStyle name="Comma 4 3 2 2 6 2" xfId="4194" xr:uid="{00000000-0005-0000-0000-00003B090000}"/>
    <cellStyle name="Comma 4 3 2 2 6 2 2" xfId="8417" xr:uid="{00000000-0005-0000-0000-00003C090000}"/>
    <cellStyle name="Comma 4 3 2 2 6 2 2 2" xfId="16852" xr:uid="{F9DFF775-E370-4742-811A-3AA03AB0FD95}"/>
    <cellStyle name="Comma 4 3 2 2 6 2 3" xfId="12634" xr:uid="{502E3856-3F2A-4585-93D2-5E7CEFA8C581}"/>
    <cellStyle name="Comma 4 3 2 2 6 3" xfId="6272" xr:uid="{00000000-0005-0000-0000-00003D090000}"/>
    <cellStyle name="Comma 4 3 2 2 6 3 2" xfId="14707" xr:uid="{85AB453A-0576-4A11-992F-6D09D29BBCD9}"/>
    <cellStyle name="Comma 4 3 2 2 6 4" xfId="10489" xr:uid="{FCE3522F-1D89-4B17-ACD6-240A1383BAA4}"/>
    <cellStyle name="Comma 4 3 2 2 7" xfId="2400" xr:uid="{00000000-0005-0000-0000-00003E090000}"/>
    <cellStyle name="Comma 4 3 2 2 7 2" xfId="6685" xr:uid="{00000000-0005-0000-0000-00003F090000}"/>
    <cellStyle name="Comma 4 3 2 2 7 2 2" xfId="15120" xr:uid="{50658648-42E6-4E1C-B2E7-5CFD32368E0F}"/>
    <cellStyle name="Comma 4 3 2 2 7 3" xfId="10902" xr:uid="{C7A44BC6-B0F5-489C-8EE8-F73BDF2D930F}"/>
    <cellStyle name="Comma 4 3 2 2 8" xfId="2365" xr:uid="{00000000-0005-0000-0000-000040090000}"/>
    <cellStyle name="Comma 4 3 2 2 9" xfId="2778" xr:uid="{00000000-0005-0000-0000-000041090000}"/>
    <cellStyle name="Comma 4 3 2 2 9 2" xfId="7002" xr:uid="{00000000-0005-0000-0000-000042090000}"/>
    <cellStyle name="Comma 4 3 2 2 9 2 2" xfId="15437" xr:uid="{BF460B18-5838-4500-A305-0D91FD1E6D4F}"/>
    <cellStyle name="Comma 4 3 2 2 9 3" xfId="11219" xr:uid="{A70C51BD-5223-48FA-A66E-586A03B98D36}"/>
    <cellStyle name="Comma 4 3 2 3" xfId="148" xr:uid="{00000000-0005-0000-0000-000043090000}"/>
    <cellStyle name="Comma 4 3 2 3 10" xfId="8838" xr:uid="{74CE6CB1-E779-453A-AF5A-CF6E8F7BEDCB}"/>
    <cellStyle name="Comma 4 3 2 3 2" xfId="686" xr:uid="{00000000-0005-0000-0000-000044090000}"/>
    <cellStyle name="Comma 4 3 2 3 2 2" xfId="2957" xr:uid="{00000000-0005-0000-0000-000045090000}"/>
    <cellStyle name="Comma 4 3 2 3 2 2 2" xfId="7180" xr:uid="{00000000-0005-0000-0000-000046090000}"/>
    <cellStyle name="Comma 4 3 2 3 2 2 2 2" xfId="15615" xr:uid="{73F17B2E-2C38-4B65-8814-599FAD7E5BE6}"/>
    <cellStyle name="Comma 4 3 2 3 2 2 3" xfId="11397" xr:uid="{EE25DA6F-7C26-44D9-B64A-1AC4F0E9E752}"/>
    <cellStyle name="Comma 4 3 2 3 2 3" xfId="5035" xr:uid="{00000000-0005-0000-0000-000047090000}"/>
    <cellStyle name="Comma 4 3 2 3 2 3 2" xfId="13470" xr:uid="{82B123D0-C31C-4CA4-82E4-007F57F421E2}"/>
    <cellStyle name="Comma 4 3 2 3 2 4" xfId="9252" xr:uid="{7DEA7272-B60F-42B6-B704-2CA9F1D71B31}"/>
    <cellStyle name="Comma 4 3 2 3 3" xfId="1139" xr:uid="{00000000-0005-0000-0000-000048090000}"/>
    <cellStyle name="Comma 4 3 2 3 3 2" xfId="3370" xr:uid="{00000000-0005-0000-0000-000049090000}"/>
    <cellStyle name="Comma 4 3 2 3 3 2 2" xfId="7593" xr:uid="{00000000-0005-0000-0000-00004A090000}"/>
    <cellStyle name="Comma 4 3 2 3 3 2 2 2" xfId="16028" xr:uid="{588AF9AE-C1DB-4D1C-9A24-FA5CC93DF246}"/>
    <cellStyle name="Comma 4 3 2 3 3 2 3" xfId="11810" xr:uid="{D535C0D6-6B78-4E4C-9774-DC0EB739DDD3}"/>
    <cellStyle name="Comma 4 3 2 3 3 3" xfId="5448" xr:uid="{00000000-0005-0000-0000-00004B090000}"/>
    <cellStyle name="Comma 4 3 2 3 3 3 2" xfId="13883" xr:uid="{E3994884-6D40-4744-AD45-DD19A7010DA3}"/>
    <cellStyle name="Comma 4 3 2 3 3 4" xfId="9665" xr:uid="{BE834B3F-8E00-4490-A6AC-553C1A87DF3E}"/>
    <cellStyle name="Comma 4 3 2 3 4" xfId="1553" xr:uid="{00000000-0005-0000-0000-00004C090000}"/>
    <cellStyle name="Comma 4 3 2 3 4 2" xfId="3783" xr:uid="{00000000-0005-0000-0000-00004D090000}"/>
    <cellStyle name="Comma 4 3 2 3 4 2 2" xfId="8006" xr:uid="{00000000-0005-0000-0000-00004E090000}"/>
    <cellStyle name="Comma 4 3 2 3 4 2 2 2" xfId="16441" xr:uid="{47DB53E6-4F84-4154-9600-5F4E9E1EEE2F}"/>
    <cellStyle name="Comma 4 3 2 3 4 2 3" xfId="12223" xr:uid="{A9446D91-6E1D-4CE7-9C26-93BB9347888D}"/>
    <cellStyle name="Comma 4 3 2 3 4 3" xfId="5861" xr:uid="{00000000-0005-0000-0000-00004F090000}"/>
    <cellStyle name="Comma 4 3 2 3 4 3 2" xfId="14296" xr:uid="{2B9A197E-654D-492C-A383-E87C392BD11B}"/>
    <cellStyle name="Comma 4 3 2 3 4 4" xfId="10078" xr:uid="{69147AF3-4278-4FBB-9CEF-ACC42F9FE0D1}"/>
    <cellStyle name="Comma 4 3 2 3 5" xfId="1967" xr:uid="{00000000-0005-0000-0000-000050090000}"/>
    <cellStyle name="Comma 4 3 2 3 5 2" xfId="4196" xr:uid="{00000000-0005-0000-0000-000051090000}"/>
    <cellStyle name="Comma 4 3 2 3 5 2 2" xfId="8419" xr:uid="{00000000-0005-0000-0000-000052090000}"/>
    <cellStyle name="Comma 4 3 2 3 5 2 2 2" xfId="16854" xr:uid="{00688B4A-9332-488A-90E4-B171889D46B0}"/>
    <cellStyle name="Comma 4 3 2 3 5 2 3" xfId="12636" xr:uid="{7900E2FF-118D-4502-8C9A-50A2ACFB493F}"/>
    <cellStyle name="Comma 4 3 2 3 5 3" xfId="6274" xr:uid="{00000000-0005-0000-0000-000053090000}"/>
    <cellStyle name="Comma 4 3 2 3 5 3 2" xfId="14709" xr:uid="{F7520D3D-2936-4FB3-84CD-83A839395302}"/>
    <cellStyle name="Comma 4 3 2 3 5 4" xfId="10491" xr:uid="{13753A33-326E-40D2-B9FE-F5948E9DB01F}"/>
    <cellStyle name="Comma 4 3 2 3 6" xfId="2402" xr:uid="{00000000-0005-0000-0000-000054090000}"/>
    <cellStyle name="Comma 4 3 2 3 6 2" xfId="6687" xr:uid="{00000000-0005-0000-0000-000055090000}"/>
    <cellStyle name="Comma 4 3 2 3 6 2 2" xfId="15122" xr:uid="{0AAEF88B-97F3-41A1-9F71-80A0352DD41B}"/>
    <cellStyle name="Comma 4 3 2 3 6 3" xfId="10904" xr:uid="{9A21755F-FAA4-4BF4-BBCD-52B5EEA2406A}"/>
    <cellStyle name="Comma 4 3 2 3 7" xfId="2363" xr:uid="{00000000-0005-0000-0000-000056090000}"/>
    <cellStyle name="Comma 4 3 2 3 8" xfId="2780" xr:uid="{00000000-0005-0000-0000-000057090000}"/>
    <cellStyle name="Comma 4 3 2 3 8 2" xfId="7004" xr:uid="{00000000-0005-0000-0000-000058090000}"/>
    <cellStyle name="Comma 4 3 2 3 8 2 2" xfId="15439" xr:uid="{3DA42DCC-90DC-46DB-B3B4-96581D6609AD}"/>
    <cellStyle name="Comma 4 3 2 3 8 3" xfId="11221" xr:uid="{7BB135E3-8BB9-4BF4-8F3A-9FC1750D9C59}"/>
    <cellStyle name="Comma 4 3 2 3 9" xfId="4621" xr:uid="{00000000-0005-0000-0000-000059090000}"/>
    <cellStyle name="Comma 4 3 2 3 9 2" xfId="13056" xr:uid="{B1C81043-731D-4561-B66B-8F539E3AC16F}"/>
    <cellStyle name="Comma 4 3 2 4" xfId="683" xr:uid="{00000000-0005-0000-0000-00005A090000}"/>
    <cellStyle name="Comma 4 3 2 4 2" xfId="2954" xr:uid="{00000000-0005-0000-0000-00005B090000}"/>
    <cellStyle name="Comma 4 3 2 4 2 2" xfId="7177" xr:uid="{00000000-0005-0000-0000-00005C090000}"/>
    <cellStyle name="Comma 4 3 2 4 2 2 2" xfId="15612" xr:uid="{EA6A00AC-0848-4ED1-B75E-58DB8B111508}"/>
    <cellStyle name="Comma 4 3 2 4 2 3" xfId="11394" xr:uid="{AF84CCAB-F37D-4D4B-8474-4A2B9878881C}"/>
    <cellStyle name="Comma 4 3 2 4 3" xfId="5032" xr:uid="{00000000-0005-0000-0000-00005D090000}"/>
    <cellStyle name="Comma 4 3 2 4 3 2" xfId="13467" xr:uid="{8E294F21-8EF5-4716-B45A-6A84C896B348}"/>
    <cellStyle name="Comma 4 3 2 4 4" xfId="9249" xr:uid="{8C27DC4C-81E9-4AF1-940F-0653C254B1D3}"/>
    <cellStyle name="Comma 4 3 2 5" xfId="1136" xr:uid="{00000000-0005-0000-0000-00005E090000}"/>
    <cellStyle name="Comma 4 3 2 5 2" xfId="3367" xr:uid="{00000000-0005-0000-0000-00005F090000}"/>
    <cellStyle name="Comma 4 3 2 5 2 2" xfId="7590" xr:uid="{00000000-0005-0000-0000-000060090000}"/>
    <cellStyle name="Comma 4 3 2 5 2 2 2" xfId="16025" xr:uid="{AC5AADB4-C321-4B3D-86A4-9756EDD19A51}"/>
    <cellStyle name="Comma 4 3 2 5 2 3" xfId="11807" xr:uid="{532CE32D-7BD3-4F89-B33B-40BFE24DE8CA}"/>
    <cellStyle name="Comma 4 3 2 5 3" xfId="5445" xr:uid="{00000000-0005-0000-0000-000061090000}"/>
    <cellStyle name="Comma 4 3 2 5 3 2" xfId="13880" xr:uid="{51C1B9F1-8298-4BA2-8239-0851F7B98A04}"/>
    <cellStyle name="Comma 4 3 2 5 4" xfId="9662" xr:uid="{15CF6D50-14D9-4613-849A-0AC1C34B7579}"/>
    <cellStyle name="Comma 4 3 2 6" xfId="1550" xr:uid="{00000000-0005-0000-0000-000062090000}"/>
    <cellStyle name="Comma 4 3 2 6 2" xfId="3780" xr:uid="{00000000-0005-0000-0000-000063090000}"/>
    <cellStyle name="Comma 4 3 2 6 2 2" xfId="8003" xr:uid="{00000000-0005-0000-0000-000064090000}"/>
    <cellStyle name="Comma 4 3 2 6 2 2 2" xfId="16438" xr:uid="{D4200E59-8920-4736-95CD-883FA6206C07}"/>
    <cellStyle name="Comma 4 3 2 6 2 3" xfId="12220" xr:uid="{A63B70F4-6E63-4646-AFE3-3877C6BB0DB2}"/>
    <cellStyle name="Comma 4 3 2 6 3" xfId="5858" xr:uid="{00000000-0005-0000-0000-000065090000}"/>
    <cellStyle name="Comma 4 3 2 6 3 2" xfId="14293" xr:uid="{92B67428-41C5-4126-8999-34465837291A}"/>
    <cellStyle name="Comma 4 3 2 6 4" xfId="10075" xr:uid="{DE85B814-2928-4090-8480-9CDAF7CA4D5A}"/>
    <cellStyle name="Comma 4 3 2 7" xfId="1964" xr:uid="{00000000-0005-0000-0000-000066090000}"/>
    <cellStyle name="Comma 4 3 2 7 2" xfId="4193" xr:uid="{00000000-0005-0000-0000-000067090000}"/>
    <cellStyle name="Comma 4 3 2 7 2 2" xfId="8416" xr:uid="{00000000-0005-0000-0000-000068090000}"/>
    <cellStyle name="Comma 4 3 2 7 2 2 2" xfId="16851" xr:uid="{E0E77BB1-3DEC-4D05-A3C4-F4927F2B04E5}"/>
    <cellStyle name="Comma 4 3 2 7 2 3" xfId="12633" xr:uid="{35F2FC09-2683-461C-95A5-542C7471318C}"/>
    <cellStyle name="Comma 4 3 2 7 3" xfId="6271" xr:uid="{00000000-0005-0000-0000-000069090000}"/>
    <cellStyle name="Comma 4 3 2 7 3 2" xfId="14706" xr:uid="{BAC6E424-779C-4426-A789-C455E87FEB41}"/>
    <cellStyle name="Comma 4 3 2 7 4" xfId="10488" xr:uid="{533400E4-68BC-477E-AB4B-FA94C3674A6E}"/>
    <cellStyle name="Comma 4 3 2 8" xfId="2399" xr:uid="{00000000-0005-0000-0000-00006A090000}"/>
    <cellStyle name="Comma 4 3 2 8 2" xfId="6684" xr:uid="{00000000-0005-0000-0000-00006B090000}"/>
    <cellStyle name="Comma 4 3 2 8 2 2" xfId="15119" xr:uid="{877F1C90-6C76-44E4-AD9D-F1C859C97063}"/>
    <cellStyle name="Comma 4 3 2 8 3" xfId="10901" xr:uid="{0CE4F067-D7CF-4C0B-9596-2D5DDF6F1F0F}"/>
    <cellStyle name="Comma 4 3 2 9" xfId="2366" xr:uid="{00000000-0005-0000-0000-00006C090000}"/>
    <cellStyle name="Comma 4 3 3" xfId="149" xr:uid="{00000000-0005-0000-0000-00006D090000}"/>
    <cellStyle name="Comma 4 3 3 10" xfId="4622" xr:uid="{00000000-0005-0000-0000-00006E090000}"/>
    <cellStyle name="Comma 4 3 3 10 2" xfId="13057" xr:uid="{808964C9-1746-487D-B008-1454ABC19905}"/>
    <cellStyle name="Comma 4 3 3 11" xfId="8839" xr:uid="{BD3F7A07-8EC9-480B-ABF2-87B876CA9D6A}"/>
    <cellStyle name="Comma 4 3 3 2" xfId="150" xr:uid="{00000000-0005-0000-0000-00006F090000}"/>
    <cellStyle name="Comma 4 3 3 2 10" xfId="8840" xr:uid="{FCCC5364-F23F-4A6E-A19D-9E73DAD2C323}"/>
    <cellStyle name="Comma 4 3 3 2 2" xfId="688" xr:uid="{00000000-0005-0000-0000-000070090000}"/>
    <cellStyle name="Comma 4 3 3 2 2 2" xfId="2959" xr:uid="{00000000-0005-0000-0000-000071090000}"/>
    <cellStyle name="Comma 4 3 3 2 2 2 2" xfId="7182" xr:uid="{00000000-0005-0000-0000-000072090000}"/>
    <cellStyle name="Comma 4 3 3 2 2 2 2 2" xfId="15617" xr:uid="{38D2B810-ECE7-4FAE-A3DB-D5B19697B2FA}"/>
    <cellStyle name="Comma 4 3 3 2 2 2 3" xfId="11399" xr:uid="{DBE3D3DF-BEAD-42D5-B1B8-B37CCC0A67F9}"/>
    <cellStyle name="Comma 4 3 3 2 2 3" xfId="5037" xr:uid="{00000000-0005-0000-0000-000073090000}"/>
    <cellStyle name="Comma 4 3 3 2 2 3 2" xfId="13472" xr:uid="{6E628220-733F-46A5-870F-A0CD273A73D7}"/>
    <cellStyle name="Comma 4 3 3 2 2 4" xfId="9254" xr:uid="{77F18803-C8CF-4B18-909A-2C6320531888}"/>
    <cellStyle name="Comma 4 3 3 2 3" xfId="1141" xr:uid="{00000000-0005-0000-0000-000074090000}"/>
    <cellStyle name="Comma 4 3 3 2 3 2" xfId="3372" xr:uid="{00000000-0005-0000-0000-000075090000}"/>
    <cellStyle name="Comma 4 3 3 2 3 2 2" xfId="7595" xr:uid="{00000000-0005-0000-0000-000076090000}"/>
    <cellStyle name="Comma 4 3 3 2 3 2 2 2" xfId="16030" xr:uid="{5074A8AB-1153-423A-9327-F71F6034E956}"/>
    <cellStyle name="Comma 4 3 3 2 3 2 3" xfId="11812" xr:uid="{7468AE70-CB58-4CA8-9DCD-173D9F9AA36D}"/>
    <cellStyle name="Comma 4 3 3 2 3 3" xfId="5450" xr:uid="{00000000-0005-0000-0000-000077090000}"/>
    <cellStyle name="Comma 4 3 3 2 3 3 2" xfId="13885" xr:uid="{06206231-24CE-4599-93C4-75BD2A1A2CB5}"/>
    <cellStyle name="Comma 4 3 3 2 3 4" xfId="9667" xr:uid="{B3277B8A-FD90-44C6-B24B-A00292E7FA4B}"/>
    <cellStyle name="Comma 4 3 3 2 4" xfId="1555" xr:uid="{00000000-0005-0000-0000-000078090000}"/>
    <cellStyle name="Comma 4 3 3 2 4 2" xfId="3785" xr:uid="{00000000-0005-0000-0000-000079090000}"/>
    <cellStyle name="Comma 4 3 3 2 4 2 2" xfId="8008" xr:uid="{00000000-0005-0000-0000-00007A090000}"/>
    <cellStyle name="Comma 4 3 3 2 4 2 2 2" xfId="16443" xr:uid="{AB8E8900-C9AE-4CEF-A58C-5E64679B206A}"/>
    <cellStyle name="Comma 4 3 3 2 4 2 3" xfId="12225" xr:uid="{B14A9846-9169-4CAB-B667-E47C2BCDDE2C}"/>
    <cellStyle name="Comma 4 3 3 2 4 3" xfId="5863" xr:uid="{00000000-0005-0000-0000-00007B090000}"/>
    <cellStyle name="Comma 4 3 3 2 4 3 2" xfId="14298" xr:uid="{21DFF552-001B-4A82-9B2C-6497D7FE098C}"/>
    <cellStyle name="Comma 4 3 3 2 4 4" xfId="10080" xr:uid="{F7BB2239-84DA-4063-A858-51EEE3A9E4C3}"/>
    <cellStyle name="Comma 4 3 3 2 5" xfId="1969" xr:uid="{00000000-0005-0000-0000-00007C090000}"/>
    <cellStyle name="Comma 4 3 3 2 5 2" xfId="4198" xr:uid="{00000000-0005-0000-0000-00007D090000}"/>
    <cellStyle name="Comma 4 3 3 2 5 2 2" xfId="8421" xr:uid="{00000000-0005-0000-0000-00007E090000}"/>
    <cellStyle name="Comma 4 3 3 2 5 2 2 2" xfId="16856" xr:uid="{8BE44E2D-B68A-470B-8B5B-C7D799D60CE5}"/>
    <cellStyle name="Comma 4 3 3 2 5 2 3" xfId="12638" xr:uid="{A7E15A82-E176-47E2-8E27-8EF3F398E3A6}"/>
    <cellStyle name="Comma 4 3 3 2 5 3" xfId="6276" xr:uid="{00000000-0005-0000-0000-00007F090000}"/>
    <cellStyle name="Comma 4 3 3 2 5 3 2" xfId="14711" xr:uid="{3BDC1660-46B3-46C4-A60D-5BC8A360EDD6}"/>
    <cellStyle name="Comma 4 3 3 2 5 4" xfId="10493" xr:uid="{3D1F5CFA-7B4F-4ADD-9C3E-6B49C86A7712}"/>
    <cellStyle name="Comma 4 3 3 2 6" xfId="2404" xr:uid="{00000000-0005-0000-0000-000080090000}"/>
    <cellStyle name="Comma 4 3 3 2 6 2" xfId="6689" xr:uid="{00000000-0005-0000-0000-000081090000}"/>
    <cellStyle name="Comma 4 3 3 2 6 2 2" xfId="15124" xr:uid="{D6F8B653-12DB-4FE3-8D23-742E1372A40F}"/>
    <cellStyle name="Comma 4 3 3 2 6 3" xfId="10906" xr:uid="{EB7038FA-BB2E-4BCE-ACD3-B53821339C68}"/>
    <cellStyle name="Comma 4 3 3 2 7" xfId="2361" xr:uid="{00000000-0005-0000-0000-000082090000}"/>
    <cellStyle name="Comma 4 3 3 2 8" xfId="2782" xr:uid="{00000000-0005-0000-0000-000083090000}"/>
    <cellStyle name="Comma 4 3 3 2 8 2" xfId="7006" xr:uid="{00000000-0005-0000-0000-000084090000}"/>
    <cellStyle name="Comma 4 3 3 2 8 2 2" xfId="15441" xr:uid="{BA61CF09-82B3-49F0-AD2A-59FF126B35EA}"/>
    <cellStyle name="Comma 4 3 3 2 8 3" xfId="11223" xr:uid="{13533CE8-7C58-4242-B1FA-C85A51935824}"/>
    <cellStyle name="Comma 4 3 3 2 9" xfId="4623" xr:uid="{00000000-0005-0000-0000-000085090000}"/>
    <cellStyle name="Comma 4 3 3 2 9 2" xfId="13058" xr:uid="{447805DC-4093-4003-AAC1-180CC82BD5ED}"/>
    <cellStyle name="Comma 4 3 3 3" xfId="687" xr:uid="{00000000-0005-0000-0000-000086090000}"/>
    <cellStyle name="Comma 4 3 3 3 2" xfId="2958" xr:uid="{00000000-0005-0000-0000-000087090000}"/>
    <cellStyle name="Comma 4 3 3 3 2 2" xfId="7181" xr:uid="{00000000-0005-0000-0000-000088090000}"/>
    <cellStyle name="Comma 4 3 3 3 2 2 2" xfId="15616" xr:uid="{8901BC27-3B1F-43DA-8E13-050FC91E74BE}"/>
    <cellStyle name="Comma 4 3 3 3 2 3" xfId="11398" xr:uid="{B84690AD-D8AC-4B3C-A4C6-98B024CDEED8}"/>
    <cellStyle name="Comma 4 3 3 3 3" xfId="5036" xr:uid="{00000000-0005-0000-0000-000089090000}"/>
    <cellStyle name="Comma 4 3 3 3 3 2" xfId="13471" xr:uid="{9ED2572D-B849-4A80-81DF-9C3CF8A26648}"/>
    <cellStyle name="Comma 4 3 3 3 4" xfId="9253" xr:uid="{AC66A5E0-894D-40E2-9FC3-9BAB2DF84F67}"/>
    <cellStyle name="Comma 4 3 3 4" xfId="1140" xr:uid="{00000000-0005-0000-0000-00008A090000}"/>
    <cellStyle name="Comma 4 3 3 4 2" xfId="3371" xr:uid="{00000000-0005-0000-0000-00008B090000}"/>
    <cellStyle name="Comma 4 3 3 4 2 2" xfId="7594" xr:uid="{00000000-0005-0000-0000-00008C090000}"/>
    <cellStyle name="Comma 4 3 3 4 2 2 2" xfId="16029" xr:uid="{9CBAE776-5189-4271-B213-11551018BE69}"/>
    <cellStyle name="Comma 4 3 3 4 2 3" xfId="11811" xr:uid="{DFAA733C-8F18-4608-B434-7D6817007A31}"/>
    <cellStyle name="Comma 4 3 3 4 3" xfId="5449" xr:uid="{00000000-0005-0000-0000-00008D090000}"/>
    <cellStyle name="Comma 4 3 3 4 3 2" xfId="13884" xr:uid="{4DB040F6-3EF4-4380-918E-18D01D36A03A}"/>
    <cellStyle name="Comma 4 3 3 4 4" xfId="9666" xr:uid="{00F553A4-9A7A-42BA-8EA9-B89872870566}"/>
    <cellStyle name="Comma 4 3 3 5" xfId="1554" xr:uid="{00000000-0005-0000-0000-00008E090000}"/>
    <cellStyle name="Comma 4 3 3 5 2" xfId="3784" xr:uid="{00000000-0005-0000-0000-00008F090000}"/>
    <cellStyle name="Comma 4 3 3 5 2 2" xfId="8007" xr:uid="{00000000-0005-0000-0000-000090090000}"/>
    <cellStyle name="Comma 4 3 3 5 2 2 2" xfId="16442" xr:uid="{D5D2932C-4BD6-4C15-8DAC-4E409B3EB1D9}"/>
    <cellStyle name="Comma 4 3 3 5 2 3" xfId="12224" xr:uid="{A5FE495A-978F-4F9A-B5F7-D080E3EC680F}"/>
    <cellStyle name="Comma 4 3 3 5 3" xfId="5862" xr:uid="{00000000-0005-0000-0000-000091090000}"/>
    <cellStyle name="Comma 4 3 3 5 3 2" xfId="14297" xr:uid="{97B24D50-0674-49C1-B9D0-D7A851BA45ED}"/>
    <cellStyle name="Comma 4 3 3 5 4" xfId="10079" xr:uid="{7DE555E0-E46A-45F7-8FA7-A3F50A6AC17B}"/>
    <cellStyle name="Comma 4 3 3 6" xfId="1968" xr:uid="{00000000-0005-0000-0000-000092090000}"/>
    <cellStyle name="Comma 4 3 3 6 2" xfId="4197" xr:uid="{00000000-0005-0000-0000-000093090000}"/>
    <cellStyle name="Comma 4 3 3 6 2 2" xfId="8420" xr:uid="{00000000-0005-0000-0000-000094090000}"/>
    <cellStyle name="Comma 4 3 3 6 2 2 2" xfId="16855" xr:uid="{8DD36FF9-2DB3-4101-8E71-5FE3178C404A}"/>
    <cellStyle name="Comma 4 3 3 6 2 3" xfId="12637" xr:uid="{E274099B-1381-4B38-95D1-25F15BA28EA3}"/>
    <cellStyle name="Comma 4 3 3 6 3" xfId="6275" xr:uid="{00000000-0005-0000-0000-000095090000}"/>
    <cellStyle name="Comma 4 3 3 6 3 2" xfId="14710" xr:uid="{37D2F671-0C64-46B9-ADD9-1D2E60F974AB}"/>
    <cellStyle name="Comma 4 3 3 6 4" xfId="10492" xr:uid="{1021D5C9-CA2F-464C-8627-5DA65FEA2FFA}"/>
    <cellStyle name="Comma 4 3 3 7" xfId="2403" xr:uid="{00000000-0005-0000-0000-000096090000}"/>
    <cellStyle name="Comma 4 3 3 7 2" xfId="6688" xr:uid="{00000000-0005-0000-0000-000097090000}"/>
    <cellStyle name="Comma 4 3 3 7 2 2" xfId="15123" xr:uid="{D49BB1F1-FA4C-4A85-BF9E-AE0C7CD430BE}"/>
    <cellStyle name="Comma 4 3 3 7 3" xfId="10905" xr:uid="{91BB4B47-6000-4EEF-8DBC-2DCE63E0A98B}"/>
    <cellStyle name="Comma 4 3 3 8" xfId="2362" xr:uid="{00000000-0005-0000-0000-000098090000}"/>
    <cellStyle name="Comma 4 3 3 9" xfId="2781" xr:uid="{00000000-0005-0000-0000-000099090000}"/>
    <cellStyle name="Comma 4 3 3 9 2" xfId="7005" xr:uid="{00000000-0005-0000-0000-00009A090000}"/>
    <cellStyle name="Comma 4 3 3 9 2 2" xfId="15440" xr:uid="{CE588A6A-5E4A-419D-AD63-2DAE6503CEF9}"/>
    <cellStyle name="Comma 4 3 3 9 3" xfId="11222" xr:uid="{801DF251-439E-4FC3-A9AA-F331C09F33BC}"/>
    <cellStyle name="Comma 4 3 4" xfId="151" xr:uid="{00000000-0005-0000-0000-00009B090000}"/>
    <cellStyle name="Comma 4 3 4 10" xfId="8841" xr:uid="{F62C9D00-239F-4976-8642-9CE0347A3158}"/>
    <cellStyle name="Comma 4 3 4 2" xfId="689" xr:uid="{00000000-0005-0000-0000-00009C090000}"/>
    <cellStyle name="Comma 4 3 4 2 2" xfId="2960" xr:uid="{00000000-0005-0000-0000-00009D090000}"/>
    <cellStyle name="Comma 4 3 4 2 2 2" xfId="7183" xr:uid="{00000000-0005-0000-0000-00009E090000}"/>
    <cellStyle name="Comma 4 3 4 2 2 2 2" xfId="15618" xr:uid="{AAF0454F-46D3-4D0D-A400-63944D889E5D}"/>
    <cellStyle name="Comma 4 3 4 2 2 3" xfId="11400" xr:uid="{17B34DE0-F1B5-4FD2-AD30-BB346420C3B2}"/>
    <cellStyle name="Comma 4 3 4 2 3" xfId="5038" xr:uid="{00000000-0005-0000-0000-00009F090000}"/>
    <cellStyle name="Comma 4 3 4 2 3 2" xfId="13473" xr:uid="{70C7A5F6-67A4-4D07-AA2B-BC19CC5C5D05}"/>
    <cellStyle name="Comma 4 3 4 2 4" xfId="9255" xr:uid="{134F40BC-C75D-4FD9-821B-61DF6AC42442}"/>
    <cellStyle name="Comma 4 3 4 3" xfId="1142" xr:uid="{00000000-0005-0000-0000-0000A0090000}"/>
    <cellStyle name="Comma 4 3 4 3 2" xfId="3373" xr:uid="{00000000-0005-0000-0000-0000A1090000}"/>
    <cellStyle name="Comma 4 3 4 3 2 2" xfId="7596" xr:uid="{00000000-0005-0000-0000-0000A2090000}"/>
    <cellStyle name="Comma 4 3 4 3 2 2 2" xfId="16031" xr:uid="{30CF4DA7-056B-4040-8484-DC09ACD98453}"/>
    <cellStyle name="Comma 4 3 4 3 2 3" xfId="11813" xr:uid="{96D210BB-E9CD-497C-998A-44A04B35CD46}"/>
    <cellStyle name="Comma 4 3 4 3 3" xfId="5451" xr:uid="{00000000-0005-0000-0000-0000A3090000}"/>
    <cellStyle name="Comma 4 3 4 3 3 2" xfId="13886" xr:uid="{78F8A2E4-86D4-4EC8-8E05-29EF5B27FBFF}"/>
    <cellStyle name="Comma 4 3 4 3 4" xfId="9668" xr:uid="{0D4BFEA2-71CC-425E-8B3A-A71C52F22EB5}"/>
    <cellStyle name="Comma 4 3 4 4" xfId="1556" xr:uid="{00000000-0005-0000-0000-0000A4090000}"/>
    <cellStyle name="Comma 4 3 4 4 2" xfId="3786" xr:uid="{00000000-0005-0000-0000-0000A5090000}"/>
    <cellStyle name="Comma 4 3 4 4 2 2" xfId="8009" xr:uid="{00000000-0005-0000-0000-0000A6090000}"/>
    <cellStyle name="Comma 4 3 4 4 2 2 2" xfId="16444" xr:uid="{0E69711A-E999-4D4D-AB20-DF5F25A3A1AD}"/>
    <cellStyle name="Comma 4 3 4 4 2 3" xfId="12226" xr:uid="{B92F20C6-BF24-42B3-AFA3-32D567593A7E}"/>
    <cellStyle name="Comma 4 3 4 4 3" xfId="5864" xr:uid="{00000000-0005-0000-0000-0000A7090000}"/>
    <cellStyle name="Comma 4 3 4 4 3 2" xfId="14299" xr:uid="{86A31023-E5A5-42D7-B0A1-B45A378EC7C4}"/>
    <cellStyle name="Comma 4 3 4 4 4" xfId="10081" xr:uid="{7CA082A1-0650-4043-9F21-8756595175F8}"/>
    <cellStyle name="Comma 4 3 4 5" xfId="1970" xr:uid="{00000000-0005-0000-0000-0000A8090000}"/>
    <cellStyle name="Comma 4 3 4 5 2" xfId="4199" xr:uid="{00000000-0005-0000-0000-0000A9090000}"/>
    <cellStyle name="Comma 4 3 4 5 2 2" xfId="8422" xr:uid="{00000000-0005-0000-0000-0000AA090000}"/>
    <cellStyle name="Comma 4 3 4 5 2 2 2" xfId="16857" xr:uid="{FB7F62EE-1158-4736-8642-E8E5866A3BE4}"/>
    <cellStyle name="Comma 4 3 4 5 2 3" xfId="12639" xr:uid="{95D8BE74-11F4-4D69-865B-6530DEB8A9C9}"/>
    <cellStyle name="Comma 4 3 4 5 3" xfId="6277" xr:uid="{00000000-0005-0000-0000-0000AB090000}"/>
    <cellStyle name="Comma 4 3 4 5 3 2" xfId="14712" xr:uid="{C1CBD1CC-9549-42DD-A592-E12D8F228CFD}"/>
    <cellStyle name="Comma 4 3 4 5 4" xfId="10494" xr:uid="{C3BACD69-FF02-4AF0-BEBF-A2F0229FCBFD}"/>
    <cellStyle name="Comma 4 3 4 6" xfId="2405" xr:uid="{00000000-0005-0000-0000-0000AC090000}"/>
    <cellStyle name="Comma 4 3 4 6 2" xfId="6690" xr:uid="{00000000-0005-0000-0000-0000AD090000}"/>
    <cellStyle name="Comma 4 3 4 6 2 2" xfId="15125" xr:uid="{A0C991BF-4841-4FBF-B45B-0B716B867EB0}"/>
    <cellStyle name="Comma 4 3 4 6 3" xfId="10907" xr:uid="{D52F6047-C28D-428D-8046-3DB9F2B42EAA}"/>
    <cellStyle name="Comma 4 3 4 7" xfId="2701" xr:uid="{00000000-0005-0000-0000-0000AE090000}"/>
    <cellStyle name="Comma 4 3 4 8" xfId="2783" xr:uid="{00000000-0005-0000-0000-0000AF090000}"/>
    <cellStyle name="Comma 4 3 4 8 2" xfId="7007" xr:uid="{00000000-0005-0000-0000-0000B0090000}"/>
    <cellStyle name="Comma 4 3 4 8 2 2" xfId="15442" xr:uid="{93CBA41D-238E-4913-BAA7-51A98DEF2680}"/>
    <cellStyle name="Comma 4 3 4 8 3" xfId="11224" xr:uid="{5012CEAE-46C4-4ACB-B546-4E6FEACA9489}"/>
    <cellStyle name="Comma 4 3 4 9" xfId="4624" xr:uid="{00000000-0005-0000-0000-0000B1090000}"/>
    <cellStyle name="Comma 4 3 4 9 2" xfId="13059" xr:uid="{A1AE2056-441A-4A4F-B27D-CFC444BBDCD8}"/>
    <cellStyle name="Comma 4 3 5" xfId="152" xr:uid="{00000000-0005-0000-0000-0000B2090000}"/>
    <cellStyle name="Comma 4 3 5 10" xfId="8842" xr:uid="{22840043-D33D-4F65-B7D1-96EF98EFF88D}"/>
    <cellStyle name="Comma 4 3 5 2" xfId="690" xr:uid="{00000000-0005-0000-0000-0000B3090000}"/>
    <cellStyle name="Comma 4 3 5 2 2" xfId="2961" xr:uid="{00000000-0005-0000-0000-0000B4090000}"/>
    <cellStyle name="Comma 4 3 5 2 2 2" xfId="7184" xr:uid="{00000000-0005-0000-0000-0000B5090000}"/>
    <cellStyle name="Comma 4 3 5 2 2 2 2" xfId="15619" xr:uid="{C0EDF349-BAD0-49A8-97B7-36F14F8A494E}"/>
    <cellStyle name="Comma 4 3 5 2 2 3" xfId="11401" xr:uid="{145242E3-CEB0-4ECE-B8FB-68BC0880A7DD}"/>
    <cellStyle name="Comma 4 3 5 2 3" xfId="5039" xr:uid="{00000000-0005-0000-0000-0000B6090000}"/>
    <cellStyle name="Comma 4 3 5 2 3 2" xfId="13474" xr:uid="{54A89CE6-356D-44E2-AF61-04E651394473}"/>
    <cellStyle name="Comma 4 3 5 2 4" xfId="9256" xr:uid="{008F3639-9050-479C-8300-9FBF0BA20988}"/>
    <cellStyle name="Comma 4 3 5 3" xfId="1143" xr:uid="{00000000-0005-0000-0000-0000B7090000}"/>
    <cellStyle name="Comma 4 3 5 3 2" xfId="3374" xr:uid="{00000000-0005-0000-0000-0000B8090000}"/>
    <cellStyle name="Comma 4 3 5 3 2 2" xfId="7597" xr:uid="{00000000-0005-0000-0000-0000B9090000}"/>
    <cellStyle name="Comma 4 3 5 3 2 2 2" xfId="16032" xr:uid="{9C8350DA-8585-4AA5-BC00-883311F974F5}"/>
    <cellStyle name="Comma 4 3 5 3 2 3" xfId="11814" xr:uid="{24E035A1-A100-4D95-BAB5-9ECC71D99EF3}"/>
    <cellStyle name="Comma 4 3 5 3 3" xfId="5452" xr:uid="{00000000-0005-0000-0000-0000BA090000}"/>
    <cellStyle name="Comma 4 3 5 3 3 2" xfId="13887" xr:uid="{1869D67A-908C-49BA-88E4-40EDB257647F}"/>
    <cellStyle name="Comma 4 3 5 3 4" xfId="9669" xr:uid="{37124482-2A6C-4E0A-819F-56CE1CAB83B4}"/>
    <cellStyle name="Comma 4 3 5 4" xfId="1557" xr:uid="{00000000-0005-0000-0000-0000BB090000}"/>
    <cellStyle name="Comma 4 3 5 4 2" xfId="3787" xr:uid="{00000000-0005-0000-0000-0000BC090000}"/>
    <cellStyle name="Comma 4 3 5 4 2 2" xfId="8010" xr:uid="{00000000-0005-0000-0000-0000BD090000}"/>
    <cellStyle name="Comma 4 3 5 4 2 2 2" xfId="16445" xr:uid="{C6C2BD26-5842-494F-A042-7C9385A6E3A9}"/>
    <cellStyle name="Comma 4 3 5 4 2 3" xfId="12227" xr:uid="{DA63097B-F976-4138-8D06-13145E17B0F3}"/>
    <cellStyle name="Comma 4 3 5 4 3" xfId="5865" xr:uid="{00000000-0005-0000-0000-0000BE090000}"/>
    <cellStyle name="Comma 4 3 5 4 3 2" xfId="14300" xr:uid="{F38F02ED-88A5-470C-BC15-70BAA53B8B7E}"/>
    <cellStyle name="Comma 4 3 5 4 4" xfId="10082" xr:uid="{ED6E1931-8850-48C6-9606-235D4FE895F2}"/>
    <cellStyle name="Comma 4 3 5 5" xfId="1971" xr:uid="{00000000-0005-0000-0000-0000BF090000}"/>
    <cellStyle name="Comma 4 3 5 5 2" xfId="4200" xr:uid="{00000000-0005-0000-0000-0000C0090000}"/>
    <cellStyle name="Comma 4 3 5 5 2 2" xfId="8423" xr:uid="{00000000-0005-0000-0000-0000C1090000}"/>
    <cellStyle name="Comma 4 3 5 5 2 2 2" xfId="16858" xr:uid="{51B34F13-9884-4B98-895A-BD5A1FADC464}"/>
    <cellStyle name="Comma 4 3 5 5 2 3" xfId="12640" xr:uid="{E66E7563-1126-4CE0-B326-928276326AB6}"/>
    <cellStyle name="Comma 4 3 5 5 3" xfId="6278" xr:uid="{00000000-0005-0000-0000-0000C2090000}"/>
    <cellStyle name="Comma 4 3 5 5 3 2" xfId="14713" xr:uid="{109AA9C0-3214-410D-89ED-6F7AC82E4062}"/>
    <cellStyle name="Comma 4 3 5 5 4" xfId="10495" xr:uid="{951E380C-E461-43BD-8041-230743570CEF}"/>
    <cellStyle name="Comma 4 3 5 6" xfId="2406" xr:uid="{00000000-0005-0000-0000-0000C3090000}"/>
    <cellStyle name="Comma 4 3 5 6 2" xfId="6691" xr:uid="{00000000-0005-0000-0000-0000C4090000}"/>
    <cellStyle name="Comma 4 3 5 6 2 2" xfId="15126" xr:uid="{2AF5A6A5-DB25-4C53-BB94-FCCF5527D17B}"/>
    <cellStyle name="Comma 4 3 5 6 3" xfId="10908" xr:uid="{6B986863-75D3-42A2-A0E6-FB9B405A6309}"/>
    <cellStyle name="Comma 4 3 5 7" xfId="2702" xr:uid="{00000000-0005-0000-0000-0000C5090000}"/>
    <cellStyle name="Comma 4 3 5 8" xfId="2784" xr:uid="{00000000-0005-0000-0000-0000C6090000}"/>
    <cellStyle name="Comma 4 3 5 8 2" xfId="7008" xr:uid="{00000000-0005-0000-0000-0000C7090000}"/>
    <cellStyle name="Comma 4 3 5 8 2 2" xfId="15443" xr:uid="{2F37DFE7-DA03-4358-8555-1CA112E28E51}"/>
    <cellStyle name="Comma 4 3 5 8 3" xfId="11225" xr:uid="{361885CA-08DE-4E43-B93D-646F83D9BC5E}"/>
    <cellStyle name="Comma 4 3 5 9" xfId="4625" xr:uid="{00000000-0005-0000-0000-0000C8090000}"/>
    <cellStyle name="Comma 4 3 5 9 2" xfId="13060" xr:uid="{A309E1D3-5B6D-48C1-A2FF-5219AE7684F5}"/>
    <cellStyle name="Comma 4 4" xfId="153" xr:uid="{00000000-0005-0000-0000-0000C9090000}"/>
    <cellStyle name="Comma 4 4 10" xfId="2785" xr:uid="{00000000-0005-0000-0000-0000CA090000}"/>
    <cellStyle name="Comma 4 4 10 2" xfId="7009" xr:uid="{00000000-0005-0000-0000-0000CB090000}"/>
    <cellStyle name="Comma 4 4 10 2 2" xfId="15444" xr:uid="{4E1F22C0-0286-443C-A09B-CE737BD96AFD}"/>
    <cellStyle name="Comma 4 4 10 3" xfId="11226" xr:uid="{11F06239-1C00-4233-9E3A-6C6B95473E53}"/>
    <cellStyle name="Comma 4 4 11" xfId="4626" xr:uid="{00000000-0005-0000-0000-0000CC090000}"/>
    <cellStyle name="Comma 4 4 11 2" xfId="13061" xr:uid="{3B0D2716-5F80-448B-AFB3-A21B661229D7}"/>
    <cellStyle name="Comma 4 4 12" xfId="8843" xr:uid="{6E27FB96-B92D-4C31-A116-110B94DE4641}"/>
    <cellStyle name="Comma 4 4 2" xfId="154" xr:uid="{00000000-0005-0000-0000-0000CD090000}"/>
    <cellStyle name="Comma 4 4 2 10" xfId="4627" xr:uid="{00000000-0005-0000-0000-0000CE090000}"/>
    <cellStyle name="Comma 4 4 2 10 2" xfId="13062" xr:uid="{4D8895C4-793F-401F-A2A4-6F1F03AC6A16}"/>
    <cellStyle name="Comma 4 4 2 11" xfId="8844" xr:uid="{58C8ED82-8982-4571-B9A7-13C802B25772}"/>
    <cellStyle name="Comma 4 4 2 2" xfId="155" xr:uid="{00000000-0005-0000-0000-0000CF090000}"/>
    <cellStyle name="Comma 4 4 2 2 10" xfId="8845" xr:uid="{5AE147F3-92A3-42C9-8AF4-23EABCD139F0}"/>
    <cellStyle name="Comma 4 4 2 2 2" xfId="693" xr:uid="{00000000-0005-0000-0000-0000D0090000}"/>
    <cellStyle name="Comma 4 4 2 2 2 2" xfId="2964" xr:uid="{00000000-0005-0000-0000-0000D1090000}"/>
    <cellStyle name="Comma 4 4 2 2 2 2 2" xfId="7187" xr:uid="{00000000-0005-0000-0000-0000D2090000}"/>
    <cellStyle name="Comma 4 4 2 2 2 2 2 2" xfId="15622" xr:uid="{8E0D3AC0-6D8C-4336-8829-42475D51ECE7}"/>
    <cellStyle name="Comma 4 4 2 2 2 2 3" xfId="11404" xr:uid="{A57A2C71-E076-4EA5-A751-C2C06545354B}"/>
    <cellStyle name="Comma 4 4 2 2 2 3" xfId="5042" xr:uid="{00000000-0005-0000-0000-0000D3090000}"/>
    <cellStyle name="Comma 4 4 2 2 2 3 2" xfId="13477" xr:uid="{E6DFB8CB-BB33-4D2C-954F-D615A72922A1}"/>
    <cellStyle name="Comma 4 4 2 2 2 4" xfId="9259" xr:uid="{25F26442-B28F-49BB-8FCF-8CCA615FE6BB}"/>
    <cellStyle name="Comma 4 4 2 2 3" xfId="1146" xr:uid="{00000000-0005-0000-0000-0000D4090000}"/>
    <cellStyle name="Comma 4 4 2 2 3 2" xfId="3377" xr:uid="{00000000-0005-0000-0000-0000D5090000}"/>
    <cellStyle name="Comma 4 4 2 2 3 2 2" xfId="7600" xr:uid="{00000000-0005-0000-0000-0000D6090000}"/>
    <cellStyle name="Comma 4 4 2 2 3 2 2 2" xfId="16035" xr:uid="{81B0A1E7-203D-4072-8F4A-81094C78831E}"/>
    <cellStyle name="Comma 4 4 2 2 3 2 3" xfId="11817" xr:uid="{28B8C6EE-C97F-41D6-91B7-D3575AB75438}"/>
    <cellStyle name="Comma 4 4 2 2 3 3" xfId="5455" xr:uid="{00000000-0005-0000-0000-0000D7090000}"/>
    <cellStyle name="Comma 4 4 2 2 3 3 2" xfId="13890" xr:uid="{3B306071-81A2-4059-9FB5-4C925CE769EF}"/>
    <cellStyle name="Comma 4 4 2 2 3 4" xfId="9672" xr:uid="{B7FCB291-B1FD-4EDF-828C-78569247605D}"/>
    <cellStyle name="Comma 4 4 2 2 4" xfId="1560" xr:uid="{00000000-0005-0000-0000-0000D8090000}"/>
    <cellStyle name="Comma 4 4 2 2 4 2" xfId="3790" xr:uid="{00000000-0005-0000-0000-0000D9090000}"/>
    <cellStyle name="Comma 4 4 2 2 4 2 2" xfId="8013" xr:uid="{00000000-0005-0000-0000-0000DA090000}"/>
    <cellStyle name="Comma 4 4 2 2 4 2 2 2" xfId="16448" xr:uid="{69178DC4-66C4-4BA2-8426-7D554F7E48E8}"/>
    <cellStyle name="Comma 4 4 2 2 4 2 3" xfId="12230" xr:uid="{31710203-841D-4E08-B100-9F76303254FD}"/>
    <cellStyle name="Comma 4 4 2 2 4 3" xfId="5868" xr:uid="{00000000-0005-0000-0000-0000DB090000}"/>
    <cellStyle name="Comma 4 4 2 2 4 3 2" xfId="14303" xr:uid="{4F9EAF37-4CFD-471F-8A19-C8D262723534}"/>
    <cellStyle name="Comma 4 4 2 2 4 4" xfId="10085" xr:uid="{BCDF17E7-D8B9-4E68-914C-584A482CCD11}"/>
    <cellStyle name="Comma 4 4 2 2 5" xfId="1974" xr:uid="{00000000-0005-0000-0000-0000DC090000}"/>
    <cellStyle name="Comma 4 4 2 2 5 2" xfId="4203" xr:uid="{00000000-0005-0000-0000-0000DD090000}"/>
    <cellStyle name="Comma 4 4 2 2 5 2 2" xfId="8426" xr:uid="{00000000-0005-0000-0000-0000DE090000}"/>
    <cellStyle name="Comma 4 4 2 2 5 2 2 2" xfId="16861" xr:uid="{CE172622-0A90-44C2-B7A6-7F6C9F18082F}"/>
    <cellStyle name="Comma 4 4 2 2 5 2 3" xfId="12643" xr:uid="{16036989-417E-4137-B50D-D1B640D11FA0}"/>
    <cellStyle name="Comma 4 4 2 2 5 3" xfId="6281" xr:uid="{00000000-0005-0000-0000-0000DF090000}"/>
    <cellStyle name="Comma 4 4 2 2 5 3 2" xfId="14716" xr:uid="{7464AF04-15AE-4D0C-822D-7C538197B943}"/>
    <cellStyle name="Comma 4 4 2 2 5 4" xfId="10498" xr:uid="{C29AA2C7-1EB9-4042-8920-1459349A7D11}"/>
    <cellStyle name="Comma 4 4 2 2 6" xfId="2409" xr:uid="{00000000-0005-0000-0000-0000E0090000}"/>
    <cellStyle name="Comma 4 4 2 2 6 2" xfId="6694" xr:uid="{00000000-0005-0000-0000-0000E1090000}"/>
    <cellStyle name="Comma 4 4 2 2 6 2 2" xfId="15129" xr:uid="{42839177-BC08-4D74-B18B-9189F0EC2AE0}"/>
    <cellStyle name="Comma 4 4 2 2 6 3" xfId="10911" xr:uid="{1F13DC45-2C50-4ECA-944D-48BF92C4B6B2}"/>
    <cellStyle name="Comma 4 4 2 2 7" xfId="2705" xr:uid="{00000000-0005-0000-0000-0000E2090000}"/>
    <cellStyle name="Comma 4 4 2 2 8" xfId="2787" xr:uid="{00000000-0005-0000-0000-0000E3090000}"/>
    <cellStyle name="Comma 4 4 2 2 8 2" xfId="7011" xr:uid="{00000000-0005-0000-0000-0000E4090000}"/>
    <cellStyle name="Comma 4 4 2 2 8 2 2" xfId="15446" xr:uid="{47317337-5A78-4370-84D1-04E002A78096}"/>
    <cellStyle name="Comma 4 4 2 2 8 3" xfId="11228" xr:uid="{9E82DFF7-721A-4D13-B44A-DBC560841B0A}"/>
    <cellStyle name="Comma 4 4 2 2 9" xfId="4628" xr:uid="{00000000-0005-0000-0000-0000E5090000}"/>
    <cellStyle name="Comma 4 4 2 2 9 2" xfId="13063" xr:uid="{E3DCF7B1-39EB-467C-A501-B39A17A49966}"/>
    <cellStyle name="Comma 4 4 2 3" xfId="692" xr:uid="{00000000-0005-0000-0000-0000E6090000}"/>
    <cellStyle name="Comma 4 4 2 3 2" xfId="2963" xr:uid="{00000000-0005-0000-0000-0000E7090000}"/>
    <cellStyle name="Comma 4 4 2 3 2 2" xfId="7186" xr:uid="{00000000-0005-0000-0000-0000E8090000}"/>
    <cellStyle name="Comma 4 4 2 3 2 2 2" xfId="15621" xr:uid="{92E76720-7C86-4412-9E13-2D7970FE6604}"/>
    <cellStyle name="Comma 4 4 2 3 2 3" xfId="11403" xr:uid="{B5FC7B12-7B6E-4F85-834F-997B1580CA2E}"/>
    <cellStyle name="Comma 4 4 2 3 3" xfId="5041" xr:uid="{00000000-0005-0000-0000-0000E9090000}"/>
    <cellStyle name="Comma 4 4 2 3 3 2" xfId="13476" xr:uid="{D66FE11B-E480-4FEC-B5DB-233F53C30182}"/>
    <cellStyle name="Comma 4 4 2 3 4" xfId="9258" xr:uid="{8594B488-0FE4-4AD0-94CF-644F64229E8D}"/>
    <cellStyle name="Comma 4 4 2 4" xfId="1145" xr:uid="{00000000-0005-0000-0000-0000EA090000}"/>
    <cellStyle name="Comma 4 4 2 4 2" xfId="3376" xr:uid="{00000000-0005-0000-0000-0000EB090000}"/>
    <cellStyle name="Comma 4 4 2 4 2 2" xfId="7599" xr:uid="{00000000-0005-0000-0000-0000EC090000}"/>
    <cellStyle name="Comma 4 4 2 4 2 2 2" xfId="16034" xr:uid="{F145347C-4D5B-4C86-A390-EADE39067218}"/>
    <cellStyle name="Comma 4 4 2 4 2 3" xfId="11816" xr:uid="{EF399576-ECD2-44D5-8D57-B4A1BD180157}"/>
    <cellStyle name="Comma 4 4 2 4 3" xfId="5454" xr:uid="{00000000-0005-0000-0000-0000ED090000}"/>
    <cellStyle name="Comma 4 4 2 4 3 2" xfId="13889" xr:uid="{3BA94508-B7EA-4363-B3DC-BBDCE8E42C4B}"/>
    <cellStyle name="Comma 4 4 2 4 4" xfId="9671" xr:uid="{5927CC7B-9394-4439-8C95-679BD97226A6}"/>
    <cellStyle name="Comma 4 4 2 5" xfId="1559" xr:uid="{00000000-0005-0000-0000-0000EE090000}"/>
    <cellStyle name="Comma 4 4 2 5 2" xfId="3789" xr:uid="{00000000-0005-0000-0000-0000EF090000}"/>
    <cellStyle name="Comma 4 4 2 5 2 2" xfId="8012" xr:uid="{00000000-0005-0000-0000-0000F0090000}"/>
    <cellStyle name="Comma 4 4 2 5 2 2 2" xfId="16447" xr:uid="{3DE79DC3-EE02-409B-99C1-F63DC51B7E1F}"/>
    <cellStyle name="Comma 4 4 2 5 2 3" xfId="12229" xr:uid="{7308CA6C-30B1-41ED-9AF8-C003EF355667}"/>
    <cellStyle name="Comma 4 4 2 5 3" xfId="5867" xr:uid="{00000000-0005-0000-0000-0000F1090000}"/>
    <cellStyle name="Comma 4 4 2 5 3 2" xfId="14302" xr:uid="{31960B2F-8E04-436D-AEFC-EEE6ABA0DED8}"/>
    <cellStyle name="Comma 4 4 2 5 4" xfId="10084" xr:uid="{134BC17D-D5A5-4AA1-91B9-C932E92C5111}"/>
    <cellStyle name="Comma 4 4 2 6" xfId="1973" xr:uid="{00000000-0005-0000-0000-0000F2090000}"/>
    <cellStyle name="Comma 4 4 2 6 2" xfId="4202" xr:uid="{00000000-0005-0000-0000-0000F3090000}"/>
    <cellStyle name="Comma 4 4 2 6 2 2" xfId="8425" xr:uid="{00000000-0005-0000-0000-0000F4090000}"/>
    <cellStyle name="Comma 4 4 2 6 2 2 2" xfId="16860" xr:uid="{63607440-A783-4EC1-883B-2B20CCEA08A2}"/>
    <cellStyle name="Comma 4 4 2 6 2 3" xfId="12642" xr:uid="{F31D5124-D1D4-400E-A46E-1FAB04D4B54A}"/>
    <cellStyle name="Comma 4 4 2 6 3" xfId="6280" xr:uid="{00000000-0005-0000-0000-0000F5090000}"/>
    <cellStyle name="Comma 4 4 2 6 3 2" xfId="14715" xr:uid="{EA107E88-EBD0-43E7-85AA-141E0FD901FA}"/>
    <cellStyle name="Comma 4 4 2 6 4" xfId="10497" xr:uid="{171E7867-0017-47FB-8E22-6E92C10F7744}"/>
    <cellStyle name="Comma 4 4 2 7" xfId="2408" xr:uid="{00000000-0005-0000-0000-0000F6090000}"/>
    <cellStyle name="Comma 4 4 2 7 2" xfId="6693" xr:uid="{00000000-0005-0000-0000-0000F7090000}"/>
    <cellStyle name="Comma 4 4 2 7 2 2" xfId="15128" xr:uid="{271F6975-6A26-4AC4-8E26-5DB54A965BE1}"/>
    <cellStyle name="Comma 4 4 2 7 3" xfId="10910" xr:uid="{B35AFF56-AC9B-47ED-88E4-7E620A219A28}"/>
    <cellStyle name="Comma 4 4 2 8" xfId="2704" xr:uid="{00000000-0005-0000-0000-0000F8090000}"/>
    <cellStyle name="Comma 4 4 2 9" xfId="2786" xr:uid="{00000000-0005-0000-0000-0000F9090000}"/>
    <cellStyle name="Comma 4 4 2 9 2" xfId="7010" xr:uid="{00000000-0005-0000-0000-0000FA090000}"/>
    <cellStyle name="Comma 4 4 2 9 2 2" xfId="15445" xr:uid="{D13D2D9D-AF43-4180-B659-BC160C0365B7}"/>
    <cellStyle name="Comma 4 4 2 9 3" xfId="11227" xr:uid="{9DFD198D-ECB8-4313-9BFC-311BD8A21D31}"/>
    <cellStyle name="Comma 4 4 3" xfId="156" xr:uid="{00000000-0005-0000-0000-0000FB090000}"/>
    <cellStyle name="Comma 4 4 3 10" xfId="8846" xr:uid="{FF2AB022-40A1-492F-B02F-BE7913C724C3}"/>
    <cellStyle name="Comma 4 4 3 2" xfId="694" xr:uid="{00000000-0005-0000-0000-0000FC090000}"/>
    <cellStyle name="Comma 4 4 3 2 2" xfId="2965" xr:uid="{00000000-0005-0000-0000-0000FD090000}"/>
    <cellStyle name="Comma 4 4 3 2 2 2" xfId="7188" xr:uid="{00000000-0005-0000-0000-0000FE090000}"/>
    <cellStyle name="Comma 4 4 3 2 2 2 2" xfId="15623" xr:uid="{8D8964A9-D6BF-4400-9E50-44BDDEA98652}"/>
    <cellStyle name="Comma 4 4 3 2 2 3" xfId="11405" xr:uid="{5DCC6F29-480F-4857-898C-DCBA8E6D9B4B}"/>
    <cellStyle name="Comma 4 4 3 2 3" xfId="5043" xr:uid="{00000000-0005-0000-0000-0000FF090000}"/>
    <cellStyle name="Comma 4 4 3 2 3 2" xfId="13478" xr:uid="{619E7BC9-E99A-4A29-89D6-249D64EC6CB9}"/>
    <cellStyle name="Comma 4 4 3 2 4" xfId="9260" xr:uid="{25DD774D-BD60-403F-9551-0F3E6017A090}"/>
    <cellStyle name="Comma 4 4 3 3" xfId="1147" xr:uid="{00000000-0005-0000-0000-0000000A0000}"/>
    <cellStyle name="Comma 4 4 3 3 2" xfId="3378" xr:uid="{00000000-0005-0000-0000-0000010A0000}"/>
    <cellStyle name="Comma 4 4 3 3 2 2" xfId="7601" xr:uid="{00000000-0005-0000-0000-0000020A0000}"/>
    <cellStyle name="Comma 4 4 3 3 2 2 2" xfId="16036" xr:uid="{9E1056B1-CD90-46A0-92A5-5C70C6D22425}"/>
    <cellStyle name="Comma 4 4 3 3 2 3" xfId="11818" xr:uid="{47340C1C-767A-426F-9E41-90DE45631C98}"/>
    <cellStyle name="Comma 4 4 3 3 3" xfId="5456" xr:uid="{00000000-0005-0000-0000-0000030A0000}"/>
    <cellStyle name="Comma 4 4 3 3 3 2" xfId="13891" xr:uid="{C0F5069D-4324-4DAE-BDE1-090AA8D8BED2}"/>
    <cellStyle name="Comma 4 4 3 3 4" xfId="9673" xr:uid="{EEB17EA9-8460-4D91-B8E3-15E8FFD66933}"/>
    <cellStyle name="Comma 4 4 3 4" xfId="1561" xr:uid="{00000000-0005-0000-0000-0000040A0000}"/>
    <cellStyle name="Comma 4 4 3 4 2" xfId="3791" xr:uid="{00000000-0005-0000-0000-0000050A0000}"/>
    <cellStyle name="Comma 4 4 3 4 2 2" xfId="8014" xr:uid="{00000000-0005-0000-0000-0000060A0000}"/>
    <cellStyle name="Comma 4 4 3 4 2 2 2" xfId="16449" xr:uid="{E7C309DD-5703-408F-B062-A24DEF503F17}"/>
    <cellStyle name="Comma 4 4 3 4 2 3" xfId="12231" xr:uid="{42FFF4DF-EAFD-4EA6-B3ED-BC97B1D5FCD1}"/>
    <cellStyle name="Comma 4 4 3 4 3" xfId="5869" xr:uid="{00000000-0005-0000-0000-0000070A0000}"/>
    <cellStyle name="Comma 4 4 3 4 3 2" xfId="14304" xr:uid="{7B524192-2DA6-45F6-B6A2-BE7778B72696}"/>
    <cellStyle name="Comma 4 4 3 4 4" xfId="10086" xr:uid="{965D3E7A-C7CF-44A2-BFD8-2AB7A36B06F4}"/>
    <cellStyle name="Comma 4 4 3 5" xfId="1975" xr:uid="{00000000-0005-0000-0000-0000080A0000}"/>
    <cellStyle name="Comma 4 4 3 5 2" xfId="4204" xr:uid="{00000000-0005-0000-0000-0000090A0000}"/>
    <cellStyle name="Comma 4 4 3 5 2 2" xfId="8427" xr:uid="{00000000-0005-0000-0000-00000A0A0000}"/>
    <cellStyle name="Comma 4 4 3 5 2 2 2" xfId="16862" xr:uid="{FA76F1B4-E6CC-4DA8-8D1A-1C86421A58A8}"/>
    <cellStyle name="Comma 4 4 3 5 2 3" xfId="12644" xr:uid="{F70DDEDF-E77F-4EC7-8FA8-C737C3E8A625}"/>
    <cellStyle name="Comma 4 4 3 5 3" xfId="6282" xr:uid="{00000000-0005-0000-0000-00000B0A0000}"/>
    <cellStyle name="Comma 4 4 3 5 3 2" xfId="14717" xr:uid="{23BB86F2-CF9F-4154-8FD5-C8905AAB5D9D}"/>
    <cellStyle name="Comma 4 4 3 5 4" xfId="10499" xr:uid="{AF33A162-6D17-477F-9425-64171C60C180}"/>
    <cellStyle name="Comma 4 4 3 6" xfId="2410" xr:uid="{00000000-0005-0000-0000-00000C0A0000}"/>
    <cellStyle name="Comma 4 4 3 6 2" xfId="6695" xr:uid="{00000000-0005-0000-0000-00000D0A0000}"/>
    <cellStyle name="Comma 4 4 3 6 2 2" xfId="15130" xr:uid="{C95EEC6A-A53F-41BF-B546-6C1EF95F1586}"/>
    <cellStyle name="Comma 4 4 3 6 3" xfId="10912" xr:uid="{9E2C56C3-FCE3-412B-8866-377B78D95A58}"/>
    <cellStyle name="Comma 4 4 3 7" xfId="2706" xr:uid="{00000000-0005-0000-0000-00000E0A0000}"/>
    <cellStyle name="Comma 4 4 3 8" xfId="2788" xr:uid="{00000000-0005-0000-0000-00000F0A0000}"/>
    <cellStyle name="Comma 4 4 3 8 2" xfId="7012" xr:uid="{00000000-0005-0000-0000-0000100A0000}"/>
    <cellStyle name="Comma 4 4 3 8 2 2" xfId="15447" xr:uid="{978F7B84-D526-4090-AE0F-BB6F6A0731ED}"/>
    <cellStyle name="Comma 4 4 3 8 3" xfId="11229" xr:uid="{ACA1287D-5E02-41A6-9971-634CB6F95951}"/>
    <cellStyle name="Comma 4 4 3 9" xfId="4629" xr:uid="{00000000-0005-0000-0000-0000110A0000}"/>
    <cellStyle name="Comma 4 4 3 9 2" xfId="13064" xr:uid="{8AA63FDE-B6C3-4115-AB1E-CCE5090031EC}"/>
    <cellStyle name="Comma 4 4 4" xfId="691" xr:uid="{00000000-0005-0000-0000-0000120A0000}"/>
    <cellStyle name="Comma 4 4 4 2" xfId="2962" xr:uid="{00000000-0005-0000-0000-0000130A0000}"/>
    <cellStyle name="Comma 4 4 4 2 2" xfId="7185" xr:uid="{00000000-0005-0000-0000-0000140A0000}"/>
    <cellStyle name="Comma 4 4 4 2 2 2" xfId="15620" xr:uid="{F1CFA9D0-3FF6-4E20-B69E-D58C675CEF26}"/>
    <cellStyle name="Comma 4 4 4 2 3" xfId="11402" xr:uid="{B2DB0152-5B62-4AED-866E-3F7E4E667F9B}"/>
    <cellStyle name="Comma 4 4 4 3" xfId="5040" xr:uid="{00000000-0005-0000-0000-0000150A0000}"/>
    <cellStyle name="Comma 4 4 4 3 2" xfId="13475" xr:uid="{90EC9A0D-1CD2-4567-BCE4-7088C1B18556}"/>
    <cellStyle name="Comma 4 4 4 4" xfId="9257" xr:uid="{B358A814-44A0-4211-9406-A8E4B279D107}"/>
    <cellStyle name="Comma 4 4 5" xfId="1144" xr:uid="{00000000-0005-0000-0000-0000160A0000}"/>
    <cellStyle name="Comma 4 4 5 2" xfId="3375" xr:uid="{00000000-0005-0000-0000-0000170A0000}"/>
    <cellStyle name="Comma 4 4 5 2 2" xfId="7598" xr:uid="{00000000-0005-0000-0000-0000180A0000}"/>
    <cellStyle name="Comma 4 4 5 2 2 2" xfId="16033" xr:uid="{3BBAF2D2-3EEB-49C2-8529-961129BC70DC}"/>
    <cellStyle name="Comma 4 4 5 2 3" xfId="11815" xr:uid="{D9DE9CE4-BFCC-4DAD-987D-8B0DD4D12EE6}"/>
    <cellStyle name="Comma 4 4 5 3" xfId="5453" xr:uid="{00000000-0005-0000-0000-0000190A0000}"/>
    <cellStyle name="Comma 4 4 5 3 2" xfId="13888" xr:uid="{EA6A8132-020A-46F8-80BE-EB311F3C09C7}"/>
    <cellStyle name="Comma 4 4 5 4" xfId="9670" xr:uid="{0954D736-56F4-4B80-AFA8-B3E7A9B2B50A}"/>
    <cellStyle name="Comma 4 4 6" xfId="1558" xr:uid="{00000000-0005-0000-0000-00001A0A0000}"/>
    <cellStyle name="Comma 4 4 6 2" xfId="3788" xr:uid="{00000000-0005-0000-0000-00001B0A0000}"/>
    <cellStyle name="Comma 4 4 6 2 2" xfId="8011" xr:uid="{00000000-0005-0000-0000-00001C0A0000}"/>
    <cellStyle name="Comma 4 4 6 2 2 2" xfId="16446" xr:uid="{5862188F-5D3A-420A-924A-E931D541CA09}"/>
    <cellStyle name="Comma 4 4 6 2 3" xfId="12228" xr:uid="{A8CDD48F-7D51-4822-B0E5-FFB9C2DA5EE6}"/>
    <cellStyle name="Comma 4 4 6 3" xfId="5866" xr:uid="{00000000-0005-0000-0000-00001D0A0000}"/>
    <cellStyle name="Comma 4 4 6 3 2" xfId="14301" xr:uid="{F96FFF87-E235-4E02-BD7C-0A81E410E658}"/>
    <cellStyle name="Comma 4 4 6 4" xfId="10083" xr:uid="{754D6CD4-41E9-47DD-B9CC-324E4458629F}"/>
    <cellStyle name="Comma 4 4 7" xfId="1972" xr:uid="{00000000-0005-0000-0000-00001E0A0000}"/>
    <cellStyle name="Comma 4 4 7 2" xfId="4201" xr:uid="{00000000-0005-0000-0000-00001F0A0000}"/>
    <cellStyle name="Comma 4 4 7 2 2" xfId="8424" xr:uid="{00000000-0005-0000-0000-0000200A0000}"/>
    <cellStyle name="Comma 4 4 7 2 2 2" xfId="16859" xr:uid="{27F87155-310B-4C1E-B675-944876BB2136}"/>
    <cellStyle name="Comma 4 4 7 2 3" xfId="12641" xr:uid="{8690DDD2-C350-4ADC-B9ED-81E6EFBF7358}"/>
    <cellStyle name="Comma 4 4 7 3" xfId="6279" xr:uid="{00000000-0005-0000-0000-0000210A0000}"/>
    <cellStyle name="Comma 4 4 7 3 2" xfId="14714" xr:uid="{CBF51589-8CCF-4AE9-92FA-0852A2B001E3}"/>
    <cellStyle name="Comma 4 4 7 4" xfId="10496" xr:uid="{41B4A39F-A199-4F4F-A704-E7466F53D174}"/>
    <cellStyle name="Comma 4 4 8" xfId="2407" xr:uid="{00000000-0005-0000-0000-0000220A0000}"/>
    <cellStyle name="Comma 4 4 8 2" xfId="6692" xr:uid="{00000000-0005-0000-0000-0000230A0000}"/>
    <cellStyle name="Comma 4 4 8 2 2" xfId="15127" xr:uid="{C78A657B-5F3F-4273-A190-7CDFC56FC202}"/>
    <cellStyle name="Comma 4 4 8 3" xfId="10909" xr:uid="{1484C148-E069-47BD-A7D8-EBCE00EF1424}"/>
    <cellStyle name="Comma 4 4 9" xfId="2703" xr:uid="{00000000-0005-0000-0000-0000240A0000}"/>
    <cellStyle name="Comma 4 5" xfId="157" xr:uid="{00000000-0005-0000-0000-0000250A0000}"/>
    <cellStyle name="Comma 4 5 10" xfId="4630" xr:uid="{00000000-0005-0000-0000-0000260A0000}"/>
    <cellStyle name="Comma 4 5 10 2" xfId="13065" xr:uid="{7BE47EF3-94E7-4A07-9C1F-8A112D10ED33}"/>
    <cellStyle name="Comma 4 5 11" xfId="8847" xr:uid="{F76DB96A-B590-45C3-BF93-D041F2AC7A2F}"/>
    <cellStyle name="Comma 4 5 2" xfId="158" xr:uid="{00000000-0005-0000-0000-0000270A0000}"/>
    <cellStyle name="Comma 4 5 2 10" xfId="8848" xr:uid="{035BE2A9-60B9-4F69-8AF9-7BF03481FFBA}"/>
    <cellStyle name="Comma 4 5 2 2" xfId="696" xr:uid="{00000000-0005-0000-0000-0000280A0000}"/>
    <cellStyle name="Comma 4 5 2 2 2" xfId="2967" xr:uid="{00000000-0005-0000-0000-0000290A0000}"/>
    <cellStyle name="Comma 4 5 2 2 2 2" xfId="7190" xr:uid="{00000000-0005-0000-0000-00002A0A0000}"/>
    <cellStyle name="Comma 4 5 2 2 2 2 2" xfId="15625" xr:uid="{A6F268F9-C020-41AB-A049-DB70B160163B}"/>
    <cellStyle name="Comma 4 5 2 2 2 3" xfId="11407" xr:uid="{989E3F2A-FD74-4A14-B477-609D28782BB8}"/>
    <cellStyle name="Comma 4 5 2 2 3" xfId="5045" xr:uid="{00000000-0005-0000-0000-00002B0A0000}"/>
    <cellStyle name="Comma 4 5 2 2 3 2" xfId="13480" xr:uid="{8C0BF029-C956-40A6-A732-D4859EEA8464}"/>
    <cellStyle name="Comma 4 5 2 2 4" xfId="9262" xr:uid="{436497E5-CD40-46A5-87F4-0C8609F45694}"/>
    <cellStyle name="Comma 4 5 2 3" xfId="1149" xr:uid="{00000000-0005-0000-0000-00002C0A0000}"/>
    <cellStyle name="Comma 4 5 2 3 2" xfId="3380" xr:uid="{00000000-0005-0000-0000-00002D0A0000}"/>
    <cellStyle name="Comma 4 5 2 3 2 2" xfId="7603" xr:uid="{00000000-0005-0000-0000-00002E0A0000}"/>
    <cellStyle name="Comma 4 5 2 3 2 2 2" xfId="16038" xr:uid="{2C350367-86EF-41FC-8206-4364DB24117B}"/>
    <cellStyle name="Comma 4 5 2 3 2 3" xfId="11820" xr:uid="{31554695-806F-4069-9709-969FBA790CF4}"/>
    <cellStyle name="Comma 4 5 2 3 3" xfId="5458" xr:uid="{00000000-0005-0000-0000-00002F0A0000}"/>
    <cellStyle name="Comma 4 5 2 3 3 2" xfId="13893" xr:uid="{76CF3EA1-86A2-44A7-90C8-B894D1A4866B}"/>
    <cellStyle name="Comma 4 5 2 3 4" xfId="9675" xr:uid="{08D85119-537D-48DC-85B0-7520F280F7FC}"/>
    <cellStyle name="Comma 4 5 2 4" xfId="1563" xr:uid="{00000000-0005-0000-0000-0000300A0000}"/>
    <cellStyle name="Comma 4 5 2 4 2" xfId="3793" xr:uid="{00000000-0005-0000-0000-0000310A0000}"/>
    <cellStyle name="Comma 4 5 2 4 2 2" xfId="8016" xr:uid="{00000000-0005-0000-0000-0000320A0000}"/>
    <cellStyle name="Comma 4 5 2 4 2 2 2" xfId="16451" xr:uid="{313ADD2D-A043-48EF-B8D5-460A5131F732}"/>
    <cellStyle name="Comma 4 5 2 4 2 3" xfId="12233" xr:uid="{9A7A5CFD-09D0-43EC-A674-2D54E6FB83DB}"/>
    <cellStyle name="Comma 4 5 2 4 3" xfId="5871" xr:uid="{00000000-0005-0000-0000-0000330A0000}"/>
    <cellStyle name="Comma 4 5 2 4 3 2" xfId="14306" xr:uid="{B1DF4383-38ED-44D3-987A-35741B3F399A}"/>
    <cellStyle name="Comma 4 5 2 4 4" xfId="10088" xr:uid="{2996BB41-A300-4A98-B1A7-DAB723F8B0A9}"/>
    <cellStyle name="Comma 4 5 2 5" xfId="1977" xr:uid="{00000000-0005-0000-0000-0000340A0000}"/>
    <cellStyle name="Comma 4 5 2 5 2" xfId="4206" xr:uid="{00000000-0005-0000-0000-0000350A0000}"/>
    <cellStyle name="Comma 4 5 2 5 2 2" xfId="8429" xr:uid="{00000000-0005-0000-0000-0000360A0000}"/>
    <cellStyle name="Comma 4 5 2 5 2 2 2" xfId="16864" xr:uid="{581070D8-B7BC-474D-B0EB-030D7B8799CF}"/>
    <cellStyle name="Comma 4 5 2 5 2 3" xfId="12646" xr:uid="{3951ACCB-884A-4E7B-9F5D-922BEE18AADF}"/>
    <cellStyle name="Comma 4 5 2 5 3" xfId="6284" xr:uid="{00000000-0005-0000-0000-0000370A0000}"/>
    <cellStyle name="Comma 4 5 2 5 3 2" xfId="14719" xr:uid="{CB87E0FD-E95F-472C-BE09-264B060C1570}"/>
    <cellStyle name="Comma 4 5 2 5 4" xfId="10501" xr:uid="{2A12CFD3-A210-4329-9D6B-D149D89ACCC0}"/>
    <cellStyle name="Comma 4 5 2 6" xfId="2412" xr:uid="{00000000-0005-0000-0000-0000380A0000}"/>
    <cellStyle name="Comma 4 5 2 6 2" xfId="6697" xr:uid="{00000000-0005-0000-0000-0000390A0000}"/>
    <cellStyle name="Comma 4 5 2 6 2 2" xfId="15132" xr:uid="{8C5B4689-9764-40D6-B826-A745BC156224}"/>
    <cellStyle name="Comma 4 5 2 6 3" xfId="10914" xr:uid="{C1671D65-58FF-45D9-8DA4-90A2CEC88483}"/>
    <cellStyle name="Comma 4 5 2 7" xfId="2708" xr:uid="{00000000-0005-0000-0000-00003A0A0000}"/>
    <cellStyle name="Comma 4 5 2 8" xfId="2790" xr:uid="{00000000-0005-0000-0000-00003B0A0000}"/>
    <cellStyle name="Comma 4 5 2 8 2" xfId="7014" xr:uid="{00000000-0005-0000-0000-00003C0A0000}"/>
    <cellStyle name="Comma 4 5 2 8 2 2" xfId="15449" xr:uid="{37E7BB9B-EAB8-420F-B901-6BBFA7533FD8}"/>
    <cellStyle name="Comma 4 5 2 8 3" xfId="11231" xr:uid="{D91746F1-6820-4BB8-BEF0-1245B8206735}"/>
    <cellStyle name="Comma 4 5 2 9" xfId="4631" xr:uid="{00000000-0005-0000-0000-00003D0A0000}"/>
    <cellStyle name="Comma 4 5 2 9 2" xfId="13066" xr:uid="{29712F21-E329-4CF2-B640-703E8E58F367}"/>
    <cellStyle name="Comma 4 5 3" xfId="695" xr:uid="{00000000-0005-0000-0000-00003E0A0000}"/>
    <cellStyle name="Comma 4 5 3 2" xfId="2966" xr:uid="{00000000-0005-0000-0000-00003F0A0000}"/>
    <cellStyle name="Comma 4 5 3 2 2" xfId="7189" xr:uid="{00000000-0005-0000-0000-0000400A0000}"/>
    <cellStyle name="Comma 4 5 3 2 2 2" xfId="15624" xr:uid="{AEA8DC69-F3BE-40D5-BD33-E17C889DF907}"/>
    <cellStyle name="Comma 4 5 3 2 3" xfId="11406" xr:uid="{CCA4BBD3-2C66-48C3-A433-9D016AB85485}"/>
    <cellStyle name="Comma 4 5 3 3" xfId="5044" xr:uid="{00000000-0005-0000-0000-0000410A0000}"/>
    <cellStyle name="Comma 4 5 3 3 2" xfId="13479" xr:uid="{57FEFBCD-A441-4D24-B841-70C893E44D83}"/>
    <cellStyle name="Comma 4 5 3 4" xfId="9261" xr:uid="{4DCD0499-7A9F-4DB3-B259-8D4D8DD9896B}"/>
    <cellStyle name="Comma 4 5 4" xfId="1148" xr:uid="{00000000-0005-0000-0000-0000420A0000}"/>
    <cellStyle name="Comma 4 5 4 2" xfId="3379" xr:uid="{00000000-0005-0000-0000-0000430A0000}"/>
    <cellStyle name="Comma 4 5 4 2 2" xfId="7602" xr:uid="{00000000-0005-0000-0000-0000440A0000}"/>
    <cellStyle name="Comma 4 5 4 2 2 2" xfId="16037" xr:uid="{0D72410B-955B-4EDF-AB50-046A8699C47C}"/>
    <cellStyle name="Comma 4 5 4 2 3" xfId="11819" xr:uid="{5066DA9B-DE94-4995-9414-AA0263EEB201}"/>
    <cellStyle name="Comma 4 5 4 3" xfId="5457" xr:uid="{00000000-0005-0000-0000-0000450A0000}"/>
    <cellStyle name="Comma 4 5 4 3 2" xfId="13892" xr:uid="{ABCBEDDA-A1B7-4625-929C-14C725A508FA}"/>
    <cellStyle name="Comma 4 5 4 4" xfId="9674" xr:uid="{0D9DB4F3-6CD0-4BE6-9E1B-33CB1D4086AA}"/>
    <cellStyle name="Comma 4 5 5" xfId="1562" xr:uid="{00000000-0005-0000-0000-0000460A0000}"/>
    <cellStyle name="Comma 4 5 5 2" xfId="3792" xr:uid="{00000000-0005-0000-0000-0000470A0000}"/>
    <cellStyle name="Comma 4 5 5 2 2" xfId="8015" xr:uid="{00000000-0005-0000-0000-0000480A0000}"/>
    <cellStyle name="Comma 4 5 5 2 2 2" xfId="16450" xr:uid="{27756AA5-F1F4-408F-9E67-20D2251B3A04}"/>
    <cellStyle name="Comma 4 5 5 2 3" xfId="12232" xr:uid="{A8587D77-9CDD-4DD8-A542-13B53A0A58A5}"/>
    <cellStyle name="Comma 4 5 5 3" xfId="5870" xr:uid="{00000000-0005-0000-0000-0000490A0000}"/>
    <cellStyle name="Comma 4 5 5 3 2" xfId="14305" xr:uid="{4949EB28-28FC-4734-8523-B0E49F0BDA41}"/>
    <cellStyle name="Comma 4 5 5 4" xfId="10087" xr:uid="{4ABD09E5-334E-4BF6-A641-3D2D0DBDBD59}"/>
    <cellStyle name="Comma 4 5 6" xfId="1976" xr:uid="{00000000-0005-0000-0000-00004A0A0000}"/>
    <cellStyle name="Comma 4 5 6 2" xfId="4205" xr:uid="{00000000-0005-0000-0000-00004B0A0000}"/>
    <cellStyle name="Comma 4 5 6 2 2" xfId="8428" xr:uid="{00000000-0005-0000-0000-00004C0A0000}"/>
    <cellStyle name="Comma 4 5 6 2 2 2" xfId="16863" xr:uid="{5206A9E8-59BE-4985-903B-E86B936B9A02}"/>
    <cellStyle name="Comma 4 5 6 2 3" xfId="12645" xr:uid="{E7B64D5A-2546-4D0B-A13F-55347FDF7844}"/>
    <cellStyle name="Comma 4 5 6 3" xfId="6283" xr:uid="{00000000-0005-0000-0000-00004D0A0000}"/>
    <cellStyle name="Comma 4 5 6 3 2" xfId="14718" xr:uid="{DC13894B-7710-48CA-861D-370575D23751}"/>
    <cellStyle name="Comma 4 5 6 4" xfId="10500" xr:uid="{1D28D2FF-ECC5-4189-A4C7-38D0E6E9B35A}"/>
    <cellStyle name="Comma 4 5 7" xfId="2411" xr:uid="{00000000-0005-0000-0000-00004E0A0000}"/>
    <cellStyle name="Comma 4 5 7 2" xfId="6696" xr:uid="{00000000-0005-0000-0000-00004F0A0000}"/>
    <cellStyle name="Comma 4 5 7 2 2" xfId="15131" xr:uid="{EFE99355-38BB-4EE2-93EF-93C3EC39D9FB}"/>
    <cellStyle name="Comma 4 5 7 3" xfId="10913" xr:uid="{2AF9A1DF-A993-41E1-9597-1EB4C5C78128}"/>
    <cellStyle name="Comma 4 5 8" xfId="2707" xr:uid="{00000000-0005-0000-0000-0000500A0000}"/>
    <cellStyle name="Comma 4 5 9" xfId="2789" xr:uid="{00000000-0005-0000-0000-0000510A0000}"/>
    <cellStyle name="Comma 4 5 9 2" xfId="7013" xr:uid="{00000000-0005-0000-0000-0000520A0000}"/>
    <cellStyle name="Comma 4 5 9 2 2" xfId="15448" xr:uid="{0D9B5408-888C-4874-A72C-B012F1A34C1F}"/>
    <cellStyle name="Comma 4 5 9 3" xfId="11230" xr:uid="{062678EB-5439-40BA-8FA1-A9E1107A5260}"/>
    <cellStyle name="Comma 4 6" xfId="159" xr:uid="{00000000-0005-0000-0000-0000530A0000}"/>
    <cellStyle name="Comma 4 6 10" xfId="8849" xr:uid="{96843ECB-8A78-4639-A739-F5558A0628BA}"/>
    <cellStyle name="Comma 4 6 2" xfId="697" xr:uid="{00000000-0005-0000-0000-0000540A0000}"/>
    <cellStyle name="Comma 4 6 2 2" xfId="2968" xr:uid="{00000000-0005-0000-0000-0000550A0000}"/>
    <cellStyle name="Comma 4 6 2 2 2" xfId="7191" xr:uid="{00000000-0005-0000-0000-0000560A0000}"/>
    <cellStyle name="Comma 4 6 2 2 2 2" xfId="15626" xr:uid="{D9523FD1-4672-4EC3-931D-D1225C101360}"/>
    <cellStyle name="Comma 4 6 2 2 3" xfId="11408" xr:uid="{19EC8D53-C650-4F93-A22C-D7E0270DDD06}"/>
    <cellStyle name="Comma 4 6 2 3" xfId="5046" xr:uid="{00000000-0005-0000-0000-0000570A0000}"/>
    <cellStyle name="Comma 4 6 2 3 2" xfId="13481" xr:uid="{7E667B1A-055F-40DB-9968-AE8A87FD245F}"/>
    <cellStyle name="Comma 4 6 2 4" xfId="9263" xr:uid="{D332B171-12A4-4A9E-A8F6-25D8AC788376}"/>
    <cellStyle name="Comma 4 6 3" xfId="1150" xr:uid="{00000000-0005-0000-0000-0000580A0000}"/>
    <cellStyle name="Comma 4 6 3 2" xfId="3381" xr:uid="{00000000-0005-0000-0000-0000590A0000}"/>
    <cellStyle name="Comma 4 6 3 2 2" xfId="7604" xr:uid="{00000000-0005-0000-0000-00005A0A0000}"/>
    <cellStyle name="Comma 4 6 3 2 2 2" xfId="16039" xr:uid="{12A73324-13DF-4C86-A52D-5EBA8FC95E50}"/>
    <cellStyle name="Comma 4 6 3 2 3" xfId="11821" xr:uid="{9AC65E96-74A7-4C26-9228-C7A7E932E678}"/>
    <cellStyle name="Comma 4 6 3 3" xfId="5459" xr:uid="{00000000-0005-0000-0000-00005B0A0000}"/>
    <cellStyle name="Comma 4 6 3 3 2" xfId="13894" xr:uid="{7B9F6CA2-0AAA-420E-A218-0108992A0BDE}"/>
    <cellStyle name="Comma 4 6 3 4" xfId="9676" xr:uid="{26272B1B-0430-45A8-B6CE-7E1CEF3ECCA2}"/>
    <cellStyle name="Comma 4 6 4" xfId="1564" xr:uid="{00000000-0005-0000-0000-00005C0A0000}"/>
    <cellStyle name="Comma 4 6 4 2" xfId="3794" xr:uid="{00000000-0005-0000-0000-00005D0A0000}"/>
    <cellStyle name="Comma 4 6 4 2 2" xfId="8017" xr:uid="{00000000-0005-0000-0000-00005E0A0000}"/>
    <cellStyle name="Comma 4 6 4 2 2 2" xfId="16452" xr:uid="{2D18B404-0E3B-4664-9864-3E2584B73841}"/>
    <cellStyle name="Comma 4 6 4 2 3" xfId="12234" xr:uid="{5C97EF87-62F0-42B4-B37F-CB212BF5E6E3}"/>
    <cellStyle name="Comma 4 6 4 3" xfId="5872" xr:uid="{00000000-0005-0000-0000-00005F0A0000}"/>
    <cellStyle name="Comma 4 6 4 3 2" xfId="14307" xr:uid="{67D5CC00-DB61-4E9A-AAE3-D24A20CA33AF}"/>
    <cellStyle name="Comma 4 6 4 4" xfId="10089" xr:uid="{25A24DF7-9AAD-4F21-A04B-4BACA6BE4E7A}"/>
    <cellStyle name="Comma 4 6 5" xfId="1978" xr:uid="{00000000-0005-0000-0000-0000600A0000}"/>
    <cellStyle name="Comma 4 6 5 2" xfId="4207" xr:uid="{00000000-0005-0000-0000-0000610A0000}"/>
    <cellStyle name="Comma 4 6 5 2 2" xfId="8430" xr:uid="{00000000-0005-0000-0000-0000620A0000}"/>
    <cellStyle name="Comma 4 6 5 2 2 2" xfId="16865" xr:uid="{56FC7179-5AF9-4A65-852E-E4470BBF89F1}"/>
    <cellStyle name="Comma 4 6 5 2 3" xfId="12647" xr:uid="{24775D8F-5014-427A-96DE-E351E53D4B60}"/>
    <cellStyle name="Comma 4 6 5 3" xfId="6285" xr:uid="{00000000-0005-0000-0000-0000630A0000}"/>
    <cellStyle name="Comma 4 6 5 3 2" xfId="14720" xr:uid="{11F4D959-4536-4996-9FB3-364BF3449EBF}"/>
    <cellStyle name="Comma 4 6 5 4" xfId="10502" xr:uid="{96E557E3-0EB8-4A3E-BCBA-E87108579FD8}"/>
    <cellStyle name="Comma 4 6 6" xfId="2413" xr:uid="{00000000-0005-0000-0000-0000640A0000}"/>
    <cellStyle name="Comma 4 6 6 2" xfId="6698" xr:uid="{00000000-0005-0000-0000-0000650A0000}"/>
    <cellStyle name="Comma 4 6 6 2 2" xfId="15133" xr:uid="{7FFF5C7A-EE46-47ED-9AD7-B8BD17C16E5A}"/>
    <cellStyle name="Comma 4 6 6 3" xfId="10915" xr:uid="{3C01D1C2-9BD8-479A-A09B-1548023A87B5}"/>
    <cellStyle name="Comma 4 6 7" xfId="2709" xr:uid="{00000000-0005-0000-0000-0000660A0000}"/>
    <cellStyle name="Comma 4 6 8" xfId="2791" xr:uid="{00000000-0005-0000-0000-0000670A0000}"/>
    <cellStyle name="Comma 4 6 8 2" xfId="7015" xr:uid="{00000000-0005-0000-0000-0000680A0000}"/>
    <cellStyle name="Comma 4 6 8 2 2" xfId="15450" xr:uid="{ABC1BED1-1B21-4A92-83F2-C689D05F16CB}"/>
    <cellStyle name="Comma 4 6 8 3" xfId="11232" xr:uid="{6D648FAE-3F8F-4AF2-A3DA-E28FF46E8206}"/>
    <cellStyle name="Comma 4 6 9" xfId="4632" xr:uid="{00000000-0005-0000-0000-0000690A0000}"/>
    <cellStyle name="Comma 4 6 9 2" xfId="13067" xr:uid="{5B3CC28C-3E09-4828-8080-996EB89E4461}"/>
    <cellStyle name="Comma 4 7" xfId="160" xr:uid="{00000000-0005-0000-0000-00006A0A0000}"/>
    <cellStyle name="Comma 4 7 10" xfId="8850" xr:uid="{32EA87E1-3C4A-40D1-B8C0-1DC6D7CB52A5}"/>
    <cellStyle name="Comma 4 7 2" xfId="698" xr:uid="{00000000-0005-0000-0000-00006B0A0000}"/>
    <cellStyle name="Comma 4 7 2 2" xfId="2969" xr:uid="{00000000-0005-0000-0000-00006C0A0000}"/>
    <cellStyle name="Comma 4 7 2 2 2" xfId="7192" xr:uid="{00000000-0005-0000-0000-00006D0A0000}"/>
    <cellStyle name="Comma 4 7 2 2 2 2" xfId="15627" xr:uid="{A6C22F30-110A-47B8-ABCB-BB899718E707}"/>
    <cellStyle name="Comma 4 7 2 2 3" xfId="11409" xr:uid="{0F02766A-143F-45E4-A81F-764E36BABDF5}"/>
    <cellStyle name="Comma 4 7 2 3" xfId="5047" xr:uid="{00000000-0005-0000-0000-00006E0A0000}"/>
    <cellStyle name="Comma 4 7 2 3 2" xfId="13482" xr:uid="{B1D6DA9C-2E95-4047-A7B4-86C77CE0D8F0}"/>
    <cellStyle name="Comma 4 7 2 4" xfId="9264" xr:uid="{E9C9B993-F430-4151-BC8E-41BF370D942E}"/>
    <cellStyle name="Comma 4 7 3" xfId="1151" xr:uid="{00000000-0005-0000-0000-00006F0A0000}"/>
    <cellStyle name="Comma 4 7 3 2" xfId="3382" xr:uid="{00000000-0005-0000-0000-0000700A0000}"/>
    <cellStyle name="Comma 4 7 3 2 2" xfId="7605" xr:uid="{00000000-0005-0000-0000-0000710A0000}"/>
    <cellStyle name="Comma 4 7 3 2 2 2" xfId="16040" xr:uid="{DA90D36E-37F3-495E-9E90-7A70C3828FC8}"/>
    <cellStyle name="Comma 4 7 3 2 3" xfId="11822" xr:uid="{B4B98F81-5355-4284-B6E2-1331A96C6200}"/>
    <cellStyle name="Comma 4 7 3 3" xfId="5460" xr:uid="{00000000-0005-0000-0000-0000720A0000}"/>
    <cellStyle name="Comma 4 7 3 3 2" xfId="13895" xr:uid="{947F6902-31E3-49E5-9A7C-77650C5E37FE}"/>
    <cellStyle name="Comma 4 7 3 4" xfId="9677" xr:uid="{61E2A2C1-EDC7-4774-9C53-5F8D00CDE157}"/>
    <cellStyle name="Comma 4 7 4" xfId="1565" xr:uid="{00000000-0005-0000-0000-0000730A0000}"/>
    <cellStyle name="Comma 4 7 4 2" xfId="3795" xr:uid="{00000000-0005-0000-0000-0000740A0000}"/>
    <cellStyle name="Comma 4 7 4 2 2" xfId="8018" xr:uid="{00000000-0005-0000-0000-0000750A0000}"/>
    <cellStyle name="Comma 4 7 4 2 2 2" xfId="16453" xr:uid="{954F4966-36C2-4030-A28F-5ACA79C09215}"/>
    <cellStyle name="Comma 4 7 4 2 3" xfId="12235" xr:uid="{8F049122-9F0B-415D-9823-766221A0CA3D}"/>
    <cellStyle name="Comma 4 7 4 3" xfId="5873" xr:uid="{00000000-0005-0000-0000-0000760A0000}"/>
    <cellStyle name="Comma 4 7 4 3 2" xfId="14308" xr:uid="{F803A46C-F65D-4855-997E-DAF58CC0F655}"/>
    <cellStyle name="Comma 4 7 4 4" xfId="10090" xr:uid="{C5C98619-F072-42CB-A584-63C1972C9A01}"/>
    <cellStyle name="Comma 4 7 5" xfId="1979" xr:uid="{00000000-0005-0000-0000-0000770A0000}"/>
    <cellStyle name="Comma 4 7 5 2" xfId="4208" xr:uid="{00000000-0005-0000-0000-0000780A0000}"/>
    <cellStyle name="Comma 4 7 5 2 2" xfId="8431" xr:uid="{00000000-0005-0000-0000-0000790A0000}"/>
    <cellStyle name="Comma 4 7 5 2 2 2" xfId="16866" xr:uid="{B8276012-60BA-4B0B-BE29-1762164D9323}"/>
    <cellStyle name="Comma 4 7 5 2 3" xfId="12648" xr:uid="{B6FE1CF5-72C7-4335-AFB7-FB8C00D63BB6}"/>
    <cellStyle name="Comma 4 7 5 3" xfId="6286" xr:uid="{00000000-0005-0000-0000-00007A0A0000}"/>
    <cellStyle name="Comma 4 7 5 3 2" xfId="14721" xr:uid="{207DDC9F-6D37-478E-9D92-0E77DDB63DBE}"/>
    <cellStyle name="Comma 4 7 5 4" xfId="10503" xr:uid="{62D82814-6DC1-48B0-A52B-378F29C42FB5}"/>
    <cellStyle name="Comma 4 7 6" xfId="2414" xr:uid="{00000000-0005-0000-0000-00007B0A0000}"/>
    <cellStyle name="Comma 4 7 6 2" xfId="6699" xr:uid="{00000000-0005-0000-0000-00007C0A0000}"/>
    <cellStyle name="Comma 4 7 6 2 2" xfId="15134" xr:uid="{939C4135-67E8-40D7-996F-93BE4A35D6D2}"/>
    <cellStyle name="Comma 4 7 6 3" xfId="10916" xr:uid="{C970A281-D17C-4E27-976C-2CB9ED617A25}"/>
    <cellStyle name="Comma 4 7 7" xfId="2710" xr:uid="{00000000-0005-0000-0000-00007D0A0000}"/>
    <cellStyle name="Comma 4 7 8" xfId="2792" xr:uid="{00000000-0005-0000-0000-00007E0A0000}"/>
    <cellStyle name="Comma 4 7 8 2" xfId="7016" xr:uid="{00000000-0005-0000-0000-00007F0A0000}"/>
    <cellStyle name="Comma 4 7 8 2 2" xfId="15451" xr:uid="{F38471AB-9BF5-4D0E-99B1-AE64F6267C0B}"/>
    <cellStyle name="Comma 4 7 8 3" xfId="11233" xr:uid="{9F04A39F-27E8-4455-84E8-A11A172DFDED}"/>
    <cellStyle name="Comma 4 7 9" xfId="4633" xr:uid="{00000000-0005-0000-0000-0000800A0000}"/>
    <cellStyle name="Comma 4 7 9 2" xfId="13068" xr:uid="{0E95819F-0F83-4D2D-B7DC-8B121007829A}"/>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12936" xr:uid="{8CD9607A-5D27-437F-9CC3-AA2EC4118681}"/>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14 4" xfId="12939" xr:uid="{A610DD26-10CD-4E1F-B725-735B4DBD2C3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0 2 2" xfId="15452" xr:uid="{ECE81F35-9859-4FAA-BAF7-FBBD52F3D3FD}"/>
    <cellStyle name="Currency 3 2 2 10 3" xfId="11234" xr:uid="{F1E9735A-3A81-4559-82AF-B1D5A6C8E170}"/>
    <cellStyle name="Currency 3 2 2 11" xfId="4634" xr:uid="{00000000-0005-0000-0000-0000A50A0000}"/>
    <cellStyle name="Currency 3 2 2 11 2" xfId="13069" xr:uid="{503F1FC0-DEBA-4F6A-8EC5-D0795FE25FF1}"/>
    <cellStyle name="Currency 3 2 2 12" xfId="8851" xr:uid="{10C8CFF2-48C9-4464-B166-806122A9478E}"/>
    <cellStyle name="Currency 3 2 2 2" xfId="179" xr:uid="{00000000-0005-0000-0000-0000A60A0000}"/>
    <cellStyle name="Currency 3 2 2 2 10" xfId="4635" xr:uid="{00000000-0005-0000-0000-0000A70A0000}"/>
    <cellStyle name="Currency 3 2 2 2 10 2" xfId="13070" xr:uid="{EC983071-B873-4697-AA64-14B7DAD7BDDE}"/>
    <cellStyle name="Currency 3 2 2 2 11" xfId="8852" xr:uid="{AF755102-5DE5-440B-9C38-1CC93C62CD51}"/>
    <cellStyle name="Currency 3 2 2 2 2" xfId="180" xr:uid="{00000000-0005-0000-0000-0000A80A0000}"/>
    <cellStyle name="Currency 3 2 2 2 2 10" xfId="8853" xr:uid="{8A626072-F342-4E51-BFD1-43C5C9326D25}"/>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2 2 2" xfId="15630" xr:uid="{6500F6B2-BB73-4C41-921B-35F8DACB9501}"/>
    <cellStyle name="Currency 3 2 2 2 2 2 2 3" xfId="11412" xr:uid="{4832E359-EBE5-43DF-B077-1F606819FA36}"/>
    <cellStyle name="Currency 3 2 2 2 2 2 3" xfId="5050" xr:uid="{00000000-0005-0000-0000-0000AC0A0000}"/>
    <cellStyle name="Currency 3 2 2 2 2 2 3 2" xfId="13485" xr:uid="{7E9BF011-D70D-4310-B121-6DF8E6E0B0E8}"/>
    <cellStyle name="Currency 3 2 2 2 2 2 4" xfId="9267" xr:uid="{EB2CD11A-FE6B-4B57-BCA9-0462BCF6EF6F}"/>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2 2 2" xfId="16043" xr:uid="{FD1837AD-0270-4EBE-9138-51764B554758}"/>
    <cellStyle name="Currency 3 2 2 2 2 3 2 3" xfId="11825" xr:uid="{E188BBAB-66AE-42B6-AC77-EA2B0309E86F}"/>
    <cellStyle name="Currency 3 2 2 2 2 3 3" xfId="5463" xr:uid="{00000000-0005-0000-0000-0000B00A0000}"/>
    <cellStyle name="Currency 3 2 2 2 2 3 3 2" xfId="13898" xr:uid="{DB873C46-7F30-4E65-8D65-3A8731450636}"/>
    <cellStyle name="Currency 3 2 2 2 2 3 4" xfId="9680" xr:uid="{2601C802-DC6B-433D-8CC3-2661532D96DD}"/>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2 2 2" xfId="16456" xr:uid="{72CE8BF2-3341-4304-AAB1-90E05FE0AA25}"/>
    <cellStyle name="Currency 3 2 2 2 2 4 2 3" xfId="12238" xr:uid="{FA8F4BEF-9F0F-4549-9C18-1072060D4116}"/>
    <cellStyle name="Currency 3 2 2 2 2 4 3" xfId="5876" xr:uid="{00000000-0005-0000-0000-0000B40A0000}"/>
    <cellStyle name="Currency 3 2 2 2 2 4 3 2" xfId="14311" xr:uid="{7EC00ED7-3E6F-4832-BD6E-3F0980CAD80B}"/>
    <cellStyle name="Currency 3 2 2 2 2 4 4" xfId="10093" xr:uid="{8035E835-1783-4AF6-9056-683C2AD956C5}"/>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2 2 2" xfId="16869" xr:uid="{08C0D4EE-B352-4EDD-A18D-EAE9CAB143B9}"/>
    <cellStyle name="Currency 3 2 2 2 2 5 2 3" xfId="12651" xr:uid="{F2B27600-CE2B-4467-A60D-54BA25544967}"/>
    <cellStyle name="Currency 3 2 2 2 2 5 3" xfId="6289" xr:uid="{00000000-0005-0000-0000-0000B80A0000}"/>
    <cellStyle name="Currency 3 2 2 2 2 5 3 2" xfId="14724" xr:uid="{6E9ADF62-3079-4DF7-8A8C-EA660FB2FC21}"/>
    <cellStyle name="Currency 3 2 2 2 2 5 4" xfId="10506" xr:uid="{F5519819-C807-4E39-9DBF-780DB166A65A}"/>
    <cellStyle name="Currency 3 2 2 2 2 6" xfId="2417" xr:uid="{00000000-0005-0000-0000-0000B90A0000}"/>
    <cellStyle name="Currency 3 2 2 2 2 6 2" xfId="6702" xr:uid="{00000000-0005-0000-0000-0000BA0A0000}"/>
    <cellStyle name="Currency 3 2 2 2 2 6 2 2" xfId="15137" xr:uid="{C015AAEA-F97D-44A6-8132-1FD662A4DDF3}"/>
    <cellStyle name="Currency 3 2 2 2 2 6 3" xfId="10919" xr:uid="{679EC956-DEBE-4825-940A-56A6F4A259BD}"/>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8 2 2" xfId="15454" xr:uid="{004C9DEA-9994-4242-BA88-355041359DE3}"/>
    <cellStyle name="Currency 3 2 2 2 2 8 3" xfId="11236" xr:uid="{FCC2D49A-82FA-42B7-9DE7-4E72AE065622}"/>
    <cellStyle name="Currency 3 2 2 2 2 9" xfId="4636" xr:uid="{00000000-0005-0000-0000-0000BE0A0000}"/>
    <cellStyle name="Currency 3 2 2 2 2 9 2" xfId="13071" xr:uid="{D62C5A6D-B05F-41EA-8184-63B42403304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2 2 2" xfId="15629" xr:uid="{53803C1D-2907-4605-9803-48156FDBF9F2}"/>
    <cellStyle name="Currency 3 2 2 2 3 2 3" xfId="11411" xr:uid="{A187F8C7-7CFF-4B3C-AD0A-E9833582B7A5}"/>
    <cellStyle name="Currency 3 2 2 2 3 3" xfId="5049" xr:uid="{00000000-0005-0000-0000-0000C20A0000}"/>
    <cellStyle name="Currency 3 2 2 2 3 3 2" xfId="13484" xr:uid="{D41496B6-739D-4DD1-B5B8-42F12612671C}"/>
    <cellStyle name="Currency 3 2 2 2 3 4" xfId="9266" xr:uid="{4CBAA6E0-A5AF-4627-813E-D9EF46AA90A5}"/>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2 2 2" xfId="16042" xr:uid="{813092D6-844E-427B-865E-248CB6CAC06F}"/>
    <cellStyle name="Currency 3 2 2 2 4 2 3" xfId="11824" xr:uid="{28824AE4-78D3-4795-BC9F-FD4689AC46A5}"/>
    <cellStyle name="Currency 3 2 2 2 4 3" xfId="5462" xr:uid="{00000000-0005-0000-0000-0000C60A0000}"/>
    <cellStyle name="Currency 3 2 2 2 4 3 2" xfId="13897" xr:uid="{62E250C3-C57B-4CD6-9CB4-90A980546DCC}"/>
    <cellStyle name="Currency 3 2 2 2 4 4" xfId="9679" xr:uid="{E97BDA25-87BF-46FB-8310-ED7F95E486E1}"/>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2 2 2" xfId="16455" xr:uid="{7652A414-F569-4B16-8F1E-8A5853D5C6A4}"/>
    <cellStyle name="Currency 3 2 2 2 5 2 3" xfId="12237" xr:uid="{E59C7226-062B-4D78-B139-BA585C4DE7DE}"/>
    <cellStyle name="Currency 3 2 2 2 5 3" xfId="5875" xr:uid="{00000000-0005-0000-0000-0000CA0A0000}"/>
    <cellStyle name="Currency 3 2 2 2 5 3 2" xfId="14310" xr:uid="{931A0624-4CF9-4852-9286-85D38FBFB30A}"/>
    <cellStyle name="Currency 3 2 2 2 5 4" xfId="10092" xr:uid="{C3CFCE63-685B-4063-B8FB-372ED4AC868A}"/>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2 2 2" xfId="16868" xr:uid="{A33188E4-0EF5-4575-A419-B598314735A3}"/>
    <cellStyle name="Currency 3 2 2 2 6 2 3" xfId="12650" xr:uid="{5A5C143D-A06B-4660-B793-69807D703F67}"/>
    <cellStyle name="Currency 3 2 2 2 6 3" xfId="6288" xr:uid="{00000000-0005-0000-0000-0000CE0A0000}"/>
    <cellStyle name="Currency 3 2 2 2 6 3 2" xfId="14723" xr:uid="{4902DC07-0DA3-4632-A5B8-526AA9967383}"/>
    <cellStyle name="Currency 3 2 2 2 6 4" xfId="10505" xr:uid="{299BD312-5BAC-4C9F-862B-220B7FD77B13}"/>
    <cellStyle name="Currency 3 2 2 2 7" xfId="2416" xr:uid="{00000000-0005-0000-0000-0000CF0A0000}"/>
    <cellStyle name="Currency 3 2 2 2 7 2" xfId="6701" xr:uid="{00000000-0005-0000-0000-0000D00A0000}"/>
    <cellStyle name="Currency 3 2 2 2 7 2 2" xfId="15136" xr:uid="{1D149313-0155-4788-A929-AC40EDE765A3}"/>
    <cellStyle name="Currency 3 2 2 2 7 3" xfId="10918" xr:uid="{B43E46A8-4A6A-4ECC-95E7-BA39124B9EB9}"/>
    <cellStyle name="Currency 3 2 2 2 8" xfId="2713" xr:uid="{00000000-0005-0000-0000-0000D10A0000}"/>
    <cellStyle name="Currency 3 2 2 2 9" xfId="2794" xr:uid="{00000000-0005-0000-0000-0000D20A0000}"/>
    <cellStyle name="Currency 3 2 2 2 9 2" xfId="7018" xr:uid="{00000000-0005-0000-0000-0000D30A0000}"/>
    <cellStyle name="Currency 3 2 2 2 9 2 2" xfId="15453" xr:uid="{A9368734-2775-4B1B-86C7-242AC8BF84E7}"/>
    <cellStyle name="Currency 3 2 2 2 9 3" xfId="11235" xr:uid="{12A8636E-D7A1-4940-AF70-4B63A9422A0B}"/>
    <cellStyle name="Currency 3 2 2 3" xfId="181" xr:uid="{00000000-0005-0000-0000-0000D40A0000}"/>
    <cellStyle name="Currency 3 2 2 3 10" xfId="8854" xr:uid="{3EDBC24C-99B7-44A6-9869-249165CFE6F8}"/>
    <cellStyle name="Currency 3 2 2 3 2" xfId="712" xr:uid="{00000000-0005-0000-0000-0000D50A0000}"/>
    <cellStyle name="Currency 3 2 2 3 2 2" xfId="2973" xr:uid="{00000000-0005-0000-0000-0000D60A0000}"/>
    <cellStyle name="Currency 3 2 2 3 2 2 2" xfId="7196" xr:uid="{00000000-0005-0000-0000-0000D70A0000}"/>
    <cellStyle name="Currency 3 2 2 3 2 2 2 2" xfId="15631" xr:uid="{2FE962CA-50C3-40B6-9257-F9379491F08E}"/>
    <cellStyle name="Currency 3 2 2 3 2 2 3" xfId="11413" xr:uid="{6FE95807-FB50-44A9-BBE1-4C908C527C9D}"/>
    <cellStyle name="Currency 3 2 2 3 2 3" xfId="5051" xr:uid="{00000000-0005-0000-0000-0000D80A0000}"/>
    <cellStyle name="Currency 3 2 2 3 2 3 2" xfId="13486" xr:uid="{1A75EA1C-BBA1-49AC-8148-C1D7FA5227CB}"/>
    <cellStyle name="Currency 3 2 2 3 2 4" xfId="9268" xr:uid="{8BBB82E5-3159-4588-BE68-062C73043A9D}"/>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2 2 2" xfId="16044" xr:uid="{EDAD98F7-639F-4EB3-845C-64C05FEE2041}"/>
    <cellStyle name="Currency 3 2 2 3 3 2 3" xfId="11826" xr:uid="{727CE002-04EC-4145-B571-B6D348C9E18D}"/>
    <cellStyle name="Currency 3 2 2 3 3 3" xfId="5464" xr:uid="{00000000-0005-0000-0000-0000DC0A0000}"/>
    <cellStyle name="Currency 3 2 2 3 3 3 2" xfId="13899" xr:uid="{169D5F72-CCDA-443A-B746-51592A6DB247}"/>
    <cellStyle name="Currency 3 2 2 3 3 4" xfId="9681" xr:uid="{10F04F23-0F68-4845-9A8D-6F9043D00A8C}"/>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2 2 2" xfId="16457" xr:uid="{63B632DD-E6B8-4C1E-8041-35F651A85E90}"/>
    <cellStyle name="Currency 3 2 2 3 4 2 3" xfId="12239" xr:uid="{E08C4701-8960-4F3E-9995-EA7BEAE74D93}"/>
    <cellStyle name="Currency 3 2 2 3 4 3" xfId="5877" xr:uid="{00000000-0005-0000-0000-0000E00A0000}"/>
    <cellStyle name="Currency 3 2 2 3 4 3 2" xfId="14312" xr:uid="{D1979167-C93B-4210-A5D6-088814ECA1FB}"/>
    <cellStyle name="Currency 3 2 2 3 4 4" xfId="10094" xr:uid="{85DD58FE-4A84-488C-B9F8-61BE4F712EAF}"/>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2 2 2" xfId="16870" xr:uid="{106D26C7-CE8D-4687-B9AD-D6372D50E0B5}"/>
    <cellStyle name="Currency 3 2 2 3 5 2 3" xfId="12652" xr:uid="{5B2F4702-459D-46EB-A1B6-0C256C408685}"/>
    <cellStyle name="Currency 3 2 2 3 5 3" xfId="6290" xr:uid="{00000000-0005-0000-0000-0000E40A0000}"/>
    <cellStyle name="Currency 3 2 2 3 5 3 2" xfId="14725" xr:uid="{BE32B8B7-A234-4062-B4CE-3A120399C8B7}"/>
    <cellStyle name="Currency 3 2 2 3 5 4" xfId="10507" xr:uid="{70815FB2-AB43-45B5-875A-337C50B8CACB}"/>
    <cellStyle name="Currency 3 2 2 3 6" xfId="2418" xr:uid="{00000000-0005-0000-0000-0000E50A0000}"/>
    <cellStyle name="Currency 3 2 2 3 6 2" xfId="6703" xr:uid="{00000000-0005-0000-0000-0000E60A0000}"/>
    <cellStyle name="Currency 3 2 2 3 6 2 2" xfId="15138" xr:uid="{C1D69292-0035-44B1-907F-1044FA767E79}"/>
    <cellStyle name="Currency 3 2 2 3 6 3" xfId="10920" xr:uid="{9E1521B8-DD25-460F-BB14-1D7D077770E3}"/>
    <cellStyle name="Currency 3 2 2 3 7" xfId="2715" xr:uid="{00000000-0005-0000-0000-0000E70A0000}"/>
    <cellStyle name="Currency 3 2 2 3 8" xfId="2796" xr:uid="{00000000-0005-0000-0000-0000E80A0000}"/>
    <cellStyle name="Currency 3 2 2 3 8 2" xfId="7020" xr:uid="{00000000-0005-0000-0000-0000E90A0000}"/>
    <cellStyle name="Currency 3 2 2 3 8 2 2" xfId="15455" xr:uid="{11683ECC-8278-4517-8493-DEB32F7CA2F2}"/>
    <cellStyle name="Currency 3 2 2 3 8 3" xfId="11237" xr:uid="{53644F50-272C-4843-B93D-6CDE5AB3F090}"/>
    <cellStyle name="Currency 3 2 2 3 9" xfId="4637" xr:uid="{00000000-0005-0000-0000-0000EA0A0000}"/>
    <cellStyle name="Currency 3 2 2 3 9 2" xfId="13072" xr:uid="{9AD47D67-E225-47B2-B985-B647CA0CF0A6}"/>
    <cellStyle name="Currency 3 2 2 4" xfId="709" xr:uid="{00000000-0005-0000-0000-0000EB0A0000}"/>
    <cellStyle name="Currency 3 2 2 4 2" xfId="2970" xr:uid="{00000000-0005-0000-0000-0000EC0A0000}"/>
    <cellStyle name="Currency 3 2 2 4 2 2" xfId="7193" xr:uid="{00000000-0005-0000-0000-0000ED0A0000}"/>
    <cellStyle name="Currency 3 2 2 4 2 2 2" xfId="15628" xr:uid="{84D0665E-06B3-49B6-BAD4-3B8D851DA005}"/>
    <cellStyle name="Currency 3 2 2 4 2 3" xfId="11410" xr:uid="{1574B40D-C5ED-4DC1-A151-4B2E09C5DAC3}"/>
    <cellStyle name="Currency 3 2 2 4 3" xfId="5048" xr:uid="{00000000-0005-0000-0000-0000EE0A0000}"/>
    <cellStyle name="Currency 3 2 2 4 3 2" xfId="13483" xr:uid="{161B1A77-8D72-4B78-82DE-4C299650E05C}"/>
    <cellStyle name="Currency 3 2 2 4 4" xfId="9265" xr:uid="{A6971E99-DBE3-464C-8BDF-88A67E1C2D15}"/>
    <cellStyle name="Currency 3 2 2 5" xfId="1152" xr:uid="{00000000-0005-0000-0000-0000EF0A0000}"/>
    <cellStyle name="Currency 3 2 2 5 2" xfId="3383" xr:uid="{00000000-0005-0000-0000-0000F00A0000}"/>
    <cellStyle name="Currency 3 2 2 5 2 2" xfId="7606" xr:uid="{00000000-0005-0000-0000-0000F10A0000}"/>
    <cellStyle name="Currency 3 2 2 5 2 2 2" xfId="16041" xr:uid="{ACB2EEFB-EC5B-4F85-BBF1-077F5E7BF231}"/>
    <cellStyle name="Currency 3 2 2 5 2 3" xfId="11823" xr:uid="{42F2109E-49D2-4F7E-A24D-3E64C92F8682}"/>
    <cellStyle name="Currency 3 2 2 5 3" xfId="5461" xr:uid="{00000000-0005-0000-0000-0000F20A0000}"/>
    <cellStyle name="Currency 3 2 2 5 3 2" xfId="13896" xr:uid="{A3E7C808-2F5F-4D0C-85D7-B36793BF14D0}"/>
    <cellStyle name="Currency 3 2 2 5 4" xfId="9678" xr:uid="{5C281C6F-D768-48C2-AF52-E123B7C1812A}"/>
    <cellStyle name="Currency 3 2 2 6" xfId="1566" xr:uid="{00000000-0005-0000-0000-0000F30A0000}"/>
    <cellStyle name="Currency 3 2 2 6 2" xfId="3796" xr:uid="{00000000-0005-0000-0000-0000F40A0000}"/>
    <cellStyle name="Currency 3 2 2 6 2 2" xfId="8019" xr:uid="{00000000-0005-0000-0000-0000F50A0000}"/>
    <cellStyle name="Currency 3 2 2 6 2 2 2" xfId="16454" xr:uid="{8B9078F0-9D52-4283-BB5F-4381B649F39A}"/>
    <cellStyle name="Currency 3 2 2 6 2 3" xfId="12236" xr:uid="{9D716E61-9792-471C-B168-0E8EE66A2824}"/>
    <cellStyle name="Currency 3 2 2 6 3" xfId="5874" xr:uid="{00000000-0005-0000-0000-0000F60A0000}"/>
    <cellStyle name="Currency 3 2 2 6 3 2" xfId="14309" xr:uid="{4BC82CF7-4B45-4C07-BB5E-8C3C41B49465}"/>
    <cellStyle name="Currency 3 2 2 6 4" xfId="10091" xr:uid="{B3FD93F4-AF2D-4035-8208-71244CE64C01}"/>
    <cellStyle name="Currency 3 2 2 7" xfId="1980" xr:uid="{00000000-0005-0000-0000-0000F70A0000}"/>
    <cellStyle name="Currency 3 2 2 7 2" xfId="4209" xr:uid="{00000000-0005-0000-0000-0000F80A0000}"/>
    <cellStyle name="Currency 3 2 2 7 2 2" xfId="8432" xr:uid="{00000000-0005-0000-0000-0000F90A0000}"/>
    <cellStyle name="Currency 3 2 2 7 2 2 2" xfId="16867" xr:uid="{7019C09F-DAAF-4ED2-A138-361AAF4D937C}"/>
    <cellStyle name="Currency 3 2 2 7 2 3" xfId="12649" xr:uid="{0259F04D-429C-4BCA-A2FF-45A8E18FA197}"/>
    <cellStyle name="Currency 3 2 2 7 3" xfId="6287" xr:uid="{00000000-0005-0000-0000-0000FA0A0000}"/>
    <cellStyle name="Currency 3 2 2 7 3 2" xfId="14722" xr:uid="{73A6A18C-9012-4D33-BFE9-4C9F43EFCE6F}"/>
    <cellStyle name="Currency 3 2 2 7 4" xfId="10504" xr:uid="{C79E19A2-D5B3-4DEB-AFD2-999CB76032C9}"/>
    <cellStyle name="Currency 3 2 2 8" xfId="2415" xr:uid="{00000000-0005-0000-0000-0000FB0A0000}"/>
    <cellStyle name="Currency 3 2 2 8 2" xfId="6700" xr:uid="{00000000-0005-0000-0000-0000FC0A0000}"/>
    <cellStyle name="Currency 3 2 2 8 2 2" xfId="15135" xr:uid="{5BE90FB9-4AE9-4507-9683-ED5208C8F59C}"/>
    <cellStyle name="Currency 3 2 2 8 3" xfId="10917" xr:uid="{DBADFF1B-8950-48ED-9161-7F5F47F25931}"/>
    <cellStyle name="Currency 3 2 2 9" xfId="2712" xr:uid="{00000000-0005-0000-0000-0000FD0A0000}"/>
    <cellStyle name="Currency 3 2 3" xfId="182" xr:uid="{00000000-0005-0000-0000-0000FE0A0000}"/>
    <cellStyle name="Currency 3 2 3 10" xfId="4638" xr:uid="{00000000-0005-0000-0000-0000FF0A0000}"/>
    <cellStyle name="Currency 3 2 3 10 2" xfId="13073" xr:uid="{2FD3A0FD-0ED9-4E6F-B7EB-73F590C52761}"/>
    <cellStyle name="Currency 3 2 3 11" xfId="8855" xr:uid="{633A6B2F-ADCB-467E-AC76-0FDB5FC4F482}"/>
    <cellStyle name="Currency 3 2 3 2" xfId="183" xr:uid="{00000000-0005-0000-0000-0000000B0000}"/>
    <cellStyle name="Currency 3 2 3 2 10" xfId="8856" xr:uid="{3FE27AFC-FB72-47D3-BA5F-526DA3A09C6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2 2 2" xfId="15633" xr:uid="{96F3C24A-4105-45C8-A495-898CE8FA03E9}"/>
    <cellStyle name="Currency 3 2 3 2 2 2 3" xfId="11415" xr:uid="{AC37A4F8-92F4-455F-9843-74EC79258176}"/>
    <cellStyle name="Currency 3 2 3 2 2 3" xfId="5053" xr:uid="{00000000-0005-0000-0000-0000040B0000}"/>
    <cellStyle name="Currency 3 2 3 2 2 3 2" xfId="13488" xr:uid="{C684BB93-DE71-4C84-BD2F-83F63F2DBC79}"/>
    <cellStyle name="Currency 3 2 3 2 2 4" xfId="9270" xr:uid="{D2D4D635-E3BB-4744-A277-236A4CC7BD4B}"/>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2 2 2" xfId="16046" xr:uid="{9F290558-CC88-409B-A2EA-97E7E2ACB838}"/>
    <cellStyle name="Currency 3 2 3 2 3 2 3" xfId="11828" xr:uid="{9831617A-3F1F-49D3-B453-0C0B5CABD4E7}"/>
    <cellStyle name="Currency 3 2 3 2 3 3" xfId="5466" xr:uid="{00000000-0005-0000-0000-0000080B0000}"/>
    <cellStyle name="Currency 3 2 3 2 3 3 2" xfId="13901" xr:uid="{6AADC148-ED9C-4399-9B49-2C47AD92C9A1}"/>
    <cellStyle name="Currency 3 2 3 2 3 4" xfId="9683" xr:uid="{F5BC53D7-29CC-4ACA-A38B-EC36BAD32D27}"/>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2 2 2" xfId="16459" xr:uid="{0BFDC881-6DDA-4BF5-9E8B-73CA477501DF}"/>
    <cellStyle name="Currency 3 2 3 2 4 2 3" xfId="12241" xr:uid="{8618BFC6-F2D8-4DE2-B536-C9667F16F9BF}"/>
    <cellStyle name="Currency 3 2 3 2 4 3" xfId="5879" xr:uid="{00000000-0005-0000-0000-00000C0B0000}"/>
    <cellStyle name="Currency 3 2 3 2 4 3 2" xfId="14314" xr:uid="{F3AFC102-4FEF-4021-92CD-1786A1A5E044}"/>
    <cellStyle name="Currency 3 2 3 2 4 4" xfId="10096" xr:uid="{AC045070-7AD5-4BA3-A239-95F86344E58C}"/>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2 2 2" xfId="16872" xr:uid="{C80436C2-D13C-47BA-AA39-E555E320B983}"/>
    <cellStyle name="Currency 3 2 3 2 5 2 3" xfId="12654" xr:uid="{2013FEF3-E8AE-438B-B4FD-0D1DD314459B}"/>
    <cellStyle name="Currency 3 2 3 2 5 3" xfId="6292" xr:uid="{00000000-0005-0000-0000-0000100B0000}"/>
    <cellStyle name="Currency 3 2 3 2 5 3 2" xfId="14727" xr:uid="{46F283C2-0C5C-4231-B753-B65461F4F487}"/>
    <cellStyle name="Currency 3 2 3 2 5 4" xfId="10509" xr:uid="{6399B085-78B9-4016-8D53-45E6AD24DA54}"/>
    <cellStyle name="Currency 3 2 3 2 6" xfId="2420" xr:uid="{00000000-0005-0000-0000-0000110B0000}"/>
    <cellStyle name="Currency 3 2 3 2 6 2" xfId="6705" xr:uid="{00000000-0005-0000-0000-0000120B0000}"/>
    <cellStyle name="Currency 3 2 3 2 6 2 2" xfId="15140" xr:uid="{67BA2388-3CDF-4493-98FA-8AD6E701457A}"/>
    <cellStyle name="Currency 3 2 3 2 6 3" xfId="10922" xr:uid="{58DFFF20-D9BA-4CA6-BE37-6430958EECCF}"/>
    <cellStyle name="Currency 3 2 3 2 7" xfId="2717" xr:uid="{00000000-0005-0000-0000-0000130B0000}"/>
    <cellStyle name="Currency 3 2 3 2 8" xfId="2798" xr:uid="{00000000-0005-0000-0000-0000140B0000}"/>
    <cellStyle name="Currency 3 2 3 2 8 2" xfId="7022" xr:uid="{00000000-0005-0000-0000-0000150B0000}"/>
    <cellStyle name="Currency 3 2 3 2 8 2 2" xfId="15457" xr:uid="{C1A25A01-30D1-472F-99D5-39C0B47D866F}"/>
    <cellStyle name="Currency 3 2 3 2 8 3" xfId="11239" xr:uid="{79330CED-F0A5-4486-90C2-F9F6A8AE4EAB}"/>
    <cellStyle name="Currency 3 2 3 2 9" xfId="4639" xr:uid="{00000000-0005-0000-0000-0000160B0000}"/>
    <cellStyle name="Currency 3 2 3 2 9 2" xfId="13074" xr:uid="{B5FB777B-C59D-4CBF-9E99-3CCD2925A26D}"/>
    <cellStyle name="Currency 3 2 3 3" xfId="713" xr:uid="{00000000-0005-0000-0000-0000170B0000}"/>
    <cellStyle name="Currency 3 2 3 3 2" xfId="2974" xr:uid="{00000000-0005-0000-0000-0000180B0000}"/>
    <cellStyle name="Currency 3 2 3 3 2 2" xfId="7197" xr:uid="{00000000-0005-0000-0000-0000190B0000}"/>
    <cellStyle name="Currency 3 2 3 3 2 2 2" xfId="15632" xr:uid="{7CD48CA0-B0EF-4743-854A-7DB442B6A0BE}"/>
    <cellStyle name="Currency 3 2 3 3 2 3" xfId="11414" xr:uid="{DF38DDB6-05C0-4BC4-BBAD-3238E340AC8B}"/>
    <cellStyle name="Currency 3 2 3 3 3" xfId="5052" xr:uid="{00000000-0005-0000-0000-00001A0B0000}"/>
    <cellStyle name="Currency 3 2 3 3 3 2" xfId="13487" xr:uid="{4226C113-1613-40F7-A177-0BB195C962BD}"/>
    <cellStyle name="Currency 3 2 3 3 4" xfId="9269" xr:uid="{CC929483-EE2D-458A-AC79-6FF0148C7098}"/>
    <cellStyle name="Currency 3 2 3 4" xfId="1156" xr:uid="{00000000-0005-0000-0000-00001B0B0000}"/>
    <cellStyle name="Currency 3 2 3 4 2" xfId="3387" xr:uid="{00000000-0005-0000-0000-00001C0B0000}"/>
    <cellStyle name="Currency 3 2 3 4 2 2" xfId="7610" xr:uid="{00000000-0005-0000-0000-00001D0B0000}"/>
    <cellStyle name="Currency 3 2 3 4 2 2 2" xfId="16045" xr:uid="{51199FBE-C652-4138-B108-4332A3926742}"/>
    <cellStyle name="Currency 3 2 3 4 2 3" xfId="11827" xr:uid="{1F0EEE58-8C7E-4C15-B468-70DAD376B1B1}"/>
    <cellStyle name="Currency 3 2 3 4 3" xfId="5465" xr:uid="{00000000-0005-0000-0000-00001E0B0000}"/>
    <cellStyle name="Currency 3 2 3 4 3 2" xfId="13900" xr:uid="{4CFD537E-630F-4516-9AF1-995EFDF09E45}"/>
    <cellStyle name="Currency 3 2 3 4 4" xfId="9682" xr:uid="{96DDFDE5-C667-453B-8358-23E60635A2FF}"/>
    <cellStyle name="Currency 3 2 3 5" xfId="1570" xr:uid="{00000000-0005-0000-0000-00001F0B0000}"/>
    <cellStyle name="Currency 3 2 3 5 2" xfId="3800" xr:uid="{00000000-0005-0000-0000-0000200B0000}"/>
    <cellStyle name="Currency 3 2 3 5 2 2" xfId="8023" xr:uid="{00000000-0005-0000-0000-0000210B0000}"/>
    <cellStyle name="Currency 3 2 3 5 2 2 2" xfId="16458" xr:uid="{5D2C8B27-EF4B-4FC3-A5C1-BE0A63817A57}"/>
    <cellStyle name="Currency 3 2 3 5 2 3" xfId="12240" xr:uid="{372F6E28-3270-484D-A64C-4000A29CCA8B}"/>
    <cellStyle name="Currency 3 2 3 5 3" xfId="5878" xr:uid="{00000000-0005-0000-0000-0000220B0000}"/>
    <cellStyle name="Currency 3 2 3 5 3 2" xfId="14313" xr:uid="{304C1B32-C39C-47BC-9F18-1C1A777706F4}"/>
    <cellStyle name="Currency 3 2 3 5 4" xfId="10095" xr:uid="{32532BD2-9974-4E02-9EBD-FBAFDC27C35E}"/>
    <cellStyle name="Currency 3 2 3 6" xfId="1984" xr:uid="{00000000-0005-0000-0000-0000230B0000}"/>
    <cellStyle name="Currency 3 2 3 6 2" xfId="4213" xr:uid="{00000000-0005-0000-0000-0000240B0000}"/>
    <cellStyle name="Currency 3 2 3 6 2 2" xfId="8436" xr:uid="{00000000-0005-0000-0000-0000250B0000}"/>
    <cellStyle name="Currency 3 2 3 6 2 2 2" xfId="16871" xr:uid="{67371908-433E-4B48-BB2C-5929D7111A0F}"/>
    <cellStyle name="Currency 3 2 3 6 2 3" xfId="12653" xr:uid="{807AB1EA-29FF-4DC4-9F31-14CE6CD8E8B2}"/>
    <cellStyle name="Currency 3 2 3 6 3" xfId="6291" xr:uid="{00000000-0005-0000-0000-0000260B0000}"/>
    <cellStyle name="Currency 3 2 3 6 3 2" xfId="14726" xr:uid="{4B7C14C2-7683-4014-B17A-A98789779318}"/>
    <cellStyle name="Currency 3 2 3 6 4" xfId="10508" xr:uid="{5D2FA89E-D07D-4520-85D3-478CEE715969}"/>
    <cellStyle name="Currency 3 2 3 7" xfId="2419" xr:uid="{00000000-0005-0000-0000-0000270B0000}"/>
    <cellStyle name="Currency 3 2 3 7 2" xfId="6704" xr:uid="{00000000-0005-0000-0000-0000280B0000}"/>
    <cellStyle name="Currency 3 2 3 7 2 2" xfId="15139" xr:uid="{D4326B2B-D8D4-4989-B29E-BB985736D848}"/>
    <cellStyle name="Currency 3 2 3 7 3" xfId="10921" xr:uid="{7B2684CF-8D2C-45EE-9E39-D33A49DC7B4F}"/>
    <cellStyle name="Currency 3 2 3 8" xfId="2716" xr:uid="{00000000-0005-0000-0000-0000290B0000}"/>
    <cellStyle name="Currency 3 2 3 9" xfId="2797" xr:uid="{00000000-0005-0000-0000-00002A0B0000}"/>
    <cellStyle name="Currency 3 2 3 9 2" xfId="7021" xr:uid="{00000000-0005-0000-0000-00002B0B0000}"/>
    <cellStyle name="Currency 3 2 3 9 2 2" xfId="15456" xr:uid="{F6CD4B09-B16A-493E-848F-633FBA263D76}"/>
    <cellStyle name="Currency 3 2 3 9 3" xfId="11238" xr:uid="{DB1C674A-C4FA-428E-BAF8-407F9C70FB3F}"/>
    <cellStyle name="Currency 3 2 4" xfId="184" xr:uid="{00000000-0005-0000-0000-00002C0B0000}"/>
    <cellStyle name="Currency 3 2 4 10" xfId="8857" xr:uid="{3B39CFEA-5388-46CD-A919-1526D7BFCB18}"/>
    <cellStyle name="Currency 3 2 4 2" xfId="715" xr:uid="{00000000-0005-0000-0000-00002D0B0000}"/>
    <cellStyle name="Currency 3 2 4 2 2" xfId="2976" xr:uid="{00000000-0005-0000-0000-00002E0B0000}"/>
    <cellStyle name="Currency 3 2 4 2 2 2" xfId="7199" xr:uid="{00000000-0005-0000-0000-00002F0B0000}"/>
    <cellStyle name="Currency 3 2 4 2 2 2 2" xfId="15634" xr:uid="{43A2DFAE-94BC-4090-8C16-D16B68AA0411}"/>
    <cellStyle name="Currency 3 2 4 2 2 3" xfId="11416" xr:uid="{DEC1D559-3EDB-42EA-91CF-CA78FF3B2589}"/>
    <cellStyle name="Currency 3 2 4 2 3" xfId="5054" xr:uid="{00000000-0005-0000-0000-0000300B0000}"/>
    <cellStyle name="Currency 3 2 4 2 3 2" xfId="13489" xr:uid="{60D91B48-955B-4DA1-B52C-73D009C77D86}"/>
    <cellStyle name="Currency 3 2 4 2 4" xfId="9271" xr:uid="{169E36E7-B9EB-4C18-8FC8-9FD8BDA774AF}"/>
    <cellStyle name="Currency 3 2 4 3" xfId="1158" xr:uid="{00000000-0005-0000-0000-0000310B0000}"/>
    <cellStyle name="Currency 3 2 4 3 2" xfId="3389" xr:uid="{00000000-0005-0000-0000-0000320B0000}"/>
    <cellStyle name="Currency 3 2 4 3 2 2" xfId="7612" xr:uid="{00000000-0005-0000-0000-0000330B0000}"/>
    <cellStyle name="Currency 3 2 4 3 2 2 2" xfId="16047" xr:uid="{0E2CD533-1ED4-41D3-8BD0-0A9A2053E25C}"/>
    <cellStyle name="Currency 3 2 4 3 2 3" xfId="11829" xr:uid="{E1F5E95C-EBEC-441F-B38B-B1158A5E4543}"/>
    <cellStyle name="Currency 3 2 4 3 3" xfId="5467" xr:uid="{00000000-0005-0000-0000-0000340B0000}"/>
    <cellStyle name="Currency 3 2 4 3 3 2" xfId="13902" xr:uid="{6C52AEFD-23C9-47F4-A96A-349998774683}"/>
    <cellStyle name="Currency 3 2 4 3 4" xfId="9684" xr:uid="{2D00999C-42CC-4987-9AA1-DD844BC7078D}"/>
    <cellStyle name="Currency 3 2 4 4" xfId="1572" xr:uid="{00000000-0005-0000-0000-0000350B0000}"/>
    <cellStyle name="Currency 3 2 4 4 2" xfId="3802" xr:uid="{00000000-0005-0000-0000-0000360B0000}"/>
    <cellStyle name="Currency 3 2 4 4 2 2" xfId="8025" xr:uid="{00000000-0005-0000-0000-0000370B0000}"/>
    <cellStyle name="Currency 3 2 4 4 2 2 2" xfId="16460" xr:uid="{9E36673C-3CF2-4771-A97B-49E6B0EB6B82}"/>
    <cellStyle name="Currency 3 2 4 4 2 3" xfId="12242" xr:uid="{46A85B1A-CB3B-4E61-9654-DD76A8220F4F}"/>
    <cellStyle name="Currency 3 2 4 4 3" xfId="5880" xr:uid="{00000000-0005-0000-0000-0000380B0000}"/>
    <cellStyle name="Currency 3 2 4 4 3 2" xfId="14315" xr:uid="{105D6CE8-040D-4EDC-9B3E-8E50A0AD53C3}"/>
    <cellStyle name="Currency 3 2 4 4 4" xfId="10097" xr:uid="{D0C7484A-90BD-43A9-814D-701A6BACF32A}"/>
    <cellStyle name="Currency 3 2 4 5" xfId="1986" xr:uid="{00000000-0005-0000-0000-0000390B0000}"/>
    <cellStyle name="Currency 3 2 4 5 2" xfId="4215" xr:uid="{00000000-0005-0000-0000-00003A0B0000}"/>
    <cellStyle name="Currency 3 2 4 5 2 2" xfId="8438" xr:uid="{00000000-0005-0000-0000-00003B0B0000}"/>
    <cellStyle name="Currency 3 2 4 5 2 2 2" xfId="16873" xr:uid="{774075AB-3980-4044-AEF1-F41A1E3880B9}"/>
    <cellStyle name="Currency 3 2 4 5 2 3" xfId="12655" xr:uid="{5B06EB42-C10D-47C4-8D52-D34963938367}"/>
    <cellStyle name="Currency 3 2 4 5 3" xfId="6293" xr:uid="{00000000-0005-0000-0000-00003C0B0000}"/>
    <cellStyle name="Currency 3 2 4 5 3 2" xfId="14728" xr:uid="{B8572F62-9360-4733-9C50-8EAC6E566845}"/>
    <cellStyle name="Currency 3 2 4 5 4" xfId="10510" xr:uid="{DD9E2E96-BC1D-4DFC-BBA3-6E6B6462A371}"/>
    <cellStyle name="Currency 3 2 4 6" xfId="2421" xr:uid="{00000000-0005-0000-0000-00003D0B0000}"/>
    <cellStyle name="Currency 3 2 4 6 2" xfId="6706" xr:uid="{00000000-0005-0000-0000-00003E0B0000}"/>
    <cellStyle name="Currency 3 2 4 6 2 2" xfId="15141" xr:uid="{D02BA739-0E23-46A9-9F56-538AFAB81838}"/>
    <cellStyle name="Currency 3 2 4 6 3" xfId="10923" xr:uid="{DD190A79-9CB0-4845-A640-47681F973614}"/>
    <cellStyle name="Currency 3 2 4 7" xfId="2718" xr:uid="{00000000-0005-0000-0000-00003F0B0000}"/>
    <cellStyle name="Currency 3 2 4 8" xfId="2799" xr:uid="{00000000-0005-0000-0000-0000400B0000}"/>
    <cellStyle name="Currency 3 2 4 8 2" xfId="7023" xr:uid="{00000000-0005-0000-0000-0000410B0000}"/>
    <cellStyle name="Currency 3 2 4 8 2 2" xfId="15458" xr:uid="{CC43C7E8-14F6-4B18-8A5B-085E69B73EDC}"/>
    <cellStyle name="Currency 3 2 4 8 3" xfId="11240" xr:uid="{E8E4BD4B-A39C-4037-BAEE-516022914FC5}"/>
    <cellStyle name="Currency 3 2 4 9" xfId="4640" xr:uid="{00000000-0005-0000-0000-0000420B0000}"/>
    <cellStyle name="Currency 3 2 4 9 2" xfId="13075" xr:uid="{D9297451-CC95-4667-ABC1-894777982AED}"/>
    <cellStyle name="Currency 3 2 5" xfId="185" xr:uid="{00000000-0005-0000-0000-0000430B0000}"/>
    <cellStyle name="Currency 3 2 5 10" xfId="8858" xr:uid="{2D943872-0232-45F8-AD6E-A1961A9CF371}"/>
    <cellStyle name="Currency 3 2 5 2" xfId="716" xr:uid="{00000000-0005-0000-0000-0000440B0000}"/>
    <cellStyle name="Currency 3 2 5 2 2" xfId="2977" xr:uid="{00000000-0005-0000-0000-0000450B0000}"/>
    <cellStyle name="Currency 3 2 5 2 2 2" xfId="7200" xr:uid="{00000000-0005-0000-0000-0000460B0000}"/>
    <cellStyle name="Currency 3 2 5 2 2 2 2" xfId="15635" xr:uid="{F7263DD9-5F89-4FFC-BEBA-B5F554637063}"/>
    <cellStyle name="Currency 3 2 5 2 2 3" xfId="11417" xr:uid="{BCF82200-806F-491E-A7B5-4930E3E8C722}"/>
    <cellStyle name="Currency 3 2 5 2 3" xfId="5055" xr:uid="{00000000-0005-0000-0000-0000470B0000}"/>
    <cellStyle name="Currency 3 2 5 2 3 2" xfId="13490" xr:uid="{FA854BC0-DA94-4C31-AC12-DFA9700880E7}"/>
    <cellStyle name="Currency 3 2 5 2 4" xfId="9272" xr:uid="{568C91AE-2F70-4830-8269-6D6C89427DB5}"/>
    <cellStyle name="Currency 3 2 5 3" xfId="1159" xr:uid="{00000000-0005-0000-0000-0000480B0000}"/>
    <cellStyle name="Currency 3 2 5 3 2" xfId="3390" xr:uid="{00000000-0005-0000-0000-0000490B0000}"/>
    <cellStyle name="Currency 3 2 5 3 2 2" xfId="7613" xr:uid="{00000000-0005-0000-0000-00004A0B0000}"/>
    <cellStyle name="Currency 3 2 5 3 2 2 2" xfId="16048" xr:uid="{6D159679-696E-4257-99A6-34E26D9445C3}"/>
    <cellStyle name="Currency 3 2 5 3 2 3" xfId="11830" xr:uid="{DF24BD33-A476-479C-B19A-1E4584158F79}"/>
    <cellStyle name="Currency 3 2 5 3 3" xfId="5468" xr:uid="{00000000-0005-0000-0000-00004B0B0000}"/>
    <cellStyle name="Currency 3 2 5 3 3 2" xfId="13903" xr:uid="{EB60B4C3-89BB-4135-877C-3ADD9E1528F6}"/>
    <cellStyle name="Currency 3 2 5 3 4" xfId="9685" xr:uid="{49FC6ED4-F236-49F5-8743-3F41FA4A66E7}"/>
    <cellStyle name="Currency 3 2 5 4" xfId="1573" xr:uid="{00000000-0005-0000-0000-00004C0B0000}"/>
    <cellStyle name="Currency 3 2 5 4 2" xfId="3803" xr:uid="{00000000-0005-0000-0000-00004D0B0000}"/>
    <cellStyle name="Currency 3 2 5 4 2 2" xfId="8026" xr:uid="{00000000-0005-0000-0000-00004E0B0000}"/>
    <cellStyle name="Currency 3 2 5 4 2 2 2" xfId="16461" xr:uid="{7A26D696-C203-4D0C-B894-C4908D2BD40B}"/>
    <cellStyle name="Currency 3 2 5 4 2 3" xfId="12243" xr:uid="{4D013DE8-CA8D-4436-8A16-9286B352B90F}"/>
    <cellStyle name="Currency 3 2 5 4 3" xfId="5881" xr:uid="{00000000-0005-0000-0000-00004F0B0000}"/>
    <cellStyle name="Currency 3 2 5 4 3 2" xfId="14316" xr:uid="{ED346C63-5DDA-4FDB-A44A-97D55211C857}"/>
    <cellStyle name="Currency 3 2 5 4 4" xfId="10098" xr:uid="{33E79200-D70E-4E17-8C3F-679396C95857}"/>
    <cellStyle name="Currency 3 2 5 5" xfId="1987" xr:uid="{00000000-0005-0000-0000-0000500B0000}"/>
    <cellStyle name="Currency 3 2 5 5 2" xfId="4216" xr:uid="{00000000-0005-0000-0000-0000510B0000}"/>
    <cellStyle name="Currency 3 2 5 5 2 2" xfId="8439" xr:uid="{00000000-0005-0000-0000-0000520B0000}"/>
    <cellStyle name="Currency 3 2 5 5 2 2 2" xfId="16874" xr:uid="{314EE989-F658-451C-B899-1698EDF9AF8B}"/>
    <cellStyle name="Currency 3 2 5 5 2 3" xfId="12656" xr:uid="{4CBD756A-B971-4538-9D65-46C90CEB33A7}"/>
    <cellStyle name="Currency 3 2 5 5 3" xfId="6294" xr:uid="{00000000-0005-0000-0000-0000530B0000}"/>
    <cellStyle name="Currency 3 2 5 5 3 2" xfId="14729" xr:uid="{C5808847-145A-4845-A8C2-10370A16E61D}"/>
    <cellStyle name="Currency 3 2 5 5 4" xfId="10511" xr:uid="{B567C6EE-D038-4263-B025-4EEB40194DBB}"/>
    <cellStyle name="Currency 3 2 5 6" xfId="2422" xr:uid="{00000000-0005-0000-0000-0000540B0000}"/>
    <cellStyle name="Currency 3 2 5 6 2" xfId="6707" xr:uid="{00000000-0005-0000-0000-0000550B0000}"/>
    <cellStyle name="Currency 3 2 5 6 2 2" xfId="15142" xr:uid="{94069A92-8A0B-4D0D-B998-06AD46611F44}"/>
    <cellStyle name="Currency 3 2 5 6 3" xfId="10924" xr:uid="{EC1497A6-724A-4057-B86A-6FEE70965C3A}"/>
    <cellStyle name="Currency 3 2 5 7" xfId="2719" xr:uid="{00000000-0005-0000-0000-0000560B0000}"/>
    <cellStyle name="Currency 3 2 5 8" xfId="2800" xr:uid="{00000000-0005-0000-0000-0000570B0000}"/>
    <cellStyle name="Currency 3 2 5 8 2" xfId="7024" xr:uid="{00000000-0005-0000-0000-0000580B0000}"/>
    <cellStyle name="Currency 3 2 5 8 2 2" xfId="15459" xr:uid="{90D33330-ED06-4C83-998D-30DE54C2BD3A}"/>
    <cellStyle name="Currency 3 2 5 8 3" xfId="11241" xr:uid="{9CA61316-F2F5-4874-8DAF-0866DA6DBF84}"/>
    <cellStyle name="Currency 3 2 5 9" xfId="4641" xr:uid="{00000000-0005-0000-0000-0000590B0000}"/>
    <cellStyle name="Currency 3 2 5 9 2" xfId="13076" xr:uid="{0736C059-2530-436D-BA38-6524A635E327}"/>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0 2 2" xfId="15460" xr:uid="{4C7E56DD-7C94-4068-9EC3-71BEA1A47D25}"/>
    <cellStyle name="Currency 5 2 2 2 10 3" xfId="11242" xr:uid="{C23ECC17-36D9-496D-A986-44D5E8140252}"/>
    <cellStyle name="Currency 5 2 2 2 11" xfId="4642" xr:uid="{00000000-0005-0000-0000-00006C0B0000}"/>
    <cellStyle name="Currency 5 2 2 2 11 2" xfId="13077" xr:uid="{B666FE43-10B1-4879-B2B6-2A6E5CEAC3FE}"/>
    <cellStyle name="Currency 5 2 2 2 12" xfId="8859" xr:uid="{E589A4C1-F135-4D45-A62A-66025BD300BD}"/>
    <cellStyle name="Currency 5 2 2 2 2" xfId="197" xr:uid="{00000000-0005-0000-0000-00006D0B0000}"/>
    <cellStyle name="Currency 5 2 2 2 2 10" xfId="4643" xr:uid="{00000000-0005-0000-0000-00006E0B0000}"/>
    <cellStyle name="Currency 5 2 2 2 2 10 2" xfId="13078" xr:uid="{D634A528-52C8-45BA-8067-A7B0F1F69F9E}"/>
    <cellStyle name="Currency 5 2 2 2 2 11" xfId="8860" xr:uid="{76CFDB35-8AD7-47EB-944F-54CD1F7333AB}"/>
    <cellStyle name="Currency 5 2 2 2 2 2" xfId="198" xr:uid="{00000000-0005-0000-0000-00006F0B0000}"/>
    <cellStyle name="Currency 5 2 2 2 2 2 10" xfId="8861" xr:uid="{4C40DB80-324C-4977-9798-3D0DCA37E6E3}"/>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2 2 2" xfId="15638" xr:uid="{40CF27C6-1359-4BDF-9AC6-5E5BA42E6C1D}"/>
    <cellStyle name="Currency 5 2 2 2 2 2 2 2 3" xfId="11420" xr:uid="{04A1CB5A-1859-44F7-9092-884E27960433}"/>
    <cellStyle name="Currency 5 2 2 2 2 2 2 3" xfId="5058" xr:uid="{00000000-0005-0000-0000-0000730B0000}"/>
    <cellStyle name="Currency 5 2 2 2 2 2 2 3 2" xfId="13493" xr:uid="{5B00EBE2-2221-4716-B168-BB2B271942CC}"/>
    <cellStyle name="Currency 5 2 2 2 2 2 2 4" xfId="9275" xr:uid="{D9B4C6EA-80F7-450D-910E-B4FBBA6D8AA9}"/>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2 2 2" xfId="16051" xr:uid="{BE967199-45C0-48E2-B2AE-6956CC16C72C}"/>
    <cellStyle name="Currency 5 2 2 2 2 2 3 2 3" xfId="11833" xr:uid="{DB2F7467-403C-48AA-B8D0-2C8A71D97697}"/>
    <cellStyle name="Currency 5 2 2 2 2 2 3 3" xfId="5471" xr:uid="{00000000-0005-0000-0000-0000770B0000}"/>
    <cellStyle name="Currency 5 2 2 2 2 2 3 3 2" xfId="13906" xr:uid="{D7C404CF-F48D-48F4-BAC9-E5E33A30D3D2}"/>
    <cellStyle name="Currency 5 2 2 2 2 2 3 4" xfId="9688" xr:uid="{6A16F532-2CBF-4686-B6B9-A1B5E684D758}"/>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2 2 2" xfId="16464" xr:uid="{E55A6542-75DC-4003-B729-F08122B9CB5B}"/>
    <cellStyle name="Currency 5 2 2 2 2 2 4 2 3" xfId="12246" xr:uid="{FA674945-A835-45A7-97F7-159D80F92E24}"/>
    <cellStyle name="Currency 5 2 2 2 2 2 4 3" xfId="5884" xr:uid="{00000000-0005-0000-0000-00007B0B0000}"/>
    <cellStyle name="Currency 5 2 2 2 2 2 4 3 2" xfId="14319" xr:uid="{99FD6528-72A3-4B5B-9693-53DE66AE29CC}"/>
    <cellStyle name="Currency 5 2 2 2 2 2 4 4" xfId="10101" xr:uid="{C83B1BB9-F3A2-4CC0-934A-457743F83AA3}"/>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2 2 2" xfId="16877" xr:uid="{3EF10CF2-DA8D-4F28-9B6D-D651E973AB0C}"/>
    <cellStyle name="Currency 5 2 2 2 2 2 5 2 3" xfId="12659" xr:uid="{0CA9CE49-ED54-441F-8240-66FD239B9771}"/>
    <cellStyle name="Currency 5 2 2 2 2 2 5 3" xfId="6297" xr:uid="{00000000-0005-0000-0000-00007F0B0000}"/>
    <cellStyle name="Currency 5 2 2 2 2 2 5 3 2" xfId="14732" xr:uid="{19DB1841-2606-40D6-B18E-DA995B9D8109}"/>
    <cellStyle name="Currency 5 2 2 2 2 2 5 4" xfId="10514" xr:uid="{62942DB3-2C12-41FA-9994-ADA1A18ABE94}"/>
    <cellStyle name="Currency 5 2 2 2 2 2 6" xfId="2425" xr:uid="{00000000-0005-0000-0000-0000800B0000}"/>
    <cellStyle name="Currency 5 2 2 2 2 2 6 2" xfId="6710" xr:uid="{00000000-0005-0000-0000-0000810B0000}"/>
    <cellStyle name="Currency 5 2 2 2 2 2 6 2 2" xfId="15145" xr:uid="{00403000-4088-4A04-9D0E-CB70F62931BF}"/>
    <cellStyle name="Currency 5 2 2 2 2 2 6 3" xfId="10927" xr:uid="{60A72710-0E1D-47BB-8AE6-CC33D5DF0F9D}"/>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8 2 2" xfId="15462" xr:uid="{8F4932DD-7AA3-4F9B-86A0-AB77BCE04617}"/>
    <cellStyle name="Currency 5 2 2 2 2 2 8 3" xfId="11244" xr:uid="{E91F9C79-2FA4-4BAB-B3EB-9EB006500C65}"/>
    <cellStyle name="Currency 5 2 2 2 2 2 9" xfId="4644" xr:uid="{00000000-0005-0000-0000-0000850B0000}"/>
    <cellStyle name="Currency 5 2 2 2 2 2 9 2" xfId="13079" xr:uid="{95B4C698-AA94-4835-B1FF-0A2BDD576946}"/>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2 2 2" xfId="15637" xr:uid="{EC6E72FE-5DBC-46B1-9DDE-AFFA39EE4F65}"/>
    <cellStyle name="Currency 5 2 2 2 2 3 2 3" xfId="11419" xr:uid="{F22FE852-5D63-4B95-863D-2B3C7DDA7DD9}"/>
    <cellStyle name="Currency 5 2 2 2 2 3 3" xfId="5057" xr:uid="{00000000-0005-0000-0000-0000890B0000}"/>
    <cellStyle name="Currency 5 2 2 2 2 3 3 2" xfId="13492" xr:uid="{CD972169-0D5E-4B9E-970C-9C2F4DFE389E}"/>
    <cellStyle name="Currency 5 2 2 2 2 3 4" xfId="9274" xr:uid="{7EA423F1-4AA4-4855-96B5-D6224603196A}"/>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2 2 2" xfId="16050" xr:uid="{1412CB57-4207-41DE-972A-725105DDDAED}"/>
    <cellStyle name="Currency 5 2 2 2 2 4 2 3" xfId="11832" xr:uid="{25407EBC-444A-4600-A779-B0F9BCE20A63}"/>
    <cellStyle name="Currency 5 2 2 2 2 4 3" xfId="5470" xr:uid="{00000000-0005-0000-0000-00008D0B0000}"/>
    <cellStyle name="Currency 5 2 2 2 2 4 3 2" xfId="13905" xr:uid="{14CA156E-1BA1-4929-8A54-CE7D07E75C92}"/>
    <cellStyle name="Currency 5 2 2 2 2 4 4" xfId="9687" xr:uid="{F1C87AEF-E289-4A06-9317-8B6D495EE7C8}"/>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2 2 2" xfId="16463" xr:uid="{E3AB2593-88D1-46C2-A0AC-7004B43199DB}"/>
    <cellStyle name="Currency 5 2 2 2 2 5 2 3" xfId="12245" xr:uid="{DAFEA2CD-A077-421C-AFD1-5B761CF0A35F}"/>
    <cellStyle name="Currency 5 2 2 2 2 5 3" xfId="5883" xr:uid="{00000000-0005-0000-0000-0000910B0000}"/>
    <cellStyle name="Currency 5 2 2 2 2 5 3 2" xfId="14318" xr:uid="{2A78424B-2327-44F4-87C8-F9C64403E86E}"/>
    <cellStyle name="Currency 5 2 2 2 2 5 4" xfId="10100" xr:uid="{5D9143F6-2B8E-45E9-B31C-DCFB4B652E32}"/>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2 2 2" xfId="16876" xr:uid="{3AEEC82D-E3FC-49EC-9E70-58C31D5FCCE4}"/>
    <cellStyle name="Currency 5 2 2 2 2 6 2 3" xfId="12658" xr:uid="{1A35EFC0-9E76-4074-BFC4-E075E561E912}"/>
    <cellStyle name="Currency 5 2 2 2 2 6 3" xfId="6296" xr:uid="{00000000-0005-0000-0000-0000950B0000}"/>
    <cellStyle name="Currency 5 2 2 2 2 6 3 2" xfId="14731" xr:uid="{38BA723C-2422-492A-BDCA-A6AB803FAD58}"/>
    <cellStyle name="Currency 5 2 2 2 2 6 4" xfId="10513" xr:uid="{840D3E91-BD53-4012-BB5D-CF2792DF37B6}"/>
    <cellStyle name="Currency 5 2 2 2 2 7" xfId="2424" xr:uid="{00000000-0005-0000-0000-0000960B0000}"/>
    <cellStyle name="Currency 5 2 2 2 2 7 2" xfId="6709" xr:uid="{00000000-0005-0000-0000-0000970B0000}"/>
    <cellStyle name="Currency 5 2 2 2 2 7 2 2" xfId="15144" xr:uid="{BC76EE02-C4C9-461B-A22F-60CF6474A51B}"/>
    <cellStyle name="Currency 5 2 2 2 2 7 3" xfId="10926" xr:uid="{28AB967D-BA18-44BD-85E4-23DD21F35EFC}"/>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2 9 2 2" xfId="15461" xr:uid="{56E1725D-B522-48C2-B061-2843B8B0FCA4}"/>
    <cellStyle name="Currency 5 2 2 2 2 9 3" xfId="11243" xr:uid="{F3691F5E-150C-4527-87A9-3A746C0B2118}"/>
    <cellStyle name="Currency 5 2 2 2 3" xfId="199" xr:uid="{00000000-0005-0000-0000-00009B0B0000}"/>
    <cellStyle name="Currency 5 2 2 2 3 10" xfId="8862" xr:uid="{77F15A31-186E-4A62-9429-C58371FF9C76}"/>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2 2 2" xfId="15639" xr:uid="{25D39F96-40C7-4F0E-9B30-71CA91CE3E40}"/>
    <cellStyle name="Currency 5 2 2 2 3 2 2 3" xfId="11421" xr:uid="{81E6F9A0-6AEB-4782-9F8F-2B3C74F76C2A}"/>
    <cellStyle name="Currency 5 2 2 2 3 2 3" xfId="5059" xr:uid="{00000000-0005-0000-0000-00009F0B0000}"/>
    <cellStyle name="Currency 5 2 2 2 3 2 3 2" xfId="13494" xr:uid="{1852AECE-9826-468E-96BA-029F131AC934}"/>
    <cellStyle name="Currency 5 2 2 2 3 2 4" xfId="9276" xr:uid="{50C77AA5-D667-4C0E-B87D-468EB489302E}"/>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2 2 2" xfId="16052" xr:uid="{5A67EA2E-1136-44F8-9A08-542CE3936C81}"/>
    <cellStyle name="Currency 5 2 2 2 3 3 2 3" xfId="11834" xr:uid="{518E602A-AF08-4A60-92B7-7854C67CE36A}"/>
    <cellStyle name="Currency 5 2 2 2 3 3 3" xfId="5472" xr:uid="{00000000-0005-0000-0000-0000A30B0000}"/>
    <cellStyle name="Currency 5 2 2 2 3 3 3 2" xfId="13907" xr:uid="{BC1F9D5D-07FF-44A4-859F-C14366B7C36E}"/>
    <cellStyle name="Currency 5 2 2 2 3 3 4" xfId="9689" xr:uid="{1A61367D-1C2C-4914-BCE8-C0260798EEBD}"/>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2 2 2" xfId="16465" xr:uid="{07045266-F453-4B47-B755-DB281AE9EA86}"/>
    <cellStyle name="Currency 5 2 2 2 3 4 2 3" xfId="12247" xr:uid="{C82DD050-8E50-42F5-A58D-24156EF73B89}"/>
    <cellStyle name="Currency 5 2 2 2 3 4 3" xfId="5885" xr:uid="{00000000-0005-0000-0000-0000A70B0000}"/>
    <cellStyle name="Currency 5 2 2 2 3 4 3 2" xfId="14320" xr:uid="{56CFE6F5-6B9D-4ED9-9896-B08FA463EE9E}"/>
    <cellStyle name="Currency 5 2 2 2 3 4 4" xfId="10102" xr:uid="{2C4DB43F-F37A-4E85-AA64-1E4C13DA4FB6}"/>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2 2 2" xfId="16878" xr:uid="{FC1650FE-7353-47E9-97AD-DEC032635859}"/>
    <cellStyle name="Currency 5 2 2 2 3 5 2 3" xfId="12660" xr:uid="{6BF12681-AA23-4257-9C83-103D6D9BCCE1}"/>
    <cellStyle name="Currency 5 2 2 2 3 5 3" xfId="6298" xr:uid="{00000000-0005-0000-0000-0000AB0B0000}"/>
    <cellStyle name="Currency 5 2 2 2 3 5 3 2" xfId="14733" xr:uid="{116C7896-0010-42D2-889A-D8E2DF721773}"/>
    <cellStyle name="Currency 5 2 2 2 3 5 4" xfId="10515" xr:uid="{4B40D27D-A6E2-4821-8F56-55060C660444}"/>
    <cellStyle name="Currency 5 2 2 2 3 6" xfId="2426" xr:uid="{00000000-0005-0000-0000-0000AC0B0000}"/>
    <cellStyle name="Currency 5 2 2 2 3 6 2" xfId="6711" xr:uid="{00000000-0005-0000-0000-0000AD0B0000}"/>
    <cellStyle name="Currency 5 2 2 2 3 6 2 2" xfId="15146" xr:uid="{5E401E7D-01EC-4E3A-9554-0BEBFCC74DEF}"/>
    <cellStyle name="Currency 5 2 2 2 3 6 3" xfId="10928" xr:uid="{D39A7859-3F98-4945-96DA-523E3BCE784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8 2 2" xfId="15463" xr:uid="{25478A19-3B36-49CC-9422-E8C01A39C063}"/>
    <cellStyle name="Currency 5 2 2 2 3 8 3" xfId="11245" xr:uid="{FF854BA9-4A24-4301-92F7-C344CC07C87C}"/>
    <cellStyle name="Currency 5 2 2 2 3 9" xfId="4645" xr:uid="{00000000-0005-0000-0000-0000B10B0000}"/>
    <cellStyle name="Currency 5 2 2 2 3 9 2" xfId="13080" xr:uid="{3364BE60-8C2B-48D0-956B-6BD13B496275}"/>
    <cellStyle name="Currency 5 2 2 2 4" xfId="724" xr:uid="{00000000-0005-0000-0000-0000B20B0000}"/>
    <cellStyle name="Currency 5 2 2 2 4 2" xfId="2978" xr:uid="{00000000-0005-0000-0000-0000B30B0000}"/>
    <cellStyle name="Currency 5 2 2 2 4 2 2" xfId="7201" xr:uid="{00000000-0005-0000-0000-0000B40B0000}"/>
    <cellStyle name="Currency 5 2 2 2 4 2 2 2" xfId="15636" xr:uid="{C127B613-749F-4EE7-A33C-B73CAEE6EFE6}"/>
    <cellStyle name="Currency 5 2 2 2 4 2 3" xfId="11418" xr:uid="{BBD70624-F2D9-4CB7-AA60-0E4B81518E6D}"/>
    <cellStyle name="Currency 5 2 2 2 4 3" xfId="5056" xr:uid="{00000000-0005-0000-0000-0000B50B0000}"/>
    <cellStyle name="Currency 5 2 2 2 4 3 2" xfId="13491" xr:uid="{4E7F81C0-96E6-413B-A20F-5FFFCC4D7224}"/>
    <cellStyle name="Currency 5 2 2 2 4 4" xfId="9273" xr:uid="{4F3BD72D-60BC-45BD-ABF0-CE60253D91AB}"/>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2 2 2" xfId="16049" xr:uid="{F6509925-E741-42E0-A10D-5FF87F2E1CCD}"/>
    <cellStyle name="Currency 5 2 2 2 5 2 3" xfId="11831" xr:uid="{F0F80DE9-2296-47D5-A220-A1B117301FB0}"/>
    <cellStyle name="Currency 5 2 2 2 5 3" xfId="5469" xr:uid="{00000000-0005-0000-0000-0000B90B0000}"/>
    <cellStyle name="Currency 5 2 2 2 5 3 2" xfId="13904" xr:uid="{8287BEB8-2A5C-4DBB-ACBD-69F75F5E99C8}"/>
    <cellStyle name="Currency 5 2 2 2 5 4" xfId="9686" xr:uid="{911CEF27-8C97-4BE4-A594-96C16F908303}"/>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2 2 2" xfId="16462" xr:uid="{786FB0AE-181B-46EA-BDA6-28E1D2ABBBF0}"/>
    <cellStyle name="Currency 5 2 2 2 6 2 3" xfId="12244" xr:uid="{5F0DDA2B-41A1-4E44-9E5C-837C8F82263D}"/>
    <cellStyle name="Currency 5 2 2 2 6 3" xfId="5882" xr:uid="{00000000-0005-0000-0000-0000BD0B0000}"/>
    <cellStyle name="Currency 5 2 2 2 6 3 2" xfId="14317" xr:uid="{D53A4F98-3997-4FCC-A9A1-A4460C90FF7B}"/>
    <cellStyle name="Currency 5 2 2 2 6 4" xfId="10099" xr:uid="{073E664D-7ED9-4360-8758-4006692EBE29}"/>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2 2 2" xfId="16875" xr:uid="{E1D7C8DF-4645-4FF7-9327-0D9EF257F37F}"/>
    <cellStyle name="Currency 5 2 2 2 7 2 3" xfId="12657" xr:uid="{9C95CBDB-CED9-4A4E-9AF1-810B30D38D02}"/>
    <cellStyle name="Currency 5 2 2 2 7 3" xfId="6295" xr:uid="{00000000-0005-0000-0000-0000C10B0000}"/>
    <cellStyle name="Currency 5 2 2 2 7 3 2" xfId="14730" xr:uid="{DEAC3F1A-0462-4AFB-921D-0219BC8C10E3}"/>
    <cellStyle name="Currency 5 2 2 2 7 4" xfId="10512" xr:uid="{6DA2DCF1-6BD5-45A1-8EA2-8F8DE5F28AD6}"/>
    <cellStyle name="Currency 5 2 2 2 8" xfId="2423" xr:uid="{00000000-0005-0000-0000-0000C20B0000}"/>
    <cellStyle name="Currency 5 2 2 2 8 2" xfId="6708" xr:uid="{00000000-0005-0000-0000-0000C30B0000}"/>
    <cellStyle name="Currency 5 2 2 2 8 2 2" xfId="15143" xr:uid="{52AAF289-EA68-4191-8B69-1B9D0683A322}"/>
    <cellStyle name="Currency 5 2 2 2 8 3" xfId="10925" xr:uid="{9C430E11-6729-4692-9D8E-F8C8705137A2}"/>
    <cellStyle name="Currency 5 2 2 2 9" xfId="2720" xr:uid="{00000000-0005-0000-0000-0000C40B0000}"/>
    <cellStyle name="Currency 5 2 2 3" xfId="200" xr:uid="{00000000-0005-0000-0000-0000C50B0000}"/>
    <cellStyle name="Currency 5 2 2 3 10" xfId="4646" xr:uid="{00000000-0005-0000-0000-0000C60B0000}"/>
    <cellStyle name="Currency 5 2 2 3 10 2" xfId="13081" xr:uid="{C49C1A58-1690-4B26-8584-6C8B8F2DAC5D}"/>
    <cellStyle name="Currency 5 2 2 3 11" xfId="8863" xr:uid="{E1CFF8A7-6FFF-44A0-8A48-CA851BDF58A4}"/>
    <cellStyle name="Currency 5 2 2 3 2" xfId="201" xr:uid="{00000000-0005-0000-0000-0000C70B0000}"/>
    <cellStyle name="Currency 5 2 2 3 2 10" xfId="8864" xr:uid="{8E839AE4-538A-4E20-8D7B-E7E4809C1BFB}"/>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2 2 2" xfId="15641" xr:uid="{7F2DB742-BC55-410D-BAF9-3E1F066F1A2E}"/>
    <cellStyle name="Currency 5 2 2 3 2 2 2 3" xfId="11423" xr:uid="{DF354C35-F070-4067-92AE-1DBC7882ACB0}"/>
    <cellStyle name="Currency 5 2 2 3 2 2 3" xfId="5061" xr:uid="{00000000-0005-0000-0000-0000CB0B0000}"/>
    <cellStyle name="Currency 5 2 2 3 2 2 3 2" xfId="13496" xr:uid="{1846FFE0-B1CF-4012-85E6-5B5411407CC9}"/>
    <cellStyle name="Currency 5 2 2 3 2 2 4" xfId="9278" xr:uid="{40BB543B-50B4-4D33-B0CA-ECC43CEF00DC}"/>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2 2 2" xfId="16054" xr:uid="{51A80ECD-C40F-44AA-A67C-6C22A0FB9146}"/>
    <cellStyle name="Currency 5 2 2 3 2 3 2 3" xfId="11836" xr:uid="{827D23C4-BD4D-445F-BD00-F110800D6787}"/>
    <cellStyle name="Currency 5 2 2 3 2 3 3" xfId="5474" xr:uid="{00000000-0005-0000-0000-0000CF0B0000}"/>
    <cellStyle name="Currency 5 2 2 3 2 3 3 2" xfId="13909" xr:uid="{ADA0C300-4F82-437C-B623-63B27621DF8E}"/>
    <cellStyle name="Currency 5 2 2 3 2 3 4" xfId="9691" xr:uid="{A56AEC79-E9E5-474D-AE2E-410BAB6CA198}"/>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2 2 2" xfId="16467" xr:uid="{BC82DF7E-C094-4C69-8FC6-9484879151CE}"/>
    <cellStyle name="Currency 5 2 2 3 2 4 2 3" xfId="12249" xr:uid="{6803E4E0-4703-422F-BFF8-7B4703C3C7AC}"/>
    <cellStyle name="Currency 5 2 2 3 2 4 3" xfId="5887" xr:uid="{00000000-0005-0000-0000-0000D30B0000}"/>
    <cellStyle name="Currency 5 2 2 3 2 4 3 2" xfId="14322" xr:uid="{E30E3C2A-5C03-4652-BBA3-658F6559A6EC}"/>
    <cellStyle name="Currency 5 2 2 3 2 4 4" xfId="10104" xr:uid="{E383847E-5981-4857-8CD4-7D601ECA5FDD}"/>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2 2 2" xfId="16880" xr:uid="{DA8451C1-37F7-41C2-8279-F3E21AC8FF61}"/>
    <cellStyle name="Currency 5 2 2 3 2 5 2 3" xfId="12662" xr:uid="{0A55620B-09C6-444F-BF4E-C63A97EF91CA}"/>
    <cellStyle name="Currency 5 2 2 3 2 5 3" xfId="6300" xr:uid="{00000000-0005-0000-0000-0000D70B0000}"/>
    <cellStyle name="Currency 5 2 2 3 2 5 3 2" xfId="14735" xr:uid="{CAB283E8-C238-41EE-80C1-F35A79C9B1A9}"/>
    <cellStyle name="Currency 5 2 2 3 2 5 4" xfId="10517" xr:uid="{A3A25574-0017-42A3-B0A1-3CF79A2095FC}"/>
    <cellStyle name="Currency 5 2 2 3 2 6" xfId="2428" xr:uid="{00000000-0005-0000-0000-0000D80B0000}"/>
    <cellStyle name="Currency 5 2 2 3 2 6 2" xfId="6713" xr:uid="{00000000-0005-0000-0000-0000D90B0000}"/>
    <cellStyle name="Currency 5 2 2 3 2 6 2 2" xfId="15148" xr:uid="{27285B77-32AA-4E13-9C4F-374A7917F263}"/>
    <cellStyle name="Currency 5 2 2 3 2 6 3" xfId="10930" xr:uid="{BBEEE8DC-EB7E-4FB4-895D-902FAC3307D7}"/>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8 2 2" xfId="15465" xr:uid="{A8EBD2D0-0046-485C-A44B-15DEB3EBB864}"/>
    <cellStyle name="Currency 5 2 2 3 2 8 3" xfId="11247" xr:uid="{288EEDE7-5899-417C-A87C-275D5DC92273}"/>
    <cellStyle name="Currency 5 2 2 3 2 9" xfId="4647" xr:uid="{00000000-0005-0000-0000-0000DD0B0000}"/>
    <cellStyle name="Currency 5 2 2 3 2 9 2" xfId="13082" xr:uid="{CD782878-F37B-47BE-A9BB-C98630E821F7}"/>
    <cellStyle name="Currency 5 2 2 3 3" xfId="728" xr:uid="{00000000-0005-0000-0000-0000DE0B0000}"/>
    <cellStyle name="Currency 5 2 2 3 3 2" xfId="2982" xr:uid="{00000000-0005-0000-0000-0000DF0B0000}"/>
    <cellStyle name="Currency 5 2 2 3 3 2 2" xfId="7205" xr:uid="{00000000-0005-0000-0000-0000E00B0000}"/>
    <cellStyle name="Currency 5 2 2 3 3 2 2 2" xfId="15640" xr:uid="{0BA9F696-3659-4FC5-A728-E19B8E1206BE}"/>
    <cellStyle name="Currency 5 2 2 3 3 2 3" xfId="11422" xr:uid="{C55E54D2-6AE4-468A-9DEF-C6D1B57D7D0E}"/>
    <cellStyle name="Currency 5 2 2 3 3 3" xfId="5060" xr:uid="{00000000-0005-0000-0000-0000E10B0000}"/>
    <cellStyle name="Currency 5 2 2 3 3 3 2" xfId="13495" xr:uid="{45DDAEE0-6BF1-466C-A455-CE24336F5754}"/>
    <cellStyle name="Currency 5 2 2 3 3 4" xfId="9277" xr:uid="{ECC94F36-99FB-4125-A1C7-F327F2D1E47E}"/>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2 2 2" xfId="16053" xr:uid="{5D0AE544-78CF-49DB-B358-28CE752FA72B}"/>
    <cellStyle name="Currency 5 2 2 3 4 2 3" xfId="11835" xr:uid="{F88E842C-8238-4B36-966E-AD223B28201E}"/>
    <cellStyle name="Currency 5 2 2 3 4 3" xfId="5473" xr:uid="{00000000-0005-0000-0000-0000E50B0000}"/>
    <cellStyle name="Currency 5 2 2 3 4 3 2" xfId="13908" xr:uid="{CAC8C8E1-25BD-4D40-A551-36E7B2A13788}"/>
    <cellStyle name="Currency 5 2 2 3 4 4" xfId="9690" xr:uid="{B1A3F09D-6849-4983-9B57-572C0F36456F}"/>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2 2 2" xfId="16466" xr:uid="{E9403FCC-F8F9-43FD-8E0A-5B45ABC17F19}"/>
    <cellStyle name="Currency 5 2 2 3 5 2 3" xfId="12248" xr:uid="{F59FE8F1-9DA8-4793-A4D1-7C79AD1F3A34}"/>
    <cellStyle name="Currency 5 2 2 3 5 3" xfId="5886" xr:uid="{00000000-0005-0000-0000-0000E90B0000}"/>
    <cellStyle name="Currency 5 2 2 3 5 3 2" xfId="14321" xr:uid="{DC07BD56-AB27-47C1-B273-B93C1E951FE3}"/>
    <cellStyle name="Currency 5 2 2 3 5 4" xfId="10103" xr:uid="{E7F81618-35E7-43F7-A62A-06933E1A403B}"/>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2 2 2" xfId="16879" xr:uid="{002CFBA1-FBEF-43C7-A952-E42B123FF4F3}"/>
    <cellStyle name="Currency 5 2 2 3 6 2 3" xfId="12661" xr:uid="{12D10648-F34C-4E0A-A230-4785B18E7D69}"/>
    <cellStyle name="Currency 5 2 2 3 6 3" xfId="6299" xr:uid="{00000000-0005-0000-0000-0000ED0B0000}"/>
    <cellStyle name="Currency 5 2 2 3 6 3 2" xfId="14734" xr:uid="{1333A9F1-105B-42D2-B6AA-3F0D0F6EE13A}"/>
    <cellStyle name="Currency 5 2 2 3 6 4" xfId="10516" xr:uid="{DCE0E918-7E10-4994-A27D-E0241C85C88E}"/>
    <cellStyle name="Currency 5 2 2 3 7" xfId="2427" xr:uid="{00000000-0005-0000-0000-0000EE0B0000}"/>
    <cellStyle name="Currency 5 2 2 3 7 2" xfId="6712" xr:uid="{00000000-0005-0000-0000-0000EF0B0000}"/>
    <cellStyle name="Currency 5 2 2 3 7 2 2" xfId="15147" xr:uid="{918BBB4E-4EBD-402E-B374-21EB0F212CE2}"/>
    <cellStyle name="Currency 5 2 2 3 7 3" xfId="10929" xr:uid="{EC230BB8-23C2-44D8-8D44-1A59077CD5FE}"/>
    <cellStyle name="Currency 5 2 2 3 8" xfId="2724" xr:uid="{00000000-0005-0000-0000-0000F00B0000}"/>
    <cellStyle name="Currency 5 2 2 3 9" xfId="2805" xr:uid="{00000000-0005-0000-0000-0000F10B0000}"/>
    <cellStyle name="Currency 5 2 2 3 9 2" xfId="7029" xr:uid="{00000000-0005-0000-0000-0000F20B0000}"/>
    <cellStyle name="Currency 5 2 2 3 9 2 2" xfId="15464" xr:uid="{176CEB01-8BE7-4FE9-BD8C-C52934965AD6}"/>
    <cellStyle name="Currency 5 2 2 3 9 3" xfId="11246" xr:uid="{3E780524-7BF7-4A46-8A67-D32196F94EFA}"/>
    <cellStyle name="Currency 5 2 2 4" xfId="202" xr:uid="{00000000-0005-0000-0000-0000F30B0000}"/>
    <cellStyle name="Currency 5 2 2 4 10" xfId="8865" xr:uid="{218534BD-CD79-4C01-B8C9-A58C5D7F2A95}"/>
    <cellStyle name="Currency 5 2 2 4 2" xfId="730" xr:uid="{00000000-0005-0000-0000-0000F40B0000}"/>
    <cellStyle name="Currency 5 2 2 4 2 2" xfId="2984" xr:uid="{00000000-0005-0000-0000-0000F50B0000}"/>
    <cellStyle name="Currency 5 2 2 4 2 2 2" xfId="7207" xr:uid="{00000000-0005-0000-0000-0000F60B0000}"/>
    <cellStyle name="Currency 5 2 2 4 2 2 2 2" xfId="15642" xr:uid="{760C07B6-C762-4AEC-881F-84B6865A821F}"/>
    <cellStyle name="Currency 5 2 2 4 2 2 3" xfId="11424" xr:uid="{43D36C7C-9BB4-43D9-853B-B38E9C992088}"/>
    <cellStyle name="Currency 5 2 2 4 2 3" xfId="5062" xr:uid="{00000000-0005-0000-0000-0000F70B0000}"/>
    <cellStyle name="Currency 5 2 2 4 2 3 2" xfId="13497" xr:uid="{8AEF8113-D005-43AB-BE8F-6996AB8431F1}"/>
    <cellStyle name="Currency 5 2 2 4 2 4" xfId="9279" xr:uid="{FC82CC3E-3154-4559-B8D0-13918F5980B1}"/>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2 2 2" xfId="16055" xr:uid="{B1CAC2BA-B8AD-47FD-9D70-4EE8365489B1}"/>
    <cellStyle name="Currency 5 2 2 4 3 2 3" xfId="11837" xr:uid="{1CEB9AE5-9F35-48EE-B7C1-FF785D9D7CEB}"/>
    <cellStyle name="Currency 5 2 2 4 3 3" xfId="5475" xr:uid="{00000000-0005-0000-0000-0000FB0B0000}"/>
    <cellStyle name="Currency 5 2 2 4 3 3 2" xfId="13910" xr:uid="{A4067741-30BD-403D-A6BD-36244AA9F512}"/>
    <cellStyle name="Currency 5 2 2 4 3 4" xfId="9692" xr:uid="{96E78A27-8690-4C82-8724-A58BBB043557}"/>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2 2 2" xfId="16468" xr:uid="{484D3269-B719-4BE8-A97E-859E1767376F}"/>
    <cellStyle name="Currency 5 2 2 4 4 2 3" xfId="12250" xr:uid="{E3EAFBA9-4B07-49A8-A7C9-26F9115FADAE}"/>
    <cellStyle name="Currency 5 2 2 4 4 3" xfId="5888" xr:uid="{00000000-0005-0000-0000-0000FF0B0000}"/>
    <cellStyle name="Currency 5 2 2 4 4 3 2" xfId="14323" xr:uid="{E061CDDF-6728-4621-B1FA-93CDE12B4999}"/>
    <cellStyle name="Currency 5 2 2 4 4 4" xfId="10105" xr:uid="{C462B0FA-F904-4107-8B6B-F2FFB3A14648}"/>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2 2 2" xfId="16881" xr:uid="{FC3782B1-6975-4F77-9FBD-8F57896CB3CF}"/>
    <cellStyle name="Currency 5 2 2 4 5 2 3" xfId="12663" xr:uid="{0290E98F-3C41-45AA-AD48-0A6A07C2E015}"/>
    <cellStyle name="Currency 5 2 2 4 5 3" xfId="6301" xr:uid="{00000000-0005-0000-0000-0000030C0000}"/>
    <cellStyle name="Currency 5 2 2 4 5 3 2" xfId="14736" xr:uid="{7E5C4A12-2424-4C54-92D2-90E65F5DF15E}"/>
    <cellStyle name="Currency 5 2 2 4 5 4" xfId="10518" xr:uid="{FEDCA374-5EC3-47AE-9A08-CF7754D97E84}"/>
    <cellStyle name="Currency 5 2 2 4 6" xfId="2429" xr:uid="{00000000-0005-0000-0000-0000040C0000}"/>
    <cellStyle name="Currency 5 2 2 4 6 2" xfId="6714" xr:uid="{00000000-0005-0000-0000-0000050C0000}"/>
    <cellStyle name="Currency 5 2 2 4 6 2 2" xfId="15149" xr:uid="{5511A5A4-DB18-4619-96B7-68C2BC997AF6}"/>
    <cellStyle name="Currency 5 2 2 4 6 3" xfId="10931" xr:uid="{9F3E7230-DE50-45E5-B1D0-8B9B1CF15EBA}"/>
    <cellStyle name="Currency 5 2 2 4 7" xfId="2726" xr:uid="{00000000-0005-0000-0000-0000060C0000}"/>
    <cellStyle name="Currency 5 2 2 4 8" xfId="2807" xr:uid="{00000000-0005-0000-0000-0000070C0000}"/>
    <cellStyle name="Currency 5 2 2 4 8 2" xfId="7031" xr:uid="{00000000-0005-0000-0000-0000080C0000}"/>
    <cellStyle name="Currency 5 2 2 4 8 2 2" xfId="15466" xr:uid="{631901F6-498A-4838-9CD8-42B13278D7DB}"/>
    <cellStyle name="Currency 5 2 2 4 8 3" xfId="11248" xr:uid="{72ABD45D-7456-4057-A58F-0BDA5118ECEA}"/>
    <cellStyle name="Currency 5 2 2 4 9" xfId="4648" xr:uid="{00000000-0005-0000-0000-0000090C0000}"/>
    <cellStyle name="Currency 5 2 2 4 9 2" xfId="13083" xr:uid="{F3645BF4-BF7D-48C1-B849-DDE4EF58F464}"/>
    <cellStyle name="Currency 5 2 2 5" xfId="203" xr:uid="{00000000-0005-0000-0000-00000A0C0000}"/>
    <cellStyle name="Currency 5 2 2 5 10" xfId="8866" xr:uid="{7B263895-D623-477B-BBAE-23A033A42E54}"/>
    <cellStyle name="Currency 5 2 2 5 2" xfId="731" xr:uid="{00000000-0005-0000-0000-00000B0C0000}"/>
    <cellStyle name="Currency 5 2 2 5 2 2" xfId="2985" xr:uid="{00000000-0005-0000-0000-00000C0C0000}"/>
    <cellStyle name="Currency 5 2 2 5 2 2 2" xfId="7208" xr:uid="{00000000-0005-0000-0000-00000D0C0000}"/>
    <cellStyle name="Currency 5 2 2 5 2 2 2 2" xfId="15643" xr:uid="{8602CE63-1A38-4DF0-8BCD-2DE46AE9D216}"/>
    <cellStyle name="Currency 5 2 2 5 2 2 3" xfId="11425" xr:uid="{B3EA3643-188B-4E48-8914-552F79073E73}"/>
    <cellStyle name="Currency 5 2 2 5 2 3" xfId="5063" xr:uid="{00000000-0005-0000-0000-00000E0C0000}"/>
    <cellStyle name="Currency 5 2 2 5 2 3 2" xfId="13498" xr:uid="{BBE7BC3F-FCBB-4798-A151-47DC2C98BC1D}"/>
    <cellStyle name="Currency 5 2 2 5 2 4" xfId="9280" xr:uid="{9B484803-FA06-4EE4-8FE6-A3ED08E44A95}"/>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2 2 2" xfId="16056" xr:uid="{73235847-D981-429A-810F-7C4E94089DD2}"/>
    <cellStyle name="Currency 5 2 2 5 3 2 3" xfId="11838" xr:uid="{32BA99A1-5A5D-434C-AAC0-92C462443B71}"/>
    <cellStyle name="Currency 5 2 2 5 3 3" xfId="5476" xr:uid="{00000000-0005-0000-0000-0000120C0000}"/>
    <cellStyle name="Currency 5 2 2 5 3 3 2" xfId="13911" xr:uid="{77ECD24F-A5BE-4D2C-BA51-E25DDEC63193}"/>
    <cellStyle name="Currency 5 2 2 5 3 4" xfId="9693" xr:uid="{ECA05093-DF45-4144-BE24-0C20E348C754}"/>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2 2 2" xfId="16469" xr:uid="{8191E3A8-7216-4E07-9A1F-8D93BFC1EFC2}"/>
    <cellStyle name="Currency 5 2 2 5 4 2 3" xfId="12251" xr:uid="{B566D63D-D77D-438E-943E-F934778EAC6A}"/>
    <cellStyle name="Currency 5 2 2 5 4 3" xfId="5889" xr:uid="{00000000-0005-0000-0000-0000160C0000}"/>
    <cellStyle name="Currency 5 2 2 5 4 3 2" xfId="14324" xr:uid="{DE224987-E84D-44E0-BEB4-74D5F156D819}"/>
    <cellStyle name="Currency 5 2 2 5 4 4" xfId="10106" xr:uid="{AD881173-6593-4E75-AD1B-F0DF26CCF59C}"/>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2 2 2" xfId="16882" xr:uid="{09303608-204B-41A8-8323-42BAA0143A31}"/>
    <cellStyle name="Currency 5 2 2 5 5 2 3" xfId="12664" xr:uid="{4A07451C-BAB3-4EF7-8562-997AF7AED0C4}"/>
    <cellStyle name="Currency 5 2 2 5 5 3" xfId="6302" xr:uid="{00000000-0005-0000-0000-00001A0C0000}"/>
    <cellStyle name="Currency 5 2 2 5 5 3 2" xfId="14737" xr:uid="{00D0EBEB-71F8-45FC-B28C-023AEF9387FC}"/>
    <cellStyle name="Currency 5 2 2 5 5 4" xfId="10519" xr:uid="{71F30A48-6067-478F-9C3C-04DD5B2AC277}"/>
    <cellStyle name="Currency 5 2 2 5 6" xfId="2430" xr:uid="{00000000-0005-0000-0000-00001B0C0000}"/>
    <cellStyle name="Currency 5 2 2 5 6 2" xfId="6715" xr:uid="{00000000-0005-0000-0000-00001C0C0000}"/>
    <cellStyle name="Currency 5 2 2 5 6 2 2" xfId="15150" xr:uid="{D2793678-B834-4077-8A99-06DF0FBFCA88}"/>
    <cellStyle name="Currency 5 2 2 5 6 3" xfId="10932" xr:uid="{2A66935F-2AA3-4C6B-834C-E25E90D26DD6}"/>
    <cellStyle name="Currency 5 2 2 5 7" xfId="2727" xr:uid="{00000000-0005-0000-0000-00001D0C0000}"/>
    <cellStyle name="Currency 5 2 2 5 8" xfId="2808" xr:uid="{00000000-0005-0000-0000-00001E0C0000}"/>
    <cellStyle name="Currency 5 2 2 5 8 2" xfId="7032" xr:uid="{00000000-0005-0000-0000-00001F0C0000}"/>
    <cellStyle name="Currency 5 2 2 5 8 2 2" xfId="15467" xr:uid="{A024A058-1EEC-4292-95AB-7A5BAC915433}"/>
    <cellStyle name="Currency 5 2 2 5 8 3" xfId="11249" xr:uid="{DAC883B8-9C7F-4069-8A42-346740B50DAD}"/>
    <cellStyle name="Currency 5 2 2 5 9" xfId="4649" xr:uid="{00000000-0005-0000-0000-0000200C0000}"/>
    <cellStyle name="Currency 5 2 2 5 9 2" xfId="13084" xr:uid="{ED1DC53C-0184-4A64-9FDC-58D119EFD3B5}"/>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10 2" xfId="13085" xr:uid="{BDF31E02-5E3B-4183-B21F-23DD6865BDBB}"/>
    <cellStyle name="Currency 5 2 4 11" xfId="8867" xr:uid="{EE054696-89CA-4BB3-A8E2-86720F35B112}"/>
    <cellStyle name="Currency 5 2 4 2" xfId="206" xr:uid="{00000000-0005-0000-0000-0000250C0000}"/>
    <cellStyle name="Currency 5 2 4 2 10" xfId="8868" xr:uid="{9609DA0A-81FA-4CF4-8A24-0FFC1E194AB6}"/>
    <cellStyle name="Currency 5 2 4 2 2" xfId="734" xr:uid="{00000000-0005-0000-0000-0000260C0000}"/>
    <cellStyle name="Currency 5 2 4 2 2 2" xfId="2987" xr:uid="{00000000-0005-0000-0000-0000270C0000}"/>
    <cellStyle name="Currency 5 2 4 2 2 2 2" xfId="7210" xr:uid="{00000000-0005-0000-0000-0000280C0000}"/>
    <cellStyle name="Currency 5 2 4 2 2 2 2 2" xfId="15645" xr:uid="{EE673454-42DF-440A-A92D-A341A5E86745}"/>
    <cellStyle name="Currency 5 2 4 2 2 2 3" xfId="11427" xr:uid="{36FEE29A-BAEE-4CC9-A81E-C496B51B9D39}"/>
    <cellStyle name="Currency 5 2 4 2 2 3" xfId="5065" xr:uid="{00000000-0005-0000-0000-0000290C0000}"/>
    <cellStyle name="Currency 5 2 4 2 2 3 2" xfId="13500" xr:uid="{4C58FD7F-8ADF-4545-8526-B6A126DB4423}"/>
    <cellStyle name="Currency 5 2 4 2 2 4" xfId="9282" xr:uid="{03116028-EC92-49C0-B1C6-88ACE1993C39}"/>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2 2 2" xfId="16058" xr:uid="{55052F33-2E47-4296-9ADF-CA3DC63DA1A6}"/>
    <cellStyle name="Currency 5 2 4 2 3 2 3" xfId="11840" xr:uid="{0BD102C1-2EF6-4B39-9D53-AF604CF0F31C}"/>
    <cellStyle name="Currency 5 2 4 2 3 3" xfId="5478" xr:uid="{00000000-0005-0000-0000-00002D0C0000}"/>
    <cellStyle name="Currency 5 2 4 2 3 3 2" xfId="13913" xr:uid="{94692A31-F19A-4C83-A708-ECCF8F1D5010}"/>
    <cellStyle name="Currency 5 2 4 2 3 4" xfId="9695" xr:uid="{65E59383-2691-451D-9C6B-C5B8F84BABB1}"/>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2 2 2" xfId="16471" xr:uid="{AB608C47-A4CE-49D3-899A-A42B8C021765}"/>
    <cellStyle name="Currency 5 2 4 2 4 2 3" xfId="12253" xr:uid="{32653D6B-0ED0-4C58-9CE5-05D48DB6423A}"/>
    <cellStyle name="Currency 5 2 4 2 4 3" xfId="5891" xr:uid="{00000000-0005-0000-0000-0000310C0000}"/>
    <cellStyle name="Currency 5 2 4 2 4 3 2" xfId="14326" xr:uid="{7080E184-6601-482B-8A34-F08F5F518294}"/>
    <cellStyle name="Currency 5 2 4 2 4 4" xfId="10108" xr:uid="{A9DFEF96-F0EA-48B5-A40A-C0ECA1C73153}"/>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2 2 2" xfId="16884" xr:uid="{FC977624-DFB2-4632-9EC8-3C6B75DA3D09}"/>
    <cellStyle name="Currency 5 2 4 2 5 2 3" xfId="12666" xr:uid="{B39B0A4B-5DD9-4A9A-8DAA-26E4F26FE7C6}"/>
    <cellStyle name="Currency 5 2 4 2 5 3" xfId="6304" xr:uid="{00000000-0005-0000-0000-0000350C0000}"/>
    <cellStyle name="Currency 5 2 4 2 5 3 2" xfId="14739" xr:uid="{BBEF737A-57DF-4E9F-97DB-AA25D9AAE7DD}"/>
    <cellStyle name="Currency 5 2 4 2 5 4" xfId="10521" xr:uid="{440447FA-D36B-4EFF-93DD-67BA4CA101E5}"/>
    <cellStyle name="Currency 5 2 4 2 6" xfId="2432" xr:uid="{00000000-0005-0000-0000-0000360C0000}"/>
    <cellStyle name="Currency 5 2 4 2 6 2" xfId="6717" xr:uid="{00000000-0005-0000-0000-0000370C0000}"/>
    <cellStyle name="Currency 5 2 4 2 6 2 2" xfId="15152" xr:uid="{20F9965F-50B6-44EE-893C-3821B49AA906}"/>
    <cellStyle name="Currency 5 2 4 2 6 3" xfId="10934" xr:uid="{541F61E4-B64F-4E4A-8F49-F8F076C314EF}"/>
    <cellStyle name="Currency 5 2 4 2 7" xfId="2729" xr:uid="{00000000-0005-0000-0000-0000380C0000}"/>
    <cellStyle name="Currency 5 2 4 2 8" xfId="2810" xr:uid="{00000000-0005-0000-0000-0000390C0000}"/>
    <cellStyle name="Currency 5 2 4 2 8 2" xfId="7034" xr:uid="{00000000-0005-0000-0000-00003A0C0000}"/>
    <cellStyle name="Currency 5 2 4 2 8 2 2" xfId="15469" xr:uid="{DD4C8E64-D8ED-4925-821E-6F71356CDBF4}"/>
    <cellStyle name="Currency 5 2 4 2 8 3" xfId="11251" xr:uid="{E0EDF02D-AB77-4328-9118-DA68C13DB1C8}"/>
    <cellStyle name="Currency 5 2 4 2 9" xfId="4651" xr:uid="{00000000-0005-0000-0000-00003B0C0000}"/>
    <cellStyle name="Currency 5 2 4 2 9 2" xfId="13086" xr:uid="{895C4A92-DEEC-4118-8150-D82F0C105953}"/>
    <cellStyle name="Currency 5 2 4 3" xfId="733" xr:uid="{00000000-0005-0000-0000-00003C0C0000}"/>
    <cellStyle name="Currency 5 2 4 3 2" xfId="2986" xr:uid="{00000000-0005-0000-0000-00003D0C0000}"/>
    <cellStyle name="Currency 5 2 4 3 2 2" xfId="7209" xr:uid="{00000000-0005-0000-0000-00003E0C0000}"/>
    <cellStyle name="Currency 5 2 4 3 2 2 2" xfId="15644" xr:uid="{C5C0804B-FECB-4D1F-B7D0-D7BC52176873}"/>
    <cellStyle name="Currency 5 2 4 3 2 3" xfId="11426" xr:uid="{B4474F4B-B793-4400-AA91-716B2FC00215}"/>
    <cellStyle name="Currency 5 2 4 3 3" xfId="5064" xr:uid="{00000000-0005-0000-0000-00003F0C0000}"/>
    <cellStyle name="Currency 5 2 4 3 3 2" xfId="13499" xr:uid="{5AD34812-1829-4BE8-9C7F-821A6BDAD4CF}"/>
    <cellStyle name="Currency 5 2 4 3 4" xfId="9281" xr:uid="{31373B1C-06EA-4C0C-94E9-95FBB072DE68}"/>
    <cellStyle name="Currency 5 2 4 4" xfId="1168" xr:uid="{00000000-0005-0000-0000-0000400C0000}"/>
    <cellStyle name="Currency 5 2 4 4 2" xfId="3399" xr:uid="{00000000-0005-0000-0000-0000410C0000}"/>
    <cellStyle name="Currency 5 2 4 4 2 2" xfId="7622" xr:uid="{00000000-0005-0000-0000-0000420C0000}"/>
    <cellStyle name="Currency 5 2 4 4 2 2 2" xfId="16057" xr:uid="{75E7A5BF-BE8B-4C28-9A72-9732AC9AA0A1}"/>
    <cellStyle name="Currency 5 2 4 4 2 3" xfId="11839" xr:uid="{08769678-44DF-4988-B1F2-532DB0E96DBB}"/>
    <cellStyle name="Currency 5 2 4 4 3" xfId="5477" xr:uid="{00000000-0005-0000-0000-0000430C0000}"/>
    <cellStyle name="Currency 5 2 4 4 3 2" xfId="13912" xr:uid="{39416084-756E-4178-A3B4-8136AB3C4F6E}"/>
    <cellStyle name="Currency 5 2 4 4 4" xfId="9694" xr:uid="{A9A4BC56-FDF6-46C6-A101-43C339370FCF}"/>
    <cellStyle name="Currency 5 2 4 5" xfId="1582" xr:uid="{00000000-0005-0000-0000-0000440C0000}"/>
    <cellStyle name="Currency 5 2 4 5 2" xfId="3812" xr:uid="{00000000-0005-0000-0000-0000450C0000}"/>
    <cellStyle name="Currency 5 2 4 5 2 2" xfId="8035" xr:uid="{00000000-0005-0000-0000-0000460C0000}"/>
    <cellStyle name="Currency 5 2 4 5 2 2 2" xfId="16470" xr:uid="{6BFA9384-A675-4330-9583-141571B948AB}"/>
    <cellStyle name="Currency 5 2 4 5 2 3" xfId="12252" xr:uid="{16735AFC-8135-4A49-BE9B-924C281F28F9}"/>
    <cellStyle name="Currency 5 2 4 5 3" xfId="5890" xr:uid="{00000000-0005-0000-0000-0000470C0000}"/>
    <cellStyle name="Currency 5 2 4 5 3 2" xfId="14325" xr:uid="{ACFFB7FE-0462-47B0-BA32-5D4B48651873}"/>
    <cellStyle name="Currency 5 2 4 5 4" xfId="10107" xr:uid="{DE5F4EE6-9C5F-49E1-9F76-279084734FCC}"/>
    <cellStyle name="Currency 5 2 4 6" xfId="1996" xr:uid="{00000000-0005-0000-0000-0000480C0000}"/>
    <cellStyle name="Currency 5 2 4 6 2" xfId="4225" xr:uid="{00000000-0005-0000-0000-0000490C0000}"/>
    <cellStyle name="Currency 5 2 4 6 2 2" xfId="8448" xr:uid="{00000000-0005-0000-0000-00004A0C0000}"/>
    <cellStyle name="Currency 5 2 4 6 2 2 2" xfId="16883" xr:uid="{81370B96-09A2-4819-8B99-79630AE2A270}"/>
    <cellStyle name="Currency 5 2 4 6 2 3" xfId="12665" xr:uid="{88DEBB5D-AFB3-48DF-B1F2-F2E8CE1245F4}"/>
    <cellStyle name="Currency 5 2 4 6 3" xfId="6303" xr:uid="{00000000-0005-0000-0000-00004B0C0000}"/>
    <cellStyle name="Currency 5 2 4 6 3 2" xfId="14738" xr:uid="{14CA76DA-47BA-42BE-B123-ED25552CEDA1}"/>
    <cellStyle name="Currency 5 2 4 6 4" xfId="10520" xr:uid="{C425E97C-6976-4233-AD9F-D1708016053D}"/>
    <cellStyle name="Currency 5 2 4 7" xfId="2431" xr:uid="{00000000-0005-0000-0000-00004C0C0000}"/>
    <cellStyle name="Currency 5 2 4 7 2" xfId="6716" xr:uid="{00000000-0005-0000-0000-00004D0C0000}"/>
    <cellStyle name="Currency 5 2 4 7 2 2" xfId="15151" xr:uid="{038F398F-147B-4FAD-B02A-87D26CDA78A9}"/>
    <cellStyle name="Currency 5 2 4 7 3" xfId="10933" xr:uid="{C4CF53A6-8B55-494E-A321-4CF113C3CFDB}"/>
    <cellStyle name="Currency 5 2 4 8" xfId="2728" xr:uid="{00000000-0005-0000-0000-00004E0C0000}"/>
    <cellStyle name="Currency 5 2 4 9" xfId="2809" xr:uid="{00000000-0005-0000-0000-00004F0C0000}"/>
    <cellStyle name="Currency 5 2 4 9 2" xfId="7033" xr:uid="{00000000-0005-0000-0000-0000500C0000}"/>
    <cellStyle name="Currency 5 2 4 9 2 2" xfId="15468" xr:uid="{301C4454-56A6-4721-B1EA-24A68059DAA9}"/>
    <cellStyle name="Currency 5 2 4 9 3" xfId="11250" xr:uid="{1894D690-A872-41E1-A790-506B535E2E4C}"/>
    <cellStyle name="Currency 5 2 5" xfId="207" xr:uid="{00000000-0005-0000-0000-0000510C0000}"/>
    <cellStyle name="Currency 5 2 5 10" xfId="8869" xr:uid="{A6BF329B-F8CE-4C8B-81F3-FB82C1C7A488}"/>
    <cellStyle name="Currency 5 2 5 2" xfId="735" xr:uid="{00000000-0005-0000-0000-0000520C0000}"/>
    <cellStyle name="Currency 5 2 5 2 2" xfId="2988" xr:uid="{00000000-0005-0000-0000-0000530C0000}"/>
    <cellStyle name="Currency 5 2 5 2 2 2" xfId="7211" xr:uid="{00000000-0005-0000-0000-0000540C0000}"/>
    <cellStyle name="Currency 5 2 5 2 2 2 2" xfId="15646" xr:uid="{C248C36A-7637-44E5-A12C-E6AF32F05829}"/>
    <cellStyle name="Currency 5 2 5 2 2 3" xfId="11428" xr:uid="{80339EB0-8F28-4C81-959E-C84100089DE9}"/>
    <cellStyle name="Currency 5 2 5 2 3" xfId="5066" xr:uid="{00000000-0005-0000-0000-0000550C0000}"/>
    <cellStyle name="Currency 5 2 5 2 3 2" xfId="13501" xr:uid="{0CFDDAF8-3993-435D-8989-C7D3D0C27B4E}"/>
    <cellStyle name="Currency 5 2 5 2 4" xfId="9283" xr:uid="{6C540253-77FE-40B7-A452-9D17EE58191C}"/>
    <cellStyle name="Currency 5 2 5 3" xfId="1170" xr:uid="{00000000-0005-0000-0000-0000560C0000}"/>
    <cellStyle name="Currency 5 2 5 3 2" xfId="3401" xr:uid="{00000000-0005-0000-0000-0000570C0000}"/>
    <cellStyle name="Currency 5 2 5 3 2 2" xfId="7624" xr:uid="{00000000-0005-0000-0000-0000580C0000}"/>
    <cellStyle name="Currency 5 2 5 3 2 2 2" xfId="16059" xr:uid="{B76E9569-AFF2-4611-942B-4B0974146E02}"/>
    <cellStyle name="Currency 5 2 5 3 2 3" xfId="11841" xr:uid="{E4AED413-529F-49A5-A647-6F0A8F701B21}"/>
    <cellStyle name="Currency 5 2 5 3 3" xfId="5479" xr:uid="{00000000-0005-0000-0000-0000590C0000}"/>
    <cellStyle name="Currency 5 2 5 3 3 2" xfId="13914" xr:uid="{A7183548-A715-48B8-AE3A-FAD806564310}"/>
    <cellStyle name="Currency 5 2 5 3 4" xfId="9696" xr:uid="{E512F39D-83A8-4CBD-AF81-5C07D52FF547}"/>
    <cellStyle name="Currency 5 2 5 4" xfId="1584" xr:uid="{00000000-0005-0000-0000-00005A0C0000}"/>
    <cellStyle name="Currency 5 2 5 4 2" xfId="3814" xr:uid="{00000000-0005-0000-0000-00005B0C0000}"/>
    <cellStyle name="Currency 5 2 5 4 2 2" xfId="8037" xr:uid="{00000000-0005-0000-0000-00005C0C0000}"/>
    <cellStyle name="Currency 5 2 5 4 2 2 2" xfId="16472" xr:uid="{B0AA9B9E-3B39-470C-A197-29E0A268B494}"/>
    <cellStyle name="Currency 5 2 5 4 2 3" xfId="12254" xr:uid="{C0CA8579-DA56-4207-94DE-612050CAA403}"/>
    <cellStyle name="Currency 5 2 5 4 3" xfId="5892" xr:uid="{00000000-0005-0000-0000-00005D0C0000}"/>
    <cellStyle name="Currency 5 2 5 4 3 2" xfId="14327" xr:uid="{2FED6A37-B9AD-47F0-9313-71AD3A9EF3F4}"/>
    <cellStyle name="Currency 5 2 5 4 4" xfId="10109" xr:uid="{B5890130-620E-4FAE-98E0-13BADA31827B}"/>
    <cellStyle name="Currency 5 2 5 5" xfId="1998" xr:uid="{00000000-0005-0000-0000-00005E0C0000}"/>
    <cellStyle name="Currency 5 2 5 5 2" xfId="4227" xr:uid="{00000000-0005-0000-0000-00005F0C0000}"/>
    <cellStyle name="Currency 5 2 5 5 2 2" xfId="8450" xr:uid="{00000000-0005-0000-0000-0000600C0000}"/>
    <cellStyle name="Currency 5 2 5 5 2 2 2" xfId="16885" xr:uid="{4AD6633D-245A-47C4-A49F-90664D0EB81C}"/>
    <cellStyle name="Currency 5 2 5 5 2 3" xfId="12667" xr:uid="{92FD05DD-03DC-4FBD-9354-DF8668D77EBF}"/>
    <cellStyle name="Currency 5 2 5 5 3" xfId="6305" xr:uid="{00000000-0005-0000-0000-0000610C0000}"/>
    <cellStyle name="Currency 5 2 5 5 3 2" xfId="14740" xr:uid="{4F590FB6-D521-4B3A-BB6D-85114E41E97F}"/>
    <cellStyle name="Currency 5 2 5 5 4" xfId="10522" xr:uid="{619BAFE7-F8FC-443A-848B-2115FA64660B}"/>
    <cellStyle name="Currency 5 2 5 6" xfId="2433" xr:uid="{00000000-0005-0000-0000-0000620C0000}"/>
    <cellStyle name="Currency 5 2 5 6 2" xfId="6718" xr:uid="{00000000-0005-0000-0000-0000630C0000}"/>
    <cellStyle name="Currency 5 2 5 6 2 2" xfId="15153" xr:uid="{11171887-FFE4-45E2-AF32-3DF7D2A9506C}"/>
    <cellStyle name="Currency 5 2 5 6 3" xfId="10935" xr:uid="{A903D70A-B9B7-401A-8485-D45EEDBEB2C9}"/>
    <cellStyle name="Currency 5 2 5 7" xfId="2730" xr:uid="{00000000-0005-0000-0000-0000640C0000}"/>
    <cellStyle name="Currency 5 2 5 8" xfId="2811" xr:uid="{00000000-0005-0000-0000-0000650C0000}"/>
    <cellStyle name="Currency 5 2 5 8 2" xfId="7035" xr:uid="{00000000-0005-0000-0000-0000660C0000}"/>
    <cellStyle name="Currency 5 2 5 8 2 2" xfId="15470" xr:uid="{F00E2FCC-0208-4897-BD9B-5B17D49F11E3}"/>
    <cellStyle name="Currency 5 2 5 8 3" xfId="11252" xr:uid="{6D461D40-89A1-4605-80CD-9D9BE365A974}"/>
    <cellStyle name="Currency 5 2 5 9" xfId="4652" xr:uid="{00000000-0005-0000-0000-0000670C0000}"/>
    <cellStyle name="Currency 5 2 5 9 2" xfId="13087" xr:uid="{DAECDD25-1B6A-42F0-B0BB-F82183BD5873}"/>
    <cellStyle name="Currency 5 2 6" xfId="208" xr:uid="{00000000-0005-0000-0000-0000680C0000}"/>
    <cellStyle name="Currency 5 2 6 10" xfId="8870" xr:uid="{6324E955-D128-41C0-A843-E7436E488E93}"/>
    <cellStyle name="Currency 5 2 6 2" xfId="736" xr:uid="{00000000-0005-0000-0000-0000690C0000}"/>
    <cellStyle name="Currency 5 2 6 2 2" xfId="2989" xr:uid="{00000000-0005-0000-0000-00006A0C0000}"/>
    <cellStyle name="Currency 5 2 6 2 2 2" xfId="7212" xr:uid="{00000000-0005-0000-0000-00006B0C0000}"/>
    <cellStyle name="Currency 5 2 6 2 2 2 2" xfId="15647" xr:uid="{69D60C2E-E37D-4CF3-B6A6-BDA3B4866522}"/>
    <cellStyle name="Currency 5 2 6 2 2 3" xfId="11429" xr:uid="{E7634AD6-4813-4F8E-80B3-746BC9C53412}"/>
    <cellStyle name="Currency 5 2 6 2 3" xfId="5067" xr:uid="{00000000-0005-0000-0000-00006C0C0000}"/>
    <cellStyle name="Currency 5 2 6 2 3 2" xfId="13502" xr:uid="{D850B4EE-00D7-483B-932A-BCA635BCA233}"/>
    <cellStyle name="Currency 5 2 6 2 4" xfId="9284" xr:uid="{644127A8-640D-487A-AFD9-4F66F87262EF}"/>
    <cellStyle name="Currency 5 2 6 3" xfId="1171" xr:uid="{00000000-0005-0000-0000-00006D0C0000}"/>
    <cellStyle name="Currency 5 2 6 3 2" xfId="3402" xr:uid="{00000000-0005-0000-0000-00006E0C0000}"/>
    <cellStyle name="Currency 5 2 6 3 2 2" xfId="7625" xr:uid="{00000000-0005-0000-0000-00006F0C0000}"/>
    <cellStyle name="Currency 5 2 6 3 2 2 2" xfId="16060" xr:uid="{4F879B0E-5387-4DDF-8EB4-FE65D1AAFCB3}"/>
    <cellStyle name="Currency 5 2 6 3 2 3" xfId="11842" xr:uid="{96EAD2F1-FFA9-4393-8B9D-6C1C9ABC1712}"/>
    <cellStyle name="Currency 5 2 6 3 3" xfId="5480" xr:uid="{00000000-0005-0000-0000-0000700C0000}"/>
    <cellStyle name="Currency 5 2 6 3 3 2" xfId="13915" xr:uid="{9A9AAB76-85A8-4754-AF01-EE07609ABE82}"/>
    <cellStyle name="Currency 5 2 6 3 4" xfId="9697" xr:uid="{C2811DA6-833B-42D7-BFB9-8DDB3B5D65E0}"/>
    <cellStyle name="Currency 5 2 6 4" xfId="1585" xr:uid="{00000000-0005-0000-0000-0000710C0000}"/>
    <cellStyle name="Currency 5 2 6 4 2" xfId="3815" xr:uid="{00000000-0005-0000-0000-0000720C0000}"/>
    <cellStyle name="Currency 5 2 6 4 2 2" xfId="8038" xr:uid="{00000000-0005-0000-0000-0000730C0000}"/>
    <cellStyle name="Currency 5 2 6 4 2 2 2" xfId="16473" xr:uid="{93193341-C292-4A85-B22C-F71ED24D2618}"/>
    <cellStyle name="Currency 5 2 6 4 2 3" xfId="12255" xr:uid="{015DBE35-8925-4C3E-9635-7DACE4E191E9}"/>
    <cellStyle name="Currency 5 2 6 4 3" xfId="5893" xr:uid="{00000000-0005-0000-0000-0000740C0000}"/>
    <cellStyle name="Currency 5 2 6 4 3 2" xfId="14328" xr:uid="{6C2ED600-AB6F-4D56-B357-8F4C94DE2EAF}"/>
    <cellStyle name="Currency 5 2 6 4 4" xfId="10110" xr:uid="{FCE1AEF5-F190-4B9A-883D-8815FA479A4C}"/>
    <cellStyle name="Currency 5 2 6 5" xfId="1999" xr:uid="{00000000-0005-0000-0000-0000750C0000}"/>
    <cellStyle name="Currency 5 2 6 5 2" xfId="4228" xr:uid="{00000000-0005-0000-0000-0000760C0000}"/>
    <cellStyle name="Currency 5 2 6 5 2 2" xfId="8451" xr:uid="{00000000-0005-0000-0000-0000770C0000}"/>
    <cellStyle name="Currency 5 2 6 5 2 2 2" xfId="16886" xr:uid="{682206FB-D60E-436D-84F6-E2D306D0EABB}"/>
    <cellStyle name="Currency 5 2 6 5 2 3" xfId="12668" xr:uid="{301A3464-FA67-4BBE-973A-A95ED9DE30CB}"/>
    <cellStyle name="Currency 5 2 6 5 3" xfId="6306" xr:uid="{00000000-0005-0000-0000-0000780C0000}"/>
    <cellStyle name="Currency 5 2 6 5 3 2" xfId="14741" xr:uid="{9D2A190C-BEB3-4D15-9EE1-4CC2B51A8BDA}"/>
    <cellStyle name="Currency 5 2 6 5 4" xfId="10523" xr:uid="{8B24B823-F06D-461F-B810-2933BECF6DEC}"/>
    <cellStyle name="Currency 5 2 6 6" xfId="2434" xr:uid="{00000000-0005-0000-0000-0000790C0000}"/>
    <cellStyle name="Currency 5 2 6 6 2" xfId="6719" xr:uid="{00000000-0005-0000-0000-00007A0C0000}"/>
    <cellStyle name="Currency 5 2 6 6 2 2" xfId="15154" xr:uid="{370B5C5B-BCCC-4B8E-9B4F-D599CD44DE32}"/>
    <cellStyle name="Currency 5 2 6 6 3" xfId="10936" xr:uid="{88D17D4D-DDFB-4430-AA19-7898815F72D4}"/>
    <cellStyle name="Currency 5 2 6 7" xfId="2731" xr:uid="{00000000-0005-0000-0000-00007B0C0000}"/>
    <cellStyle name="Currency 5 2 6 8" xfId="2812" xr:uid="{00000000-0005-0000-0000-00007C0C0000}"/>
    <cellStyle name="Currency 5 2 6 8 2" xfId="7036" xr:uid="{00000000-0005-0000-0000-00007D0C0000}"/>
    <cellStyle name="Currency 5 2 6 8 2 2" xfId="15471" xr:uid="{2E02E987-F55F-4254-B612-566E007FAFD3}"/>
    <cellStyle name="Currency 5 2 6 8 3" xfId="11253" xr:uid="{68B07654-E30F-4300-A246-9CEE6EBCB24F}"/>
    <cellStyle name="Currency 5 2 6 9" xfId="4653" xr:uid="{00000000-0005-0000-0000-00007E0C0000}"/>
    <cellStyle name="Currency 5 2 6 9 2" xfId="13088" xr:uid="{2A9B47F4-CC6D-48C6-94AD-058850B12A8A}"/>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0 2 2" xfId="15472" xr:uid="{6FEEF908-215E-4CDE-A0DD-0DAADFA5FA15}"/>
    <cellStyle name="Currency 5 3 2 10 3" xfId="11254" xr:uid="{CD5D94DF-C0D7-4DAF-94E4-3C94C96B0BF8}"/>
    <cellStyle name="Currency 5 3 2 11" xfId="4654" xr:uid="{00000000-0005-0000-0000-0000840C0000}"/>
    <cellStyle name="Currency 5 3 2 11 2" xfId="13089" xr:uid="{F776F106-AF19-455A-A1A0-D70911267130}"/>
    <cellStyle name="Currency 5 3 2 12" xfId="8871" xr:uid="{90DE0089-EB9D-416A-9647-E6B2BBE97165}"/>
    <cellStyle name="Currency 5 3 2 2" xfId="211" xr:uid="{00000000-0005-0000-0000-0000850C0000}"/>
    <cellStyle name="Currency 5 3 2 2 10" xfId="4655" xr:uid="{00000000-0005-0000-0000-0000860C0000}"/>
    <cellStyle name="Currency 5 3 2 2 10 2" xfId="13090" xr:uid="{B7FF8DC6-72A8-4ED9-A7EC-C850E4CC3075}"/>
    <cellStyle name="Currency 5 3 2 2 11" xfId="8872" xr:uid="{A93E805C-09F4-4351-9AF2-8C8C3594BD28}"/>
    <cellStyle name="Currency 5 3 2 2 2" xfId="212" xr:uid="{00000000-0005-0000-0000-0000870C0000}"/>
    <cellStyle name="Currency 5 3 2 2 2 10" xfId="8873" xr:uid="{10DAE2F0-8B9E-430C-B864-E767F7DB0A15}"/>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2 2 2" xfId="15650" xr:uid="{97411B83-1035-4E73-8646-45FA6BF3E35E}"/>
    <cellStyle name="Currency 5 3 2 2 2 2 2 3" xfId="11432" xr:uid="{706FDC0C-6265-4B82-9E06-C963A6AA6901}"/>
    <cellStyle name="Currency 5 3 2 2 2 2 3" xfId="5070" xr:uid="{00000000-0005-0000-0000-00008B0C0000}"/>
    <cellStyle name="Currency 5 3 2 2 2 2 3 2" xfId="13505" xr:uid="{F8580CD4-C8B9-43E0-96AC-1543C0D8F346}"/>
    <cellStyle name="Currency 5 3 2 2 2 2 4" xfId="9287" xr:uid="{E83A40A1-E68B-45CA-B530-4D1D03D3393D}"/>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2 2 2" xfId="16063" xr:uid="{C741D4F8-33C7-4845-ABA7-AA040FB975A7}"/>
    <cellStyle name="Currency 5 3 2 2 2 3 2 3" xfId="11845" xr:uid="{7DE38049-E849-475D-86CE-BC57E43691F3}"/>
    <cellStyle name="Currency 5 3 2 2 2 3 3" xfId="5483" xr:uid="{00000000-0005-0000-0000-00008F0C0000}"/>
    <cellStyle name="Currency 5 3 2 2 2 3 3 2" xfId="13918" xr:uid="{C2E03799-EB0C-4296-B5F3-26889FEB3937}"/>
    <cellStyle name="Currency 5 3 2 2 2 3 4" xfId="9700" xr:uid="{52359429-3BD5-4793-AD4D-10965B3CF2E2}"/>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2 2 2" xfId="16476" xr:uid="{97F83D8B-9B17-4B6A-B939-7FE268B33621}"/>
    <cellStyle name="Currency 5 3 2 2 2 4 2 3" xfId="12258" xr:uid="{118DDCC2-D0CF-4A99-A2B3-175057703BFA}"/>
    <cellStyle name="Currency 5 3 2 2 2 4 3" xfId="5896" xr:uid="{00000000-0005-0000-0000-0000930C0000}"/>
    <cellStyle name="Currency 5 3 2 2 2 4 3 2" xfId="14331" xr:uid="{54BFD23F-B30C-475A-B99B-62255851A8CE}"/>
    <cellStyle name="Currency 5 3 2 2 2 4 4" xfId="10113" xr:uid="{542EDC43-DFDA-4115-A64D-17E98BB8FE3B}"/>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2 2 2" xfId="16889" xr:uid="{45601C56-1960-422D-9A47-C6572F9D1E64}"/>
    <cellStyle name="Currency 5 3 2 2 2 5 2 3" xfId="12671" xr:uid="{9AD71790-2733-4D03-A6E9-37E81A623941}"/>
    <cellStyle name="Currency 5 3 2 2 2 5 3" xfId="6309" xr:uid="{00000000-0005-0000-0000-0000970C0000}"/>
    <cellStyle name="Currency 5 3 2 2 2 5 3 2" xfId="14744" xr:uid="{72EA6135-0C43-466E-9EC2-50CC64A76C2A}"/>
    <cellStyle name="Currency 5 3 2 2 2 5 4" xfId="10526" xr:uid="{3CCAA6D4-0633-4056-A05F-5D5B3BEC3252}"/>
    <cellStyle name="Currency 5 3 2 2 2 6" xfId="2437" xr:uid="{00000000-0005-0000-0000-0000980C0000}"/>
    <cellStyle name="Currency 5 3 2 2 2 6 2" xfId="6722" xr:uid="{00000000-0005-0000-0000-0000990C0000}"/>
    <cellStyle name="Currency 5 3 2 2 2 6 2 2" xfId="15157" xr:uid="{B4C272AB-7CEA-41B8-99C5-AB737E06144D}"/>
    <cellStyle name="Currency 5 3 2 2 2 6 3" xfId="10939" xr:uid="{18CE3DBC-5B1D-449F-BB8C-350EB97356A7}"/>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8 2 2" xfId="15474" xr:uid="{41822E9F-D308-4500-82D7-83BBDE0F80C0}"/>
    <cellStyle name="Currency 5 3 2 2 2 8 3" xfId="11256" xr:uid="{AC89DD8F-5399-4FA9-8C7A-ED5F82EEC906}"/>
    <cellStyle name="Currency 5 3 2 2 2 9" xfId="4656" xr:uid="{00000000-0005-0000-0000-00009D0C0000}"/>
    <cellStyle name="Currency 5 3 2 2 2 9 2" xfId="13091" xr:uid="{CCA75648-6C1A-4018-83DB-2E9B47446E1B}"/>
    <cellStyle name="Currency 5 3 2 2 3" xfId="738" xr:uid="{00000000-0005-0000-0000-00009E0C0000}"/>
    <cellStyle name="Currency 5 3 2 2 3 2" xfId="2991" xr:uid="{00000000-0005-0000-0000-00009F0C0000}"/>
    <cellStyle name="Currency 5 3 2 2 3 2 2" xfId="7214" xr:uid="{00000000-0005-0000-0000-0000A00C0000}"/>
    <cellStyle name="Currency 5 3 2 2 3 2 2 2" xfId="15649" xr:uid="{BCC8E2BB-6C17-45EC-B648-96420489A84E}"/>
    <cellStyle name="Currency 5 3 2 2 3 2 3" xfId="11431" xr:uid="{61C89031-69DF-4375-B921-F0856079C6F7}"/>
    <cellStyle name="Currency 5 3 2 2 3 3" xfId="5069" xr:uid="{00000000-0005-0000-0000-0000A10C0000}"/>
    <cellStyle name="Currency 5 3 2 2 3 3 2" xfId="13504" xr:uid="{6BB360FC-5096-4139-844E-C210610ABADE}"/>
    <cellStyle name="Currency 5 3 2 2 3 4" xfId="9286" xr:uid="{297BF52D-4CC5-4E7A-B2B5-717154A17EEF}"/>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2 2 2" xfId="16062" xr:uid="{5BE2EE58-B849-48DD-994D-D7CFC90CC576}"/>
    <cellStyle name="Currency 5 3 2 2 4 2 3" xfId="11844" xr:uid="{E2C9952C-8A6A-4C90-A9A1-F84799639D40}"/>
    <cellStyle name="Currency 5 3 2 2 4 3" xfId="5482" xr:uid="{00000000-0005-0000-0000-0000A50C0000}"/>
    <cellStyle name="Currency 5 3 2 2 4 3 2" xfId="13917" xr:uid="{F4066266-A0B5-41DC-9EAB-AED1B24A5DBF}"/>
    <cellStyle name="Currency 5 3 2 2 4 4" xfId="9699" xr:uid="{4D3BA056-DAFA-4CDC-9D7E-2F96A9D8947C}"/>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2 2 2" xfId="16475" xr:uid="{D6A95E81-8D21-409A-ABCE-6DA6D74CF185}"/>
    <cellStyle name="Currency 5 3 2 2 5 2 3" xfId="12257" xr:uid="{9920DEF8-B2E0-476B-844B-6BADBE2A27E6}"/>
    <cellStyle name="Currency 5 3 2 2 5 3" xfId="5895" xr:uid="{00000000-0005-0000-0000-0000A90C0000}"/>
    <cellStyle name="Currency 5 3 2 2 5 3 2" xfId="14330" xr:uid="{4178C36C-E780-4181-BB6D-B81DC64EAEDA}"/>
    <cellStyle name="Currency 5 3 2 2 5 4" xfId="10112" xr:uid="{D87DD2E6-A52D-43B5-B452-577837881035}"/>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2 2 2" xfId="16888" xr:uid="{99959791-B147-4BCD-930C-42BEDE0B8034}"/>
    <cellStyle name="Currency 5 3 2 2 6 2 3" xfId="12670" xr:uid="{EBE47072-27CF-4CBC-870F-B14D2AF7C980}"/>
    <cellStyle name="Currency 5 3 2 2 6 3" xfId="6308" xr:uid="{00000000-0005-0000-0000-0000AD0C0000}"/>
    <cellStyle name="Currency 5 3 2 2 6 3 2" xfId="14743" xr:uid="{BBD3BAFE-274C-4E48-8272-6864869895DE}"/>
    <cellStyle name="Currency 5 3 2 2 6 4" xfId="10525" xr:uid="{D1FDAF56-6A5B-4E1F-9E4C-BD665CEE7F84}"/>
    <cellStyle name="Currency 5 3 2 2 7" xfId="2436" xr:uid="{00000000-0005-0000-0000-0000AE0C0000}"/>
    <cellStyle name="Currency 5 3 2 2 7 2" xfId="6721" xr:uid="{00000000-0005-0000-0000-0000AF0C0000}"/>
    <cellStyle name="Currency 5 3 2 2 7 2 2" xfId="15156" xr:uid="{6BA91CC6-FC97-4C16-A57D-51E9F4D9BDA8}"/>
    <cellStyle name="Currency 5 3 2 2 7 3" xfId="10938" xr:uid="{3B0AE80C-438F-4B83-B355-160D41C4A0F4}"/>
    <cellStyle name="Currency 5 3 2 2 8" xfId="2733" xr:uid="{00000000-0005-0000-0000-0000B00C0000}"/>
    <cellStyle name="Currency 5 3 2 2 9" xfId="2814" xr:uid="{00000000-0005-0000-0000-0000B10C0000}"/>
    <cellStyle name="Currency 5 3 2 2 9 2" xfId="7038" xr:uid="{00000000-0005-0000-0000-0000B20C0000}"/>
    <cellStyle name="Currency 5 3 2 2 9 2 2" xfId="15473" xr:uid="{94D4370F-E12B-414A-98EF-DFF75A1BD395}"/>
    <cellStyle name="Currency 5 3 2 2 9 3" xfId="11255" xr:uid="{FBB844BF-F613-4CAD-BC9F-9013A85ACB5B}"/>
    <cellStyle name="Currency 5 3 2 3" xfId="213" xr:uid="{00000000-0005-0000-0000-0000B30C0000}"/>
    <cellStyle name="Currency 5 3 2 3 10" xfId="8874" xr:uid="{4EBC25EC-F284-40B8-9392-94F5BDE107F9}"/>
    <cellStyle name="Currency 5 3 2 3 2" xfId="740" xr:uid="{00000000-0005-0000-0000-0000B40C0000}"/>
    <cellStyle name="Currency 5 3 2 3 2 2" xfId="2993" xr:uid="{00000000-0005-0000-0000-0000B50C0000}"/>
    <cellStyle name="Currency 5 3 2 3 2 2 2" xfId="7216" xr:uid="{00000000-0005-0000-0000-0000B60C0000}"/>
    <cellStyle name="Currency 5 3 2 3 2 2 2 2" xfId="15651" xr:uid="{1F67682E-5FED-45E9-8AA0-1664A57BEFA6}"/>
    <cellStyle name="Currency 5 3 2 3 2 2 3" xfId="11433" xr:uid="{6193B52D-0369-4336-A4D0-AD3262CF87E9}"/>
    <cellStyle name="Currency 5 3 2 3 2 3" xfId="5071" xr:uid="{00000000-0005-0000-0000-0000B70C0000}"/>
    <cellStyle name="Currency 5 3 2 3 2 3 2" xfId="13506" xr:uid="{3717BA7D-1011-4D20-90A2-52C4475B56C7}"/>
    <cellStyle name="Currency 5 3 2 3 2 4" xfId="9288" xr:uid="{6B1AA81A-C6A8-4753-9550-C7D90698E4C3}"/>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2 2 2" xfId="16064" xr:uid="{DFF0A7AB-D235-4521-8C42-A11FE899C8DA}"/>
    <cellStyle name="Currency 5 3 2 3 3 2 3" xfId="11846" xr:uid="{ACD1DBF2-CE8A-42C4-863A-A3189942D6CC}"/>
    <cellStyle name="Currency 5 3 2 3 3 3" xfId="5484" xr:uid="{00000000-0005-0000-0000-0000BB0C0000}"/>
    <cellStyle name="Currency 5 3 2 3 3 3 2" xfId="13919" xr:uid="{25B68EC7-FC5B-4C54-A97F-370A0EEE768A}"/>
    <cellStyle name="Currency 5 3 2 3 3 4" xfId="9701" xr:uid="{B1F6DA39-5B7F-465A-9C1A-4A74A9755A56}"/>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2 2 2" xfId="16477" xr:uid="{399D446A-82A5-482B-B801-32BA792EFF94}"/>
    <cellStyle name="Currency 5 3 2 3 4 2 3" xfId="12259" xr:uid="{A42AB4D6-EBFD-43E0-B17D-00443DAB978D}"/>
    <cellStyle name="Currency 5 3 2 3 4 3" xfId="5897" xr:uid="{00000000-0005-0000-0000-0000BF0C0000}"/>
    <cellStyle name="Currency 5 3 2 3 4 3 2" xfId="14332" xr:uid="{26E39ACD-B17F-470F-AE52-91C0B05343ED}"/>
    <cellStyle name="Currency 5 3 2 3 4 4" xfId="10114" xr:uid="{BF050B19-CB05-4F6B-97CC-E20F73433C7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2 2 2" xfId="16890" xr:uid="{AD5627F0-2F76-4826-986E-D854C76CD428}"/>
    <cellStyle name="Currency 5 3 2 3 5 2 3" xfId="12672" xr:uid="{1F027BE8-CE10-44C9-84A0-D25271A2A4F2}"/>
    <cellStyle name="Currency 5 3 2 3 5 3" xfId="6310" xr:uid="{00000000-0005-0000-0000-0000C30C0000}"/>
    <cellStyle name="Currency 5 3 2 3 5 3 2" xfId="14745" xr:uid="{8E16D79F-11A7-4D14-B825-1CB92695365E}"/>
    <cellStyle name="Currency 5 3 2 3 5 4" xfId="10527" xr:uid="{6719F868-8FA2-4E4B-9D29-D1DBC2B1944A}"/>
    <cellStyle name="Currency 5 3 2 3 6" xfId="2438" xr:uid="{00000000-0005-0000-0000-0000C40C0000}"/>
    <cellStyle name="Currency 5 3 2 3 6 2" xfId="6723" xr:uid="{00000000-0005-0000-0000-0000C50C0000}"/>
    <cellStyle name="Currency 5 3 2 3 6 2 2" xfId="15158" xr:uid="{552183DD-D980-42F2-A01B-46C5363F33BC}"/>
    <cellStyle name="Currency 5 3 2 3 6 3" xfId="10940" xr:uid="{90B5F5DA-50B5-4397-8795-E7C29459968A}"/>
    <cellStyle name="Currency 5 3 2 3 7" xfId="2735" xr:uid="{00000000-0005-0000-0000-0000C60C0000}"/>
    <cellStyle name="Currency 5 3 2 3 8" xfId="2816" xr:uid="{00000000-0005-0000-0000-0000C70C0000}"/>
    <cellStyle name="Currency 5 3 2 3 8 2" xfId="7040" xr:uid="{00000000-0005-0000-0000-0000C80C0000}"/>
    <cellStyle name="Currency 5 3 2 3 8 2 2" xfId="15475" xr:uid="{29E2022D-8B1C-44F6-A8CC-991FA7FC6813}"/>
    <cellStyle name="Currency 5 3 2 3 8 3" xfId="11257" xr:uid="{E26C59AA-1D54-469E-AFA4-0973396AB272}"/>
    <cellStyle name="Currency 5 3 2 3 9" xfId="4657" xr:uid="{00000000-0005-0000-0000-0000C90C0000}"/>
    <cellStyle name="Currency 5 3 2 3 9 2" xfId="13092" xr:uid="{FE616C49-A96A-4B3C-B241-E9D032C4D892}"/>
    <cellStyle name="Currency 5 3 2 4" xfId="737" xr:uid="{00000000-0005-0000-0000-0000CA0C0000}"/>
    <cellStyle name="Currency 5 3 2 4 2" xfId="2990" xr:uid="{00000000-0005-0000-0000-0000CB0C0000}"/>
    <cellStyle name="Currency 5 3 2 4 2 2" xfId="7213" xr:uid="{00000000-0005-0000-0000-0000CC0C0000}"/>
    <cellStyle name="Currency 5 3 2 4 2 2 2" xfId="15648" xr:uid="{9BFADAF9-E8A4-4FD7-B9CF-73E181E6844F}"/>
    <cellStyle name="Currency 5 3 2 4 2 3" xfId="11430" xr:uid="{CC6F107F-709E-416E-B9F7-6EB3EE8215C7}"/>
    <cellStyle name="Currency 5 3 2 4 3" xfId="5068" xr:uid="{00000000-0005-0000-0000-0000CD0C0000}"/>
    <cellStyle name="Currency 5 3 2 4 3 2" xfId="13503" xr:uid="{447CF1FD-BF46-463D-AC5B-80996B4FEC58}"/>
    <cellStyle name="Currency 5 3 2 4 4" xfId="9285" xr:uid="{4ED80A8B-8754-43EF-B2FA-70E47F20AA1D}"/>
    <cellStyle name="Currency 5 3 2 5" xfId="1172" xr:uid="{00000000-0005-0000-0000-0000CE0C0000}"/>
    <cellStyle name="Currency 5 3 2 5 2" xfId="3403" xr:uid="{00000000-0005-0000-0000-0000CF0C0000}"/>
    <cellStyle name="Currency 5 3 2 5 2 2" xfId="7626" xr:uid="{00000000-0005-0000-0000-0000D00C0000}"/>
    <cellStyle name="Currency 5 3 2 5 2 2 2" xfId="16061" xr:uid="{C035F9F0-1BD8-4A30-AE15-963B934D865F}"/>
    <cellStyle name="Currency 5 3 2 5 2 3" xfId="11843" xr:uid="{410A288A-52BE-40AE-AB65-E8D993E014F5}"/>
    <cellStyle name="Currency 5 3 2 5 3" xfId="5481" xr:uid="{00000000-0005-0000-0000-0000D10C0000}"/>
    <cellStyle name="Currency 5 3 2 5 3 2" xfId="13916" xr:uid="{B90AE330-A0C4-4292-8B5C-16A80241CD29}"/>
    <cellStyle name="Currency 5 3 2 5 4" xfId="9698" xr:uid="{C3C4FA15-75A4-4667-9B99-24CD87D5AC9F}"/>
    <cellStyle name="Currency 5 3 2 6" xfId="1586" xr:uid="{00000000-0005-0000-0000-0000D20C0000}"/>
    <cellStyle name="Currency 5 3 2 6 2" xfId="3816" xr:uid="{00000000-0005-0000-0000-0000D30C0000}"/>
    <cellStyle name="Currency 5 3 2 6 2 2" xfId="8039" xr:uid="{00000000-0005-0000-0000-0000D40C0000}"/>
    <cellStyle name="Currency 5 3 2 6 2 2 2" xfId="16474" xr:uid="{E326E445-BC3D-4A1A-8280-BB9D0195E76F}"/>
    <cellStyle name="Currency 5 3 2 6 2 3" xfId="12256" xr:uid="{87A9F3D2-CA47-4A48-8DFE-C34477AC77E4}"/>
    <cellStyle name="Currency 5 3 2 6 3" xfId="5894" xr:uid="{00000000-0005-0000-0000-0000D50C0000}"/>
    <cellStyle name="Currency 5 3 2 6 3 2" xfId="14329" xr:uid="{07883472-AF61-44F0-ABCF-BF19FEA05171}"/>
    <cellStyle name="Currency 5 3 2 6 4" xfId="10111" xr:uid="{07AC9053-666B-426F-A146-9D06C5DCE483}"/>
    <cellStyle name="Currency 5 3 2 7" xfId="2000" xr:uid="{00000000-0005-0000-0000-0000D60C0000}"/>
    <cellStyle name="Currency 5 3 2 7 2" xfId="4229" xr:uid="{00000000-0005-0000-0000-0000D70C0000}"/>
    <cellStyle name="Currency 5 3 2 7 2 2" xfId="8452" xr:uid="{00000000-0005-0000-0000-0000D80C0000}"/>
    <cellStyle name="Currency 5 3 2 7 2 2 2" xfId="16887" xr:uid="{66227C8E-8376-40D6-9F23-D18FADF6FCE9}"/>
    <cellStyle name="Currency 5 3 2 7 2 3" xfId="12669" xr:uid="{8F6BD742-4C0F-41A3-A571-DD1A90E7D2BB}"/>
    <cellStyle name="Currency 5 3 2 7 3" xfId="6307" xr:uid="{00000000-0005-0000-0000-0000D90C0000}"/>
    <cellStyle name="Currency 5 3 2 7 3 2" xfId="14742" xr:uid="{CB5DAB11-6D51-468B-968F-A0A54F8AA057}"/>
    <cellStyle name="Currency 5 3 2 7 4" xfId="10524" xr:uid="{427DAF55-AE61-4E06-A917-3BDC1D3D10B3}"/>
    <cellStyle name="Currency 5 3 2 8" xfId="2435" xr:uid="{00000000-0005-0000-0000-0000DA0C0000}"/>
    <cellStyle name="Currency 5 3 2 8 2" xfId="6720" xr:uid="{00000000-0005-0000-0000-0000DB0C0000}"/>
    <cellStyle name="Currency 5 3 2 8 2 2" xfId="15155" xr:uid="{92E00E35-8430-4758-9E42-B49BC7E898BA}"/>
    <cellStyle name="Currency 5 3 2 8 3" xfId="10937" xr:uid="{FAD5F5A6-94B3-44C6-AFB6-FF6AE1AD2112}"/>
    <cellStyle name="Currency 5 3 2 9" xfId="2732" xr:uid="{00000000-0005-0000-0000-0000DC0C0000}"/>
    <cellStyle name="Currency 5 3 3" xfId="214" xr:uid="{00000000-0005-0000-0000-0000DD0C0000}"/>
    <cellStyle name="Currency 5 3 3 10" xfId="4658" xr:uid="{00000000-0005-0000-0000-0000DE0C0000}"/>
    <cellStyle name="Currency 5 3 3 10 2" xfId="13093" xr:uid="{279ECB41-6AF8-4C23-85FB-66A702101B74}"/>
    <cellStyle name="Currency 5 3 3 11" xfId="8875" xr:uid="{E245B958-83EF-4DEF-917B-3F2A6B60E9DE}"/>
    <cellStyle name="Currency 5 3 3 2" xfId="215" xr:uid="{00000000-0005-0000-0000-0000DF0C0000}"/>
    <cellStyle name="Currency 5 3 3 2 10" xfId="8876" xr:uid="{B06F7A6E-6C57-4C20-BC17-EB16A9AB1866}"/>
    <cellStyle name="Currency 5 3 3 2 2" xfId="742" xr:uid="{00000000-0005-0000-0000-0000E00C0000}"/>
    <cellStyle name="Currency 5 3 3 2 2 2" xfId="2995" xr:uid="{00000000-0005-0000-0000-0000E10C0000}"/>
    <cellStyle name="Currency 5 3 3 2 2 2 2" xfId="7218" xr:uid="{00000000-0005-0000-0000-0000E20C0000}"/>
    <cellStyle name="Currency 5 3 3 2 2 2 2 2" xfId="15653" xr:uid="{72A21A3F-CF15-4FFA-BD1C-045173DA7534}"/>
    <cellStyle name="Currency 5 3 3 2 2 2 3" xfId="11435" xr:uid="{F1771F90-99D8-43EB-8D7C-9E163DB90D55}"/>
    <cellStyle name="Currency 5 3 3 2 2 3" xfId="5073" xr:uid="{00000000-0005-0000-0000-0000E30C0000}"/>
    <cellStyle name="Currency 5 3 3 2 2 3 2" xfId="13508" xr:uid="{B73DDEE2-CF1E-45B9-AAF9-90173A313BED}"/>
    <cellStyle name="Currency 5 3 3 2 2 4" xfId="9290" xr:uid="{3DF7C7D6-4901-4453-8305-162C5387023E}"/>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2 2 2" xfId="16066" xr:uid="{5246E2A7-3E91-48A0-871C-BBF022232416}"/>
    <cellStyle name="Currency 5 3 3 2 3 2 3" xfId="11848" xr:uid="{6DC70434-9297-4E70-8899-21F14E636BCB}"/>
    <cellStyle name="Currency 5 3 3 2 3 3" xfId="5486" xr:uid="{00000000-0005-0000-0000-0000E70C0000}"/>
    <cellStyle name="Currency 5 3 3 2 3 3 2" xfId="13921" xr:uid="{25613776-2D2C-4103-8007-5255512B6167}"/>
    <cellStyle name="Currency 5 3 3 2 3 4" xfId="9703" xr:uid="{7C9C1922-2FCA-4272-8DCA-D5906328AAB6}"/>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2 2 2" xfId="16479" xr:uid="{597DD24F-DEE0-4AC1-B400-3174F30E4E26}"/>
    <cellStyle name="Currency 5 3 3 2 4 2 3" xfId="12261" xr:uid="{8E65E570-F2A6-4A03-9373-6788B72E21CA}"/>
    <cellStyle name="Currency 5 3 3 2 4 3" xfId="5899" xr:uid="{00000000-0005-0000-0000-0000EB0C0000}"/>
    <cellStyle name="Currency 5 3 3 2 4 3 2" xfId="14334" xr:uid="{DE239FB2-1770-4563-89CC-AFFAB36B2C4E}"/>
    <cellStyle name="Currency 5 3 3 2 4 4" xfId="10116" xr:uid="{ACB7D713-AD23-439E-BFBA-9E4DECD48221}"/>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2 2 2" xfId="16892" xr:uid="{21267363-A258-435E-A3BF-8DEFED066472}"/>
    <cellStyle name="Currency 5 3 3 2 5 2 3" xfId="12674" xr:uid="{6665B9CF-35BB-45C5-9D46-E88AC6C211B0}"/>
    <cellStyle name="Currency 5 3 3 2 5 3" xfId="6312" xr:uid="{00000000-0005-0000-0000-0000EF0C0000}"/>
    <cellStyle name="Currency 5 3 3 2 5 3 2" xfId="14747" xr:uid="{8F3E0CD4-50D0-4967-A1C4-EAB464A486A3}"/>
    <cellStyle name="Currency 5 3 3 2 5 4" xfId="10529" xr:uid="{23B6C99F-B2FA-47C2-9E82-BDDCEEF056DF}"/>
    <cellStyle name="Currency 5 3 3 2 6" xfId="2440" xr:uid="{00000000-0005-0000-0000-0000F00C0000}"/>
    <cellStyle name="Currency 5 3 3 2 6 2" xfId="6725" xr:uid="{00000000-0005-0000-0000-0000F10C0000}"/>
    <cellStyle name="Currency 5 3 3 2 6 2 2" xfId="15160" xr:uid="{E8C8C382-03A8-4FD9-BC5D-6EC30338DCAE}"/>
    <cellStyle name="Currency 5 3 3 2 6 3" xfId="10942" xr:uid="{B68C8481-2392-43AC-90CC-7B2236A8E4D7}"/>
    <cellStyle name="Currency 5 3 3 2 7" xfId="2737" xr:uid="{00000000-0005-0000-0000-0000F20C0000}"/>
    <cellStyle name="Currency 5 3 3 2 8" xfId="2818" xr:uid="{00000000-0005-0000-0000-0000F30C0000}"/>
    <cellStyle name="Currency 5 3 3 2 8 2" xfId="7042" xr:uid="{00000000-0005-0000-0000-0000F40C0000}"/>
    <cellStyle name="Currency 5 3 3 2 8 2 2" xfId="15477" xr:uid="{0995D0BB-C409-44BF-B091-B05132B7B800}"/>
    <cellStyle name="Currency 5 3 3 2 8 3" xfId="11259" xr:uid="{655CDAB7-7550-4AA5-AFB3-888178CCC9B6}"/>
    <cellStyle name="Currency 5 3 3 2 9" xfId="4659" xr:uid="{00000000-0005-0000-0000-0000F50C0000}"/>
    <cellStyle name="Currency 5 3 3 2 9 2" xfId="13094" xr:uid="{EA74424A-9229-41AB-A06E-EE5B7684BC9E}"/>
    <cellStyle name="Currency 5 3 3 3" xfId="741" xr:uid="{00000000-0005-0000-0000-0000F60C0000}"/>
    <cellStyle name="Currency 5 3 3 3 2" xfId="2994" xr:uid="{00000000-0005-0000-0000-0000F70C0000}"/>
    <cellStyle name="Currency 5 3 3 3 2 2" xfId="7217" xr:uid="{00000000-0005-0000-0000-0000F80C0000}"/>
    <cellStyle name="Currency 5 3 3 3 2 2 2" xfId="15652" xr:uid="{3D751078-A27A-4792-A99C-040B9A1383E3}"/>
    <cellStyle name="Currency 5 3 3 3 2 3" xfId="11434" xr:uid="{54D2F112-8AC0-495B-9E16-2A6EAD333DE3}"/>
    <cellStyle name="Currency 5 3 3 3 3" xfId="5072" xr:uid="{00000000-0005-0000-0000-0000F90C0000}"/>
    <cellStyle name="Currency 5 3 3 3 3 2" xfId="13507" xr:uid="{0D139817-D989-4753-B767-96AB111C47DD}"/>
    <cellStyle name="Currency 5 3 3 3 4" xfId="9289" xr:uid="{B0B469C3-0E64-4CB9-B4B3-72DFA0AE5010}"/>
    <cellStyle name="Currency 5 3 3 4" xfId="1176" xr:uid="{00000000-0005-0000-0000-0000FA0C0000}"/>
    <cellStyle name="Currency 5 3 3 4 2" xfId="3407" xr:uid="{00000000-0005-0000-0000-0000FB0C0000}"/>
    <cellStyle name="Currency 5 3 3 4 2 2" xfId="7630" xr:uid="{00000000-0005-0000-0000-0000FC0C0000}"/>
    <cellStyle name="Currency 5 3 3 4 2 2 2" xfId="16065" xr:uid="{0FFAD1ED-78E6-4EE7-896E-FF335FCA09DA}"/>
    <cellStyle name="Currency 5 3 3 4 2 3" xfId="11847" xr:uid="{5396BA00-2EA8-4BDC-8802-A9842C369CCD}"/>
    <cellStyle name="Currency 5 3 3 4 3" xfId="5485" xr:uid="{00000000-0005-0000-0000-0000FD0C0000}"/>
    <cellStyle name="Currency 5 3 3 4 3 2" xfId="13920" xr:uid="{F081CB4B-F46D-4F44-8B78-807AA6F2BA10}"/>
    <cellStyle name="Currency 5 3 3 4 4" xfId="9702" xr:uid="{71D72A78-9A47-4834-A0FC-2A8F77692E43}"/>
    <cellStyle name="Currency 5 3 3 5" xfId="1590" xr:uid="{00000000-0005-0000-0000-0000FE0C0000}"/>
    <cellStyle name="Currency 5 3 3 5 2" xfId="3820" xr:uid="{00000000-0005-0000-0000-0000FF0C0000}"/>
    <cellStyle name="Currency 5 3 3 5 2 2" xfId="8043" xr:uid="{00000000-0005-0000-0000-0000000D0000}"/>
    <cellStyle name="Currency 5 3 3 5 2 2 2" xfId="16478" xr:uid="{D3D9E16D-E523-4A86-BBE4-B3492C74DA0F}"/>
    <cellStyle name="Currency 5 3 3 5 2 3" xfId="12260" xr:uid="{2E43843C-8FA8-4811-83E4-014DE8A94742}"/>
    <cellStyle name="Currency 5 3 3 5 3" xfId="5898" xr:uid="{00000000-0005-0000-0000-0000010D0000}"/>
    <cellStyle name="Currency 5 3 3 5 3 2" xfId="14333" xr:uid="{F0CF1321-27C6-4BA3-A943-D375FD2936B3}"/>
    <cellStyle name="Currency 5 3 3 5 4" xfId="10115" xr:uid="{B04250F1-8402-4EA2-874F-B3B86D34AD43}"/>
    <cellStyle name="Currency 5 3 3 6" xfId="2004" xr:uid="{00000000-0005-0000-0000-0000020D0000}"/>
    <cellStyle name="Currency 5 3 3 6 2" xfId="4233" xr:uid="{00000000-0005-0000-0000-0000030D0000}"/>
    <cellStyle name="Currency 5 3 3 6 2 2" xfId="8456" xr:uid="{00000000-0005-0000-0000-0000040D0000}"/>
    <cellStyle name="Currency 5 3 3 6 2 2 2" xfId="16891" xr:uid="{0E1D904C-BEDB-4ABA-87C4-5670000D1270}"/>
    <cellStyle name="Currency 5 3 3 6 2 3" xfId="12673" xr:uid="{6F9E83F8-4489-47AF-B166-F62EB8E130D0}"/>
    <cellStyle name="Currency 5 3 3 6 3" xfId="6311" xr:uid="{00000000-0005-0000-0000-0000050D0000}"/>
    <cellStyle name="Currency 5 3 3 6 3 2" xfId="14746" xr:uid="{D14343CA-E78E-4C8D-B7B7-D9954447ABE7}"/>
    <cellStyle name="Currency 5 3 3 6 4" xfId="10528" xr:uid="{6C6F3C5D-BB24-4935-9F3A-2038B177C02E}"/>
    <cellStyle name="Currency 5 3 3 7" xfId="2439" xr:uid="{00000000-0005-0000-0000-0000060D0000}"/>
    <cellStyle name="Currency 5 3 3 7 2" xfId="6724" xr:uid="{00000000-0005-0000-0000-0000070D0000}"/>
    <cellStyle name="Currency 5 3 3 7 2 2" xfId="15159" xr:uid="{32BFDD11-D5A8-4975-B89D-C8E9F60C355E}"/>
    <cellStyle name="Currency 5 3 3 7 3" xfId="10941" xr:uid="{878FE38F-8678-4DED-890B-580FE2E326D8}"/>
    <cellStyle name="Currency 5 3 3 8" xfId="2736" xr:uid="{00000000-0005-0000-0000-0000080D0000}"/>
    <cellStyle name="Currency 5 3 3 9" xfId="2817" xr:uid="{00000000-0005-0000-0000-0000090D0000}"/>
    <cellStyle name="Currency 5 3 3 9 2" xfId="7041" xr:uid="{00000000-0005-0000-0000-00000A0D0000}"/>
    <cellStyle name="Currency 5 3 3 9 2 2" xfId="15476" xr:uid="{17041FD4-371C-4436-844F-715EF407707F}"/>
    <cellStyle name="Currency 5 3 3 9 3" xfId="11258" xr:uid="{9928CA77-635E-42EC-B59F-829144D137EE}"/>
    <cellStyle name="Currency 5 3 4" xfId="216" xr:uid="{00000000-0005-0000-0000-00000B0D0000}"/>
    <cellStyle name="Currency 5 3 4 10" xfId="8877" xr:uid="{0B30E3F5-BF3D-4E7C-BCB2-FABF39C3007A}"/>
    <cellStyle name="Currency 5 3 4 2" xfId="743" xr:uid="{00000000-0005-0000-0000-00000C0D0000}"/>
    <cellStyle name="Currency 5 3 4 2 2" xfId="2996" xr:uid="{00000000-0005-0000-0000-00000D0D0000}"/>
    <cellStyle name="Currency 5 3 4 2 2 2" xfId="7219" xr:uid="{00000000-0005-0000-0000-00000E0D0000}"/>
    <cellStyle name="Currency 5 3 4 2 2 2 2" xfId="15654" xr:uid="{E45C7BEE-E47A-4B3C-ACD5-26B6A3A6A934}"/>
    <cellStyle name="Currency 5 3 4 2 2 3" xfId="11436" xr:uid="{0F6CF6BD-1509-465F-A40F-28E0324367AF}"/>
    <cellStyle name="Currency 5 3 4 2 3" xfId="5074" xr:uid="{00000000-0005-0000-0000-00000F0D0000}"/>
    <cellStyle name="Currency 5 3 4 2 3 2" xfId="13509" xr:uid="{EF3E7A12-483E-410F-A884-72859CA8AD4A}"/>
    <cellStyle name="Currency 5 3 4 2 4" xfId="9291" xr:uid="{7E6E467D-8762-4D17-AC3F-71D420167260}"/>
    <cellStyle name="Currency 5 3 4 3" xfId="1178" xr:uid="{00000000-0005-0000-0000-0000100D0000}"/>
    <cellStyle name="Currency 5 3 4 3 2" xfId="3409" xr:uid="{00000000-0005-0000-0000-0000110D0000}"/>
    <cellStyle name="Currency 5 3 4 3 2 2" xfId="7632" xr:uid="{00000000-0005-0000-0000-0000120D0000}"/>
    <cellStyle name="Currency 5 3 4 3 2 2 2" xfId="16067" xr:uid="{E265C82B-9B3C-45D4-995A-BCC76AEB64F1}"/>
    <cellStyle name="Currency 5 3 4 3 2 3" xfId="11849" xr:uid="{E0AA9389-6571-47CE-B0CC-7A8DB9261C17}"/>
    <cellStyle name="Currency 5 3 4 3 3" xfId="5487" xr:uid="{00000000-0005-0000-0000-0000130D0000}"/>
    <cellStyle name="Currency 5 3 4 3 3 2" xfId="13922" xr:uid="{5EB1D50C-48F3-46B1-9E6D-CA01663ED57F}"/>
    <cellStyle name="Currency 5 3 4 3 4" xfId="9704" xr:uid="{53D0A48C-F2AE-41D8-A1ED-1E61BD0C79FC}"/>
    <cellStyle name="Currency 5 3 4 4" xfId="1592" xr:uid="{00000000-0005-0000-0000-0000140D0000}"/>
    <cellStyle name="Currency 5 3 4 4 2" xfId="3822" xr:uid="{00000000-0005-0000-0000-0000150D0000}"/>
    <cellStyle name="Currency 5 3 4 4 2 2" xfId="8045" xr:uid="{00000000-0005-0000-0000-0000160D0000}"/>
    <cellStyle name="Currency 5 3 4 4 2 2 2" xfId="16480" xr:uid="{2C8E7C1A-2670-4F97-AF80-3F79FDF9749F}"/>
    <cellStyle name="Currency 5 3 4 4 2 3" xfId="12262" xr:uid="{8E14EDF4-8EBE-4EC2-A5D1-D46D6D12A8B8}"/>
    <cellStyle name="Currency 5 3 4 4 3" xfId="5900" xr:uid="{00000000-0005-0000-0000-0000170D0000}"/>
    <cellStyle name="Currency 5 3 4 4 3 2" xfId="14335" xr:uid="{0F982311-C399-4A5B-8017-667C613A0056}"/>
    <cellStyle name="Currency 5 3 4 4 4" xfId="10117" xr:uid="{08D0F131-8E7E-42FF-B196-CF8F98AD122F}"/>
    <cellStyle name="Currency 5 3 4 5" xfId="2006" xr:uid="{00000000-0005-0000-0000-0000180D0000}"/>
    <cellStyle name="Currency 5 3 4 5 2" xfId="4235" xr:uid="{00000000-0005-0000-0000-0000190D0000}"/>
    <cellStyle name="Currency 5 3 4 5 2 2" xfId="8458" xr:uid="{00000000-0005-0000-0000-00001A0D0000}"/>
    <cellStyle name="Currency 5 3 4 5 2 2 2" xfId="16893" xr:uid="{48403DBA-4B2E-44A5-BC67-87E9807559A4}"/>
    <cellStyle name="Currency 5 3 4 5 2 3" xfId="12675" xr:uid="{89787D89-5B70-42FE-BD69-7FDD367569CF}"/>
    <cellStyle name="Currency 5 3 4 5 3" xfId="6313" xr:uid="{00000000-0005-0000-0000-00001B0D0000}"/>
    <cellStyle name="Currency 5 3 4 5 3 2" xfId="14748" xr:uid="{3814D522-FCC7-4F6D-ACF6-449906E03DAF}"/>
    <cellStyle name="Currency 5 3 4 5 4" xfId="10530" xr:uid="{A7515B81-9425-4B6D-95C0-FA600E55E89A}"/>
    <cellStyle name="Currency 5 3 4 6" xfId="2441" xr:uid="{00000000-0005-0000-0000-00001C0D0000}"/>
    <cellStyle name="Currency 5 3 4 6 2" xfId="6726" xr:uid="{00000000-0005-0000-0000-00001D0D0000}"/>
    <cellStyle name="Currency 5 3 4 6 2 2" xfId="15161" xr:uid="{F70D9883-1E20-4EF3-82AA-D8EB2B094CD3}"/>
    <cellStyle name="Currency 5 3 4 6 3" xfId="10943" xr:uid="{C7543126-4742-4F59-90D6-8C5A3CD54F13}"/>
    <cellStyle name="Currency 5 3 4 7" xfId="2738" xr:uid="{00000000-0005-0000-0000-00001E0D0000}"/>
    <cellStyle name="Currency 5 3 4 8" xfId="2819" xr:uid="{00000000-0005-0000-0000-00001F0D0000}"/>
    <cellStyle name="Currency 5 3 4 8 2" xfId="7043" xr:uid="{00000000-0005-0000-0000-0000200D0000}"/>
    <cellStyle name="Currency 5 3 4 8 2 2" xfId="15478" xr:uid="{BEEA3C75-198B-474C-A29F-9145A57E101F}"/>
    <cellStyle name="Currency 5 3 4 8 3" xfId="11260" xr:uid="{03259379-AB25-4EA7-8F90-6E9549AF2E11}"/>
    <cellStyle name="Currency 5 3 4 9" xfId="4660" xr:uid="{00000000-0005-0000-0000-0000210D0000}"/>
    <cellStyle name="Currency 5 3 4 9 2" xfId="13095" xr:uid="{94DECFC2-0928-41E0-A396-235B347344EF}"/>
    <cellStyle name="Currency 5 3 5" xfId="217" xr:uid="{00000000-0005-0000-0000-0000220D0000}"/>
    <cellStyle name="Currency 5 3 5 10" xfId="8878" xr:uid="{8AAAEC26-BB14-4EBF-A0BF-39FB5B60CDDA}"/>
    <cellStyle name="Currency 5 3 5 2" xfId="744" xr:uid="{00000000-0005-0000-0000-0000230D0000}"/>
    <cellStyle name="Currency 5 3 5 2 2" xfId="2997" xr:uid="{00000000-0005-0000-0000-0000240D0000}"/>
    <cellStyle name="Currency 5 3 5 2 2 2" xfId="7220" xr:uid="{00000000-0005-0000-0000-0000250D0000}"/>
    <cellStyle name="Currency 5 3 5 2 2 2 2" xfId="15655" xr:uid="{39B70BA4-4C94-4C7E-9EBC-A1FD77AE0375}"/>
    <cellStyle name="Currency 5 3 5 2 2 3" xfId="11437" xr:uid="{FB35E5ED-0C3F-4B17-A9FA-C06055484C1C}"/>
    <cellStyle name="Currency 5 3 5 2 3" xfId="5075" xr:uid="{00000000-0005-0000-0000-0000260D0000}"/>
    <cellStyle name="Currency 5 3 5 2 3 2" xfId="13510" xr:uid="{403384B8-A916-4165-A188-ECC2AF3BC2A5}"/>
    <cellStyle name="Currency 5 3 5 2 4" xfId="9292" xr:uid="{B1523D66-7FDA-464F-998C-CA889C04DC75}"/>
    <cellStyle name="Currency 5 3 5 3" xfId="1179" xr:uid="{00000000-0005-0000-0000-0000270D0000}"/>
    <cellStyle name="Currency 5 3 5 3 2" xfId="3410" xr:uid="{00000000-0005-0000-0000-0000280D0000}"/>
    <cellStyle name="Currency 5 3 5 3 2 2" xfId="7633" xr:uid="{00000000-0005-0000-0000-0000290D0000}"/>
    <cellStyle name="Currency 5 3 5 3 2 2 2" xfId="16068" xr:uid="{25136CFE-11E7-4525-83DF-61455A790A64}"/>
    <cellStyle name="Currency 5 3 5 3 2 3" xfId="11850" xr:uid="{F5BCB47A-D6B8-4A7A-97C8-0D482A0B6518}"/>
    <cellStyle name="Currency 5 3 5 3 3" xfId="5488" xr:uid="{00000000-0005-0000-0000-00002A0D0000}"/>
    <cellStyle name="Currency 5 3 5 3 3 2" xfId="13923" xr:uid="{5AA3F902-E799-44F2-B137-89F471BFF43B}"/>
    <cellStyle name="Currency 5 3 5 3 4" xfId="9705" xr:uid="{565CDE91-4149-4D85-8EEE-F6FA4A2BA457}"/>
    <cellStyle name="Currency 5 3 5 4" xfId="1593" xr:uid="{00000000-0005-0000-0000-00002B0D0000}"/>
    <cellStyle name="Currency 5 3 5 4 2" xfId="3823" xr:uid="{00000000-0005-0000-0000-00002C0D0000}"/>
    <cellStyle name="Currency 5 3 5 4 2 2" xfId="8046" xr:uid="{00000000-0005-0000-0000-00002D0D0000}"/>
    <cellStyle name="Currency 5 3 5 4 2 2 2" xfId="16481" xr:uid="{DECC7ABA-0EFF-4DD9-88F9-7C46B8DD0DA5}"/>
    <cellStyle name="Currency 5 3 5 4 2 3" xfId="12263" xr:uid="{81CCFF0E-9939-4F3B-863D-A3C0E93DFCDF}"/>
    <cellStyle name="Currency 5 3 5 4 3" xfId="5901" xr:uid="{00000000-0005-0000-0000-00002E0D0000}"/>
    <cellStyle name="Currency 5 3 5 4 3 2" xfId="14336" xr:uid="{37CA0FA7-F40C-44C2-A5CB-F435D877CC31}"/>
    <cellStyle name="Currency 5 3 5 4 4" xfId="10118" xr:uid="{CF7A096C-2424-43D6-B6E6-CB8CC0424C91}"/>
    <cellStyle name="Currency 5 3 5 5" xfId="2007" xr:uid="{00000000-0005-0000-0000-00002F0D0000}"/>
    <cellStyle name="Currency 5 3 5 5 2" xfId="4236" xr:uid="{00000000-0005-0000-0000-0000300D0000}"/>
    <cellStyle name="Currency 5 3 5 5 2 2" xfId="8459" xr:uid="{00000000-0005-0000-0000-0000310D0000}"/>
    <cellStyle name="Currency 5 3 5 5 2 2 2" xfId="16894" xr:uid="{F7749506-989E-493D-ACB6-341C6AD594B5}"/>
    <cellStyle name="Currency 5 3 5 5 2 3" xfId="12676" xr:uid="{07D61D19-816E-4B28-BDD9-75DEC028F1D0}"/>
    <cellStyle name="Currency 5 3 5 5 3" xfId="6314" xr:uid="{00000000-0005-0000-0000-0000320D0000}"/>
    <cellStyle name="Currency 5 3 5 5 3 2" xfId="14749" xr:uid="{CDB0FEF3-5CC8-4A2F-98C4-FB4C51C4CDE9}"/>
    <cellStyle name="Currency 5 3 5 5 4" xfId="10531" xr:uid="{12AB25F9-668E-4C45-8044-14E19026756E}"/>
    <cellStyle name="Currency 5 3 5 6" xfId="2442" xr:uid="{00000000-0005-0000-0000-0000330D0000}"/>
    <cellStyle name="Currency 5 3 5 6 2" xfId="6727" xr:uid="{00000000-0005-0000-0000-0000340D0000}"/>
    <cellStyle name="Currency 5 3 5 6 2 2" xfId="15162" xr:uid="{56A17FA0-1706-467C-ADB3-73C4A667AEC9}"/>
    <cellStyle name="Currency 5 3 5 6 3" xfId="10944" xr:uid="{87684FEA-B08F-42E7-9FDE-DC7DEEBBA272}"/>
    <cellStyle name="Currency 5 3 5 7" xfId="2739" xr:uid="{00000000-0005-0000-0000-0000350D0000}"/>
    <cellStyle name="Currency 5 3 5 8" xfId="2820" xr:uid="{00000000-0005-0000-0000-0000360D0000}"/>
    <cellStyle name="Currency 5 3 5 8 2" xfId="7044" xr:uid="{00000000-0005-0000-0000-0000370D0000}"/>
    <cellStyle name="Currency 5 3 5 8 2 2" xfId="15479" xr:uid="{29176A4F-B520-42B4-B207-3A0B0B6338E0}"/>
    <cellStyle name="Currency 5 3 5 8 3" xfId="11261" xr:uid="{AD1FEAA1-A15B-487B-81AC-F4B77D2FA85F}"/>
    <cellStyle name="Currency 5 3 5 9" xfId="4661" xr:uid="{00000000-0005-0000-0000-0000380D0000}"/>
    <cellStyle name="Currency 5 3 5 9 2" xfId="13096" xr:uid="{E30F52BA-2B85-42CF-9FA0-A37A00308708}"/>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10 2" xfId="13097" xr:uid="{6D51FCE6-4CA8-4CB3-96B8-00CC4FD16095}"/>
    <cellStyle name="Currency 5 5 11" xfId="8879" xr:uid="{C457EA76-318D-4FB6-81A5-4E4F1DF2FC99}"/>
    <cellStyle name="Currency 5 5 2" xfId="220" xr:uid="{00000000-0005-0000-0000-00003D0D0000}"/>
    <cellStyle name="Currency 5 5 2 10" xfId="8880" xr:uid="{568040E8-C054-4FE3-A806-00E80E1BF5DB}"/>
    <cellStyle name="Currency 5 5 2 2" xfId="747" xr:uid="{00000000-0005-0000-0000-00003E0D0000}"/>
    <cellStyle name="Currency 5 5 2 2 2" xfId="2999" xr:uid="{00000000-0005-0000-0000-00003F0D0000}"/>
    <cellStyle name="Currency 5 5 2 2 2 2" xfId="7222" xr:uid="{00000000-0005-0000-0000-0000400D0000}"/>
    <cellStyle name="Currency 5 5 2 2 2 2 2" xfId="15657" xr:uid="{5DF13A10-3864-43EB-A034-1935507466F4}"/>
    <cellStyle name="Currency 5 5 2 2 2 3" xfId="11439" xr:uid="{E2FE84A3-282D-4E68-B354-3C15853FF6B3}"/>
    <cellStyle name="Currency 5 5 2 2 3" xfId="5077" xr:uid="{00000000-0005-0000-0000-0000410D0000}"/>
    <cellStyle name="Currency 5 5 2 2 3 2" xfId="13512" xr:uid="{4CF9828E-EB7E-4A74-8134-4E6C474E0D68}"/>
    <cellStyle name="Currency 5 5 2 2 4" xfId="9294" xr:uid="{BCCDEEE3-9B39-45D7-9D59-739BFA10AC25}"/>
    <cellStyle name="Currency 5 5 2 3" xfId="1181" xr:uid="{00000000-0005-0000-0000-0000420D0000}"/>
    <cellStyle name="Currency 5 5 2 3 2" xfId="3412" xr:uid="{00000000-0005-0000-0000-0000430D0000}"/>
    <cellStyle name="Currency 5 5 2 3 2 2" xfId="7635" xr:uid="{00000000-0005-0000-0000-0000440D0000}"/>
    <cellStyle name="Currency 5 5 2 3 2 2 2" xfId="16070" xr:uid="{38B00DBA-8001-4A7F-90D1-E46E382FBCD7}"/>
    <cellStyle name="Currency 5 5 2 3 2 3" xfId="11852" xr:uid="{99B3C891-73A4-4038-8178-7B62B0D3204B}"/>
    <cellStyle name="Currency 5 5 2 3 3" xfId="5490" xr:uid="{00000000-0005-0000-0000-0000450D0000}"/>
    <cellStyle name="Currency 5 5 2 3 3 2" xfId="13925" xr:uid="{6FDF3536-9F7B-405B-92FB-1A0D85148168}"/>
    <cellStyle name="Currency 5 5 2 3 4" xfId="9707" xr:uid="{2E3BB896-11F9-4C48-BAE0-A54187BF6D9F}"/>
    <cellStyle name="Currency 5 5 2 4" xfId="1595" xr:uid="{00000000-0005-0000-0000-0000460D0000}"/>
    <cellStyle name="Currency 5 5 2 4 2" xfId="3825" xr:uid="{00000000-0005-0000-0000-0000470D0000}"/>
    <cellStyle name="Currency 5 5 2 4 2 2" xfId="8048" xr:uid="{00000000-0005-0000-0000-0000480D0000}"/>
    <cellStyle name="Currency 5 5 2 4 2 2 2" xfId="16483" xr:uid="{FBE351CB-D4CA-4BCA-8FEA-64BBE4F80C14}"/>
    <cellStyle name="Currency 5 5 2 4 2 3" xfId="12265" xr:uid="{DC8F2AA4-49AB-4DDD-A8E1-2C7D99AFFEED}"/>
    <cellStyle name="Currency 5 5 2 4 3" xfId="5903" xr:uid="{00000000-0005-0000-0000-0000490D0000}"/>
    <cellStyle name="Currency 5 5 2 4 3 2" xfId="14338" xr:uid="{7DAE26E5-E016-4A07-804B-6667F51F560F}"/>
    <cellStyle name="Currency 5 5 2 4 4" xfId="10120" xr:uid="{333C5CD3-B76D-4EA9-AEA7-2AD2CC318D6D}"/>
    <cellStyle name="Currency 5 5 2 5" xfId="2009" xr:uid="{00000000-0005-0000-0000-00004A0D0000}"/>
    <cellStyle name="Currency 5 5 2 5 2" xfId="4238" xr:uid="{00000000-0005-0000-0000-00004B0D0000}"/>
    <cellStyle name="Currency 5 5 2 5 2 2" xfId="8461" xr:uid="{00000000-0005-0000-0000-00004C0D0000}"/>
    <cellStyle name="Currency 5 5 2 5 2 2 2" xfId="16896" xr:uid="{F5945159-DA96-4941-9923-6CE4FC8EDA88}"/>
    <cellStyle name="Currency 5 5 2 5 2 3" xfId="12678" xr:uid="{BF3D76A4-7297-44A2-885A-E233154291BE}"/>
    <cellStyle name="Currency 5 5 2 5 3" xfId="6316" xr:uid="{00000000-0005-0000-0000-00004D0D0000}"/>
    <cellStyle name="Currency 5 5 2 5 3 2" xfId="14751" xr:uid="{B63B0C01-8012-4450-BEDC-8A0AAE008DD8}"/>
    <cellStyle name="Currency 5 5 2 5 4" xfId="10533" xr:uid="{6641BBC1-2E54-4ECE-9845-48CE648823F9}"/>
    <cellStyle name="Currency 5 5 2 6" xfId="2444" xr:uid="{00000000-0005-0000-0000-00004E0D0000}"/>
    <cellStyle name="Currency 5 5 2 6 2" xfId="6729" xr:uid="{00000000-0005-0000-0000-00004F0D0000}"/>
    <cellStyle name="Currency 5 5 2 6 2 2" xfId="15164" xr:uid="{0FEEAB40-D44B-4525-A479-6082DFCDA8D8}"/>
    <cellStyle name="Currency 5 5 2 6 3" xfId="10946" xr:uid="{7A991E79-DE5B-400D-872F-6F79F5D65E1F}"/>
    <cellStyle name="Currency 5 5 2 7" xfId="2741" xr:uid="{00000000-0005-0000-0000-0000500D0000}"/>
    <cellStyle name="Currency 5 5 2 8" xfId="2822" xr:uid="{00000000-0005-0000-0000-0000510D0000}"/>
    <cellStyle name="Currency 5 5 2 8 2" xfId="7046" xr:uid="{00000000-0005-0000-0000-0000520D0000}"/>
    <cellStyle name="Currency 5 5 2 8 2 2" xfId="15481" xr:uid="{8C86C082-34B8-40F8-97DB-4DFD0BC86F7F}"/>
    <cellStyle name="Currency 5 5 2 8 3" xfId="11263" xr:uid="{A253B121-57F4-4E10-BB58-7B35D80E8095}"/>
    <cellStyle name="Currency 5 5 2 9" xfId="4663" xr:uid="{00000000-0005-0000-0000-0000530D0000}"/>
    <cellStyle name="Currency 5 5 2 9 2" xfId="13098" xr:uid="{0683AD9E-D641-46E4-BD32-13B4F5A97BBE}"/>
    <cellStyle name="Currency 5 5 3" xfId="746" xr:uid="{00000000-0005-0000-0000-0000540D0000}"/>
    <cellStyle name="Currency 5 5 3 2" xfId="2998" xr:uid="{00000000-0005-0000-0000-0000550D0000}"/>
    <cellStyle name="Currency 5 5 3 2 2" xfId="7221" xr:uid="{00000000-0005-0000-0000-0000560D0000}"/>
    <cellStyle name="Currency 5 5 3 2 2 2" xfId="15656" xr:uid="{AC7A181A-3570-4857-BE69-E905F0BAD35E}"/>
    <cellStyle name="Currency 5 5 3 2 3" xfId="11438" xr:uid="{0FC5631E-B633-45E2-A33B-23C7694F1301}"/>
    <cellStyle name="Currency 5 5 3 3" xfId="5076" xr:uid="{00000000-0005-0000-0000-0000570D0000}"/>
    <cellStyle name="Currency 5 5 3 3 2" xfId="13511" xr:uid="{744650C9-68B3-4B42-A784-74B4EFCDD1B2}"/>
    <cellStyle name="Currency 5 5 3 4" xfId="9293" xr:uid="{D0B6812E-F99E-4729-A23D-AF1649FB5ADD}"/>
    <cellStyle name="Currency 5 5 4" xfId="1180" xr:uid="{00000000-0005-0000-0000-0000580D0000}"/>
    <cellStyle name="Currency 5 5 4 2" xfId="3411" xr:uid="{00000000-0005-0000-0000-0000590D0000}"/>
    <cellStyle name="Currency 5 5 4 2 2" xfId="7634" xr:uid="{00000000-0005-0000-0000-00005A0D0000}"/>
    <cellStyle name="Currency 5 5 4 2 2 2" xfId="16069" xr:uid="{9E7CA6F3-820B-483C-AA04-D30C46FF9E64}"/>
    <cellStyle name="Currency 5 5 4 2 3" xfId="11851" xr:uid="{E978D87B-4B0D-43A3-8C77-FCACF10FBF16}"/>
    <cellStyle name="Currency 5 5 4 3" xfId="5489" xr:uid="{00000000-0005-0000-0000-00005B0D0000}"/>
    <cellStyle name="Currency 5 5 4 3 2" xfId="13924" xr:uid="{9501E40E-AD1C-4D4C-9463-183DE948573B}"/>
    <cellStyle name="Currency 5 5 4 4" xfId="9706" xr:uid="{AD0CFB8B-FA06-4A51-9C82-D361603047C1}"/>
    <cellStyle name="Currency 5 5 5" xfId="1594" xr:uid="{00000000-0005-0000-0000-00005C0D0000}"/>
    <cellStyle name="Currency 5 5 5 2" xfId="3824" xr:uid="{00000000-0005-0000-0000-00005D0D0000}"/>
    <cellStyle name="Currency 5 5 5 2 2" xfId="8047" xr:uid="{00000000-0005-0000-0000-00005E0D0000}"/>
    <cellStyle name="Currency 5 5 5 2 2 2" xfId="16482" xr:uid="{B9B53756-5386-4A84-93BB-E0A736325F44}"/>
    <cellStyle name="Currency 5 5 5 2 3" xfId="12264" xr:uid="{3F7ACC9D-84EB-44B6-9C3E-48CF5426C9D5}"/>
    <cellStyle name="Currency 5 5 5 3" xfId="5902" xr:uid="{00000000-0005-0000-0000-00005F0D0000}"/>
    <cellStyle name="Currency 5 5 5 3 2" xfId="14337" xr:uid="{E7E6DC99-C689-4AED-96C0-42A9E5C901A2}"/>
    <cellStyle name="Currency 5 5 5 4" xfId="10119" xr:uid="{251C7F54-77EA-4F59-A8B2-E03EED4D37BF}"/>
    <cellStyle name="Currency 5 5 6" xfId="2008" xr:uid="{00000000-0005-0000-0000-0000600D0000}"/>
    <cellStyle name="Currency 5 5 6 2" xfId="4237" xr:uid="{00000000-0005-0000-0000-0000610D0000}"/>
    <cellStyle name="Currency 5 5 6 2 2" xfId="8460" xr:uid="{00000000-0005-0000-0000-0000620D0000}"/>
    <cellStyle name="Currency 5 5 6 2 2 2" xfId="16895" xr:uid="{675C3EFF-F48F-467C-8203-04D7C83FC1D8}"/>
    <cellStyle name="Currency 5 5 6 2 3" xfId="12677" xr:uid="{D6EC44A0-1035-4759-9507-7B045AE09313}"/>
    <cellStyle name="Currency 5 5 6 3" xfId="6315" xr:uid="{00000000-0005-0000-0000-0000630D0000}"/>
    <cellStyle name="Currency 5 5 6 3 2" xfId="14750" xr:uid="{02E8DE12-3189-4866-AD7D-5697CDAD83F5}"/>
    <cellStyle name="Currency 5 5 6 4" xfId="10532" xr:uid="{A1A323C7-5B4A-4DCA-9F94-ABE3782A7F06}"/>
    <cellStyle name="Currency 5 5 7" xfId="2443" xr:uid="{00000000-0005-0000-0000-0000640D0000}"/>
    <cellStyle name="Currency 5 5 7 2" xfId="6728" xr:uid="{00000000-0005-0000-0000-0000650D0000}"/>
    <cellStyle name="Currency 5 5 7 2 2" xfId="15163" xr:uid="{2856BCD7-10AB-4089-BC66-B3AAFB5A758E}"/>
    <cellStyle name="Currency 5 5 7 3" xfId="10945" xr:uid="{7BBF9A52-0470-4CE9-AFEB-B0C28E2A1201}"/>
    <cellStyle name="Currency 5 5 8" xfId="2740" xr:uid="{00000000-0005-0000-0000-0000660D0000}"/>
    <cellStyle name="Currency 5 5 9" xfId="2821" xr:uid="{00000000-0005-0000-0000-0000670D0000}"/>
    <cellStyle name="Currency 5 5 9 2" xfId="7045" xr:uid="{00000000-0005-0000-0000-0000680D0000}"/>
    <cellStyle name="Currency 5 5 9 2 2" xfId="15480" xr:uid="{955816AD-D11C-43A6-B2BD-97F6CF2481BA}"/>
    <cellStyle name="Currency 5 5 9 3" xfId="11262" xr:uid="{95CD6071-75D9-4784-945B-7E7861D268DF}"/>
    <cellStyle name="Currency 5 6" xfId="221" xr:uid="{00000000-0005-0000-0000-0000690D0000}"/>
    <cellStyle name="Currency 5 6 10" xfId="8881" xr:uid="{B43CE961-99B2-4563-874A-9E0CC7BC15E4}"/>
    <cellStyle name="Currency 5 6 2" xfId="748" xr:uid="{00000000-0005-0000-0000-00006A0D0000}"/>
    <cellStyle name="Currency 5 6 2 2" xfId="3000" xr:uid="{00000000-0005-0000-0000-00006B0D0000}"/>
    <cellStyle name="Currency 5 6 2 2 2" xfId="7223" xr:uid="{00000000-0005-0000-0000-00006C0D0000}"/>
    <cellStyle name="Currency 5 6 2 2 2 2" xfId="15658" xr:uid="{F103B6A7-F348-49CF-9D10-B899E031251A}"/>
    <cellStyle name="Currency 5 6 2 2 3" xfId="11440" xr:uid="{F3905A11-6024-4C59-BC01-F886FAAF8E0D}"/>
    <cellStyle name="Currency 5 6 2 3" xfId="5078" xr:uid="{00000000-0005-0000-0000-00006D0D0000}"/>
    <cellStyle name="Currency 5 6 2 3 2" xfId="13513" xr:uid="{2EA111C0-3328-4309-B0E0-0C7F6906AD19}"/>
    <cellStyle name="Currency 5 6 2 4" xfId="9295" xr:uid="{6C3929FF-CE71-40CE-8DE0-D1982F70D7D9}"/>
    <cellStyle name="Currency 5 6 3" xfId="1182" xr:uid="{00000000-0005-0000-0000-00006E0D0000}"/>
    <cellStyle name="Currency 5 6 3 2" xfId="3413" xr:uid="{00000000-0005-0000-0000-00006F0D0000}"/>
    <cellStyle name="Currency 5 6 3 2 2" xfId="7636" xr:uid="{00000000-0005-0000-0000-0000700D0000}"/>
    <cellStyle name="Currency 5 6 3 2 2 2" xfId="16071" xr:uid="{3F2F5190-AE41-480F-AFB2-452CF3C4526F}"/>
    <cellStyle name="Currency 5 6 3 2 3" xfId="11853" xr:uid="{F79CCFF6-DAF2-4886-95A6-45277DD5B18F}"/>
    <cellStyle name="Currency 5 6 3 3" xfId="5491" xr:uid="{00000000-0005-0000-0000-0000710D0000}"/>
    <cellStyle name="Currency 5 6 3 3 2" xfId="13926" xr:uid="{FA28CAAE-4A21-4212-9F2F-40CD33939011}"/>
    <cellStyle name="Currency 5 6 3 4" xfId="9708" xr:uid="{7B90ACAE-B0CF-4977-A14C-F292EFB1CFE3}"/>
    <cellStyle name="Currency 5 6 4" xfId="1596" xr:uid="{00000000-0005-0000-0000-0000720D0000}"/>
    <cellStyle name="Currency 5 6 4 2" xfId="3826" xr:uid="{00000000-0005-0000-0000-0000730D0000}"/>
    <cellStyle name="Currency 5 6 4 2 2" xfId="8049" xr:uid="{00000000-0005-0000-0000-0000740D0000}"/>
    <cellStyle name="Currency 5 6 4 2 2 2" xfId="16484" xr:uid="{A8E03948-DF21-4D39-900C-EE3BAA688665}"/>
    <cellStyle name="Currency 5 6 4 2 3" xfId="12266" xr:uid="{DCC866A7-5783-47E5-AF45-B8274613F618}"/>
    <cellStyle name="Currency 5 6 4 3" xfId="5904" xr:uid="{00000000-0005-0000-0000-0000750D0000}"/>
    <cellStyle name="Currency 5 6 4 3 2" xfId="14339" xr:uid="{54F64362-59C2-461C-9523-3936CCCC51D5}"/>
    <cellStyle name="Currency 5 6 4 4" xfId="10121" xr:uid="{A49AA01D-0868-48B1-9D61-27E48DB18F4D}"/>
    <cellStyle name="Currency 5 6 5" xfId="2010" xr:uid="{00000000-0005-0000-0000-0000760D0000}"/>
    <cellStyle name="Currency 5 6 5 2" xfId="4239" xr:uid="{00000000-0005-0000-0000-0000770D0000}"/>
    <cellStyle name="Currency 5 6 5 2 2" xfId="8462" xr:uid="{00000000-0005-0000-0000-0000780D0000}"/>
    <cellStyle name="Currency 5 6 5 2 2 2" xfId="16897" xr:uid="{5C1BB5FA-3156-44B1-92F4-3B917B932EC5}"/>
    <cellStyle name="Currency 5 6 5 2 3" xfId="12679" xr:uid="{248D0D3E-8525-4185-B12C-EDCDEDE6AF37}"/>
    <cellStyle name="Currency 5 6 5 3" xfId="6317" xr:uid="{00000000-0005-0000-0000-0000790D0000}"/>
    <cellStyle name="Currency 5 6 5 3 2" xfId="14752" xr:uid="{F86B32D0-4295-4A51-9A72-5DB5C62A9B3D}"/>
    <cellStyle name="Currency 5 6 5 4" xfId="10534" xr:uid="{6FAE37B9-F7E6-48B3-BAF6-60BAFE439E8C}"/>
    <cellStyle name="Currency 5 6 6" xfId="2445" xr:uid="{00000000-0005-0000-0000-00007A0D0000}"/>
    <cellStyle name="Currency 5 6 6 2" xfId="6730" xr:uid="{00000000-0005-0000-0000-00007B0D0000}"/>
    <cellStyle name="Currency 5 6 6 2 2" xfId="15165" xr:uid="{10BF9E16-B14F-462A-9C2E-2A7E3FB4FD94}"/>
    <cellStyle name="Currency 5 6 6 3" xfId="10947" xr:uid="{D6AC5C8A-B9A4-433B-B560-C894418BFDFC}"/>
    <cellStyle name="Currency 5 6 7" xfId="2742" xr:uid="{00000000-0005-0000-0000-00007C0D0000}"/>
    <cellStyle name="Currency 5 6 8" xfId="2823" xr:uid="{00000000-0005-0000-0000-00007D0D0000}"/>
    <cellStyle name="Currency 5 6 8 2" xfId="7047" xr:uid="{00000000-0005-0000-0000-00007E0D0000}"/>
    <cellStyle name="Currency 5 6 8 2 2" xfId="15482" xr:uid="{4425106C-B4A9-4175-A62A-CD5658672A10}"/>
    <cellStyle name="Currency 5 6 8 3" xfId="11264" xr:uid="{A1C60B66-24FC-4BAE-8B94-B6DDC9B08A63}"/>
    <cellStyle name="Currency 5 6 9" xfId="4664" xr:uid="{00000000-0005-0000-0000-00007F0D0000}"/>
    <cellStyle name="Currency 5 6 9 2" xfId="13099" xr:uid="{596544F3-A052-464C-9147-493A862DDCC3}"/>
    <cellStyle name="Currency 5 7" xfId="222" xr:uid="{00000000-0005-0000-0000-0000800D0000}"/>
    <cellStyle name="Currency 5 7 10" xfId="8882" xr:uid="{B0806712-F90C-4BBB-B066-B9C0E0D87772}"/>
    <cellStyle name="Currency 5 7 2" xfId="749" xr:uid="{00000000-0005-0000-0000-0000810D0000}"/>
    <cellStyle name="Currency 5 7 2 2" xfId="3001" xr:uid="{00000000-0005-0000-0000-0000820D0000}"/>
    <cellStyle name="Currency 5 7 2 2 2" xfId="7224" xr:uid="{00000000-0005-0000-0000-0000830D0000}"/>
    <cellStyle name="Currency 5 7 2 2 2 2" xfId="15659" xr:uid="{3FC830F9-FBE2-42A8-B767-4193C8DB5B8C}"/>
    <cellStyle name="Currency 5 7 2 2 3" xfId="11441" xr:uid="{A62BE9CE-502F-4846-9452-FBA44BF3DA56}"/>
    <cellStyle name="Currency 5 7 2 3" xfId="5079" xr:uid="{00000000-0005-0000-0000-0000840D0000}"/>
    <cellStyle name="Currency 5 7 2 3 2" xfId="13514" xr:uid="{A1511890-D0E0-4CC8-A0BB-689D79472681}"/>
    <cellStyle name="Currency 5 7 2 4" xfId="9296" xr:uid="{3060D8FD-D098-4083-982D-C572484D8EF7}"/>
    <cellStyle name="Currency 5 7 3" xfId="1183" xr:uid="{00000000-0005-0000-0000-0000850D0000}"/>
    <cellStyle name="Currency 5 7 3 2" xfId="3414" xr:uid="{00000000-0005-0000-0000-0000860D0000}"/>
    <cellStyle name="Currency 5 7 3 2 2" xfId="7637" xr:uid="{00000000-0005-0000-0000-0000870D0000}"/>
    <cellStyle name="Currency 5 7 3 2 2 2" xfId="16072" xr:uid="{7AE9C256-440F-4423-BC55-73816D5CB2BF}"/>
    <cellStyle name="Currency 5 7 3 2 3" xfId="11854" xr:uid="{E856D709-3824-4563-A837-8B809B537ED0}"/>
    <cellStyle name="Currency 5 7 3 3" xfId="5492" xr:uid="{00000000-0005-0000-0000-0000880D0000}"/>
    <cellStyle name="Currency 5 7 3 3 2" xfId="13927" xr:uid="{8E5E9B05-E6D2-465A-BF2F-14263CA8E446}"/>
    <cellStyle name="Currency 5 7 3 4" xfId="9709" xr:uid="{8028A9F5-AEB7-49DB-9B1F-4B755F368595}"/>
    <cellStyle name="Currency 5 7 4" xfId="1597" xr:uid="{00000000-0005-0000-0000-0000890D0000}"/>
    <cellStyle name="Currency 5 7 4 2" xfId="3827" xr:uid="{00000000-0005-0000-0000-00008A0D0000}"/>
    <cellStyle name="Currency 5 7 4 2 2" xfId="8050" xr:uid="{00000000-0005-0000-0000-00008B0D0000}"/>
    <cellStyle name="Currency 5 7 4 2 2 2" xfId="16485" xr:uid="{3E031463-2537-4ED0-9ACE-2BB15E7B6D94}"/>
    <cellStyle name="Currency 5 7 4 2 3" xfId="12267" xr:uid="{9A2BADD0-B560-4513-88FA-9B6FD37A2875}"/>
    <cellStyle name="Currency 5 7 4 3" xfId="5905" xr:uid="{00000000-0005-0000-0000-00008C0D0000}"/>
    <cellStyle name="Currency 5 7 4 3 2" xfId="14340" xr:uid="{6E9B760C-CD20-4605-8438-B49E07520F7E}"/>
    <cellStyle name="Currency 5 7 4 4" xfId="10122" xr:uid="{E58BC511-47CF-4543-A59A-23274E9BCD47}"/>
    <cellStyle name="Currency 5 7 5" xfId="2011" xr:uid="{00000000-0005-0000-0000-00008D0D0000}"/>
    <cellStyle name="Currency 5 7 5 2" xfId="4240" xr:uid="{00000000-0005-0000-0000-00008E0D0000}"/>
    <cellStyle name="Currency 5 7 5 2 2" xfId="8463" xr:uid="{00000000-0005-0000-0000-00008F0D0000}"/>
    <cellStyle name="Currency 5 7 5 2 2 2" xfId="16898" xr:uid="{DE9BF96B-16C7-49DB-AEE6-B0F87334ADCC}"/>
    <cellStyle name="Currency 5 7 5 2 3" xfId="12680" xr:uid="{AEC98EC3-078E-4F50-B845-7B59AC0ADE94}"/>
    <cellStyle name="Currency 5 7 5 3" xfId="6318" xr:uid="{00000000-0005-0000-0000-0000900D0000}"/>
    <cellStyle name="Currency 5 7 5 3 2" xfId="14753" xr:uid="{76FFFB1C-D5EC-4C1A-AD8E-E88343AE841C}"/>
    <cellStyle name="Currency 5 7 5 4" xfId="10535" xr:uid="{07D61B6F-7747-485E-B4F3-0EBBD0AAC6A1}"/>
    <cellStyle name="Currency 5 7 6" xfId="2446" xr:uid="{00000000-0005-0000-0000-0000910D0000}"/>
    <cellStyle name="Currency 5 7 6 2" xfId="6731" xr:uid="{00000000-0005-0000-0000-0000920D0000}"/>
    <cellStyle name="Currency 5 7 6 2 2" xfId="15166" xr:uid="{97584C00-E1B0-4D6D-A70A-D8FD3A43EA94}"/>
    <cellStyle name="Currency 5 7 6 3" xfId="10948" xr:uid="{B7082FED-110C-4B80-BB41-BCD9345FFAA2}"/>
    <cellStyle name="Currency 5 7 7" xfId="2743" xr:uid="{00000000-0005-0000-0000-0000930D0000}"/>
    <cellStyle name="Currency 5 7 8" xfId="2824" xr:uid="{00000000-0005-0000-0000-0000940D0000}"/>
    <cellStyle name="Currency 5 7 8 2" xfId="7048" xr:uid="{00000000-0005-0000-0000-0000950D0000}"/>
    <cellStyle name="Currency 5 7 8 2 2" xfId="15483" xr:uid="{42FF2F1A-8163-4941-8B85-145D8EB0CA3C}"/>
    <cellStyle name="Currency 5 7 8 3" xfId="11265" xr:uid="{444AE690-73C3-40DB-838A-D34F96D99818}"/>
    <cellStyle name="Currency 5 7 9" xfId="4665" xr:uid="{00000000-0005-0000-0000-0000960D0000}"/>
    <cellStyle name="Currency 5 7 9 2" xfId="13100" xr:uid="{53AB9CF4-CEDD-4F43-A55C-F8961FB62D88}"/>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0 2 2" xfId="15167" xr:uid="{9D118911-313C-4F57-9915-972102BC8BEA}"/>
    <cellStyle name="Normal 12 10 3" xfId="10949" xr:uid="{A9B7BF56-D9EA-43B4-A158-2556A7ADBD3B}"/>
    <cellStyle name="Normal 12 11" xfId="4666" xr:uid="{00000000-0005-0000-0000-0000CC0D0000}"/>
    <cellStyle name="Normal 12 11 2" xfId="13101" xr:uid="{905EF6D4-2D33-468F-A1B0-456EF4C74F3C}"/>
    <cellStyle name="Normal 12 12" xfId="8883" xr:uid="{F595C674-B970-47BD-8FBB-96F479CB0C86}"/>
    <cellStyle name="Normal 12 2" xfId="260" xr:uid="{00000000-0005-0000-0000-0000CD0D0000}"/>
    <cellStyle name="Normal 12 2 10" xfId="8884" xr:uid="{77B36EC7-22D4-4BE4-959D-B953E6028FBF}"/>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2 2 2" xfId="15663" xr:uid="{9ED4A046-75A1-49F7-9B0E-505845F6C324}"/>
    <cellStyle name="Normal 12 2 2 2 2 2 3" xfId="11445" xr:uid="{1A7754ED-B24A-43CC-968A-74B3F50D0081}"/>
    <cellStyle name="Normal 12 2 2 2 2 3" xfId="5083" xr:uid="{00000000-0005-0000-0000-0000D30D0000}"/>
    <cellStyle name="Normal 12 2 2 2 2 3 2" xfId="13518" xr:uid="{63059623-D42F-49A6-BE5D-8CA6A09DAE77}"/>
    <cellStyle name="Normal 12 2 2 2 2 4" xfId="9300" xr:uid="{A499C7B8-E64A-4938-9263-9CBFA6A0F56F}"/>
    <cellStyle name="Normal 12 2 2 2 3" xfId="1187" xr:uid="{00000000-0005-0000-0000-0000D40D0000}"/>
    <cellStyle name="Normal 12 2 2 2 3 2" xfId="3418" xr:uid="{00000000-0005-0000-0000-0000D50D0000}"/>
    <cellStyle name="Normal 12 2 2 2 3 2 2" xfId="7641" xr:uid="{00000000-0005-0000-0000-0000D60D0000}"/>
    <cellStyle name="Normal 12 2 2 2 3 2 2 2" xfId="16076" xr:uid="{4D29B20B-C3FB-461E-9285-5B72290DC724}"/>
    <cellStyle name="Normal 12 2 2 2 3 2 3" xfId="11858" xr:uid="{7927D2A6-1980-402A-97CE-E8C2E030C271}"/>
    <cellStyle name="Normal 12 2 2 2 3 3" xfId="5496" xr:uid="{00000000-0005-0000-0000-0000D70D0000}"/>
    <cellStyle name="Normal 12 2 2 2 3 3 2" xfId="13931" xr:uid="{B2B21419-2A21-4D74-865A-8F314B4E544A}"/>
    <cellStyle name="Normal 12 2 2 2 3 4" xfId="9713" xr:uid="{A78A9C60-DC88-4301-AE96-72909488AC77}"/>
    <cellStyle name="Normal 12 2 2 2 4" xfId="1601" xr:uid="{00000000-0005-0000-0000-0000D80D0000}"/>
    <cellStyle name="Normal 12 2 2 2 4 2" xfId="3831" xr:uid="{00000000-0005-0000-0000-0000D90D0000}"/>
    <cellStyle name="Normal 12 2 2 2 4 2 2" xfId="8054" xr:uid="{00000000-0005-0000-0000-0000DA0D0000}"/>
    <cellStyle name="Normal 12 2 2 2 4 2 2 2" xfId="16489" xr:uid="{93593EB9-07D6-4AAD-8924-C3FB24FA227F}"/>
    <cellStyle name="Normal 12 2 2 2 4 2 3" xfId="12271" xr:uid="{413E3ABC-F9B7-4AE5-B60F-21F72FDE8BDA}"/>
    <cellStyle name="Normal 12 2 2 2 4 3" xfId="5909" xr:uid="{00000000-0005-0000-0000-0000DB0D0000}"/>
    <cellStyle name="Normal 12 2 2 2 4 3 2" xfId="14344" xr:uid="{2E599919-D7EC-46E3-A8B8-DC09576340C6}"/>
    <cellStyle name="Normal 12 2 2 2 4 4" xfId="10126" xr:uid="{C4BF2C9B-C8A0-4595-ABCA-048944CD3177}"/>
    <cellStyle name="Normal 12 2 2 2 5" xfId="2015" xr:uid="{00000000-0005-0000-0000-0000DC0D0000}"/>
    <cellStyle name="Normal 12 2 2 2 5 2" xfId="4244" xr:uid="{00000000-0005-0000-0000-0000DD0D0000}"/>
    <cellStyle name="Normal 12 2 2 2 5 2 2" xfId="8467" xr:uid="{00000000-0005-0000-0000-0000DE0D0000}"/>
    <cellStyle name="Normal 12 2 2 2 5 2 2 2" xfId="16902" xr:uid="{9CD88F7D-2695-4941-A8AC-E5E11C72F0C0}"/>
    <cellStyle name="Normal 12 2 2 2 5 2 3" xfId="12684" xr:uid="{9F9CDF94-EE90-4692-8998-B1F15F0E68ED}"/>
    <cellStyle name="Normal 12 2 2 2 5 3" xfId="6322" xr:uid="{00000000-0005-0000-0000-0000DF0D0000}"/>
    <cellStyle name="Normal 12 2 2 2 5 3 2" xfId="14757" xr:uid="{BD6A6945-90B5-4819-A743-A932A38C63B4}"/>
    <cellStyle name="Normal 12 2 2 2 5 4" xfId="10539" xr:uid="{5A2981EA-71A4-42E0-9C54-FCA596D34313}"/>
    <cellStyle name="Normal 12 2 2 2 6" xfId="2451" xr:uid="{00000000-0005-0000-0000-0000E00D0000}"/>
    <cellStyle name="Normal 12 2 2 2 6 2" xfId="6735" xr:uid="{00000000-0005-0000-0000-0000E10D0000}"/>
    <cellStyle name="Normal 12 2 2 2 6 2 2" xfId="15170" xr:uid="{29ED5E30-E2C1-436E-96D2-30E4CCFD44B4}"/>
    <cellStyle name="Normal 12 2 2 2 6 3" xfId="10952" xr:uid="{1CF86F55-0486-492F-BD30-F594814838C7}"/>
    <cellStyle name="Normal 12 2 2 2 7" xfId="4669" xr:uid="{00000000-0005-0000-0000-0000E20D0000}"/>
    <cellStyle name="Normal 12 2 2 2 7 2" xfId="13104" xr:uid="{7006887D-0853-4156-861E-9C432C1C034E}"/>
    <cellStyle name="Normal 12 2 2 2 8" xfId="8886" xr:uid="{3F6F22B6-AA7D-4B30-8A69-8AEFFE88E31B}"/>
    <cellStyle name="Normal 12 2 2 3" xfId="763" xr:uid="{00000000-0005-0000-0000-0000E30D0000}"/>
    <cellStyle name="Normal 12 2 2 3 2" xfId="3004" xr:uid="{00000000-0005-0000-0000-0000E40D0000}"/>
    <cellStyle name="Normal 12 2 2 3 2 2" xfId="7227" xr:uid="{00000000-0005-0000-0000-0000E50D0000}"/>
    <cellStyle name="Normal 12 2 2 3 2 2 2" xfId="15662" xr:uid="{5A0243AC-2880-4DB2-B019-6946B5DE161C}"/>
    <cellStyle name="Normal 12 2 2 3 2 3" xfId="11444" xr:uid="{BCEB63DF-D29D-4B39-915F-F1D5C7C9AFEA}"/>
    <cellStyle name="Normal 12 2 2 3 3" xfId="5082" xr:uid="{00000000-0005-0000-0000-0000E60D0000}"/>
    <cellStyle name="Normal 12 2 2 3 3 2" xfId="13517" xr:uid="{1BE2C06D-B6B4-485E-A90A-A035891902AD}"/>
    <cellStyle name="Normal 12 2 2 3 4" xfId="9299" xr:uid="{25EFDC24-0281-43A2-8BE7-E0FC987C62F8}"/>
    <cellStyle name="Normal 12 2 2 4" xfId="1186" xr:uid="{00000000-0005-0000-0000-0000E70D0000}"/>
    <cellStyle name="Normal 12 2 2 4 2" xfId="3417" xr:uid="{00000000-0005-0000-0000-0000E80D0000}"/>
    <cellStyle name="Normal 12 2 2 4 2 2" xfId="7640" xr:uid="{00000000-0005-0000-0000-0000E90D0000}"/>
    <cellStyle name="Normal 12 2 2 4 2 2 2" xfId="16075" xr:uid="{9E77A3DA-693C-47A8-A6CE-267E11CC6B01}"/>
    <cellStyle name="Normal 12 2 2 4 2 3" xfId="11857" xr:uid="{7D93AF75-EA81-467D-AA5D-064C743B6E97}"/>
    <cellStyle name="Normal 12 2 2 4 3" xfId="5495" xr:uid="{00000000-0005-0000-0000-0000EA0D0000}"/>
    <cellStyle name="Normal 12 2 2 4 3 2" xfId="13930" xr:uid="{6442E69A-56D4-459C-955E-64BB909FE639}"/>
    <cellStyle name="Normal 12 2 2 4 4" xfId="9712" xr:uid="{A2523EBD-A374-4F7B-9AFD-07764DBDA315}"/>
    <cellStyle name="Normal 12 2 2 5" xfId="1600" xr:uid="{00000000-0005-0000-0000-0000EB0D0000}"/>
    <cellStyle name="Normal 12 2 2 5 2" xfId="3830" xr:uid="{00000000-0005-0000-0000-0000EC0D0000}"/>
    <cellStyle name="Normal 12 2 2 5 2 2" xfId="8053" xr:uid="{00000000-0005-0000-0000-0000ED0D0000}"/>
    <cellStyle name="Normal 12 2 2 5 2 2 2" xfId="16488" xr:uid="{E361005B-E44A-4750-A2A6-524AD1CAA992}"/>
    <cellStyle name="Normal 12 2 2 5 2 3" xfId="12270" xr:uid="{9AA3259C-88F2-41BE-8219-0C30EDB0257C}"/>
    <cellStyle name="Normal 12 2 2 5 3" xfId="5908" xr:uid="{00000000-0005-0000-0000-0000EE0D0000}"/>
    <cellStyle name="Normal 12 2 2 5 3 2" xfId="14343" xr:uid="{15CD5BB1-BBDD-40E4-BFE7-CE67A855F91D}"/>
    <cellStyle name="Normal 12 2 2 5 4" xfId="10125" xr:uid="{6E6AC2E9-DC5A-414E-9E4E-EAF65339D1F7}"/>
    <cellStyle name="Normal 12 2 2 6" xfId="2014" xr:uid="{00000000-0005-0000-0000-0000EF0D0000}"/>
    <cellStyle name="Normal 12 2 2 6 2" xfId="4243" xr:uid="{00000000-0005-0000-0000-0000F00D0000}"/>
    <cellStyle name="Normal 12 2 2 6 2 2" xfId="8466" xr:uid="{00000000-0005-0000-0000-0000F10D0000}"/>
    <cellStyle name="Normal 12 2 2 6 2 2 2" xfId="16901" xr:uid="{5526BE87-C3CF-4B75-B2CE-FB8B8B8DB7C2}"/>
    <cellStyle name="Normal 12 2 2 6 2 3" xfId="12683" xr:uid="{BFECA8F0-35A5-41DC-8ED8-9ED888B6F0C3}"/>
    <cellStyle name="Normal 12 2 2 6 3" xfId="6321" xr:uid="{00000000-0005-0000-0000-0000F20D0000}"/>
    <cellStyle name="Normal 12 2 2 6 3 2" xfId="14756" xr:uid="{28EA35C6-3632-4387-AD7C-C4616173991A}"/>
    <cellStyle name="Normal 12 2 2 6 4" xfId="10538" xr:uid="{3B2CA95B-CBA6-41A3-AB1B-CEAFF791E373}"/>
    <cellStyle name="Normal 12 2 2 7" xfId="2450" xr:uid="{00000000-0005-0000-0000-0000F30D0000}"/>
    <cellStyle name="Normal 12 2 2 7 2" xfId="6734" xr:uid="{00000000-0005-0000-0000-0000F40D0000}"/>
    <cellStyle name="Normal 12 2 2 7 2 2" xfId="15169" xr:uid="{F32E50F0-50E5-46EF-A7FC-61D83E9CAD5C}"/>
    <cellStyle name="Normal 12 2 2 7 3" xfId="10951" xr:uid="{CDBADB83-2372-4F28-A95C-664E71519206}"/>
    <cellStyle name="Normal 12 2 2 8" xfId="4668" xr:uid="{00000000-0005-0000-0000-0000F50D0000}"/>
    <cellStyle name="Normal 12 2 2 8 2" xfId="13103" xr:uid="{870E1C94-78EC-4D51-B14A-EF4B0E97E288}"/>
    <cellStyle name="Normal 12 2 2 9" xfId="8885" xr:uid="{AAB2E939-7F82-4B57-AFBE-1916B470A1D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2 2 2" xfId="15664" xr:uid="{35AF7D46-3F93-4089-B374-56D68E61E50F}"/>
    <cellStyle name="Normal 12 2 3 2 2 3" xfId="11446" xr:uid="{C9EA1C3D-8346-46D6-BD4C-A10015665907}"/>
    <cellStyle name="Normal 12 2 3 2 3" xfId="5084" xr:uid="{00000000-0005-0000-0000-0000FA0D0000}"/>
    <cellStyle name="Normal 12 2 3 2 3 2" xfId="13519" xr:uid="{4D5ADAA9-378A-47BF-8581-E66394814205}"/>
    <cellStyle name="Normal 12 2 3 2 4" xfId="9301" xr:uid="{6D3F50BB-F9E2-4F0E-8F4B-2BBFB66FD32D}"/>
    <cellStyle name="Normal 12 2 3 3" xfId="1188" xr:uid="{00000000-0005-0000-0000-0000FB0D0000}"/>
    <cellStyle name="Normal 12 2 3 3 2" xfId="3419" xr:uid="{00000000-0005-0000-0000-0000FC0D0000}"/>
    <cellStyle name="Normal 12 2 3 3 2 2" xfId="7642" xr:uid="{00000000-0005-0000-0000-0000FD0D0000}"/>
    <cellStyle name="Normal 12 2 3 3 2 2 2" xfId="16077" xr:uid="{8F053F8E-B9F9-412F-B479-C5D3237CFE0F}"/>
    <cellStyle name="Normal 12 2 3 3 2 3" xfId="11859" xr:uid="{FAB48D62-2572-4912-8BC6-D0D81A8BB49C}"/>
    <cellStyle name="Normal 12 2 3 3 3" xfId="5497" xr:uid="{00000000-0005-0000-0000-0000FE0D0000}"/>
    <cellStyle name="Normal 12 2 3 3 3 2" xfId="13932" xr:uid="{42B468CA-78E4-4F58-95CA-31251CA5710A}"/>
    <cellStyle name="Normal 12 2 3 3 4" xfId="9714" xr:uid="{7B3CDAB9-5E92-4224-95C1-BE5E72AA457B}"/>
    <cellStyle name="Normal 12 2 3 4" xfId="1602" xr:uid="{00000000-0005-0000-0000-0000FF0D0000}"/>
    <cellStyle name="Normal 12 2 3 4 2" xfId="3832" xr:uid="{00000000-0005-0000-0000-0000000E0000}"/>
    <cellStyle name="Normal 12 2 3 4 2 2" xfId="8055" xr:uid="{00000000-0005-0000-0000-0000010E0000}"/>
    <cellStyle name="Normal 12 2 3 4 2 2 2" xfId="16490" xr:uid="{6033CD45-854A-439D-9449-B954DFFC7017}"/>
    <cellStyle name="Normal 12 2 3 4 2 3" xfId="12272" xr:uid="{93F51871-2910-4BC1-A534-19DD5BE703AC}"/>
    <cellStyle name="Normal 12 2 3 4 3" xfId="5910" xr:uid="{00000000-0005-0000-0000-0000020E0000}"/>
    <cellStyle name="Normal 12 2 3 4 3 2" xfId="14345" xr:uid="{DF57CE7F-4D7C-4781-B6C0-A91CCA9C2D97}"/>
    <cellStyle name="Normal 12 2 3 4 4" xfId="10127" xr:uid="{6A274864-7229-4B6A-A2DF-D46FAB6BD9EC}"/>
    <cellStyle name="Normal 12 2 3 5" xfId="2016" xr:uid="{00000000-0005-0000-0000-0000030E0000}"/>
    <cellStyle name="Normal 12 2 3 5 2" xfId="4245" xr:uid="{00000000-0005-0000-0000-0000040E0000}"/>
    <cellStyle name="Normal 12 2 3 5 2 2" xfId="8468" xr:uid="{00000000-0005-0000-0000-0000050E0000}"/>
    <cellStyle name="Normal 12 2 3 5 2 2 2" xfId="16903" xr:uid="{EE39BD35-18C3-4833-AF79-E9AD0ACFF75A}"/>
    <cellStyle name="Normal 12 2 3 5 2 3" xfId="12685" xr:uid="{89E08CA1-1A36-405E-A132-02CC8CA28C55}"/>
    <cellStyle name="Normal 12 2 3 5 3" xfId="6323" xr:uid="{00000000-0005-0000-0000-0000060E0000}"/>
    <cellStyle name="Normal 12 2 3 5 3 2" xfId="14758" xr:uid="{1616E68B-E237-44F9-8DF6-CA897F51800B}"/>
    <cellStyle name="Normal 12 2 3 5 4" xfId="10540" xr:uid="{5F9F118C-D249-4F50-9A8C-011B19351C84}"/>
    <cellStyle name="Normal 12 2 3 6" xfId="2452" xr:uid="{00000000-0005-0000-0000-0000070E0000}"/>
    <cellStyle name="Normal 12 2 3 6 2" xfId="6736" xr:uid="{00000000-0005-0000-0000-0000080E0000}"/>
    <cellStyle name="Normal 12 2 3 6 2 2" xfId="15171" xr:uid="{D2436E5B-39F9-435B-BB55-9951D18FC1B1}"/>
    <cellStyle name="Normal 12 2 3 6 3" xfId="10953" xr:uid="{99E9114D-2C7A-41C8-A299-4BF613BA2EB6}"/>
    <cellStyle name="Normal 12 2 3 7" xfId="4670" xr:uid="{00000000-0005-0000-0000-0000090E0000}"/>
    <cellStyle name="Normal 12 2 3 7 2" xfId="13105" xr:uid="{0772C4CF-257F-44AD-B872-BF74E64F8803}"/>
    <cellStyle name="Normal 12 2 3 8" xfId="8887" xr:uid="{2E744E8D-0B4E-42DF-9D8F-4F131AD92B60}"/>
    <cellStyle name="Normal 12 2 4" xfId="762" xr:uid="{00000000-0005-0000-0000-00000A0E0000}"/>
    <cellStyle name="Normal 12 2 4 2" xfId="3003" xr:uid="{00000000-0005-0000-0000-00000B0E0000}"/>
    <cellStyle name="Normal 12 2 4 2 2" xfId="7226" xr:uid="{00000000-0005-0000-0000-00000C0E0000}"/>
    <cellStyle name="Normal 12 2 4 2 2 2" xfId="15661" xr:uid="{0FE596EE-203E-4DEA-8487-969769389C2A}"/>
    <cellStyle name="Normal 12 2 4 2 3" xfId="11443" xr:uid="{44423DCB-01DE-4EF1-A812-32448D77BCE8}"/>
    <cellStyle name="Normal 12 2 4 3" xfId="5081" xr:uid="{00000000-0005-0000-0000-00000D0E0000}"/>
    <cellStyle name="Normal 12 2 4 3 2" xfId="13516" xr:uid="{27F0B71F-2B27-46AE-B89E-9E28C7C58D06}"/>
    <cellStyle name="Normal 12 2 4 4" xfId="9298" xr:uid="{D8BEC8A0-4102-4589-876F-1BF4D4C4817D}"/>
    <cellStyle name="Normal 12 2 5" xfId="1185" xr:uid="{00000000-0005-0000-0000-00000E0E0000}"/>
    <cellStyle name="Normal 12 2 5 2" xfId="3416" xr:uid="{00000000-0005-0000-0000-00000F0E0000}"/>
    <cellStyle name="Normal 12 2 5 2 2" xfId="7639" xr:uid="{00000000-0005-0000-0000-0000100E0000}"/>
    <cellStyle name="Normal 12 2 5 2 2 2" xfId="16074" xr:uid="{148F0D60-16EA-4A0B-82A3-24C0848E199B}"/>
    <cellStyle name="Normal 12 2 5 2 3" xfId="11856" xr:uid="{72937A45-2380-4073-BF54-153E9B0D5D93}"/>
    <cellStyle name="Normal 12 2 5 3" xfId="5494" xr:uid="{00000000-0005-0000-0000-0000110E0000}"/>
    <cellStyle name="Normal 12 2 5 3 2" xfId="13929" xr:uid="{5E6B045E-CD5C-46E4-B754-3A88C7C87D4C}"/>
    <cellStyle name="Normal 12 2 5 4" xfId="9711" xr:uid="{921BDBCD-F390-47F7-827A-C90467CB5B5F}"/>
    <cellStyle name="Normal 12 2 6" xfId="1599" xr:uid="{00000000-0005-0000-0000-0000120E0000}"/>
    <cellStyle name="Normal 12 2 6 2" xfId="3829" xr:uid="{00000000-0005-0000-0000-0000130E0000}"/>
    <cellStyle name="Normal 12 2 6 2 2" xfId="8052" xr:uid="{00000000-0005-0000-0000-0000140E0000}"/>
    <cellStyle name="Normal 12 2 6 2 2 2" xfId="16487" xr:uid="{9189F138-CF45-4A13-B076-8CFF202FA31C}"/>
    <cellStyle name="Normal 12 2 6 2 3" xfId="12269" xr:uid="{F9EA6D65-E347-450F-9962-2C2F4F7FDD32}"/>
    <cellStyle name="Normal 12 2 6 3" xfId="5907" xr:uid="{00000000-0005-0000-0000-0000150E0000}"/>
    <cellStyle name="Normal 12 2 6 3 2" xfId="14342" xr:uid="{80411A7D-B97C-454E-9EB5-4579E9E7AC2F}"/>
    <cellStyle name="Normal 12 2 6 4" xfId="10124" xr:uid="{745731D7-6806-42A4-A793-BCA4B0C07715}"/>
    <cellStyle name="Normal 12 2 7" xfId="2013" xr:uid="{00000000-0005-0000-0000-0000160E0000}"/>
    <cellStyle name="Normal 12 2 7 2" xfId="4242" xr:uid="{00000000-0005-0000-0000-0000170E0000}"/>
    <cellStyle name="Normal 12 2 7 2 2" xfId="8465" xr:uid="{00000000-0005-0000-0000-0000180E0000}"/>
    <cellStyle name="Normal 12 2 7 2 2 2" xfId="16900" xr:uid="{277D5798-AAF6-469B-87E2-AAB1FE470AC4}"/>
    <cellStyle name="Normal 12 2 7 2 3" xfId="12682" xr:uid="{A4D2E195-6A04-4EC5-909E-47727D651D99}"/>
    <cellStyle name="Normal 12 2 7 3" xfId="6320" xr:uid="{00000000-0005-0000-0000-0000190E0000}"/>
    <cellStyle name="Normal 12 2 7 3 2" xfId="14755" xr:uid="{7DDEE2BB-2145-4F1B-9BB1-55AAF633688A}"/>
    <cellStyle name="Normal 12 2 7 4" xfId="10537" xr:uid="{4793DD07-0E33-424C-AE86-21535FD0B361}"/>
    <cellStyle name="Normal 12 2 8" xfId="2449" xr:uid="{00000000-0005-0000-0000-00001A0E0000}"/>
    <cellStyle name="Normal 12 2 8 2" xfId="6733" xr:uid="{00000000-0005-0000-0000-00001B0E0000}"/>
    <cellStyle name="Normal 12 2 8 2 2" xfId="15168" xr:uid="{80E6E382-FBA6-46F9-8C28-40D8235A5A0B}"/>
    <cellStyle name="Normal 12 2 8 3" xfId="10950" xr:uid="{71F0CE2C-03BC-4727-8596-D607CD0798C4}"/>
    <cellStyle name="Normal 12 2 9" xfId="4667" xr:uid="{00000000-0005-0000-0000-00001C0E0000}"/>
    <cellStyle name="Normal 12 2 9 2" xfId="13102" xr:uid="{59020C4B-7CB3-4A1E-A84E-4C7592A555C7}"/>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2 2 2" xfId="15666" xr:uid="{31D1AF10-CF52-488F-9D4F-9831E43C7161}"/>
    <cellStyle name="Normal 12 3 2 2 2 3" xfId="11448" xr:uid="{5074BAAA-DEDE-4AA2-A248-26F8DD98475F}"/>
    <cellStyle name="Normal 12 3 2 2 3" xfId="5086" xr:uid="{00000000-0005-0000-0000-0000220E0000}"/>
    <cellStyle name="Normal 12 3 2 2 3 2" xfId="13521" xr:uid="{6CB1EB6B-7F71-4F57-978A-CB1A980DA63B}"/>
    <cellStyle name="Normal 12 3 2 2 4" xfId="9303" xr:uid="{5C562FF9-5332-45A9-90FC-33AD018F859C}"/>
    <cellStyle name="Normal 12 3 2 3" xfId="1190" xr:uid="{00000000-0005-0000-0000-0000230E0000}"/>
    <cellStyle name="Normal 12 3 2 3 2" xfId="3421" xr:uid="{00000000-0005-0000-0000-0000240E0000}"/>
    <cellStyle name="Normal 12 3 2 3 2 2" xfId="7644" xr:uid="{00000000-0005-0000-0000-0000250E0000}"/>
    <cellStyle name="Normal 12 3 2 3 2 2 2" xfId="16079" xr:uid="{A7943156-5FBB-4EAD-B5D5-F82D65F528F1}"/>
    <cellStyle name="Normal 12 3 2 3 2 3" xfId="11861" xr:uid="{C9E48960-DAAC-483F-B03A-15A1F7B4EFE7}"/>
    <cellStyle name="Normal 12 3 2 3 3" xfId="5499" xr:uid="{00000000-0005-0000-0000-0000260E0000}"/>
    <cellStyle name="Normal 12 3 2 3 3 2" xfId="13934" xr:uid="{E5BB5912-C738-4EFA-B7F3-CF1A22EBA049}"/>
    <cellStyle name="Normal 12 3 2 3 4" xfId="9716" xr:uid="{2FC56992-5C98-4763-9339-DBF3B969692C}"/>
    <cellStyle name="Normal 12 3 2 4" xfId="1604" xr:uid="{00000000-0005-0000-0000-0000270E0000}"/>
    <cellStyle name="Normal 12 3 2 4 2" xfId="3834" xr:uid="{00000000-0005-0000-0000-0000280E0000}"/>
    <cellStyle name="Normal 12 3 2 4 2 2" xfId="8057" xr:uid="{00000000-0005-0000-0000-0000290E0000}"/>
    <cellStyle name="Normal 12 3 2 4 2 2 2" xfId="16492" xr:uid="{59F189F4-A985-40B3-8365-37B4AE5A8D55}"/>
    <cellStyle name="Normal 12 3 2 4 2 3" xfId="12274" xr:uid="{802E1E3E-8B79-4D3F-905D-BD0A860E4126}"/>
    <cellStyle name="Normal 12 3 2 4 3" xfId="5912" xr:uid="{00000000-0005-0000-0000-00002A0E0000}"/>
    <cellStyle name="Normal 12 3 2 4 3 2" xfId="14347" xr:uid="{F987E0DD-2565-413B-8912-2F90B00A3813}"/>
    <cellStyle name="Normal 12 3 2 4 4" xfId="10129" xr:uid="{7D5BD0B2-309D-45BB-96F6-B6546E234F31}"/>
    <cellStyle name="Normal 12 3 2 5" xfId="2018" xr:uid="{00000000-0005-0000-0000-00002B0E0000}"/>
    <cellStyle name="Normal 12 3 2 5 2" xfId="4247" xr:uid="{00000000-0005-0000-0000-00002C0E0000}"/>
    <cellStyle name="Normal 12 3 2 5 2 2" xfId="8470" xr:uid="{00000000-0005-0000-0000-00002D0E0000}"/>
    <cellStyle name="Normal 12 3 2 5 2 2 2" xfId="16905" xr:uid="{9BD61CD4-D1A1-4CDA-9E7E-4CDF6A1A0A2B}"/>
    <cellStyle name="Normal 12 3 2 5 2 3" xfId="12687" xr:uid="{A487D9FF-C1CB-4395-90F9-0FCA37625323}"/>
    <cellStyle name="Normal 12 3 2 5 3" xfId="6325" xr:uid="{00000000-0005-0000-0000-00002E0E0000}"/>
    <cellStyle name="Normal 12 3 2 5 3 2" xfId="14760" xr:uid="{65E2A18D-5043-4C91-97E9-E5D054A5EDE2}"/>
    <cellStyle name="Normal 12 3 2 5 4" xfId="10542" xr:uid="{BAE7EE0F-3D6F-4032-9A30-5AE0C05CD228}"/>
    <cellStyle name="Normal 12 3 2 6" xfId="2454" xr:uid="{00000000-0005-0000-0000-00002F0E0000}"/>
    <cellStyle name="Normal 12 3 2 6 2" xfId="6738" xr:uid="{00000000-0005-0000-0000-0000300E0000}"/>
    <cellStyle name="Normal 12 3 2 6 2 2" xfId="15173" xr:uid="{94205FA6-835C-4534-9F1F-64A860A03284}"/>
    <cellStyle name="Normal 12 3 2 6 3" xfId="10955" xr:uid="{4845BECF-9294-42D3-958F-90AF48987A49}"/>
    <cellStyle name="Normal 12 3 2 7" xfId="4672" xr:uid="{00000000-0005-0000-0000-0000310E0000}"/>
    <cellStyle name="Normal 12 3 2 7 2" xfId="13107" xr:uid="{6C490D5E-9B9A-4362-81C8-847DB7F15944}"/>
    <cellStyle name="Normal 12 3 2 8" xfId="8889" xr:uid="{D29DC9F7-7EC0-499D-B5FB-BD279F304DC3}"/>
    <cellStyle name="Normal 12 3 3" xfId="766" xr:uid="{00000000-0005-0000-0000-0000320E0000}"/>
    <cellStyle name="Normal 12 3 3 2" xfId="3007" xr:uid="{00000000-0005-0000-0000-0000330E0000}"/>
    <cellStyle name="Normal 12 3 3 2 2" xfId="7230" xr:uid="{00000000-0005-0000-0000-0000340E0000}"/>
    <cellStyle name="Normal 12 3 3 2 2 2" xfId="15665" xr:uid="{DADBB198-9AD4-43DD-8148-725FCE78F056}"/>
    <cellStyle name="Normal 12 3 3 2 3" xfId="11447" xr:uid="{FC66D9AD-3460-4234-8FA6-14BBA3B0570B}"/>
    <cellStyle name="Normal 12 3 3 3" xfId="5085" xr:uid="{00000000-0005-0000-0000-0000350E0000}"/>
    <cellStyle name="Normal 12 3 3 3 2" xfId="13520" xr:uid="{08186B88-DFC9-4EAA-AE0F-DC55C48BDD4D}"/>
    <cellStyle name="Normal 12 3 3 4" xfId="9302" xr:uid="{FB8C7EE7-9A3E-4953-80DB-1909332A887F}"/>
    <cellStyle name="Normal 12 3 4" xfId="1189" xr:uid="{00000000-0005-0000-0000-0000360E0000}"/>
    <cellStyle name="Normal 12 3 4 2" xfId="3420" xr:uid="{00000000-0005-0000-0000-0000370E0000}"/>
    <cellStyle name="Normal 12 3 4 2 2" xfId="7643" xr:uid="{00000000-0005-0000-0000-0000380E0000}"/>
    <cellStyle name="Normal 12 3 4 2 2 2" xfId="16078" xr:uid="{FAA594C1-E5E9-4C6C-92DF-1CF92A87D467}"/>
    <cellStyle name="Normal 12 3 4 2 3" xfId="11860" xr:uid="{18DD2AD0-F4E7-44B1-881A-2E7D43F8872A}"/>
    <cellStyle name="Normal 12 3 4 3" xfId="5498" xr:uid="{00000000-0005-0000-0000-0000390E0000}"/>
    <cellStyle name="Normal 12 3 4 3 2" xfId="13933" xr:uid="{8A084915-2D6B-4CAC-985E-E933D2F1A49F}"/>
    <cellStyle name="Normal 12 3 4 4" xfId="9715" xr:uid="{BB6FE506-A74D-4159-B76D-BAFCBBA7A85B}"/>
    <cellStyle name="Normal 12 3 5" xfId="1603" xr:uid="{00000000-0005-0000-0000-00003A0E0000}"/>
    <cellStyle name="Normal 12 3 5 2" xfId="3833" xr:uid="{00000000-0005-0000-0000-00003B0E0000}"/>
    <cellStyle name="Normal 12 3 5 2 2" xfId="8056" xr:uid="{00000000-0005-0000-0000-00003C0E0000}"/>
    <cellStyle name="Normal 12 3 5 2 2 2" xfId="16491" xr:uid="{6F8A4857-A695-4143-8319-33B13BAADCD0}"/>
    <cellStyle name="Normal 12 3 5 2 3" xfId="12273" xr:uid="{ED9EF819-338F-4298-9223-7FDDE9D0FD8B}"/>
    <cellStyle name="Normal 12 3 5 3" xfId="5911" xr:uid="{00000000-0005-0000-0000-00003D0E0000}"/>
    <cellStyle name="Normal 12 3 5 3 2" xfId="14346" xr:uid="{538FDC33-C3BF-430A-BE8D-24CFC01DF984}"/>
    <cellStyle name="Normal 12 3 5 4" xfId="10128" xr:uid="{FB8F21D1-2F8F-4697-B6DE-6EE38C6C78B1}"/>
    <cellStyle name="Normal 12 3 6" xfId="2017" xr:uid="{00000000-0005-0000-0000-00003E0E0000}"/>
    <cellStyle name="Normal 12 3 6 2" xfId="4246" xr:uid="{00000000-0005-0000-0000-00003F0E0000}"/>
    <cellStyle name="Normal 12 3 6 2 2" xfId="8469" xr:uid="{00000000-0005-0000-0000-0000400E0000}"/>
    <cellStyle name="Normal 12 3 6 2 2 2" xfId="16904" xr:uid="{8192AE83-748E-4BF1-8FB9-1EE7202AD91D}"/>
    <cellStyle name="Normal 12 3 6 2 3" xfId="12686" xr:uid="{F87D3209-72A0-4A67-8832-DA35A6677FBC}"/>
    <cellStyle name="Normal 12 3 6 3" xfId="6324" xr:uid="{00000000-0005-0000-0000-0000410E0000}"/>
    <cellStyle name="Normal 12 3 6 3 2" xfId="14759" xr:uid="{7876FAFE-E34C-41A2-8718-C773C5E2B78E}"/>
    <cellStyle name="Normal 12 3 6 4" xfId="10541" xr:uid="{8283361A-ADF0-4402-A6BF-415F95718BF5}"/>
    <cellStyle name="Normal 12 3 7" xfId="2453" xr:uid="{00000000-0005-0000-0000-0000420E0000}"/>
    <cellStyle name="Normal 12 3 7 2" xfId="6737" xr:uid="{00000000-0005-0000-0000-0000430E0000}"/>
    <cellStyle name="Normal 12 3 7 2 2" xfId="15172" xr:uid="{1F8CAB7C-3AEA-4AEF-B2FD-C288D7299D97}"/>
    <cellStyle name="Normal 12 3 7 3" xfId="10954" xr:uid="{5C61362B-69FB-43BB-A5B7-ABC7E2C981D5}"/>
    <cellStyle name="Normal 12 3 8" xfId="4671" xr:uid="{00000000-0005-0000-0000-0000440E0000}"/>
    <cellStyle name="Normal 12 3 8 2" xfId="13106" xr:uid="{8ED92977-29F4-4629-8624-0E0BB21765F7}"/>
    <cellStyle name="Normal 12 3 9" xfId="8888" xr:uid="{CBCD0619-B7D1-4EF1-B6A5-F37F8B5D2DD4}"/>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2 2 2" xfId="15667" xr:uid="{9983D7B6-997C-4D1E-8FA8-7D9D5552D830}"/>
    <cellStyle name="Normal 12 4 2 2 3" xfId="11449" xr:uid="{0BC0BF85-1DDB-4C12-A087-E6EB48C3B2CE}"/>
    <cellStyle name="Normal 12 4 2 3" xfId="5087" xr:uid="{00000000-0005-0000-0000-0000490E0000}"/>
    <cellStyle name="Normal 12 4 2 3 2" xfId="13522" xr:uid="{DCBB6359-24B6-4704-BA7D-A5CBAB91DD7F}"/>
    <cellStyle name="Normal 12 4 2 4" xfId="9304" xr:uid="{68995117-EE27-46F0-8570-2773C4C345CC}"/>
    <cellStyle name="Normal 12 4 3" xfId="1191" xr:uid="{00000000-0005-0000-0000-00004A0E0000}"/>
    <cellStyle name="Normal 12 4 3 2" xfId="3422" xr:uid="{00000000-0005-0000-0000-00004B0E0000}"/>
    <cellStyle name="Normal 12 4 3 2 2" xfId="7645" xr:uid="{00000000-0005-0000-0000-00004C0E0000}"/>
    <cellStyle name="Normal 12 4 3 2 2 2" xfId="16080" xr:uid="{939CF8FF-87F6-4D41-BD04-54A2C76D3C91}"/>
    <cellStyle name="Normal 12 4 3 2 3" xfId="11862" xr:uid="{2F065782-A8E6-4930-8B31-3A8AFF1D6482}"/>
    <cellStyle name="Normal 12 4 3 3" xfId="5500" xr:uid="{00000000-0005-0000-0000-00004D0E0000}"/>
    <cellStyle name="Normal 12 4 3 3 2" xfId="13935" xr:uid="{B0E2414C-07FE-4F2D-A0EA-9A0856C97579}"/>
    <cellStyle name="Normal 12 4 3 4" xfId="9717" xr:uid="{3E8DA6D8-FBF2-4653-B30F-C358D8481C03}"/>
    <cellStyle name="Normal 12 4 4" xfId="1605" xr:uid="{00000000-0005-0000-0000-00004E0E0000}"/>
    <cellStyle name="Normal 12 4 4 2" xfId="3835" xr:uid="{00000000-0005-0000-0000-00004F0E0000}"/>
    <cellStyle name="Normal 12 4 4 2 2" xfId="8058" xr:uid="{00000000-0005-0000-0000-0000500E0000}"/>
    <cellStyle name="Normal 12 4 4 2 2 2" xfId="16493" xr:uid="{5FE5D400-9E77-4ED2-AF3C-8AFB7FB29C9F}"/>
    <cellStyle name="Normal 12 4 4 2 3" xfId="12275" xr:uid="{D32D8212-FB67-43BF-9722-8FC4E302CC1D}"/>
    <cellStyle name="Normal 12 4 4 3" xfId="5913" xr:uid="{00000000-0005-0000-0000-0000510E0000}"/>
    <cellStyle name="Normal 12 4 4 3 2" xfId="14348" xr:uid="{1311AB2B-1DB3-403A-9AA9-3985CCDDEA4D}"/>
    <cellStyle name="Normal 12 4 4 4" xfId="10130" xr:uid="{20A7CA53-EC23-4B74-A2E6-8D2A9E8CE94E}"/>
    <cellStyle name="Normal 12 4 5" xfId="2019" xr:uid="{00000000-0005-0000-0000-0000520E0000}"/>
    <cellStyle name="Normal 12 4 5 2" xfId="4248" xr:uid="{00000000-0005-0000-0000-0000530E0000}"/>
    <cellStyle name="Normal 12 4 5 2 2" xfId="8471" xr:uid="{00000000-0005-0000-0000-0000540E0000}"/>
    <cellStyle name="Normal 12 4 5 2 2 2" xfId="16906" xr:uid="{FA7AF429-AC12-4773-8166-8B5306FF1954}"/>
    <cellStyle name="Normal 12 4 5 2 3" xfId="12688" xr:uid="{EE202C8F-5C7F-40B4-A4CC-EC7786AC7479}"/>
    <cellStyle name="Normal 12 4 5 3" xfId="6326" xr:uid="{00000000-0005-0000-0000-0000550E0000}"/>
    <cellStyle name="Normal 12 4 5 3 2" xfId="14761" xr:uid="{907C576C-2C0E-4398-BF78-D54188E9F43E}"/>
    <cellStyle name="Normal 12 4 5 4" xfId="10543" xr:uid="{BFD73FFC-970F-466C-AAE5-FBE52FBDDEBB}"/>
    <cellStyle name="Normal 12 4 6" xfId="2455" xr:uid="{00000000-0005-0000-0000-0000560E0000}"/>
    <cellStyle name="Normal 12 4 6 2" xfId="6739" xr:uid="{00000000-0005-0000-0000-0000570E0000}"/>
    <cellStyle name="Normal 12 4 6 2 2" xfId="15174" xr:uid="{3252B1A7-944C-4AC2-B6C0-B3A59436D0BD}"/>
    <cellStyle name="Normal 12 4 6 3" xfId="10956" xr:uid="{BF97A2BC-30B5-4E6C-89C4-0CDCCB776ACB}"/>
    <cellStyle name="Normal 12 4 7" xfId="4673" xr:uid="{00000000-0005-0000-0000-0000580E0000}"/>
    <cellStyle name="Normal 12 4 7 2" xfId="13108" xr:uid="{E90CE5E9-B49C-474B-90E2-1159456C66FA}"/>
    <cellStyle name="Normal 12 4 8" xfId="8890" xr:uid="{915D5743-1225-4FAC-AC87-4B0102F46919}"/>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2 2 2" xfId="15660" xr:uid="{6DB28A43-AC89-40B0-82EB-D65845F6C49D}"/>
    <cellStyle name="Normal 12 6 2 3" xfId="11442" xr:uid="{4F661BEC-CB59-435A-B03E-345B1C362884}"/>
    <cellStyle name="Normal 12 6 3" xfId="5080" xr:uid="{00000000-0005-0000-0000-00005D0E0000}"/>
    <cellStyle name="Normal 12 6 3 2" xfId="13515" xr:uid="{ABAB806B-2667-4CBF-B1AA-DB8C41C2A3A6}"/>
    <cellStyle name="Normal 12 6 4" xfId="9297" xr:uid="{3FF38A59-B479-41A3-AC05-7E7F323FF44D}"/>
    <cellStyle name="Normal 12 7" xfId="1184" xr:uid="{00000000-0005-0000-0000-00005E0E0000}"/>
    <cellStyle name="Normal 12 7 2" xfId="3415" xr:uid="{00000000-0005-0000-0000-00005F0E0000}"/>
    <cellStyle name="Normal 12 7 2 2" xfId="7638" xr:uid="{00000000-0005-0000-0000-0000600E0000}"/>
    <cellStyle name="Normal 12 7 2 2 2" xfId="16073" xr:uid="{A6B6DE3F-BC90-4665-B912-BC5F7B835A63}"/>
    <cellStyle name="Normal 12 7 2 3" xfId="11855" xr:uid="{8AA10B7B-24C6-4349-98C1-34AC5577FE03}"/>
    <cellStyle name="Normal 12 7 3" xfId="5493" xr:uid="{00000000-0005-0000-0000-0000610E0000}"/>
    <cellStyle name="Normal 12 7 3 2" xfId="13928" xr:uid="{EAF1C825-99C6-4A63-B868-77B19389AD0A}"/>
    <cellStyle name="Normal 12 7 4" xfId="9710" xr:uid="{539531F5-ACC1-4D56-84D9-1D6BFC9B5908}"/>
    <cellStyle name="Normal 12 8" xfId="1598" xr:uid="{00000000-0005-0000-0000-0000620E0000}"/>
    <cellStyle name="Normal 12 8 2" xfId="3828" xr:uid="{00000000-0005-0000-0000-0000630E0000}"/>
    <cellStyle name="Normal 12 8 2 2" xfId="8051" xr:uid="{00000000-0005-0000-0000-0000640E0000}"/>
    <cellStyle name="Normal 12 8 2 2 2" xfId="16486" xr:uid="{3E0F2F7F-60DF-405E-9093-A8706806741A}"/>
    <cellStyle name="Normal 12 8 2 3" xfId="12268" xr:uid="{CE5BEAE5-58C2-4DBF-B1A2-75F867644C17}"/>
    <cellStyle name="Normal 12 8 3" xfId="5906" xr:uid="{00000000-0005-0000-0000-0000650E0000}"/>
    <cellStyle name="Normal 12 8 3 2" xfId="14341" xr:uid="{CA5AFA30-1E52-4693-8EF2-23F7259D31DB}"/>
    <cellStyle name="Normal 12 8 4" xfId="10123" xr:uid="{260B91F1-FBC4-4CB7-9B33-3EAAE7C89868}"/>
    <cellStyle name="Normal 12 9" xfId="2012" xr:uid="{00000000-0005-0000-0000-0000660E0000}"/>
    <cellStyle name="Normal 12 9 2" xfId="4241" xr:uid="{00000000-0005-0000-0000-0000670E0000}"/>
    <cellStyle name="Normal 12 9 2 2" xfId="8464" xr:uid="{00000000-0005-0000-0000-0000680E0000}"/>
    <cellStyle name="Normal 12 9 2 2 2" xfId="16899" xr:uid="{B40E65F1-374E-4E8F-8D9E-BF015F4A25D8}"/>
    <cellStyle name="Normal 12 9 2 3" xfId="12681" xr:uid="{E7A88D96-8448-4120-9417-4C16F4C6AD8A}"/>
    <cellStyle name="Normal 12 9 3" xfId="6319" xr:uid="{00000000-0005-0000-0000-0000690E0000}"/>
    <cellStyle name="Normal 12 9 3 2" xfId="14754" xr:uid="{E45583A8-5CE7-4312-A35A-148FB2D2623B}"/>
    <cellStyle name="Normal 12 9 4" xfId="10536" xr:uid="{DF1B8CCB-0675-4B37-A711-245756279B42}"/>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2 2 2" xfId="15668" xr:uid="{F3E72D24-9963-4B7A-9C96-BCC3383BC439}"/>
    <cellStyle name="Normal 14 2 2 3" xfId="11450" xr:uid="{AE0DD713-8403-492E-85F8-CB05391556B1}"/>
    <cellStyle name="Normal 14 2 3" xfId="5088" xr:uid="{00000000-0005-0000-0000-0000700E0000}"/>
    <cellStyle name="Normal 14 2 3 2" xfId="13523" xr:uid="{30DFB46C-1C69-4312-B228-2D16BF2C3BA8}"/>
    <cellStyle name="Normal 14 2 4" xfId="9305" xr:uid="{D76C3C09-803D-458B-A04E-8055D41130DE}"/>
    <cellStyle name="Normal 14 3" xfId="1192" xr:uid="{00000000-0005-0000-0000-0000710E0000}"/>
    <cellStyle name="Normal 14 3 2" xfId="3423" xr:uid="{00000000-0005-0000-0000-0000720E0000}"/>
    <cellStyle name="Normal 14 3 2 2" xfId="7646" xr:uid="{00000000-0005-0000-0000-0000730E0000}"/>
    <cellStyle name="Normal 14 3 2 2 2" xfId="16081" xr:uid="{B48F6C22-02E3-46E4-A63F-AA106E128048}"/>
    <cellStyle name="Normal 14 3 2 3" xfId="11863" xr:uid="{19CD1A7D-D354-49D3-99A3-129BF82A6B3D}"/>
    <cellStyle name="Normal 14 3 3" xfId="5501" xr:uid="{00000000-0005-0000-0000-0000740E0000}"/>
    <cellStyle name="Normal 14 3 3 2" xfId="13936" xr:uid="{476232B1-E086-4CD9-80B3-82DF3969B8F8}"/>
    <cellStyle name="Normal 14 3 4" xfId="9718" xr:uid="{45211DE7-42F5-4F32-877E-09F448E52708}"/>
    <cellStyle name="Normal 14 4" xfId="1606" xr:uid="{00000000-0005-0000-0000-0000750E0000}"/>
    <cellStyle name="Normal 14 4 2" xfId="3836" xr:uid="{00000000-0005-0000-0000-0000760E0000}"/>
    <cellStyle name="Normal 14 4 2 2" xfId="8059" xr:uid="{00000000-0005-0000-0000-0000770E0000}"/>
    <cellStyle name="Normal 14 4 2 2 2" xfId="16494" xr:uid="{E591D97A-EC07-4C5A-A15F-340A82F48F74}"/>
    <cellStyle name="Normal 14 4 2 3" xfId="12276" xr:uid="{D4DC1E0A-4C21-481C-A61E-7EDC8F67376E}"/>
    <cellStyle name="Normal 14 4 3" xfId="5914" xr:uid="{00000000-0005-0000-0000-0000780E0000}"/>
    <cellStyle name="Normal 14 4 3 2" xfId="14349" xr:uid="{FF154E15-D596-4332-AEBC-EFDDB87F589A}"/>
    <cellStyle name="Normal 14 4 4" xfId="10131" xr:uid="{AB6E5958-F3A9-468D-BCA2-194B88F6F2AF}"/>
    <cellStyle name="Normal 14 5" xfId="2020" xr:uid="{00000000-0005-0000-0000-0000790E0000}"/>
    <cellStyle name="Normal 14 5 2" xfId="4249" xr:uid="{00000000-0005-0000-0000-00007A0E0000}"/>
    <cellStyle name="Normal 14 5 2 2" xfId="8472" xr:uid="{00000000-0005-0000-0000-00007B0E0000}"/>
    <cellStyle name="Normal 14 5 2 2 2" xfId="16907" xr:uid="{525AEA66-66BD-4C2F-B0BE-D9628D7A3821}"/>
    <cellStyle name="Normal 14 5 2 3" xfId="12689" xr:uid="{FF534ECD-3A51-42B2-AEB0-10FFA2A7EF2F}"/>
    <cellStyle name="Normal 14 5 3" xfId="6327" xr:uid="{00000000-0005-0000-0000-00007C0E0000}"/>
    <cellStyle name="Normal 14 5 3 2" xfId="14762" xr:uid="{8CE0FE0B-77DD-47CC-A0DC-24BCA99F5422}"/>
    <cellStyle name="Normal 14 5 4" xfId="10544" xr:uid="{E0DA635F-94CB-49C7-BB05-3FADCB71C57F}"/>
    <cellStyle name="Normal 14 6" xfId="2456" xr:uid="{00000000-0005-0000-0000-00007D0E0000}"/>
    <cellStyle name="Normal 14 6 2" xfId="6740" xr:uid="{00000000-0005-0000-0000-00007E0E0000}"/>
    <cellStyle name="Normal 14 6 2 2" xfId="15175" xr:uid="{D17DBFB8-DAC6-467B-AE4B-05816ADD3630}"/>
    <cellStyle name="Normal 14 6 3" xfId="10957" xr:uid="{D642FC2F-115E-49EA-A271-9DE8ED86C771}"/>
    <cellStyle name="Normal 14 7" xfId="4674" xr:uid="{00000000-0005-0000-0000-00007F0E0000}"/>
    <cellStyle name="Normal 14 7 2" xfId="13109" xr:uid="{11ACB3AF-8FC6-4DEF-A013-17A49012984F}"/>
    <cellStyle name="Normal 14 8" xfId="8891" xr:uid="{06B93EAE-00F1-45E8-90B5-3B197116D819}"/>
    <cellStyle name="Normal 15" xfId="4497" xr:uid="{00000000-0005-0000-0000-0000800E0000}"/>
    <cellStyle name="Normal 15 2" xfId="12935" xr:uid="{38094658-12DB-4F4F-B6F3-66CDDC9B2DD0}"/>
    <cellStyle name="Normal 16" xfId="4501" xr:uid="{00000000-0005-0000-0000-0000810E0000}"/>
    <cellStyle name="Normal 16 2" xfId="8717" xr:uid="{00000000-0005-0000-0000-0000820E0000}"/>
    <cellStyle name="Normal 16 3" xfId="8720" xr:uid="{3DE1BEEB-61FA-4094-B10F-9E0444F68763}"/>
    <cellStyle name="Normal 16 4" xfId="12938" xr:uid="{407408D7-D9FD-45BA-8A97-5B0AC1CE852B}"/>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2 2 2" xfId="16908" xr:uid="{2D21ED89-E114-4706-834B-2FC84AAEE4F5}"/>
    <cellStyle name="Normal 2 4 2 10 2 3" xfId="12690" xr:uid="{CF8355D4-6F2C-4C01-8CA2-D321883D932B}"/>
    <cellStyle name="Normal 2 4 2 10 3" xfId="6328" xr:uid="{00000000-0005-0000-0000-0000910E0000}"/>
    <cellStyle name="Normal 2 4 2 10 3 2" xfId="14763" xr:uid="{72E7CF81-5DE4-4F32-A3D4-CC1599C7622E}"/>
    <cellStyle name="Normal 2 4 2 10 4" xfId="10545" xr:uid="{09EE1081-F40E-42A8-977D-A3F498ECE534}"/>
    <cellStyle name="Normal 2 4 2 11" xfId="2457" xr:uid="{00000000-0005-0000-0000-0000920E0000}"/>
    <cellStyle name="Normal 2 4 2 11 2" xfId="6741" xr:uid="{00000000-0005-0000-0000-0000930E0000}"/>
    <cellStyle name="Normal 2 4 2 11 2 2" xfId="15176" xr:uid="{363BB0E9-E927-46AC-A648-F08BFE572FCC}"/>
    <cellStyle name="Normal 2 4 2 11 3" xfId="10958" xr:uid="{DF3D601A-A3D1-4436-A02E-81971E47D027}"/>
    <cellStyle name="Normal 2 4 2 12" xfId="4675" xr:uid="{00000000-0005-0000-0000-0000940E0000}"/>
    <cellStyle name="Normal 2 4 2 12 2" xfId="13110" xr:uid="{8D8111AD-FC48-4686-9852-218C809E5637}"/>
    <cellStyle name="Normal 2 4 2 13" xfId="8892" xr:uid="{723BCC0E-99EB-409B-96AD-2E58A12EC2A9}"/>
    <cellStyle name="Normal 2 4 2 2" xfId="280" xr:uid="{00000000-0005-0000-0000-0000950E0000}"/>
    <cellStyle name="Normal 2 4 2 3" xfId="281" xr:uid="{00000000-0005-0000-0000-0000960E0000}"/>
    <cellStyle name="Normal 2 4 2 3 10" xfId="4676" xr:uid="{00000000-0005-0000-0000-0000970E0000}"/>
    <cellStyle name="Normal 2 4 2 3 10 2" xfId="13111" xr:uid="{68CA745D-D43D-497B-8240-3B7D4C7EE55F}"/>
    <cellStyle name="Normal 2 4 2 3 11" xfId="8893" xr:uid="{2CDFDEAE-A477-4A2A-8D28-DD0D1FC0DE01}"/>
    <cellStyle name="Normal 2 4 2 3 2" xfId="282" xr:uid="{00000000-0005-0000-0000-0000980E0000}"/>
    <cellStyle name="Normal 2 4 2 3 2 10" xfId="8894" xr:uid="{7E57D77F-3749-44F7-A3C7-A3059D0232DC}"/>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2 2 2" xfId="15673" xr:uid="{13C410E8-0B81-483A-BD6E-D85F990ECA72}"/>
    <cellStyle name="Normal 2 4 2 3 2 2 2 2 2 3" xfId="11455" xr:uid="{F7FF5088-C7D4-4A0B-B27A-061FEFA409E0}"/>
    <cellStyle name="Normal 2 4 2 3 2 2 2 2 3" xfId="5093" xr:uid="{00000000-0005-0000-0000-00009E0E0000}"/>
    <cellStyle name="Normal 2 4 2 3 2 2 2 2 3 2" xfId="13528" xr:uid="{693E4693-2A98-4F4D-882F-84471234F54B}"/>
    <cellStyle name="Normal 2 4 2 3 2 2 2 2 4" xfId="9310" xr:uid="{1308CFD1-DA5C-404D-9E36-F98E33B3E326}"/>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2 2 2" xfId="16086" xr:uid="{EA8037C9-FFF4-48FD-991C-01B0B0CBB683}"/>
    <cellStyle name="Normal 2 4 2 3 2 2 2 3 2 3" xfId="11868" xr:uid="{4717F67A-77B3-41E4-8B22-00EA7F39CD71}"/>
    <cellStyle name="Normal 2 4 2 3 2 2 2 3 3" xfId="5506" xr:uid="{00000000-0005-0000-0000-0000A20E0000}"/>
    <cellStyle name="Normal 2 4 2 3 2 2 2 3 3 2" xfId="13941" xr:uid="{7A4E30F0-5955-4E9F-B2A7-0FBDB745BA3D}"/>
    <cellStyle name="Normal 2 4 2 3 2 2 2 3 4" xfId="9723" xr:uid="{1C67BD51-4014-4DA9-B5E4-4484F7D83F07}"/>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2 2 2" xfId="16499" xr:uid="{01E7F36F-5B5C-42FD-AFE9-D2BFCCA6DB19}"/>
    <cellStyle name="Normal 2 4 2 3 2 2 2 4 2 3" xfId="12281" xr:uid="{0D153EEF-9B22-4663-BB00-BF5A63BDD0DF}"/>
    <cellStyle name="Normal 2 4 2 3 2 2 2 4 3" xfId="5919" xr:uid="{00000000-0005-0000-0000-0000A60E0000}"/>
    <cellStyle name="Normal 2 4 2 3 2 2 2 4 3 2" xfId="14354" xr:uid="{1A374869-8201-45E6-90EE-BE19CA9F1BFF}"/>
    <cellStyle name="Normal 2 4 2 3 2 2 2 4 4" xfId="10136" xr:uid="{271E7B27-97AD-4315-9341-E776A7C7F4FD}"/>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2 2 2" xfId="16912" xr:uid="{17FDAD17-4B99-48E3-B62A-6C94E91F2C7E}"/>
    <cellStyle name="Normal 2 4 2 3 2 2 2 5 2 3" xfId="12694" xr:uid="{A1AAAEEC-4776-4B7E-92A6-5D5D2FF361D1}"/>
    <cellStyle name="Normal 2 4 2 3 2 2 2 5 3" xfId="6332" xr:uid="{00000000-0005-0000-0000-0000AA0E0000}"/>
    <cellStyle name="Normal 2 4 2 3 2 2 2 5 3 2" xfId="14767" xr:uid="{FEDFD14B-371E-405E-B500-0D367183555C}"/>
    <cellStyle name="Normal 2 4 2 3 2 2 2 5 4" xfId="10549" xr:uid="{3C5EAA9F-C861-499B-B6D9-04AB5A06BBAB}"/>
    <cellStyle name="Normal 2 4 2 3 2 2 2 6" xfId="2461" xr:uid="{00000000-0005-0000-0000-0000AB0E0000}"/>
    <cellStyle name="Normal 2 4 2 3 2 2 2 6 2" xfId="6745" xr:uid="{00000000-0005-0000-0000-0000AC0E0000}"/>
    <cellStyle name="Normal 2 4 2 3 2 2 2 6 2 2" xfId="15180" xr:uid="{00DBD83C-673F-4F22-B223-64EA4668078D}"/>
    <cellStyle name="Normal 2 4 2 3 2 2 2 6 3" xfId="10962" xr:uid="{E074ABA4-F83C-4B63-A8DD-66ECB1F5412C}"/>
    <cellStyle name="Normal 2 4 2 3 2 2 2 7" xfId="4679" xr:uid="{00000000-0005-0000-0000-0000AD0E0000}"/>
    <cellStyle name="Normal 2 4 2 3 2 2 2 7 2" xfId="13114" xr:uid="{C42C5D50-C0B2-4565-A2B8-0039DD62ED59}"/>
    <cellStyle name="Normal 2 4 2 3 2 2 2 8" xfId="8896" xr:uid="{704414F9-0D9C-49AA-BF53-50B86EFC18EE}"/>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2 2 2" xfId="15672" xr:uid="{1042C1B0-5054-48DD-9491-22214F5C034A}"/>
    <cellStyle name="Normal 2 4 2 3 2 2 3 2 3" xfId="11454" xr:uid="{5E76E134-4BD7-40F1-8142-C46C4FFAF77F}"/>
    <cellStyle name="Normal 2 4 2 3 2 2 3 3" xfId="5092" xr:uid="{00000000-0005-0000-0000-0000B10E0000}"/>
    <cellStyle name="Normal 2 4 2 3 2 2 3 3 2" xfId="13527" xr:uid="{3036AF3E-6E0A-4B6A-92ED-B4ACC0E7038B}"/>
    <cellStyle name="Normal 2 4 2 3 2 2 3 4" xfId="9309" xr:uid="{911B8642-BFCA-469C-8960-790C8C3EA067}"/>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2 2 2" xfId="16085" xr:uid="{9791C424-0726-4D86-BB83-25B304FF1D74}"/>
    <cellStyle name="Normal 2 4 2 3 2 2 4 2 3" xfId="11867" xr:uid="{53AABA80-3345-4809-9E8E-E20E386902D2}"/>
    <cellStyle name="Normal 2 4 2 3 2 2 4 3" xfId="5505" xr:uid="{00000000-0005-0000-0000-0000B50E0000}"/>
    <cellStyle name="Normal 2 4 2 3 2 2 4 3 2" xfId="13940" xr:uid="{6E69028C-C5A7-49DB-B98B-53E9DD8E19E4}"/>
    <cellStyle name="Normal 2 4 2 3 2 2 4 4" xfId="9722" xr:uid="{D113AC22-CA7A-4CB0-9709-8DA346D9B99C}"/>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2 2 2" xfId="16498" xr:uid="{DEA5F871-4330-4D61-B582-C88656B197C6}"/>
    <cellStyle name="Normal 2 4 2 3 2 2 5 2 3" xfId="12280" xr:uid="{61C16088-2560-46FE-AED9-648C8C4CEB84}"/>
    <cellStyle name="Normal 2 4 2 3 2 2 5 3" xfId="5918" xr:uid="{00000000-0005-0000-0000-0000B90E0000}"/>
    <cellStyle name="Normal 2 4 2 3 2 2 5 3 2" xfId="14353" xr:uid="{BB7A5782-7FB1-4485-9EA4-1105346BEE83}"/>
    <cellStyle name="Normal 2 4 2 3 2 2 5 4" xfId="10135" xr:uid="{AB375199-9C30-48B4-B1DA-78207E679512}"/>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2 2 2" xfId="16911" xr:uid="{4A5FC199-62D2-4ECF-8D48-B94FC6B10AE9}"/>
    <cellStyle name="Normal 2 4 2 3 2 2 6 2 3" xfId="12693" xr:uid="{D63B3EA4-FB7B-490F-9066-5A29561A5489}"/>
    <cellStyle name="Normal 2 4 2 3 2 2 6 3" xfId="6331" xr:uid="{00000000-0005-0000-0000-0000BD0E0000}"/>
    <cellStyle name="Normal 2 4 2 3 2 2 6 3 2" xfId="14766" xr:uid="{50F77F6B-E0AE-45B1-9F7B-FBBF662EC371}"/>
    <cellStyle name="Normal 2 4 2 3 2 2 6 4" xfId="10548" xr:uid="{7EAC817A-5475-40AD-B01D-8DD21C8DC7C5}"/>
    <cellStyle name="Normal 2 4 2 3 2 2 7" xfId="2460" xr:uid="{00000000-0005-0000-0000-0000BE0E0000}"/>
    <cellStyle name="Normal 2 4 2 3 2 2 7 2" xfId="6744" xr:uid="{00000000-0005-0000-0000-0000BF0E0000}"/>
    <cellStyle name="Normal 2 4 2 3 2 2 7 2 2" xfId="15179" xr:uid="{7F8F3D84-DC79-43D0-BCD4-397E3CD9361B}"/>
    <cellStyle name="Normal 2 4 2 3 2 2 7 3" xfId="10961" xr:uid="{1B470080-56F1-466A-8028-B4B424E590E3}"/>
    <cellStyle name="Normal 2 4 2 3 2 2 8" xfId="4678" xr:uid="{00000000-0005-0000-0000-0000C00E0000}"/>
    <cellStyle name="Normal 2 4 2 3 2 2 8 2" xfId="13113" xr:uid="{E06FE921-9824-4059-9F9B-B62AAF7F92FA}"/>
    <cellStyle name="Normal 2 4 2 3 2 2 9" xfId="8895" xr:uid="{B12D6C97-A92F-4131-987E-8BE0EA866CD5}"/>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2 2 2" xfId="15674" xr:uid="{2A447A19-6469-4BB0-9427-AC6B8C3D279D}"/>
    <cellStyle name="Normal 2 4 2 3 2 3 2 2 3" xfId="11456" xr:uid="{5458B65E-385C-4CC2-9A59-858EBA1C8ABF}"/>
    <cellStyle name="Normal 2 4 2 3 2 3 2 3" xfId="5094" xr:uid="{00000000-0005-0000-0000-0000C50E0000}"/>
    <cellStyle name="Normal 2 4 2 3 2 3 2 3 2" xfId="13529" xr:uid="{BABE64F9-35C3-4055-BC1E-1CB1D4F08AD4}"/>
    <cellStyle name="Normal 2 4 2 3 2 3 2 4" xfId="9311" xr:uid="{A1D39F18-259E-41C2-ABCE-34D15D3A216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2 2 2" xfId="16087" xr:uid="{AB74C02D-054D-4EA0-BF6E-EFF12A7AFE67}"/>
    <cellStyle name="Normal 2 4 2 3 2 3 3 2 3" xfId="11869" xr:uid="{935AF477-2EDB-4803-82C5-3CB671D1BAEC}"/>
    <cellStyle name="Normal 2 4 2 3 2 3 3 3" xfId="5507" xr:uid="{00000000-0005-0000-0000-0000C90E0000}"/>
    <cellStyle name="Normal 2 4 2 3 2 3 3 3 2" xfId="13942" xr:uid="{FC5222C5-1715-4C9B-8F41-55FD22750B4F}"/>
    <cellStyle name="Normal 2 4 2 3 2 3 3 4" xfId="9724" xr:uid="{872BD069-CD06-403C-A620-448A0127D81F}"/>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2 2 2" xfId="16500" xr:uid="{A3F7CC08-6D2B-4D05-9A71-BEB179043532}"/>
    <cellStyle name="Normal 2 4 2 3 2 3 4 2 3" xfId="12282" xr:uid="{E1C02FC0-485F-4118-A580-D1132B8C17C1}"/>
    <cellStyle name="Normal 2 4 2 3 2 3 4 3" xfId="5920" xr:uid="{00000000-0005-0000-0000-0000CD0E0000}"/>
    <cellStyle name="Normal 2 4 2 3 2 3 4 3 2" xfId="14355" xr:uid="{7A0051EA-E35A-4762-AA3A-86B6DDE52133}"/>
    <cellStyle name="Normal 2 4 2 3 2 3 4 4" xfId="10137" xr:uid="{0CEC2DC0-0783-4993-A4AF-2734A0B010E3}"/>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2 2 2" xfId="16913" xr:uid="{53A1D7CE-84D0-4034-AA84-9720F56776BB}"/>
    <cellStyle name="Normal 2 4 2 3 2 3 5 2 3" xfId="12695" xr:uid="{DD86FFB9-9151-463C-901C-C2B180CCBA89}"/>
    <cellStyle name="Normal 2 4 2 3 2 3 5 3" xfId="6333" xr:uid="{00000000-0005-0000-0000-0000D10E0000}"/>
    <cellStyle name="Normal 2 4 2 3 2 3 5 3 2" xfId="14768" xr:uid="{FBD52936-9A5A-4DB0-BD16-67C1FE6EF880}"/>
    <cellStyle name="Normal 2 4 2 3 2 3 5 4" xfId="10550" xr:uid="{A065D7BC-C3BD-429F-8015-7F3D6B88A471}"/>
    <cellStyle name="Normal 2 4 2 3 2 3 6" xfId="2462" xr:uid="{00000000-0005-0000-0000-0000D20E0000}"/>
    <cellStyle name="Normal 2 4 2 3 2 3 6 2" xfId="6746" xr:uid="{00000000-0005-0000-0000-0000D30E0000}"/>
    <cellStyle name="Normal 2 4 2 3 2 3 6 2 2" xfId="15181" xr:uid="{59043CB9-9054-4BA1-BF35-C735FA2E433A}"/>
    <cellStyle name="Normal 2 4 2 3 2 3 6 3" xfId="10963" xr:uid="{45B40B19-0415-4190-8027-247C6E3929EA}"/>
    <cellStyle name="Normal 2 4 2 3 2 3 7" xfId="4680" xr:uid="{00000000-0005-0000-0000-0000D40E0000}"/>
    <cellStyle name="Normal 2 4 2 3 2 3 7 2" xfId="13115" xr:uid="{23FC3DB1-BB66-4B26-88EF-D2A699884305}"/>
    <cellStyle name="Normal 2 4 2 3 2 3 8" xfId="8897" xr:uid="{9AA318D9-CD1D-424A-825E-F442C7F3F5DE}"/>
    <cellStyle name="Normal 2 4 2 3 2 4" xfId="774" xr:uid="{00000000-0005-0000-0000-0000D50E0000}"/>
    <cellStyle name="Normal 2 4 2 3 2 4 2" xfId="3013" xr:uid="{00000000-0005-0000-0000-0000D60E0000}"/>
    <cellStyle name="Normal 2 4 2 3 2 4 2 2" xfId="7236" xr:uid="{00000000-0005-0000-0000-0000D70E0000}"/>
    <cellStyle name="Normal 2 4 2 3 2 4 2 2 2" xfId="15671" xr:uid="{899C1ADD-3993-4A40-8021-E6E86B0559AC}"/>
    <cellStyle name="Normal 2 4 2 3 2 4 2 3" xfId="11453" xr:uid="{0BAE85EC-A9CA-4149-ABA3-0764B0EE59D9}"/>
    <cellStyle name="Normal 2 4 2 3 2 4 3" xfId="5091" xr:uid="{00000000-0005-0000-0000-0000D80E0000}"/>
    <cellStyle name="Normal 2 4 2 3 2 4 3 2" xfId="13526" xr:uid="{9A286D37-BD2B-4B16-A4EC-DF178BE490B0}"/>
    <cellStyle name="Normal 2 4 2 3 2 4 4" xfId="9308" xr:uid="{9F588691-62DF-4AE5-8D7E-C3CC04D5DA53}"/>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2 2 2" xfId="16084" xr:uid="{5629529F-DC15-47F9-ABC0-F3ABEB29CAB3}"/>
    <cellStyle name="Normal 2 4 2 3 2 5 2 3" xfId="11866" xr:uid="{EAFC32CF-1881-4812-8BA3-DE082086DEC9}"/>
    <cellStyle name="Normal 2 4 2 3 2 5 3" xfId="5504" xr:uid="{00000000-0005-0000-0000-0000DC0E0000}"/>
    <cellStyle name="Normal 2 4 2 3 2 5 3 2" xfId="13939" xr:uid="{CFC061CB-DAC1-4BE5-83A3-A0A63A57018F}"/>
    <cellStyle name="Normal 2 4 2 3 2 5 4" xfId="9721" xr:uid="{D6B4BC9C-72C8-4C7A-B319-60A433F1C7DE}"/>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2 2 2" xfId="16497" xr:uid="{ADE19B48-119D-404C-83BC-F93FB3668B45}"/>
    <cellStyle name="Normal 2 4 2 3 2 6 2 3" xfId="12279" xr:uid="{401AF2C6-6BF0-4382-ADD0-79ADCA16B659}"/>
    <cellStyle name="Normal 2 4 2 3 2 6 3" xfId="5917" xr:uid="{00000000-0005-0000-0000-0000E00E0000}"/>
    <cellStyle name="Normal 2 4 2 3 2 6 3 2" xfId="14352" xr:uid="{1BBDE2AF-0518-4E61-ADB7-08EAF38D04A3}"/>
    <cellStyle name="Normal 2 4 2 3 2 6 4" xfId="10134" xr:uid="{60478E04-DF27-4274-8D04-9331A82E0668}"/>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2 2 2" xfId="16910" xr:uid="{D69B3F92-16F8-43B4-9A7D-5F6304AB57D5}"/>
    <cellStyle name="Normal 2 4 2 3 2 7 2 3" xfId="12692" xr:uid="{08D914D4-F212-45AA-BB9E-7AB7B18BF3BD}"/>
    <cellStyle name="Normal 2 4 2 3 2 7 3" xfId="6330" xr:uid="{00000000-0005-0000-0000-0000E40E0000}"/>
    <cellStyle name="Normal 2 4 2 3 2 7 3 2" xfId="14765" xr:uid="{78516C03-53F5-49E8-AB82-B8E3C64D0733}"/>
    <cellStyle name="Normal 2 4 2 3 2 7 4" xfId="10547" xr:uid="{C2B17147-CA55-4FB6-BF30-98ACD4FE585D}"/>
    <cellStyle name="Normal 2 4 2 3 2 8" xfId="2459" xr:uid="{00000000-0005-0000-0000-0000E50E0000}"/>
    <cellStyle name="Normal 2 4 2 3 2 8 2" xfId="6743" xr:uid="{00000000-0005-0000-0000-0000E60E0000}"/>
    <cellStyle name="Normal 2 4 2 3 2 8 2 2" xfId="15178" xr:uid="{A5E4E127-481A-4065-BC0F-A4A365C450D9}"/>
    <cellStyle name="Normal 2 4 2 3 2 8 3" xfId="10960" xr:uid="{BCE7D3F1-771A-4632-AA8B-53B46C72D683}"/>
    <cellStyle name="Normal 2 4 2 3 2 9" xfId="4677" xr:uid="{00000000-0005-0000-0000-0000E70E0000}"/>
    <cellStyle name="Normal 2 4 2 3 2 9 2" xfId="13112" xr:uid="{87998D4E-A7FF-44D1-B46D-E6AF2B325C69}"/>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2 2 2" xfId="15676" xr:uid="{3FCB28D2-C041-46EF-A403-DF95084578AD}"/>
    <cellStyle name="Normal 2 4 2 3 3 2 2 2 3" xfId="11458" xr:uid="{1DD64A89-39C9-42AB-BE98-CA02F1FA6293}"/>
    <cellStyle name="Normal 2 4 2 3 3 2 2 3" xfId="5096" xr:uid="{00000000-0005-0000-0000-0000ED0E0000}"/>
    <cellStyle name="Normal 2 4 2 3 3 2 2 3 2" xfId="13531" xr:uid="{08EFFFD9-CA1E-4D26-96E0-25B0D6F9E046}"/>
    <cellStyle name="Normal 2 4 2 3 3 2 2 4" xfId="9313" xr:uid="{A4327E70-C2DD-4183-8CC0-7343141FC03C}"/>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2 2 2" xfId="16089" xr:uid="{D55765C8-3B61-47C7-AA86-0F2C5D8FF473}"/>
    <cellStyle name="Normal 2 4 2 3 3 2 3 2 3" xfId="11871" xr:uid="{717D57EA-28EC-43C1-954D-EBF311DDC753}"/>
    <cellStyle name="Normal 2 4 2 3 3 2 3 3" xfId="5509" xr:uid="{00000000-0005-0000-0000-0000F10E0000}"/>
    <cellStyle name="Normal 2 4 2 3 3 2 3 3 2" xfId="13944" xr:uid="{CA48F42A-C546-42F7-8A09-168C18E8ECE1}"/>
    <cellStyle name="Normal 2 4 2 3 3 2 3 4" xfId="9726" xr:uid="{2388F6DE-EFFA-4D77-A627-07D72E9B9647}"/>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2 2 2" xfId="16502" xr:uid="{E331999D-7894-4D6D-A969-4C7EBE997AC3}"/>
    <cellStyle name="Normal 2 4 2 3 3 2 4 2 3" xfId="12284" xr:uid="{CE955395-F821-42C8-93B9-139C1F94FDDB}"/>
    <cellStyle name="Normal 2 4 2 3 3 2 4 3" xfId="5922" xr:uid="{00000000-0005-0000-0000-0000F50E0000}"/>
    <cellStyle name="Normal 2 4 2 3 3 2 4 3 2" xfId="14357" xr:uid="{F529D3F7-487E-4695-BDA0-27A6C1B509B6}"/>
    <cellStyle name="Normal 2 4 2 3 3 2 4 4" xfId="10139" xr:uid="{16027D8B-F69C-4F3B-B061-1C8DE31C6BDF}"/>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2 2 2" xfId="16915" xr:uid="{6C84E706-569E-43F6-9008-559D00058877}"/>
    <cellStyle name="Normal 2 4 2 3 3 2 5 2 3" xfId="12697" xr:uid="{33C21D92-6EA3-4DFA-9D01-E2C830B43882}"/>
    <cellStyle name="Normal 2 4 2 3 3 2 5 3" xfId="6335" xr:uid="{00000000-0005-0000-0000-0000F90E0000}"/>
    <cellStyle name="Normal 2 4 2 3 3 2 5 3 2" xfId="14770" xr:uid="{7599E631-087F-4D1C-AB2F-10D9BFD9EEBF}"/>
    <cellStyle name="Normal 2 4 2 3 3 2 5 4" xfId="10552" xr:uid="{BF6353C2-EE3C-4F04-9B64-731D12324876}"/>
    <cellStyle name="Normal 2 4 2 3 3 2 6" xfId="2464" xr:uid="{00000000-0005-0000-0000-0000FA0E0000}"/>
    <cellStyle name="Normal 2 4 2 3 3 2 6 2" xfId="6748" xr:uid="{00000000-0005-0000-0000-0000FB0E0000}"/>
    <cellStyle name="Normal 2 4 2 3 3 2 6 2 2" xfId="15183" xr:uid="{32A556A8-0F8F-4EF2-BB06-40B3173BCB60}"/>
    <cellStyle name="Normal 2 4 2 3 3 2 6 3" xfId="10965" xr:uid="{8BF5B39E-FA25-4F2B-A3B0-0FEED2FB0C4D}"/>
    <cellStyle name="Normal 2 4 2 3 3 2 7" xfId="4682" xr:uid="{00000000-0005-0000-0000-0000FC0E0000}"/>
    <cellStyle name="Normal 2 4 2 3 3 2 7 2" xfId="13117" xr:uid="{A02C0CB4-3E5D-41EA-A647-A1CAFA540650}"/>
    <cellStyle name="Normal 2 4 2 3 3 2 8" xfId="8899" xr:uid="{7E6900AB-CF6E-425A-B8F3-8CD80597E839}"/>
    <cellStyle name="Normal 2 4 2 3 3 3" xfId="778" xr:uid="{00000000-0005-0000-0000-0000FD0E0000}"/>
    <cellStyle name="Normal 2 4 2 3 3 3 2" xfId="3017" xr:uid="{00000000-0005-0000-0000-0000FE0E0000}"/>
    <cellStyle name="Normal 2 4 2 3 3 3 2 2" xfId="7240" xr:uid="{00000000-0005-0000-0000-0000FF0E0000}"/>
    <cellStyle name="Normal 2 4 2 3 3 3 2 2 2" xfId="15675" xr:uid="{81629C84-FC2B-4975-B0CB-41540BA6DBBF}"/>
    <cellStyle name="Normal 2 4 2 3 3 3 2 3" xfId="11457" xr:uid="{93AA8B13-BECB-4808-AC8A-AE48F1D9FA7C}"/>
    <cellStyle name="Normal 2 4 2 3 3 3 3" xfId="5095" xr:uid="{00000000-0005-0000-0000-0000000F0000}"/>
    <cellStyle name="Normal 2 4 2 3 3 3 3 2" xfId="13530" xr:uid="{661D4A31-656B-46EA-8DE6-CCE13106B8C1}"/>
    <cellStyle name="Normal 2 4 2 3 3 3 4" xfId="9312" xr:uid="{6793377A-8954-4B50-B981-775C2FE6781D}"/>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2 2 2" xfId="16088" xr:uid="{9D49BE47-3EDD-4AC0-BE8A-3AC1BD2D94B1}"/>
    <cellStyle name="Normal 2 4 2 3 3 4 2 3" xfId="11870" xr:uid="{F8A45B8E-C8B7-465A-A25A-526179F9795C}"/>
    <cellStyle name="Normal 2 4 2 3 3 4 3" xfId="5508" xr:uid="{00000000-0005-0000-0000-0000040F0000}"/>
    <cellStyle name="Normal 2 4 2 3 3 4 3 2" xfId="13943" xr:uid="{30D3793B-ACD1-4C7D-8FF7-C5DE98AC0259}"/>
    <cellStyle name="Normal 2 4 2 3 3 4 4" xfId="9725" xr:uid="{7DCFAF92-2C28-418D-AD65-F80175A099CC}"/>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2 2 2" xfId="16501" xr:uid="{DE999A53-519C-49A7-8BA2-DC9BA1384268}"/>
    <cellStyle name="Normal 2 4 2 3 3 5 2 3" xfId="12283" xr:uid="{8A492E11-672F-47F5-85D6-22C55063698A}"/>
    <cellStyle name="Normal 2 4 2 3 3 5 3" xfId="5921" xr:uid="{00000000-0005-0000-0000-0000080F0000}"/>
    <cellStyle name="Normal 2 4 2 3 3 5 3 2" xfId="14356" xr:uid="{4E6F9F6D-76D2-4D42-95F6-E4270F1F71F0}"/>
    <cellStyle name="Normal 2 4 2 3 3 5 4" xfId="10138" xr:uid="{2EA571A4-64FC-4024-9107-A4C298279B84}"/>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2 2 2" xfId="16914" xr:uid="{3CEB8FBC-8F98-48F4-917E-1F75DE322ED5}"/>
    <cellStyle name="Normal 2 4 2 3 3 6 2 3" xfId="12696" xr:uid="{5060EDF5-2CE6-4B58-A74F-660FC980D567}"/>
    <cellStyle name="Normal 2 4 2 3 3 6 3" xfId="6334" xr:uid="{00000000-0005-0000-0000-00000C0F0000}"/>
    <cellStyle name="Normal 2 4 2 3 3 6 3 2" xfId="14769" xr:uid="{05E92B0D-9636-4E8F-98DB-B800531F0D32}"/>
    <cellStyle name="Normal 2 4 2 3 3 6 4" xfId="10551" xr:uid="{B98AAE47-4FC0-412F-8CA6-14091E10FF4C}"/>
    <cellStyle name="Normal 2 4 2 3 3 7" xfId="2463" xr:uid="{00000000-0005-0000-0000-00000D0F0000}"/>
    <cellStyle name="Normal 2 4 2 3 3 7 2" xfId="6747" xr:uid="{00000000-0005-0000-0000-00000E0F0000}"/>
    <cellStyle name="Normal 2 4 2 3 3 7 2 2" xfId="15182" xr:uid="{6211808A-F217-4B5E-8B19-DD79494CA743}"/>
    <cellStyle name="Normal 2 4 2 3 3 7 3" xfId="10964" xr:uid="{4DC64AE8-AE6F-4A36-841C-79FD60FD69B8}"/>
    <cellStyle name="Normal 2 4 2 3 3 8" xfId="4681" xr:uid="{00000000-0005-0000-0000-00000F0F0000}"/>
    <cellStyle name="Normal 2 4 2 3 3 8 2" xfId="13116" xr:uid="{0AA0E22F-02A7-4B01-91A5-2971F3B4DD7A}"/>
    <cellStyle name="Normal 2 4 2 3 3 9" xfId="8898" xr:uid="{D9B8AC48-B155-441F-A9E2-5F97794563FF}"/>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2 2 2" xfId="15677" xr:uid="{47FDAE7B-1F5B-4748-BDA5-708269C2B727}"/>
    <cellStyle name="Normal 2 4 2 3 4 2 2 3" xfId="11459" xr:uid="{CDF090AF-DADE-4DFE-A9FC-7396B30FD14D}"/>
    <cellStyle name="Normal 2 4 2 3 4 2 3" xfId="5097" xr:uid="{00000000-0005-0000-0000-0000140F0000}"/>
    <cellStyle name="Normal 2 4 2 3 4 2 3 2" xfId="13532" xr:uid="{00CD1FE4-C554-4189-9DF6-7B190FB7214B}"/>
    <cellStyle name="Normal 2 4 2 3 4 2 4" xfId="9314" xr:uid="{0C7EC389-E47D-4A7F-A1C9-CEF74250E138}"/>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2 2 2" xfId="16090" xr:uid="{7021F9F3-EBE2-45F5-875C-A8BBCD2A5132}"/>
    <cellStyle name="Normal 2 4 2 3 4 3 2 3" xfId="11872" xr:uid="{A8EC5721-D21E-45BA-8BC0-E5FF53FCA82F}"/>
    <cellStyle name="Normal 2 4 2 3 4 3 3" xfId="5510" xr:uid="{00000000-0005-0000-0000-0000180F0000}"/>
    <cellStyle name="Normal 2 4 2 3 4 3 3 2" xfId="13945" xr:uid="{2A5A659F-4740-4D15-A9D9-11B413ADADDD}"/>
    <cellStyle name="Normal 2 4 2 3 4 3 4" xfId="9727" xr:uid="{6522D92A-8B8C-4628-A611-6C0AE66CE3BF}"/>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2 2 2" xfId="16503" xr:uid="{B57873B7-84B6-41F7-B4BE-43012456E606}"/>
    <cellStyle name="Normal 2 4 2 3 4 4 2 3" xfId="12285" xr:uid="{21993C34-9879-460A-9484-7E3B9E9E71D6}"/>
    <cellStyle name="Normal 2 4 2 3 4 4 3" xfId="5923" xr:uid="{00000000-0005-0000-0000-00001C0F0000}"/>
    <cellStyle name="Normal 2 4 2 3 4 4 3 2" xfId="14358" xr:uid="{342A0C52-9813-40FA-AE20-F0A96F0EBA6D}"/>
    <cellStyle name="Normal 2 4 2 3 4 4 4" xfId="10140" xr:uid="{7D36DC59-5CAC-444F-92C5-45E64F7D4354}"/>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2 2 2" xfId="16916" xr:uid="{58F9055E-3B5D-47C0-805E-69116A363159}"/>
    <cellStyle name="Normal 2 4 2 3 4 5 2 3" xfId="12698" xr:uid="{99005AAA-5723-41A4-93AE-0183F455B30B}"/>
    <cellStyle name="Normal 2 4 2 3 4 5 3" xfId="6336" xr:uid="{00000000-0005-0000-0000-0000200F0000}"/>
    <cellStyle name="Normal 2 4 2 3 4 5 3 2" xfId="14771" xr:uid="{59E31B0F-C433-4E1E-AFD1-B64A525719B5}"/>
    <cellStyle name="Normal 2 4 2 3 4 5 4" xfId="10553" xr:uid="{C507240B-B36D-442C-9E12-9C6A1347C8A3}"/>
    <cellStyle name="Normal 2 4 2 3 4 6" xfId="2465" xr:uid="{00000000-0005-0000-0000-0000210F0000}"/>
    <cellStyle name="Normal 2 4 2 3 4 6 2" xfId="6749" xr:uid="{00000000-0005-0000-0000-0000220F0000}"/>
    <cellStyle name="Normal 2 4 2 3 4 6 2 2" xfId="15184" xr:uid="{F9F60A80-FCF4-401E-BEDA-81B93E805E78}"/>
    <cellStyle name="Normal 2 4 2 3 4 6 3" xfId="10966" xr:uid="{E0C94BB8-059B-4A70-A121-0A6C09B87C67}"/>
    <cellStyle name="Normal 2 4 2 3 4 7" xfId="4683" xr:uid="{00000000-0005-0000-0000-0000230F0000}"/>
    <cellStyle name="Normal 2 4 2 3 4 7 2" xfId="13118" xr:uid="{B9DA70B9-D0E9-42AD-A335-25C48DE67A54}"/>
    <cellStyle name="Normal 2 4 2 3 4 8" xfId="8900" xr:uid="{98D93709-BAD3-4FFC-B1C5-6E7789A95696}"/>
    <cellStyle name="Normal 2 4 2 3 5" xfId="773" xr:uid="{00000000-0005-0000-0000-0000240F0000}"/>
    <cellStyle name="Normal 2 4 2 3 5 2" xfId="3012" xr:uid="{00000000-0005-0000-0000-0000250F0000}"/>
    <cellStyle name="Normal 2 4 2 3 5 2 2" xfId="7235" xr:uid="{00000000-0005-0000-0000-0000260F0000}"/>
    <cellStyle name="Normal 2 4 2 3 5 2 2 2" xfId="15670" xr:uid="{0E2A227B-E463-4DC1-8295-D7977E71CE24}"/>
    <cellStyle name="Normal 2 4 2 3 5 2 3" xfId="11452" xr:uid="{2BF456DF-659E-48CB-81C8-7DC02EDDACE8}"/>
    <cellStyle name="Normal 2 4 2 3 5 3" xfId="5090" xr:uid="{00000000-0005-0000-0000-0000270F0000}"/>
    <cellStyle name="Normal 2 4 2 3 5 3 2" xfId="13525" xr:uid="{62AE3AA6-7B5B-4EE6-AB2A-44D599186398}"/>
    <cellStyle name="Normal 2 4 2 3 5 4" xfId="9307" xr:uid="{878D2B56-6C73-471B-AB9F-0BAAAEEFBB8A}"/>
    <cellStyle name="Normal 2 4 2 3 6" xfId="1195" xr:uid="{00000000-0005-0000-0000-0000280F0000}"/>
    <cellStyle name="Normal 2 4 2 3 6 2" xfId="3425" xr:uid="{00000000-0005-0000-0000-0000290F0000}"/>
    <cellStyle name="Normal 2 4 2 3 6 2 2" xfId="7648" xr:uid="{00000000-0005-0000-0000-00002A0F0000}"/>
    <cellStyle name="Normal 2 4 2 3 6 2 2 2" xfId="16083" xr:uid="{ACFCB2A3-0CFA-4BE0-A953-2E4FCD0119CD}"/>
    <cellStyle name="Normal 2 4 2 3 6 2 3" xfId="11865" xr:uid="{C491EFB4-C19F-4010-B3B6-68F5E12BF5C9}"/>
    <cellStyle name="Normal 2 4 2 3 6 3" xfId="5503" xr:uid="{00000000-0005-0000-0000-00002B0F0000}"/>
    <cellStyle name="Normal 2 4 2 3 6 3 2" xfId="13938" xr:uid="{67860192-8C82-4E12-B97C-5506EF87161B}"/>
    <cellStyle name="Normal 2 4 2 3 6 4" xfId="9720" xr:uid="{907B8168-6192-48DD-8F7F-C999E491298E}"/>
    <cellStyle name="Normal 2 4 2 3 7" xfId="1608" xr:uid="{00000000-0005-0000-0000-00002C0F0000}"/>
    <cellStyle name="Normal 2 4 2 3 7 2" xfId="3838" xr:uid="{00000000-0005-0000-0000-00002D0F0000}"/>
    <cellStyle name="Normal 2 4 2 3 7 2 2" xfId="8061" xr:uid="{00000000-0005-0000-0000-00002E0F0000}"/>
    <cellStyle name="Normal 2 4 2 3 7 2 2 2" xfId="16496" xr:uid="{170DB106-D87A-4F9F-B4A4-1C29C07506AC}"/>
    <cellStyle name="Normal 2 4 2 3 7 2 3" xfId="12278" xr:uid="{A9DC445F-C8D8-4B7C-9D8E-0D48CB172DEE}"/>
    <cellStyle name="Normal 2 4 2 3 7 3" xfId="5916" xr:uid="{00000000-0005-0000-0000-00002F0F0000}"/>
    <cellStyle name="Normal 2 4 2 3 7 3 2" xfId="14351" xr:uid="{2FB2FFE8-E750-4BAD-8BD9-9896B89CC546}"/>
    <cellStyle name="Normal 2 4 2 3 7 4" xfId="10133" xr:uid="{8C71C5E9-32F3-48DF-9C28-D5E9E443A57D}"/>
    <cellStyle name="Normal 2 4 2 3 8" xfId="2022" xr:uid="{00000000-0005-0000-0000-0000300F0000}"/>
    <cellStyle name="Normal 2 4 2 3 8 2" xfId="4251" xr:uid="{00000000-0005-0000-0000-0000310F0000}"/>
    <cellStyle name="Normal 2 4 2 3 8 2 2" xfId="8474" xr:uid="{00000000-0005-0000-0000-0000320F0000}"/>
    <cellStyle name="Normal 2 4 2 3 8 2 2 2" xfId="16909" xr:uid="{3A81C607-B92B-4819-95DB-A5A1E7D74583}"/>
    <cellStyle name="Normal 2 4 2 3 8 2 3" xfId="12691" xr:uid="{A4A0212A-E02A-4815-A374-72014ABC7DB5}"/>
    <cellStyle name="Normal 2 4 2 3 8 3" xfId="6329" xr:uid="{00000000-0005-0000-0000-0000330F0000}"/>
    <cellStyle name="Normal 2 4 2 3 8 3 2" xfId="14764" xr:uid="{1C9CD2CB-E65A-416C-BD7A-51C879F9069C}"/>
    <cellStyle name="Normal 2 4 2 3 8 4" xfId="10546" xr:uid="{06CB676E-9C32-4718-93FA-7A481BF32356}"/>
    <cellStyle name="Normal 2 4 2 3 9" xfId="2458" xr:uid="{00000000-0005-0000-0000-0000340F0000}"/>
    <cellStyle name="Normal 2 4 2 3 9 2" xfId="6742" xr:uid="{00000000-0005-0000-0000-0000350F0000}"/>
    <cellStyle name="Normal 2 4 2 3 9 2 2" xfId="15177" xr:uid="{3DE00754-606C-4D67-BD54-471380E8D60B}"/>
    <cellStyle name="Normal 2 4 2 3 9 3" xfId="10959" xr:uid="{3DAB4EFB-8B75-4FC5-BD72-EAA4106A3D6B}"/>
    <cellStyle name="Normal 2 4 2 4" xfId="289" xr:uid="{00000000-0005-0000-0000-0000360F0000}"/>
    <cellStyle name="Normal 2 4 2 4 10" xfId="8901" xr:uid="{F82761F9-F235-409C-A275-E30F76A485CD}"/>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2 2 2" xfId="15680" xr:uid="{762FB394-E0D9-47A0-AF48-0FD8174AE4B6}"/>
    <cellStyle name="Normal 2 4 2 4 2 2 2 2 3" xfId="11462" xr:uid="{53071A68-22B8-4D20-9F64-A83595FB6C42}"/>
    <cellStyle name="Normal 2 4 2 4 2 2 2 3" xfId="5100" xr:uid="{00000000-0005-0000-0000-00003C0F0000}"/>
    <cellStyle name="Normal 2 4 2 4 2 2 2 3 2" xfId="13535" xr:uid="{4413C23F-E7AF-4A3B-A744-F5F73212D1F0}"/>
    <cellStyle name="Normal 2 4 2 4 2 2 2 4" xfId="9317" xr:uid="{17973652-13FD-44DD-B8C0-F695957DF74C}"/>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2 2 2" xfId="16093" xr:uid="{72DFAF4F-46B0-4FE0-A431-A8CCBBAED380}"/>
    <cellStyle name="Normal 2 4 2 4 2 2 3 2 3" xfId="11875" xr:uid="{BF68282C-4A43-46EA-83E7-0642DDE22FB8}"/>
    <cellStyle name="Normal 2 4 2 4 2 2 3 3" xfId="5513" xr:uid="{00000000-0005-0000-0000-0000400F0000}"/>
    <cellStyle name="Normal 2 4 2 4 2 2 3 3 2" xfId="13948" xr:uid="{D8425754-9DBA-4B78-A4CF-167D6A177A91}"/>
    <cellStyle name="Normal 2 4 2 4 2 2 3 4" xfId="9730" xr:uid="{2959121E-A505-486F-AD38-BA5609055537}"/>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2 2 2" xfId="16506" xr:uid="{F1E7C48E-45CF-4FC4-A8FD-14B0234E029D}"/>
    <cellStyle name="Normal 2 4 2 4 2 2 4 2 3" xfId="12288" xr:uid="{9FF41913-EB7B-49F3-BF5F-7025037555AD}"/>
    <cellStyle name="Normal 2 4 2 4 2 2 4 3" xfId="5926" xr:uid="{00000000-0005-0000-0000-0000440F0000}"/>
    <cellStyle name="Normal 2 4 2 4 2 2 4 3 2" xfId="14361" xr:uid="{780F30CD-82FA-42A5-84C5-B1C0A8F056B5}"/>
    <cellStyle name="Normal 2 4 2 4 2 2 4 4" xfId="10143" xr:uid="{204F1ADB-10D8-4C19-820B-51F5974F9B9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2 2 2" xfId="16919" xr:uid="{168A2555-BD47-4499-80EE-7F2F2D746C97}"/>
    <cellStyle name="Normal 2 4 2 4 2 2 5 2 3" xfId="12701" xr:uid="{6AD0EC4F-8958-4809-A1BC-10219E5B950B}"/>
    <cellStyle name="Normal 2 4 2 4 2 2 5 3" xfId="6339" xr:uid="{00000000-0005-0000-0000-0000480F0000}"/>
    <cellStyle name="Normal 2 4 2 4 2 2 5 3 2" xfId="14774" xr:uid="{B5F9BE61-609F-4ACB-B84F-F9BFD3397B73}"/>
    <cellStyle name="Normal 2 4 2 4 2 2 5 4" xfId="10556" xr:uid="{BB469BA6-E55E-4A0D-ADA4-653351F024A4}"/>
    <cellStyle name="Normal 2 4 2 4 2 2 6" xfId="2468" xr:uid="{00000000-0005-0000-0000-0000490F0000}"/>
    <cellStyle name="Normal 2 4 2 4 2 2 6 2" xfId="6752" xr:uid="{00000000-0005-0000-0000-00004A0F0000}"/>
    <cellStyle name="Normal 2 4 2 4 2 2 6 2 2" xfId="15187" xr:uid="{47DA85FA-6760-481B-A0B7-A59CE6B9CA95}"/>
    <cellStyle name="Normal 2 4 2 4 2 2 6 3" xfId="10969" xr:uid="{100C3BB3-9430-453F-BB5F-91B353DA5443}"/>
    <cellStyle name="Normal 2 4 2 4 2 2 7" xfId="4686" xr:uid="{00000000-0005-0000-0000-00004B0F0000}"/>
    <cellStyle name="Normal 2 4 2 4 2 2 7 2" xfId="13121" xr:uid="{353A2DEE-5D51-45BD-86E4-D231CFA52D7C}"/>
    <cellStyle name="Normal 2 4 2 4 2 2 8" xfId="8903" xr:uid="{9912A29B-00C2-4AF8-B884-038C36AB5D1F}"/>
    <cellStyle name="Normal 2 4 2 4 2 3" xfId="782" xr:uid="{00000000-0005-0000-0000-00004C0F0000}"/>
    <cellStyle name="Normal 2 4 2 4 2 3 2" xfId="3021" xr:uid="{00000000-0005-0000-0000-00004D0F0000}"/>
    <cellStyle name="Normal 2 4 2 4 2 3 2 2" xfId="7244" xr:uid="{00000000-0005-0000-0000-00004E0F0000}"/>
    <cellStyle name="Normal 2 4 2 4 2 3 2 2 2" xfId="15679" xr:uid="{0CFDBD2B-549C-4053-920B-003A1D55DBE6}"/>
    <cellStyle name="Normal 2 4 2 4 2 3 2 3" xfId="11461" xr:uid="{E379049A-90DA-4DA6-AEEE-C0676663364F}"/>
    <cellStyle name="Normal 2 4 2 4 2 3 3" xfId="5099" xr:uid="{00000000-0005-0000-0000-00004F0F0000}"/>
    <cellStyle name="Normal 2 4 2 4 2 3 3 2" xfId="13534" xr:uid="{C684206A-D60A-4A32-A613-0652B95D0823}"/>
    <cellStyle name="Normal 2 4 2 4 2 3 4" xfId="9316" xr:uid="{F25F352E-A776-4EFE-834F-59D979360533}"/>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2 2 2" xfId="16092" xr:uid="{5657325D-6AEE-4CB2-9439-04A4BFC479E5}"/>
    <cellStyle name="Normal 2 4 2 4 2 4 2 3" xfId="11874" xr:uid="{F2AD6E6F-C45B-459B-A804-D8E15229BC8A}"/>
    <cellStyle name="Normal 2 4 2 4 2 4 3" xfId="5512" xr:uid="{00000000-0005-0000-0000-0000530F0000}"/>
    <cellStyle name="Normal 2 4 2 4 2 4 3 2" xfId="13947" xr:uid="{5FD8F000-F616-4D1A-8073-773894CE4FA1}"/>
    <cellStyle name="Normal 2 4 2 4 2 4 4" xfId="9729" xr:uid="{BF0AEBCF-9F3B-4A23-975B-C29B2A93B946}"/>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2 2 2" xfId="16505" xr:uid="{309BFF07-2A63-453E-9A0B-C3D87A1BFF37}"/>
    <cellStyle name="Normal 2 4 2 4 2 5 2 3" xfId="12287" xr:uid="{74ABAFFB-F93D-49DB-A776-459786524079}"/>
    <cellStyle name="Normal 2 4 2 4 2 5 3" xfId="5925" xr:uid="{00000000-0005-0000-0000-0000570F0000}"/>
    <cellStyle name="Normal 2 4 2 4 2 5 3 2" xfId="14360" xr:uid="{41C950C1-8CEE-4EC5-B13B-263A62A8DF85}"/>
    <cellStyle name="Normal 2 4 2 4 2 5 4" xfId="10142" xr:uid="{BC686779-433B-4305-935A-D907F2694A21}"/>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2 2 2" xfId="16918" xr:uid="{EA725DC1-725D-41D7-AE9B-4E655B094C45}"/>
    <cellStyle name="Normal 2 4 2 4 2 6 2 3" xfId="12700" xr:uid="{EDB711E6-E446-40E7-B152-422A65F54E6A}"/>
    <cellStyle name="Normal 2 4 2 4 2 6 3" xfId="6338" xr:uid="{00000000-0005-0000-0000-00005B0F0000}"/>
    <cellStyle name="Normal 2 4 2 4 2 6 3 2" xfId="14773" xr:uid="{CD4EB338-25DA-4BA9-AC48-1E97C3EA1200}"/>
    <cellStyle name="Normal 2 4 2 4 2 6 4" xfId="10555" xr:uid="{D4FAA9AE-A5BB-4556-896E-6F05A77DA1E6}"/>
    <cellStyle name="Normal 2 4 2 4 2 7" xfId="2467" xr:uid="{00000000-0005-0000-0000-00005C0F0000}"/>
    <cellStyle name="Normal 2 4 2 4 2 7 2" xfId="6751" xr:uid="{00000000-0005-0000-0000-00005D0F0000}"/>
    <cellStyle name="Normal 2 4 2 4 2 7 2 2" xfId="15186" xr:uid="{2E9F97B4-CC69-45B6-8512-155C229749E8}"/>
    <cellStyle name="Normal 2 4 2 4 2 7 3" xfId="10968" xr:uid="{441FE794-02BE-48D8-949C-FAB1D0479320}"/>
    <cellStyle name="Normal 2 4 2 4 2 8" xfId="4685" xr:uid="{00000000-0005-0000-0000-00005E0F0000}"/>
    <cellStyle name="Normal 2 4 2 4 2 8 2" xfId="13120" xr:uid="{906F1487-57F4-450D-AEE2-0E69B6C91AC7}"/>
    <cellStyle name="Normal 2 4 2 4 2 9" xfId="8902" xr:uid="{0650B48F-AE7F-4EBE-8466-4525C97BE798}"/>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2 2 2" xfId="15681" xr:uid="{275FCE4D-7ADA-49B3-870F-8D5E71F3CE37}"/>
    <cellStyle name="Normal 2 4 2 4 3 2 2 3" xfId="11463" xr:uid="{6918D1E9-DA76-4472-8B99-776B478D9860}"/>
    <cellStyle name="Normal 2 4 2 4 3 2 3" xfId="5101" xr:uid="{00000000-0005-0000-0000-0000630F0000}"/>
    <cellStyle name="Normal 2 4 2 4 3 2 3 2" xfId="13536" xr:uid="{93599024-6CDC-4879-9A0F-D18464344061}"/>
    <cellStyle name="Normal 2 4 2 4 3 2 4" xfId="9318" xr:uid="{B8B2D62C-13D2-476A-A0E3-AAF45E51D87E}"/>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2 2 2" xfId="16094" xr:uid="{C0A5419A-4C95-40D9-9048-797F408D96D4}"/>
    <cellStyle name="Normal 2 4 2 4 3 3 2 3" xfId="11876" xr:uid="{07F55D7E-F848-4F94-AAE5-2E3292394037}"/>
    <cellStyle name="Normal 2 4 2 4 3 3 3" xfId="5514" xr:uid="{00000000-0005-0000-0000-0000670F0000}"/>
    <cellStyle name="Normal 2 4 2 4 3 3 3 2" xfId="13949" xr:uid="{4D7AB7CF-CA8B-4EF4-902A-07A6521450BC}"/>
    <cellStyle name="Normal 2 4 2 4 3 3 4" xfId="9731" xr:uid="{1195A080-9F74-4D34-8BF3-A40F7809DA3A}"/>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2 2 2" xfId="16507" xr:uid="{0BAE583A-3F48-4942-9C8D-4DBCE423B8F4}"/>
    <cellStyle name="Normal 2 4 2 4 3 4 2 3" xfId="12289" xr:uid="{A0E70F4C-9D40-412F-B698-BCD61AD435A7}"/>
    <cellStyle name="Normal 2 4 2 4 3 4 3" xfId="5927" xr:uid="{00000000-0005-0000-0000-00006B0F0000}"/>
    <cellStyle name="Normal 2 4 2 4 3 4 3 2" xfId="14362" xr:uid="{5615E940-AC9A-4624-B2DF-3A7F0DF84F94}"/>
    <cellStyle name="Normal 2 4 2 4 3 4 4" xfId="10144" xr:uid="{9C02B13F-69BD-434E-9910-C0B01C92B326}"/>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2 2 2" xfId="16920" xr:uid="{9E861ACE-9428-4456-9F5C-CB131CFCEC10}"/>
    <cellStyle name="Normal 2 4 2 4 3 5 2 3" xfId="12702" xr:uid="{10FC3CA7-ABED-4B27-ABBD-E5D89FA8F956}"/>
    <cellStyle name="Normal 2 4 2 4 3 5 3" xfId="6340" xr:uid="{00000000-0005-0000-0000-00006F0F0000}"/>
    <cellStyle name="Normal 2 4 2 4 3 5 3 2" xfId="14775" xr:uid="{16231F41-4CD2-4898-856D-A139FF8BB527}"/>
    <cellStyle name="Normal 2 4 2 4 3 5 4" xfId="10557" xr:uid="{C4010A4E-8DF8-4C50-B956-EB430377C7F1}"/>
    <cellStyle name="Normal 2 4 2 4 3 6" xfId="2469" xr:uid="{00000000-0005-0000-0000-0000700F0000}"/>
    <cellStyle name="Normal 2 4 2 4 3 6 2" xfId="6753" xr:uid="{00000000-0005-0000-0000-0000710F0000}"/>
    <cellStyle name="Normal 2 4 2 4 3 6 2 2" xfId="15188" xr:uid="{D629388A-061D-4EAE-AE07-768540124219}"/>
    <cellStyle name="Normal 2 4 2 4 3 6 3" xfId="10970" xr:uid="{49CDE2B5-A10C-4FD0-9ED1-D1881B8007AD}"/>
    <cellStyle name="Normal 2 4 2 4 3 7" xfId="4687" xr:uid="{00000000-0005-0000-0000-0000720F0000}"/>
    <cellStyle name="Normal 2 4 2 4 3 7 2" xfId="13122" xr:uid="{5EBE1EE8-FD4A-4550-A51D-1199FC06D409}"/>
    <cellStyle name="Normal 2 4 2 4 3 8" xfId="8904" xr:uid="{634E337F-9670-4492-9202-3A98E0BFD385}"/>
    <cellStyle name="Normal 2 4 2 4 4" xfId="781" xr:uid="{00000000-0005-0000-0000-0000730F0000}"/>
    <cellStyle name="Normal 2 4 2 4 4 2" xfId="3020" xr:uid="{00000000-0005-0000-0000-0000740F0000}"/>
    <cellStyle name="Normal 2 4 2 4 4 2 2" xfId="7243" xr:uid="{00000000-0005-0000-0000-0000750F0000}"/>
    <cellStyle name="Normal 2 4 2 4 4 2 2 2" xfId="15678" xr:uid="{43A8C57A-6367-40F0-9CEC-0284AB218CDE}"/>
    <cellStyle name="Normal 2 4 2 4 4 2 3" xfId="11460" xr:uid="{731F4A0F-8EF9-4ABD-BC9B-A268C4855E5E}"/>
    <cellStyle name="Normal 2 4 2 4 4 3" xfId="5098" xr:uid="{00000000-0005-0000-0000-0000760F0000}"/>
    <cellStyle name="Normal 2 4 2 4 4 3 2" xfId="13533" xr:uid="{1A07556E-7B01-42D2-89E1-A1A953192150}"/>
    <cellStyle name="Normal 2 4 2 4 4 4" xfId="9315" xr:uid="{731DE05D-A7CD-42E7-A9F7-9D7BE17647FF}"/>
    <cellStyle name="Normal 2 4 2 4 5" xfId="1203" xr:uid="{00000000-0005-0000-0000-0000770F0000}"/>
    <cellStyle name="Normal 2 4 2 4 5 2" xfId="3433" xr:uid="{00000000-0005-0000-0000-0000780F0000}"/>
    <cellStyle name="Normal 2 4 2 4 5 2 2" xfId="7656" xr:uid="{00000000-0005-0000-0000-0000790F0000}"/>
    <cellStyle name="Normal 2 4 2 4 5 2 2 2" xfId="16091" xr:uid="{649244F8-5C95-4556-9C01-C8439BE35285}"/>
    <cellStyle name="Normal 2 4 2 4 5 2 3" xfId="11873" xr:uid="{BD86D908-D63D-4F9F-9A18-C5270D01A765}"/>
    <cellStyle name="Normal 2 4 2 4 5 3" xfId="5511" xr:uid="{00000000-0005-0000-0000-00007A0F0000}"/>
    <cellStyle name="Normal 2 4 2 4 5 3 2" xfId="13946" xr:uid="{01D8CB9C-BDDA-4586-8292-A49CA3D121BC}"/>
    <cellStyle name="Normal 2 4 2 4 5 4" xfId="9728" xr:uid="{7F2B024D-E6B2-4CC4-A04D-513D38D99A1B}"/>
    <cellStyle name="Normal 2 4 2 4 6" xfId="1616" xr:uid="{00000000-0005-0000-0000-00007B0F0000}"/>
    <cellStyle name="Normal 2 4 2 4 6 2" xfId="3846" xr:uid="{00000000-0005-0000-0000-00007C0F0000}"/>
    <cellStyle name="Normal 2 4 2 4 6 2 2" xfId="8069" xr:uid="{00000000-0005-0000-0000-00007D0F0000}"/>
    <cellStyle name="Normal 2 4 2 4 6 2 2 2" xfId="16504" xr:uid="{CF5ECC65-81D2-49E5-8E7D-73735171C976}"/>
    <cellStyle name="Normal 2 4 2 4 6 2 3" xfId="12286" xr:uid="{79CB6992-23D4-492B-B608-46A621C09082}"/>
    <cellStyle name="Normal 2 4 2 4 6 3" xfId="5924" xr:uid="{00000000-0005-0000-0000-00007E0F0000}"/>
    <cellStyle name="Normal 2 4 2 4 6 3 2" xfId="14359" xr:uid="{F05A379F-1271-4640-80F1-BAD28BA2808D}"/>
    <cellStyle name="Normal 2 4 2 4 6 4" xfId="10141" xr:uid="{BF06F448-7B5C-41F4-A95E-62381E1A9993}"/>
    <cellStyle name="Normal 2 4 2 4 7" xfId="2030" xr:uid="{00000000-0005-0000-0000-00007F0F0000}"/>
    <cellStyle name="Normal 2 4 2 4 7 2" xfId="4259" xr:uid="{00000000-0005-0000-0000-0000800F0000}"/>
    <cellStyle name="Normal 2 4 2 4 7 2 2" xfId="8482" xr:uid="{00000000-0005-0000-0000-0000810F0000}"/>
    <cellStyle name="Normal 2 4 2 4 7 2 2 2" xfId="16917" xr:uid="{942B39FF-3085-4883-BFEC-687A92632B93}"/>
    <cellStyle name="Normal 2 4 2 4 7 2 3" xfId="12699" xr:uid="{3E4B3D69-D1BF-4D0E-97CE-F07A260C25CB}"/>
    <cellStyle name="Normal 2 4 2 4 7 3" xfId="6337" xr:uid="{00000000-0005-0000-0000-0000820F0000}"/>
    <cellStyle name="Normal 2 4 2 4 7 3 2" xfId="14772" xr:uid="{64F5E990-C778-4846-8BF0-9E6932BC0629}"/>
    <cellStyle name="Normal 2 4 2 4 7 4" xfId="10554" xr:uid="{BD0A84DD-30CE-4698-B9D9-BB3DD10FCD16}"/>
    <cellStyle name="Normal 2 4 2 4 8" xfId="2466" xr:uid="{00000000-0005-0000-0000-0000830F0000}"/>
    <cellStyle name="Normal 2 4 2 4 8 2" xfId="6750" xr:uid="{00000000-0005-0000-0000-0000840F0000}"/>
    <cellStyle name="Normal 2 4 2 4 8 2 2" xfId="15185" xr:uid="{7AC49E8B-EDCB-4638-82A4-9222FCC4D0D9}"/>
    <cellStyle name="Normal 2 4 2 4 8 3" xfId="10967" xr:uid="{14C842A7-74A6-4871-8F1E-FACC91CD89AF}"/>
    <cellStyle name="Normal 2 4 2 4 9" xfId="4684" xr:uid="{00000000-0005-0000-0000-0000850F0000}"/>
    <cellStyle name="Normal 2 4 2 4 9 2" xfId="13119" xr:uid="{B927F544-F78B-4ABB-9704-CC080671EDD5}"/>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2 2 2" xfId="15683" xr:uid="{F06F383B-621C-417D-A5C0-BC909BEA9583}"/>
    <cellStyle name="Normal 2 4 2 5 2 2 2 3" xfId="11465" xr:uid="{1A9701D4-6EE6-4917-8FDB-1EA73D3EFF71}"/>
    <cellStyle name="Normal 2 4 2 5 2 2 3" xfId="5103" xr:uid="{00000000-0005-0000-0000-00008B0F0000}"/>
    <cellStyle name="Normal 2 4 2 5 2 2 3 2" xfId="13538" xr:uid="{4D01BAF6-B93E-4CFB-AC0A-EF600B4ED84F}"/>
    <cellStyle name="Normal 2 4 2 5 2 2 4" xfId="9320" xr:uid="{078350DD-F664-41FB-9088-71FEB8E58C8D}"/>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2 2 2" xfId="16096" xr:uid="{94DE1CCE-B819-4765-97C7-F5B57A2778BF}"/>
    <cellStyle name="Normal 2 4 2 5 2 3 2 3" xfId="11878" xr:uid="{A1CBC865-2C65-48D1-B755-AA73F50DCC5A}"/>
    <cellStyle name="Normal 2 4 2 5 2 3 3" xfId="5516" xr:uid="{00000000-0005-0000-0000-00008F0F0000}"/>
    <cellStyle name="Normal 2 4 2 5 2 3 3 2" xfId="13951" xr:uid="{07319C6B-2A67-41FC-943A-4A4F26091DE6}"/>
    <cellStyle name="Normal 2 4 2 5 2 3 4" xfId="9733" xr:uid="{E57CDA73-D122-41FE-87AE-892F853C300C}"/>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2 2 2" xfId="16509" xr:uid="{7E46D2B3-CADA-48C1-8728-2A681D127042}"/>
    <cellStyle name="Normal 2 4 2 5 2 4 2 3" xfId="12291" xr:uid="{07F8DECB-9511-49F1-A604-E2E061087C86}"/>
    <cellStyle name="Normal 2 4 2 5 2 4 3" xfId="5929" xr:uid="{00000000-0005-0000-0000-0000930F0000}"/>
    <cellStyle name="Normal 2 4 2 5 2 4 3 2" xfId="14364" xr:uid="{DC4E784E-AD59-4508-9B50-64E41DC18E52}"/>
    <cellStyle name="Normal 2 4 2 5 2 4 4" xfId="10146" xr:uid="{C01F6384-0E7E-45E6-A600-9D32572F6301}"/>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2 2 2" xfId="16922" xr:uid="{9FAA8EE9-3A94-4021-A0D4-75F85DE5FDA6}"/>
    <cellStyle name="Normal 2 4 2 5 2 5 2 3" xfId="12704" xr:uid="{0F1A2A49-79D1-41C8-95DB-F313284E6895}"/>
    <cellStyle name="Normal 2 4 2 5 2 5 3" xfId="6342" xr:uid="{00000000-0005-0000-0000-0000970F0000}"/>
    <cellStyle name="Normal 2 4 2 5 2 5 3 2" xfId="14777" xr:uid="{B9C19F1D-CFE5-4FFA-92D2-2764E1BAFCEC}"/>
    <cellStyle name="Normal 2 4 2 5 2 5 4" xfId="10559" xr:uid="{0F8D2651-17F3-4D87-B1BA-DE64F8435B61}"/>
    <cellStyle name="Normal 2 4 2 5 2 6" xfId="2471" xr:uid="{00000000-0005-0000-0000-0000980F0000}"/>
    <cellStyle name="Normal 2 4 2 5 2 6 2" xfId="6755" xr:uid="{00000000-0005-0000-0000-0000990F0000}"/>
    <cellStyle name="Normal 2 4 2 5 2 6 2 2" xfId="15190" xr:uid="{776DD999-370A-4F3F-8C9D-3FA3253AD2EB}"/>
    <cellStyle name="Normal 2 4 2 5 2 6 3" xfId="10972" xr:uid="{8D0CC345-9FBB-42F6-ADCC-667A821A717F}"/>
    <cellStyle name="Normal 2 4 2 5 2 7" xfId="4689" xr:uid="{00000000-0005-0000-0000-00009A0F0000}"/>
    <cellStyle name="Normal 2 4 2 5 2 7 2" xfId="13124" xr:uid="{38E131D4-1CDD-427F-B741-95C527BDB088}"/>
    <cellStyle name="Normal 2 4 2 5 2 8" xfId="8906" xr:uid="{A4FE1360-1794-4742-9148-2B5FA88951C8}"/>
    <cellStyle name="Normal 2 4 2 5 3" xfId="785" xr:uid="{00000000-0005-0000-0000-00009B0F0000}"/>
    <cellStyle name="Normal 2 4 2 5 3 2" xfId="3024" xr:uid="{00000000-0005-0000-0000-00009C0F0000}"/>
    <cellStyle name="Normal 2 4 2 5 3 2 2" xfId="7247" xr:uid="{00000000-0005-0000-0000-00009D0F0000}"/>
    <cellStyle name="Normal 2 4 2 5 3 2 2 2" xfId="15682" xr:uid="{ED2B9CEA-B725-497F-8789-0D85C04EE831}"/>
    <cellStyle name="Normal 2 4 2 5 3 2 3" xfId="11464" xr:uid="{F43C6572-1571-4489-9167-325EA42D9635}"/>
    <cellStyle name="Normal 2 4 2 5 3 3" xfId="5102" xr:uid="{00000000-0005-0000-0000-00009E0F0000}"/>
    <cellStyle name="Normal 2 4 2 5 3 3 2" xfId="13537" xr:uid="{7E97C951-0389-48F8-961E-422A0F19BD2F}"/>
    <cellStyle name="Normal 2 4 2 5 3 4" xfId="9319" xr:uid="{88E5EFC7-A11D-4926-889E-D4B95809E815}"/>
    <cellStyle name="Normal 2 4 2 5 4" xfId="1207" xr:uid="{00000000-0005-0000-0000-00009F0F0000}"/>
    <cellStyle name="Normal 2 4 2 5 4 2" xfId="3437" xr:uid="{00000000-0005-0000-0000-0000A00F0000}"/>
    <cellStyle name="Normal 2 4 2 5 4 2 2" xfId="7660" xr:uid="{00000000-0005-0000-0000-0000A10F0000}"/>
    <cellStyle name="Normal 2 4 2 5 4 2 2 2" xfId="16095" xr:uid="{8C42DB52-10E2-4F04-AD15-F642AFF9D430}"/>
    <cellStyle name="Normal 2 4 2 5 4 2 3" xfId="11877" xr:uid="{5ACD153D-8CDC-4285-9E8D-D9C116D81216}"/>
    <cellStyle name="Normal 2 4 2 5 4 3" xfId="5515" xr:uid="{00000000-0005-0000-0000-0000A20F0000}"/>
    <cellStyle name="Normal 2 4 2 5 4 3 2" xfId="13950" xr:uid="{5A2CD0BD-CC08-4E11-AD27-FFA29BDF810E}"/>
    <cellStyle name="Normal 2 4 2 5 4 4" xfId="9732" xr:uid="{026FCA94-E324-4C86-8625-64FF5730AFF3}"/>
    <cellStyle name="Normal 2 4 2 5 5" xfId="1620" xr:uid="{00000000-0005-0000-0000-0000A30F0000}"/>
    <cellStyle name="Normal 2 4 2 5 5 2" xfId="3850" xr:uid="{00000000-0005-0000-0000-0000A40F0000}"/>
    <cellStyle name="Normal 2 4 2 5 5 2 2" xfId="8073" xr:uid="{00000000-0005-0000-0000-0000A50F0000}"/>
    <cellStyle name="Normal 2 4 2 5 5 2 2 2" xfId="16508" xr:uid="{C481DA05-5889-4721-9B04-CA366DA9D38C}"/>
    <cellStyle name="Normal 2 4 2 5 5 2 3" xfId="12290" xr:uid="{E4278AB2-EDC2-4977-B23A-A0C290F51FED}"/>
    <cellStyle name="Normal 2 4 2 5 5 3" xfId="5928" xr:uid="{00000000-0005-0000-0000-0000A60F0000}"/>
    <cellStyle name="Normal 2 4 2 5 5 3 2" xfId="14363" xr:uid="{BCB09500-C5E2-4310-92FA-20969BA95D06}"/>
    <cellStyle name="Normal 2 4 2 5 5 4" xfId="10145" xr:uid="{726524E2-8F17-461D-8DCC-81E4D36E443F}"/>
    <cellStyle name="Normal 2 4 2 5 6" xfId="2034" xr:uid="{00000000-0005-0000-0000-0000A70F0000}"/>
    <cellStyle name="Normal 2 4 2 5 6 2" xfId="4263" xr:uid="{00000000-0005-0000-0000-0000A80F0000}"/>
    <cellStyle name="Normal 2 4 2 5 6 2 2" xfId="8486" xr:uid="{00000000-0005-0000-0000-0000A90F0000}"/>
    <cellStyle name="Normal 2 4 2 5 6 2 2 2" xfId="16921" xr:uid="{9B42181C-B470-4463-90DC-751AD23DD4A1}"/>
    <cellStyle name="Normal 2 4 2 5 6 2 3" xfId="12703" xr:uid="{B65BA94D-8B72-4FA7-82DB-A6D4106889D9}"/>
    <cellStyle name="Normal 2 4 2 5 6 3" xfId="6341" xr:uid="{00000000-0005-0000-0000-0000AA0F0000}"/>
    <cellStyle name="Normal 2 4 2 5 6 3 2" xfId="14776" xr:uid="{44C1641A-650E-4595-8E71-042426A5E0CE}"/>
    <cellStyle name="Normal 2 4 2 5 6 4" xfId="10558" xr:uid="{502482FC-FC49-46E0-B589-BEEAD8013C18}"/>
    <cellStyle name="Normal 2 4 2 5 7" xfId="2470" xr:uid="{00000000-0005-0000-0000-0000AB0F0000}"/>
    <cellStyle name="Normal 2 4 2 5 7 2" xfId="6754" xr:uid="{00000000-0005-0000-0000-0000AC0F0000}"/>
    <cellStyle name="Normal 2 4 2 5 7 2 2" xfId="15189" xr:uid="{EF5DA47D-4C66-45C8-ABA5-F117C4EB5778}"/>
    <cellStyle name="Normal 2 4 2 5 7 3" xfId="10971" xr:uid="{A9C797B6-E29D-49E6-BD45-3D8654CF1EF4}"/>
    <cellStyle name="Normal 2 4 2 5 8" xfId="4688" xr:uid="{00000000-0005-0000-0000-0000AD0F0000}"/>
    <cellStyle name="Normal 2 4 2 5 8 2" xfId="13123" xr:uid="{FA4F9B6B-EACB-48E4-8B6F-B0622B08D073}"/>
    <cellStyle name="Normal 2 4 2 5 9" xfId="8905" xr:uid="{DE024EFF-B628-4F26-9F1E-B465477733DC}"/>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2 2 2" xfId="15684" xr:uid="{DF763AD8-A44D-4FEB-8666-A78E90C9E13A}"/>
    <cellStyle name="Normal 2 4 2 6 2 2 3" xfId="11466" xr:uid="{FB4238E8-38DA-4CAE-8B26-5077A41AD2AE}"/>
    <cellStyle name="Normal 2 4 2 6 2 3" xfId="5104" xr:uid="{00000000-0005-0000-0000-0000B20F0000}"/>
    <cellStyle name="Normal 2 4 2 6 2 3 2" xfId="13539" xr:uid="{AD16E336-E4C0-4AF5-BAD5-038290A59C23}"/>
    <cellStyle name="Normal 2 4 2 6 2 4" xfId="9321" xr:uid="{F58DDFF7-2DE1-4EF9-B346-451EF10DAE98}"/>
    <cellStyle name="Normal 2 4 2 6 3" xfId="1209" xr:uid="{00000000-0005-0000-0000-0000B30F0000}"/>
    <cellStyle name="Normal 2 4 2 6 3 2" xfId="3439" xr:uid="{00000000-0005-0000-0000-0000B40F0000}"/>
    <cellStyle name="Normal 2 4 2 6 3 2 2" xfId="7662" xr:uid="{00000000-0005-0000-0000-0000B50F0000}"/>
    <cellStyle name="Normal 2 4 2 6 3 2 2 2" xfId="16097" xr:uid="{0320A1DA-18E6-4F2B-B1DD-E8B2F2722984}"/>
    <cellStyle name="Normal 2 4 2 6 3 2 3" xfId="11879" xr:uid="{136F091E-ECA1-4FD5-AB6B-E5C928C034BB}"/>
    <cellStyle name="Normal 2 4 2 6 3 3" xfId="5517" xr:uid="{00000000-0005-0000-0000-0000B60F0000}"/>
    <cellStyle name="Normal 2 4 2 6 3 3 2" xfId="13952" xr:uid="{C901F6FD-8334-454F-80C2-44715D45DF5D}"/>
    <cellStyle name="Normal 2 4 2 6 3 4" xfId="9734" xr:uid="{F7892443-BC86-4132-BD14-4718E83D479A}"/>
    <cellStyle name="Normal 2 4 2 6 4" xfId="1622" xr:uid="{00000000-0005-0000-0000-0000B70F0000}"/>
    <cellStyle name="Normal 2 4 2 6 4 2" xfId="3852" xr:uid="{00000000-0005-0000-0000-0000B80F0000}"/>
    <cellStyle name="Normal 2 4 2 6 4 2 2" xfId="8075" xr:uid="{00000000-0005-0000-0000-0000B90F0000}"/>
    <cellStyle name="Normal 2 4 2 6 4 2 2 2" xfId="16510" xr:uid="{9B91EC30-E644-4FCD-A72E-73AE7C6C5A1B}"/>
    <cellStyle name="Normal 2 4 2 6 4 2 3" xfId="12292" xr:uid="{361AA867-8747-4838-AA87-24FE5A63625B}"/>
    <cellStyle name="Normal 2 4 2 6 4 3" xfId="5930" xr:uid="{00000000-0005-0000-0000-0000BA0F0000}"/>
    <cellStyle name="Normal 2 4 2 6 4 3 2" xfId="14365" xr:uid="{AAC9C12A-7C1C-457C-8B2A-CA2D3B4A7A8F}"/>
    <cellStyle name="Normal 2 4 2 6 4 4" xfId="10147" xr:uid="{2AF737B3-AC9A-41B1-8FF9-2E9DCDE45311}"/>
    <cellStyle name="Normal 2 4 2 6 5" xfId="2036" xr:uid="{00000000-0005-0000-0000-0000BB0F0000}"/>
    <cellStyle name="Normal 2 4 2 6 5 2" xfId="4265" xr:uid="{00000000-0005-0000-0000-0000BC0F0000}"/>
    <cellStyle name="Normal 2 4 2 6 5 2 2" xfId="8488" xr:uid="{00000000-0005-0000-0000-0000BD0F0000}"/>
    <cellStyle name="Normal 2 4 2 6 5 2 2 2" xfId="16923" xr:uid="{E15A527D-2620-4666-89AD-F8D2FEA609B9}"/>
    <cellStyle name="Normal 2 4 2 6 5 2 3" xfId="12705" xr:uid="{5092087F-F527-44B4-961F-D12006E47FEA}"/>
    <cellStyle name="Normal 2 4 2 6 5 3" xfId="6343" xr:uid="{00000000-0005-0000-0000-0000BE0F0000}"/>
    <cellStyle name="Normal 2 4 2 6 5 3 2" xfId="14778" xr:uid="{F9458421-F00D-42A4-9720-797D0AF65FAA}"/>
    <cellStyle name="Normal 2 4 2 6 5 4" xfId="10560" xr:uid="{F6587200-DE23-4827-91D7-5544D9C96C1B}"/>
    <cellStyle name="Normal 2 4 2 6 6" xfId="2472" xr:uid="{00000000-0005-0000-0000-0000BF0F0000}"/>
    <cellStyle name="Normal 2 4 2 6 6 2" xfId="6756" xr:uid="{00000000-0005-0000-0000-0000C00F0000}"/>
    <cellStyle name="Normal 2 4 2 6 6 2 2" xfId="15191" xr:uid="{5A779BBD-6D73-4D80-AD3E-7FA049911781}"/>
    <cellStyle name="Normal 2 4 2 6 6 3" xfId="10973" xr:uid="{500C5360-3D0E-4406-9C3F-D459D8786A71}"/>
    <cellStyle name="Normal 2 4 2 6 7" xfId="4690" xr:uid="{00000000-0005-0000-0000-0000C10F0000}"/>
    <cellStyle name="Normal 2 4 2 6 7 2" xfId="13125" xr:uid="{F0B1E16B-700E-4937-8E1A-C5166BF57CAD}"/>
    <cellStyle name="Normal 2 4 2 6 8" xfId="8907" xr:uid="{08FCCC50-FDA4-402E-91CB-4CF66D6AE395}"/>
    <cellStyle name="Normal 2 4 2 7" xfId="772" xr:uid="{00000000-0005-0000-0000-0000C20F0000}"/>
    <cellStyle name="Normal 2 4 2 7 2" xfId="3011" xr:uid="{00000000-0005-0000-0000-0000C30F0000}"/>
    <cellStyle name="Normal 2 4 2 7 2 2" xfId="7234" xr:uid="{00000000-0005-0000-0000-0000C40F0000}"/>
    <cellStyle name="Normal 2 4 2 7 2 2 2" xfId="15669" xr:uid="{57EC9D66-E850-497B-B7FD-E8B41327F307}"/>
    <cellStyle name="Normal 2 4 2 7 2 3" xfId="11451" xr:uid="{FDD3E247-E0BD-4784-9EED-40F5DC7C0382}"/>
    <cellStyle name="Normal 2 4 2 7 3" xfId="5089" xr:uid="{00000000-0005-0000-0000-0000C50F0000}"/>
    <cellStyle name="Normal 2 4 2 7 3 2" xfId="13524" xr:uid="{056403DA-85D1-435D-B9D6-4ED3870B2DE0}"/>
    <cellStyle name="Normal 2 4 2 7 4" xfId="9306" xr:uid="{DAA2A62E-3B90-44D3-865D-E8AA3A9C6759}"/>
    <cellStyle name="Normal 2 4 2 8" xfId="1194" xr:uid="{00000000-0005-0000-0000-0000C60F0000}"/>
    <cellStyle name="Normal 2 4 2 8 2" xfId="3424" xr:uid="{00000000-0005-0000-0000-0000C70F0000}"/>
    <cellStyle name="Normal 2 4 2 8 2 2" xfId="7647" xr:uid="{00000000-0005-0000-0000-0000C80F0000}"/>
    <cellStyle name="Normal 2 4 2 8 2 2 2" xfId="16082" xr:uid="{615543B3-E3F3-419D-814A-109197A923BC}"/>
    <cellStyle name="Normal 2 4 2 8 2 3" xfId="11864" xr:uid="{269717EF-FDE1-4A78-9D71-28F762585815}"/>
    <cellStyle name="Normal 2 4 2 8 3" xfId="5502" xr:uid="{00000000-0005-0000-0000-0000C90F0000}"/>
    <cellStyle name="Normal 2 4 2 8 3 2" xfId="13937" xr:uid="{C89D55AE-FAA6-4798-8487-D2B89D7D04AF}"/>
    <cellStyle name="Normal 2 4 2 8 4" xfId="9719" xr:uid="{7D7A6876-A875-4418-B535-C9522DB06B48}"/>
    <cellStyle name="Normal 2 4 2 9" xfId="1607" xr:uid="{00000000-0005-0000-0000-0000CA0F0000}"/>
    <cellStyle name="Normal 2 4 2 9 2" xfId="3837" xr:uid="{00000000-0005-0000-0000-0000CB0F0000}"/>
    <cellStyle name="Normal 2 4 2 9 2 2" xfId="8060" xr:uid="{00000000-0005-0000-0000-0000CC0F0000}"/>
    <cellStyle name="Normal 2 4 2 9 2 2 2" xfId="16495" xr:uid="{64660C13-448D-4776-A56C-759DCD0C6980}"/>
    <cellStyle name="Normal 2 4 2 9 2 3" xfId="12277" xr:uid="{032B9D1F-D726-4B0A-BE0F-62F3F4B17443}"/>
    <cellStyle name="Normal 2 4 2 9 3" xfId="5915" xr:uid="{00000000-0005-0000-0000-0000CD0F0000}"/>
    <cellStyle name="Normal 2 4 2 9 3 2" xfId="14350" xr:uid="{3A9B97D7-8C1F-426A-9566-68BDB7775631}"/>
    <cellStyle name="Normal 2 4 2 9 4" xfId="10132" xr:uid="{89F1FDC6-F143-4CA8-A274-5520A866C7E8}"/>
    <cellStyle name="Normal 2 4 3" xfId="296" xr:uid="{00000000-0005-0000-0000-0000CE0F0000}"/>
    <cellStyle name="Normal 2 4 3 10" xfId="8908" xr:uid="{01EF9596-E388-49B7-8600-90A592532826}"/>
    <cellStyle name="Normal 2 4 3 2" xfId="297" xr:uid="{00000000-0005-0000-0000-0000CF0F0000}"/>
    <cellStyle name="Normal 2 4 3 3" xfId="298" xr:uid="{00000000-0005-0000-0000-0000D00F0000}"/>
    <cellStyle name="Normal 2 4 3 3 10" xfId="8909" xr:uid="{D8C4C073-2BFB-4026-A29F-D5C766E9AF14}"/>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2 2 2" xfId="15688" xr:uid="{069F3E80-6537-48E5-B71A-CA7FF3B3D81A}"/>
    <cellStyle name="Normal 2 4 3 3 2 2 2 2 3" xfId="11470" xr:uid="{56422878-362C-42C2-B527-1AC8773BBCC3}"/>
    <cellStyle name="Normal 2 4 3 3 2 2 2 3" xfId="5108" xr:uid="{00000000-0005-0000-0000-0000D60F0000}"/>
    <cellStyle name="Normal 2 4 3 3 2 2 2 3 2" xfId="13543" xr:uid="{0475F39D-8B24-4882-A9A5-413F68B62D82}"/>
    <cellStyle name="Normal 2 4 3 3 2 2 2 4" xfId="9325" xr:uid="{60FBE46E-AEC6-4E47-8B4F-2FDD6C0D42DC}"/>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2 2 2" xfId="16101" xr:uid="{74AA60F4-AC56-4EBE-B411-149979335140}"/>
    <cellStyle name="Normal 2 4 3 3 2 2 3 2 3" xfId="11883" xr:uid="{F03C1D91-0E8C-46BE-A158-3A7CF3CDFD63}"/>
    <cellStyle name="Normal 2 4 3 3 2 2 3 3" xfId="5521" xr:uid="{00000000-0005-0000-0000-0000DA0F0000}"/>
    <cellStyle name="Normal 2 4 3 3 2 2 3 3 2" xfId="13956" xr:uid="{F5B84AEF-DDB9-4E7A-9D16-E1F3C5C3A91F}"/>
    <cellStyle name="Normal 2 4 3 3 2 2 3 4" xfId="9738" xr:uid="{DE914F99-AEEB-4A26-9BA9-27416508E039}"/>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2 2 2" xfId="16514" xr:uid="{F8BFFE67-088A-4326-9A4C-174F279C2C36}"/>
    <cellStyle name="Normal 2 4 3 3 2 2 4 2 3" xfId="12296" xr:uid="{9C0F1D4A-48FB-40DE-A82E-FF92D3F18690}"/>
    <cellStyle name="Normal 2 4 3 3 2 2 4 3" xfId="5934" xr:uid="{00000000-0005-0000-0000-0000DE0F0000}"/>
    <cellStyle name="Normal 2 4 3 3 2 2 4 3 2" xfId="14369" xr:uid="{D10C2234-9067-4E6B-8911-3567450387F6}"/>
    <cellStyle name="Normal 2 4 3 3 2 2 4 4" xfId="10151" xr:uid="{4584F27F-C51A-4B7D-B769-F43428187BE8}"/>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2 2 2" xfId="16927" xr:uid="{ED62CB0F-F0F2-4158-B5F3-95EF0A22C9FB}"/>
    <cellStyle name="Normal 2 4 3 3 2 2 5 2 3" xfId="12709" xr:uid="{FE2BCE39-B566-4E02-AE53-6DB89873E325}"/>
    <cellStyle name="Normal 2 4 3 3 2 2 5 3" xfId="6347" xr:uid="{00000000-0005-0000-0000-0000E20F0000}"/>
    <cellStyle name="Normal 2 4 3 3 2 2 5 3 2" xfId="14782" xr:uid="{45980647-5645-4907-89CA-82AE0DBF2DBB}"/>
    <cellStyle name="Normal 2 4 3 3 2 2 5 4" xfId="10564" xr:uid="{FEA37543-7FD3-4742-AA5F-0FA18A3B0D71}"/>
    <cellStyle name="Normal 2 4 3 3 2 2 6" xfId="2476" xr:uid="{00000000-0005-0000-0000-0000E30F0000}"/>
    <cellStyle name="Normal 2 4 3 3 2 2 6 2" xfId="6760" xr:uid="{00000000-0005-0000-0000-0000E40F0000}"/>
    <cellStyle name="Normal 2 4 3 3 2 2 6 2 2" xfId="15195" xr:uid="{C46DC3EA-5D8E-4CA6-9730-5DAFE3ED8F75}"/>
    <cellStyle name="Normal 2 4 3 3 2 2 6 3" xfId="10977" xr:uid="{995EC5C3-3A0B-40DF-B17C-71A87C00C018}"/>
    <cellStyle name="Normal 2 4 3 3 2 2 7" xfId="4694" xr:uid="{00000000-0005-0000-0000-0000E50F0000}"/>
    <cellStyle name="Normal 2 4 3 3 2 2 7 2" xfId="13129" xr:uid="{2A8B483A-221A-4BE9-9FAA-17A772B20190}"/>
    <cellStyle name="Normal 2 4 3 3 2 2 8" xfId="8911" xr:uid="{69AC77C2-AEF2-4E09-9D71-8862C7B89D1D}"/>
    <cellStyle name="Normal 2 4 3 3 2 3" xfId="790" xr:uid="{00000000-0005-0000-0000-0000E60F0000}"/>
    <cellStyle name="Normal 2 4 3 3 2 3 2" xfId="3029" xr:uid="{00000000-0005-0000-0000-0000E70F0000}"/>
    <cellStyle name="Normal 2 4 3 3 2 3 2 2" xfId="7252" xr:uid="{00000000-0005-0000-0000-0000E80F0000}"/>
    <cellStyle name="Normal 2 4 3 3 2 3 2 2 2" xfId="15687" xr:uid="{44AEB852-3730-4306-B24D-CAD97F6DFBD6}"/>
    <cellStyle name="Normal 2 4 3 3 2 3 2 3" xfId="11469" xr:uid="{01C2D85C-9B2A-45FE-A334-965A89E048FB}"/>
    <cellStyle name="Normal 2 4 3 3 2 3 3" xfId="5107" xr:uid="{00000000-0005-0000-0000-0000E90F0000}"/>
    <cellStyle name="Normal 2 4 3 3 2 3 3 2" xfId="13542" xr:uid="{8C8FB847-1C23-489D-871E-E1D8EF7DD87C}"/>
    <cellStyle name="Normal 2 4 3 3 2 3 4" xfId="9324" xr:uid="{72491310-8199-48D0-BB4A-9DED340B965E}"/>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2 2 2" xfId="16100" xr:uid="{B78B9078-7F1A-4F4F-B639-ED775EC66EDC}"/>
    <cellStyle name="Normal 2 4 3 3 2 4 2 3" xfId="11882" xr:uid="{F056C71F-5C09-4741-BFAB-313D8720E549}"/>
    <cellStyle name="Normal 2 4 3 3 2 4 3" xfId="5520" xr:uid="{00000000-0005-0000-0000-0000ED0F0000}"/>
    <cellStyle name="Normal 2 4 3 3 2 4 3 2" xfId="13955" xr:uid="{7823DDD8-1B09-4CBD-A21F-96B27E378404}"/>
    <cellStyle name="Normal 2 4 3 3 2 4 4" xfId="9737" xr:uid="{2D128FF9-173F-47F3-8C12-59BE34EDB0EA}"/>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2 2 2" xfId="16513" xr:uid="{7F881AAF-1262-4270-8C06-25D4E022340D}"/>
    <cellStyle name="Normal 2 4 3 3 2 5 2 3" xfId="12295" xr:uid="{76AE8FDF-39B5-409D-888C-ADB45EBB073F}"/>
    <cellStyle name="Normal 2 4 3 3 2 5 3" xfId="5933" xr:uid="{00000000-0005-0000-0000-0000F10F0000}"/>
    <cellStyle name="Normal 2 4 3 3 2 5 3 2" xfId="14368" xr:uid="{B3ED0AEF-520D-44A2-B955-F716D841CBBF}"/>
    <cellStyle name="Normal 2 4 3 3 2 5 4" xfId="10150" xr:uid="{0F3981FF-AB77-446D-8F23-B7E0B068BA97}"/>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2 2 2" xfId="16926" xr:uid="{368883CF-CBB4-4AC4-A318-488630ED478F}"/>
    <cellStyle name="Normal 2 4 3 3 2 6 2 3" xfId="12708" xr:uid="{AA9EABD2-D552-4158-88C9-AA2334F9E521}"/>
    <cellStyle name="Normal 2 4 3 3 2 6 3" xfId="6346" xr:uid="{00000000-0005-0000-0000-0000F50F0000}"/>
    <cellStyle name="Normal 2 4 3 3 2 6 3 2" xfId="14781" xr:uid="{C77500A3-A6DB-460E-A502-29994F20C0A5}"/>
    <cellStyle name="Normal 2 4 3 3 2 6 4" xfId="10563" xr:uid="{EE2BFE76-322A-4E78-B971-52A098FDC438}"/>
    <cellStyle name="Normal 2 4 3 3 2 7" xfId="2475" xr:uid="{00000000-0005-0000-0000-0000F60F0000}"/>
    <cellStyle name="Normal 2 4 3 3 2 7 2" xfId="6759" xr:uid="{00000000-0005-0000-0000-0000F70F0000}"/>
    <cellStyle name="Normal 2 4 3 3 2 7 2 2" xfId="15194" xr:uid="{8C474FA6-F29B-42FC-9737-7735B8A62DF5}"/>
    <cellStyle name="Normal 2 4 3 3 2 7 3" xfId="10976" xr:uid="{7B946B2F-BFF9-43D3-A2F1-FE32694C988A}"/>
    <cellStyle name="Normal 2 4 3 3 2 8" xfId="4693" xr:uid="{00000000-0005-0000-0000-0000F80F0000}"/>
    <cellStyle name="Normal 2 4 3 3 2 8 2" xfId="13128" xr:uid="{4DA480FC-30A9-4608-9FCF-4027EDC58705}"/>
    <cellStyle name="Normal 2 4 3 3 2 9" xfId="8910" xr:uid="{ECEE03D0-FEB0-4586-A86C-E4B1BE25F6D5}"/>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2 2 2" xfId="15689" xr:uid="{718FB0C7-9CC4-4D18-8AF3-E2D8A52B2275}"/>
    <cellStyle name="Normal 2 4 3 3 3 2 2 3" xfId="11471" xr:uid="{4D8C61BD-7E5D-4F55-92CF-FF8CC70AB8B8}"/>
    <cellStyle name="Normal 2 4 3 3 3 2 3" xfId="5109" xr:uid="{00000000-0005-0000-0000-0000FD0F0000}"/>
    <cellStyle name="Normal 2 4 3 3 3 2 3 2" xfId="13544" xr:uid="{6DC46FF5-28E1-4A7A-865C-5D749CA71B40}"/>
    <cellStyle name="Normal 2 4 3 3 3 2 4" xfId="9326" xr:uid="{941569CE-3435-4AD0-896F-88E5C8E22711}"/>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2 2 2" xfId="16102" xr:uid="{F50F7A08-63C0-496C-8D17-8B5781C69730}"/>
    <cellStyle name="Normal 2 4 3 3 3 3 2 3" xfId="11884" xr:uid="{EEF92370-5227-4B3A-A7FE-8D682004830D}"/>
    <cellStyle name="Normal 2 4 3 3 3 3 3" xfId="5522" xr:uid="{00000000-0005-0000-0000-000001100000}"/>
    <cellStyle name="Normal 2 4 3 3 3 3 3 2" xfId="13957" xr:uid="{BAC930F3-46BB-4E78-AA51-2F78694CBB92}"/>
    <cellStyle name="Normal 2 4 3 3 3 3 4" xfId="9739" xr:uid="{C8EA25BB-3848-4FFF-9376-CE9454BD5FFD}"/>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2 2 2" xfId="16515" xr:uid="{EA8C5131-E680-43CD-AF00-6651B04A0819}"/>
    <cellStyle name="Normal 2 4 3 3 3 4 2 3" xfId="12297" xr:uid="{64E299AA-CB1F-464E-A4D7-D9D0C2D61DAC}"/>
    <cellStyle name="Normal 2 4 3 3 3 4 3" xfId="5935" xr:uid="{00000000-0005-0000-0000-000005100000}"/>
    <cellStyle name="Normal 2 4 3 3 3 4 3 2" xfId="14370" xr:uid="{C3485750-5CA8-4347-9CFA-AAD2C2775F28}"/>
    <cellStyle name="Normal 2 4 3 3 3 4 4" xfId="10152" xr:uid="{4CAF5305-D0F2-4F6C-8C53-6BA084E20E76}"/>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2 2 2" xfId="16928" xr:uid="{184AA3D9-449A-47A2-A679-4FAEF6479ACC}"/>
    <cellStyle name="Normal 2 4 3 3 3 5 2 3" xfId="12710" xr:uid="{DF10165C-28EC-4063-BBF1-A4DE415373FA}"/>
    <cellStyle name="Normal 2 4 3 3 3 5 3" xfId="6348" xr:uid="{00000000-0005-0000-0000-000009100000}"/>
    <cellStyle name="Normal 2 4 3 3 3 5 3 2" xfId="14783" xr:uid="{EB76CD06-8D94-4FD6-939E-49FCA4B34CFB}"/>
    <cellStyle name="Normal 2 4 3 3 3 5 4" xfId="10565" xr:uid="{A69C61FB-AC24-4E23-BF79-40F4C4806EDF}"/>
    <cellStyle name="Normal 2 4 3 3 3 6" xfId="2477" xr:uid="{00000000-0005-0000-0000-00000A100000}"/>
    <cellStyle name="Normal 2 4 3 3 3 6 2" xfId="6761" xr:uid="{00000000-0005-0000-0000-00000B100000}"/>
    <cellStyle name="Normal 2 4 3 3 3 6 2 2" xfId="15196" xr:uid="{8C128CC7-69E1-4D87-805A-ECB61BFA13CF}"/>
    <cellStyle name="Normal 2 4 3 3 3 6 3" xfId="10978" xr:uid="{926E963C-2A0F-40C5-B4D0-732C8D9272F2}"/>
    <cellStyle name="Normal 2 4 3 3 3 7" xfId="4695" xr:uid="{00000000-0005-0000-0000-00000C100000}"/>
    <cellStyle name="Normal 2 4 3 3 3 7 2" xfId="13130" xr:uid="{75EADE8C-0E91-4BF3-BB28-63FEDBE110DF}"/>
    <cellStyle name="Normal 2 4 3 3 3 8" xfId="8912" xr:uid="{56418847-730E-44D4-9569-768ABFF44D5E}"/>
    <cellStyle name="Normal 2 4 3 3 4" xfId="789" xr:uid="{00000000-0005-0000-0000-00000D100000}"/>
    <cellStyle name="Normal 2 4 3 3 4 2" xfId="3028" xr:uid="{00000000-0005-0000-0000-00000E100000}"/>
    <cellStyle name="Normal 2 4 3 3 4 2 2" xfId="7251" xr:uid="{00000000-0005-0000-0000-00000F100000}"/>
    <cellStyle name="Normal 2 4 3 3 4 2 2 2" xfId="15686" xr:uid="{B2EC1F77-38CE-4837-8FEA-CF3DEA08ABF9}"/>
    <cellStyle name="Normal 2 4 3 3 4 2 3" xfId="11468" xr:uid="{381171FD-B3AB-4147-939C-39C900EE79B6}"/>
    <cellStyle name="Normal 2 4 3 3 4 3" xfId="5106" xr:uid="{00000000-0005-0000-0000-000010100000}"/>
    <cellStyle name="Normal 2 4 3 3 4 3 2" xfId="13541" xr:uid="{8158F82E-8DA9-4539-813E-5B43DA3E6A33}"/>
    <cellStyle name="Normal 2 4 3 3 4 4" xfId="9323" xr:uid="{FB9894D0-80BE-495D-988B-B7C084001477}"/>
    <cellStyle name="Normal 2 4 3 3 5" xfId="1211" xr:uid="{00000000-0005-0000-0000-000011100000}"/>
    <cellStyle name="Normal 2 4 3 3 5 2" xfId="3441" xr:uid="{00000000-0005-0000-0000-000012100000}"/>
    <cellStyle name="Normal 2 4 3 3 5 2 2" xfId="7664" xr:uid="{00000000-0005-0000-0000-000013100000}"/>
    <cellStyle name="Normal 2 4 3 3 5 2 2 2" xfId="16099" xr:uid="{1EBCF6A7-2B49-451B-A86E-99B740F2CFE2}"/>
    <cellStyle name="Normal 2 4 3 3 5 2 3" xfId="11881" xr:uid="{AAE4E895-EAD5-42B0-8231-55B4E9BFAFE7}"/>
    <cellStyle name="Normal 2 4 3 3 5 3" xfId="5519" xr:uid="{00000000-0005-0000-0000-000014100000}"/>
    <cellStyle name="Normal 2 4 3 3 5 3 2" xfId="13954" xr:uid="{CF02CF89-C454-4510-AA16-D2F4709F752A}"/>
    <cellStyle name="Normal 2 4 3 3 5 4" xfId="9736" xr:uid="{ADB49E23-152D-400A-B15B-FDA6DFAFFE1D}"/>
    <cellStyle name="Normal 2 4 3 3 6" xfId="1624" xr:uid="{00000000-0005-0000-0000-000015100000}"/>
    <cellStyle name="Normal 2 4 3 3 6 2" xfId="3854" xr:uid="{00000000-0005-0000-0000-000016100000}"/>
    <cellStyle name="Normal 2 4 3 3 6 2 2" xfId="8077" xr:uid="{00000000-0005-0000-0000-000017100000}"/>
    <cellStyle name="Normal 2 4 3 3 6 2 2 2" xfId="16512" xr:uid="{2D5AEFC5-3549-496C-9CC8-555311C0CB92}"/>
    <cellStyle name="Normal 2 4 3 3 6 2 3" xfId="12294" xr:uid="{4FD0F335-AEA4-453E-8515-A3EEBC7C4FF9}"/>
    <cellStyle name="Normal 2 4 3 3 6 3" xfId="5932" xr:uid="{00000000-0005-0000-0000-000018100000}"/>
    <cellStyle name="Normal 2 4 3 3 6 3 2" xfId="14367" xr:uid="{89D3302C-0D02-430E-860B-2E28FA61F26E}"/>
    <cellStyle name="Normal 2 4 3 3 6 4" xfId="10149" xr:uid="{5CFB2B9D-8DCB-4CDE-AAB9-F39749E37D8E}"/>
    <cellStyle name="Normal 2 4 3 3 7" xfId="2038" xr:uid="{00000000-0005-0000-0000-000019100000}"/>
    <cellStyle name="Normal 2 4 3 3 7 2" xfId="4267" xr:uid="{00000000-0005-0000-0000-00001A100000}"/>
    <cellStyle name="Normal 2 4 3 3 7 2 2" xfId="8490" xr:uid="{00000000-0005-0000-0000-00001B100000}"/>
    <cellStyle name="Normal 2 4 3 3 7 2 2 2" xfId="16925" xr:uid="{4810286E-AB7A-4DC5-9D1F-37B7A1C05134}"/>
    <cellStyle name="Normal 2 4 3 3 7 2 3" xfId="12707" xr:uid="{1527D74A-8E6F-4DBE-BA1D-441C189CB99E}"/>
    <cellStyle name="Normal 2 4 3 3 7 3" xfId="6345" xr:uid="{00000000-0005-0000-0000-00001C100000}"/>
    <cellStyle name="Normal 2 4 3 3 7 3 2" xfId="14780" xr:uid="{E501AD78-FA76-4499-9242-E41566D1D02E}"/>
    <cellStyle name="Normal 2 4 3 3 7 4" xfId="10562" xr:uid="{6B6F9CDB-ACBB-4817-9906-4F8391C86FD5}"/>
    <cellStyle name="Normal 2 4 3 3 8" xfId="2474" xr:uid="{00000000-0005-0000-0000-00001D100000}"/>
    <cellStyle name="Normal 2 4 3 3 8 2" xfId="6758" xr:uid="{00000000-0005-0000-0000-00001E100000}"/>
    <cellStyle name="Normal 2 4 3 3 8 2 2" xfId="15193" xr:uid="{579F7BA2-91DB-4E52-8545-3261EFBC7A79}"/>
    <cellStyle name="Normal 2 4 3 3 8 3" xfId="10975" xr:uid="{826CADC3-697D-40C7-8706-BEADD96FCC59}"/>
    <cellStyle name="Normal 2 4 3 3 9" xfId="4692" xr:uid="{00000000-0005-0000-0000-00001F100000}"/>
    <cellStyle name="Normal 2 4 3 3 9 2" xfId="13127" xr:uid="{51EE620D-8A99-4DDB-BD4E-B6285D056BD2}"/>
    <cellStyle name="Normal 2 4 3 4" xfId="788" xr:uid="{00000000-0005-0000-0000-000020100000}"/>
    <cellStyle name="Normal 2 4 3 4 2" xfId="3027" xr:uid="{00000000-0005-0000-0000-000021100000}"/>
    <cellStyle name="Normal 2 4 3 4 2 2" xfId="7250" xr:uid="{00000000-0005-0000-0000-000022100000}"/>
    <cellStyle name="Normal 2 4 3 4 2 2 2" xfId="15685" xr:uid="{23E520F3-3511-47C1-9758-11BF8F0AC26B}"/>
    <cellStyle name="Normal 2 4 3 4 2 3" xfId="11467" xr:uid="{F4229D75-0C38-4E2A-886A-3EC1E9108B0E}"/>
    <cellStyle name="Normal 2 4 3 4 3" xfId="5105" xr:uid="{00000000-0005-0000-0000-000023100000}"/>
    <cellStyle name="Normal 2 4 3 4 3 2" xfId="13540" xr:uid="{49B20637-5A6B-4C24-BCD9-2B17CEF17BCD}"/>
    <cellStyle name="Normal 2 4 3 4 4" xfId="9322" xr:uid="{E804D318-5E91-4D46-A2C5-D584200B1942}"/>
    <cellStyle name="Normal 2 4 3 5" xfId="1210" xr:uid="{00000000-0005-0000-0000-000024100000}"/>
    <cellStyle name="Normal 2 4 3 5 2" xfId="3440" xr:uid="{00000000-0005-0000-0000-000025100000}"/>
    <cellStyle name="Normal 2 4 3 5 2 2" xfId="7663" xr:uid="{00000000-0005-0000-0000-000026100000}"/>
    <cellStyle name="Normal 2 4 3 5 2 2 2" xfId="16098" xr:uid="{A4774F5B-9B70-446B-8AEC-548E543E3A89}"/>
    <cellStyle name="Normal 2 4 3 5 2 3" xfId="11880" xr:uid="{4ED9DA69-958D-4262-B756-45EF9A8AB59D}"/>
    <cellStyle name="Normal 2 4 3 5 3" xfId="5518" xr:uid="{00000000-0005-0000-0000-000027100000}"/>
    <cellStyle name="Normal 2 4 3 5 3 2" xfId="13953" xr:uid="{176ED0CB-B5A2-441E-985C-89D6A2D0549D}"/>
    <cellStyle name="Normal 2 4 3 5 4" xfId="9735" xr:uid="{6AA882FD-EFBA-4438-A757-D4255F3049E0}"/>
    <cellStyle name="Normal 2 4 3 6" xfId="1623" xr:uid="{00000000-0005-0000-0000-000028100000}"/>
    <cellStyle name="Normal 2 4 3 6 2" xfId="3853" xr:uid="{00000000-0005-0000-0000-000029100000}"/>
    <cellStyle name="Normal 2 4 3 6 2 2" xfId="8076" xr:uid="{00000000-0005-0000-0000-00002A100000}"/>
    <cellStyle name="Normal 2 4 3 6 2 2 2" xfId="16511" xr:uid="{BBDBCE58-0018-4F86-B87C-3ADC160C53EA}"/>
    <cellStyle name="Normal 2 4 3 6 2 3" xfId="12293" xr:uid="{818DDF7A-3B37-45C6-8EC7-920BC5BCDE75}"/>
    <cellStyle name="Normal 2 4 3 6 3" xfId="5931" xr:uid="{00000000-0005-0000-0000-00002B100000}"/>
    <cellStyle name="Normal 2 4 3 6 3 2" xfId="14366" xr:uid="{F9398C1E-046B-4ADD-8D78-BEAB0FE6ACC4}"/>
    <cellStyle name="Normal 2 4 3 6 4" xfId="10148" xr:uid="{F02AAD84-01B9-48D3-A862-3DE55E805698}"/>
    <cellStyle name="Normal 2 4 3 7" xfId="2037" xr:uid="{00000000-0005-0000-0000-00002C100000}"/>
    <cellStyle name="Normal 2 4 3 7 2" xfId="4266" xr:uid="{00000000-0005-0000-0000-00002D100000}"/>
    <cellStyle name="Normal 2 4 3 7 2 2" xfId="8489" xr:uid="{00000000-0005-0000-0000-00002E100000}"/>
    <cellStyle name="Normal 2 4 3 7 2 2 2" xfId="16924" xr:uid="{D9D80949-1D16-4C77-8272-AACA599085E0}"/>
    <cellStyle name="Normal 2 4 3 7 2 3" xfId="12706" xr:uid="{865E6E86-9483-49B8-8B57-55D737CD87F3}"/>
    <cellStyle name="Normal 2 4 3 7 3" xfId="6344" xr:uid="{00000000-0005-0000-0000-00002F100000}"/>
    <cellStyle name="Normal 2 4 3 7 3 2" xfId="14779" xr:uid="{3121B0B7-0588-4EB9-9FC7-3E5FC63723B6}"/>
    <cellStyle name="Normal 2 4 3 7 4" xfId="10561" xr:uid="{DB320361-560B-46F7-B9C5-5B085B29CA32}"/>
    <cellStyle name="Normal 2 4 3 8" xfId="2473" xr:uid="{00000000-0005-0000-0000-000030100000}"/>
    <cellStyle name="Normal 2 4 3 8 2" xfId="6757" xr:uid="{00000000-0005-0000-0000-000031100000}"/>
    <cellStyle name="Normal 2 4 3 8 2 2" xfId="15192" xr:uid="{901D9540-CCE4-4F2E-A694-B664D53F824F}"/>
    <cellStyle name="Normal 2 4 3 8 3" xfId="10974" xr:uid="{1AC30DE9-D0A2-4C7A-B24F-0920A133FE2E}"/>
    <cellStyle name="Normal 2 4 3 9" xfId="4691" xr:uid="{00000000-0005-0000-0000-000032100000}"/>
    <cellStyle name="Normal 2 4 3 9 2" xfId="13126" xr:uid="{5757641F-B058-406F-87F6-88050795697B}"/>
    <cellStyle name="Normal 2 4 4" xfId="302" xr:uid="{00000000-0005-0000-0000-000033100000}"/>
    <cellStyle name="Normal 2 4 5" xfId="303" xr:uid="{00000000-0005-0000-0000-000034100000}"/>
    <cellStyle name="Normal 2 4 5 10" xfId="4696" xr:uid="{00000000-0005-0000-0000-000035100000}"/>
    <cellStyle name="Normal 2 4 5 10 2" xfId="13131" xr:uid="{3EA0EF4F-52CF-478A-9336-6B5FAAE47764}"/>
    <cellStyle name="Normal 2 4 5 11" xfId="8913" xr:uid="{C94B43C9-5F70-4B65-B5D5-EBA0B662EC37}"/>
    <cellStyle name="Normal 2 4 5 2" xfId="304" xr:uid="{00000000-0005-0000-0000-000036100000}"/>
    <cellStyle name="Normal 2 4 5 2 10" xfId="8914" xr:uid="{DCC008E0-B904-4908-8BF3-328D1014571A}"/>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2 2 2" xfId="15693" xr:uid="{3A98B514-A81B-4879-912D-A5A7F1AFA66C}"/>
    <cellStyle name="Normal 2 4 5 2 2 2 2 2 3" xfId="11475" xr:uid="{1C541DB3-439A-466B-9526-66C0CCB73F47}"/>
    <cellStyle name="Normal 2 4 5 2 2 2 2 3" xfId="5113" xr:uid="{00000000-0005-0000-0000-00003C100000}"/>
    <cellStyle name="Normal 2 4 5 2 2 2 2 3 2" xfId="13548" xr:uid="{0BA47A11-35FE-45A5-86B7-1BCC56148E53}"/>
    <cellStyle name="Normal 2 4 5 2 2 2 2 4" xfId="9330" xr:uid="{63C99D16-66F6-43B6-9A9C-03154D545023}"/>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2 2 2" xfId="16106" xr:uid="{5C5AFACC-F8EB-47F6-9187-8056BE66A859}"/>
    <cellStyle name="Normal 2 4 5 2 2 2 3 2 3" xfId="11888" xr:uid="{43589A42-0BF5-4ED8-BBAC-CEDA4E345A07}"/>
    <cellStyle name="Normal 2 4 5 2 2 2 3 3" xfId="5526" xr:uid="{00000000-0005-0000-0000-000040100000}"/>
    <cellStyle name="Normal 2 4 5 2 2 2 3 3 2" xfId="13961" xr:uid="{824B329C-FD46-4ED1-BAFE-16FD9719E555}"/>
    <cellStyle name="Normal 2 4 5 2 2 2 3 4" xfId="9743" xr:uid="{2F712D24-FB44-454C-B573-3F4C30076B6F}"/>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2 2 2" xfId="16519" xr:uid="{1C8FCAB2-858D-4BED-AF1C-3C04590A2BA7}"/>
    <cellStyle name="Normal 2 4 5 2 2 2 4 2 3" xfId="12301" xr:uid="{A29A774C-0DBF-4CA3-BDA3-B79C0F06EAA5}"/>
    <cellStyle name="Normal 2 4 5 2 2 2 4 3" xfId="5939" xr:uid="{00000000-0005-0000-0000-000044100000}"/>
    <cellStyle name="Normal 2 4 5 2 2 2 4 3 2" xfId="14374" xr:uid="{3596E628-DDEC-48C1-97E6-8110117C7396}"/>
    <cellStyle name="Normal 2 4 5 2 2 2 4 4" xfId="10156" xr:uid="{11EEA08F-B5FA-412F-AEBD-5775FC60CF94}"/>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2 2 2" xfId="16932" xr:uid="{574D65A0-5634-4AB5-94DB-5C8013EA715A}"/>
    <cellStyle name="Normal 2 4 5 2 2 2 5 2 3" xfId="12714" xr:uid="{BC1EF83A-7124-4428-BA79-A65B7C57E20E}"/>
    <cellStyle name="Normal 2 4 5 2 2 2 5 3" xfId="6352" xr:uid="{00000000-0005-0000-0000-000048100000}"/>
    <cellStyle name="Normal 2 4 5 2 2 2 5 3 2" xfId="14787" xr:uid="{7F3AC3F8-E86A-4CAB-B4FF-9D231469EFEF}"/>
    <cellStyle name="Normal 2 4 5 2 2 2 5 4" xfId="10569" xr:uid="{9DF80772-BA3F-491B-B372-9F4C3796B7B0}"/>
    <cellStyle name="Normal 2 4 5 2 2 2 6" xfId="2481" xr:uid="{00000000-0005-0000-0000-000049100000}"/>
    <cellStyle name="Normal 2 4 5 2 2 2 6 2" xfId="6765" xr:uid="{00000000-0005-0000-0000-00004A100000}"/>
    <cellStyle name="Normal 2 4 5 2 2 2 6 2 2" xfId="15200" xr:uid="{91A9CB71-090B-4EA6-B738-F06F933FB230}"/>
    <cellStyle name="Normal 2 4 5 2 2 2 6 3" xfId="10982" xr:uid="{81788792-8D3E-40A5-BC60-EC3099E696A2}"/>
    <cellStyle name="Normal 2 4 5 2 2 2 7" xfId="4699" xr:uid="{00000000-0005-0000-0000-00004B100000}"/>
    <cellStyle name="Normal 2 4 5 2 2 2 7 2" xfId="13134" xr:uid="{35274A39-DDF9-4CDF-B13A-28F2C8FD8D81}"/>
    <cellStyle name="Normal 2 4 5 2 2 2 8" xfId="8916" xr:uid="{4905E200-21BA-4411-BA27-04D001F6B897}"/>
    <cellStyle name="Normal 2 4 5 2 2 3" xfId="795" xr:uid="{00000000-0005-0000-0000-00004C100000}"/>
    <cellStyle name="Normal 2 4 5 2 2 3 2" xfId="3034" xr:uid="{00000000-0005-0000-0000-00004D100000}"/>
    <cellStyle name="Normal 2 4 5 2 2 3 2 2" xfId="7257" xr:uid="{00000000-0005-0000-0000-00004E100000}"/>
    <cellStyle name="Normal 2 4 5 2 2 3 2 2 2" xfId="15692" xr:uid="{923D0609-A6F3-435E-A840-026CE051532B}"/>
    <cellStyle name="Normal 2 4 5 2 2 3 2 3" xfId="11474" xr:uid="{2C7487E9-AAA2-493E-A251-8CED6CB488B1}"/>
    <cellStyle name="Normal 2 4 5 2 2 3 3" xfId="5112" xr:uid="{00000000-0005-0000-0000-00004F100000}"/>
    <cellStyle name="Normal 2 4 5 2 2 3 3 2" xfId="13547" xr:uid="{A825FE0A-29C1-49C2-B512-A5DEBE1AAEBF}"/>
    <cellStyle name="Normal 2 4 5 2 2 3 4" xfId="9329" xr:uid="{060B5685-21FB-47B0-BF80-B69D5BC4EA2D}"/>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2 2 2" xfId="16105" xr:uid="{3E33092C-356B-4EF7-B469-BE14E84992EE}"/>
    <cellStyle name="Normal 2 4 5 2 2 4 2 3" xfId="11887" xr:uid="{AB14E2D5-2851-437D-9F85-A507E37CBA42}"/>
    <cellStyle name="Normal 2 4 5 2 2 4 3" xfId="5525" xr:uid="{00000000-0005-0000-0000-000053100000}"/>
    <cellStyle name="Normal 2 4 5 2 2 4 3 2" xfId="13960" xr:uid="{F07A68FC-D802-49D4-877F-C5413FC01ADD}"/>
    <cellStyle name="Normal 2 4 5 2 2 4 4" xfId="9742" xr:uid="{2718D961-1B4C-4862-B3A8-0D9AE5531DAC}"/>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2 2 2" xfId="16518" xr:uid="{B933C020-62CB-4F22-9423-539F64C90200}"/>
    <cellStyle name="Normal 2 4 5 2 2 5 2 3" xfId="12300" xr:uid="{15CC0278-4B54-40F6-9353-CA7221873E5E}"/>
    <cellStyle name="Normal 2 4 5 2 2 5 3" xfId="5938" xr:uid="{00000000-0005-0000-0000-000057100000}"/>
    <cellStyle name="Normal 2 4 5 2 2 5 3 2" xfId="14373" xr:uid="{D18EA669-C91A-4598-8619-CD75A46A75D7}"/>
    <cellStyle name="Normal 2 4 5 2 2 5 4" xfId="10155" xr:uid="{32A3A940-4A54-44E6-8F6C-FE51884B5E03}"/>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2 2 2" xfId="16931" xr:uid="{85B3809A-D9B5-44BC-9B8B-4FCAFF7E4C29}"/>
    <cellStyle name="Normal 2 4 5 2 2 6 2 3" xfId="12713" xr:uid="{5AA32B8C-AE79-4D3C-A27F-6314E1478238}"/>
    <cellStyle name="Normal 2 4 5 2 2 6 3" xfId="6351" xr:uid="{00000000-0005-0000-0000-00005B100000}"/>
    <cellStyle name="Normal 2 4 5 2 2 6 3 2" xfId="14786" xr:uid="{79E3239B-806D-4A8D-8A15-5AC5CCAB81DD}"/>
    <cellStyle name="Normal 2 4 5 2 2 6 4" xfId="10568" xr:uid="{B276FA19-6BAA-44CA-A29B-722F4D85A428}"/>
    <cellStyle name="Normal 2 4 5 2 2 7" xfId="2480" xr:uid="{00000000-0005-0000-0000-00005C100000}"/>
    <cellStyle name="Normal 2 4 5 2 2 7 2" xfId="6764" xr:uid="{00000000-0005-0000-0000-00005D100000}"/>
    <cellStyle name="Normal 2 4 5 2 2 7 2 2" xfId="15199" xr:uid="{A98C8304-A161-44FD-8DE2-63DFB070FCB4}"/>
    <cellStyle name="Normal 2 4 5 2 2 7 3" xfId="10981" xr:uid="{BBCAFE81-8490-4565-AEA8-85EDF8FDAF1D}"/>
    <cellStyle name="Normal 2 4 5 2 2 8" xfId="4698" xr:uid="{00000000-0005-0000-0000-00005E100000}"/>
    <cellStyle name="Normal 2 4 5 2 2 8 2" xfId="13133" xr:uid="{90C30D88-D5E8-4D86-A7BE-257D74E89E4C}"/>
    <cellStyle name="Normal 2 4 5 2 2 9" xfId="8915" xr:uid="{5C843CC0-3ED7-4124-96E8-4661CBCAB917}"/>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2 2 2" xfId="15694" xr:uid="{A038965D-6922-48C6-B7C1-82ACA63D586F}"/>
    <cellStyle name="Normal 2 4 5 2 3 2 2 3" xfId="11476" xr:uid="{3F10839F-7DBA-409C-9A38-DA5340C4F282}"/>
    <cellStyle name="Normal 2 4 5 2 3 2 3" xfId="5114" xr:uid="{00000000-0005-0000-0000-000063100000}"/>
    <cellStyle name="Normal 2 4 5 2 3 2 3 2" xfId="13549" xr:uid="{4820A2EA-6EAF-46CA-B2BA-48B644EF441D}"/>
    <cellStyle name="Normal 2 4 5 2 3 2 4" xfId="9331" xr:uid="{2379A9F4-5299-40F0-BE02-AEC796BB2446}"/>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2 2 2" xfId="16107" xr:uid="{3E2F2923-B208-4627-BE96-44674F64E771}"/>
    <cellStyle name="Normal 2 4 5 2 3 3 2 3" xfId="11889" xr:uid="{27A320D7-0687-4585-A292-4FEDC2E0B5DF}"/>
    <cellStyle name="Normal 2 4 5 2 3 3 3" xfId="5527" xr:uid="{00000000-0005-0000-0000-000067100000}"/>
    <cellStyle name="Normal 2 4 5 2 3 3 3 2" xfId="13962" xr:uid="{3FBBEA19-E2A4-4704-9D9F-3B6A64943949}"/>
    <cellStyle name="Normal 2 4 5 2 3 3 4" xfId="9744" xr:uid="{84338062-4496-4575-BB82-291CA993892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2 2 2" xfId="16520" xr:uid="{CB2DB7F3-9329-4579-9FDA-B492B190D1A8}"/>
    <cellStyle name="Normal 2 4 5 2 3 4 2 3" xfId="12302" xr:uid="{3ADB7352-FF17-42B6-8BE2-70C8C3112012}"/>
    <cellStyle name="Normal 2 4 5 2 3 4 3" xfId="5940" xr:uid="{00000000-0005-0000-0000-00006B100000}"/>
    <cellStyle name="Normal 2 4 5 2 3 4 3 2" xfId="14375" xr:uid="{FCE714F2-533C-4FDB-BB2C-E9F21FAED90D}"/>
    <cellStyle name="Normal 2 4 5 2 3 4 4" xfId="10157" xr:uid="{4FF6B789-3B4F-4979-82B0-0E84E2A0D241}"/>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2 2 2" xfId="16933" xr:uid="{0BCF76AD-7DB2-4205-AF7C-3084C427179D}"/>
    <cellStyle name="Normal 2 4 5 2 3 5 2 3" xfId="12715" xr:uid="{5295F440-4A94-4C2F-BBA3-9A65578D97D1}"/>
    <cellStyle name="Normal 2 4 5 2 3 5 3" xfId="6353" xr:uid="{00000000-0005-0000-0000-00006F100000}"/>
    <cellStyle name="Normal 2 4 5 2 3 5 3 2" xfId="14788" xr:uid="{9BEBF700-F00C-4026-8E47-39902012A913}"/>
    <cellStyle name="Normal 2 4 5 2 3 5 4" xfId="10570" xr:uid="{59359A5F-CDFE-465F-80D9-4DB6C1922B56}"/>
    <cellStyle name="Normal 2 4 5 2 3 6" xfId="2482" xr:uid="{00000000-0005-0000-0000-000070100000}"/>
    <cellStyle name="Normal 2 4 5 2 3 6 2" xfId="6766" xr:uid="{00000000-0005-0000-0000-000071100000}"/>
    <cellStyle name="Normal 2 4 5 2 3 6 2 2" xfId="15201" xr:uid="{1D3D440C-01C4-401C-9238-D1B99A3D8DEF}"/>
    <cellStyle name="Normal 2 4 5 2 3 6 3" xfId="10983" xr:uid="{50A45FC7-1A4A-4895-BC68-D1D20878A2CE}"/>
    <cellStyle name="Normal 2 4 5 2 3 7" xfId="4700" xr:uid="{00000000-0005-0000-0000-000072100000}"/>
    <cellStyle name="Normal 2 4 5 2 3 7 2" xfId="13135" xr:uid="{29F1442C-A4BB-4298-A985-40D7659215D6}"/>
    <cellStyle name="Normal 2 4 5 2 3 8" xfId="8917" xr:uid="{C1205831-16BC-452B-97CA-239B064074CE}"/>
    <cellStyle name="Normal 2 4 5 2 4" xfId="794" xr:uid="{00000000-0005-0000-0000-000073100000}"/>
    <cellStyle name="Normal 2 4 5 2 4 2" xfId="3033" xr:uid="{00000000-0005-0000-0000-000074100000}"/>
    <cellStyle name="Normal 2 4 5 2 4 2 2" xfId="7256" xr:uid="{00000000-0005-0000-0000-000075100000}"/>
    <cellStyle name="Normal 2 4 5 2 4 2 2 2" xfId="15691" xr:uid="{B83A276C-6B25-4997-896F-484A610C08B9}"/>
    <cellStyle name="Normal 2 4 5 2 4 2 3" xfId="11473" xr:uid="{14F2715E-5074-4A62-AF6C-4C9FE7405E29}"/>
    <cellStyle name="Normal 2 4 5 2 4 3" xfId="5111" xr:uid="{00000000-0005-0000-0000-000076100000}"/>
    <cellStyle name="Normal 2 4 5 2 4 3 2" xfId="13546" xr:uid="{8155E649-FC6A-4EE6-8869-5B3691587EF6}"/>
    <cellStyle name="Normal 2 4 5 2 4 4" xfId="9328" xr:uid="{201BAF12-D4D8-4D0A-BE27-0F760AD232EE}"/>
    <cellStyle name="Normal 2 4 5 2 5" xfId="1216" xr:uid="{00000000-0005-0000-0000-000077100000}"/>
    <cellStyle name="Normal 2 4 5 2 5 2" xfId="3446" xr:uid="{00000000-0005-0000-0000-000078100000}"/>
    <cellStyle name="Normal 2 4 5 2 5 2 2" xfId="7669" xr:uid="{00000000-0005-0000-0000-000079100000}"/>
    <cellStyle name="Normal 2 4 5 2 5 2 2 2" xfId="16104" xr:uid="{EFA41181-7286-40FC-BFF6-162F9E598CB9}"/>
    <cellStyle name="Normal 2 4 5 2 5 2 3" xfId="11886" xr:uid="{78FD916D-59A9-4497-BABD-7FE32D8D5504}"/>
    <cellStyle name="Normal 2 4 5 2 5 3" xfId="5524" xr:uid="{00000000-0005-0000-0000-00007A100000}"/>
    <cellStyle name="Normal 2 4 5 2 5 3 2" xfId="13959" xr:uid="{F7A960A5-02C3-489B-9E91-6375210B91EE}"/>
    <cellStyle name="Normal 2 4 5 2 5 4" xfId="9741" xr:uid="{F6693196-A46B-44A0-A2C9-0741E8ED7BDF}"/>
    <cellStyle name="Normal 2 4 5 2 6" xfId="1629" xr:uid="{00000000-0005-0000-0000-00007B100000}"/>
    <cellStyle name="Normal 2 4 5 2 6 2" xfId="3859" xr:uid="{00000000-0005-0000-0000-00007C100000}"/>
    <cellStyle name="Normal 2 4 5 2 6 2 2" xfId="8082" xr:uid="{00000000-0005-0000-0000-00007D100000}"/>
    <cellStyle name="Normal 2 4 5 2 6 2 2 2" xfId="16517" xr:uid="{37F75C69-085E-4D2B-B185-FB5C1D48668F}"/>
    <cellStyle name="Normal 2 4 5 2 6 2 3" xfId="12299" xr:uid="{7F5561C8-A535-4D33-8A60-CC9CB6E5D29F}"/>
    <cellStyle name="Normal 2 4 5 2 6 3" xfId="5937" xr:uid="{00000000-0005-0000-0000-00007E100000}"/>
    <cellStyle name="Normal 2 4 5 2 6 3 2" xfId="14372" xr:uid="{99E2C450-C123-41F3-A735-AB090DD0D206}"/>
    <cellStyle name="Normal 2 4 5 2 6 4" xfId="10154" xr:uid="{4DD02793-8F46-4A68-A59F-B8B3B94FE653}"/>
    <cellStyle name="Normal 2 4 5 2 7" xfId="2043" xr:uid="{00000000-0005-0000-0000-00007F100000}"/>
    <cellStyle name="Normal 2 4 5 2 7 2" xfId="4272" xr:uid="{00000000-0005-0000-0000-000080100000}"/>
    <cellStyle name="Normal 2 4 5 2 7 2 2" xfId="8495" xr:uid="{00000000-0005-0000-0000-000081100000}"/>
    <cellStyle name="Normal 2 4 5 2 7 2 2 2" xfId="16930" xr:uid="{C3E18925-41F6-4B53-8E6E-1FCF0F374993}"/>
    <cellStyle name="Normal 2 4 5 2 7 2 3" xfId="12712" xr:uid="{162AF061-9227-4F39-9305-1BD9623F60E3}"/>
    <cellStyle name="Normal 2 4 5 2 7 3" xfId="6350" xr:uid="{00000000-0005-0000-0000-000082100000}"/>
    <cellStyle name="Normal 2 4 5 2 7 3 2" xfId="14785" xr:uid="{7D83A2E2-CC6C-4988-B80D-D009E7757F8A}"/>
    <cellStyle name="Normal 2 4 5 2 7 4" xfId="10567" xr:uid="{5A440FD4-0DAD-4817-BB9C-DA059B3124F4}"/>
    <cellStyle name="Normal 2 4 5 2 8" xfId="2479" xr:uid="{00000000-0005-0000-0000-000083100000}"/>
    <cellStyle name="Normal 2 4 5 2 8 2" xfId="6763" xr:uid="{00000000-0005-0000-0000-000084100000}"/>
    <cellStyle name="Normal 2 4 5 2 8 2 2" xfId="15198" xr:uid="{A0A91D12-7E4B-4BFC-A769-B978C14EAD02}"/>
    <cellStyle name="Normal 2 4 5 2 8 3" xfId="10980" xr:uid="{1BD3951C-D854-4861-BC03-0CF2111C1177}"/>
    <cellStyle name="Normal 2 4 5 2 9" xfId="4697" xr:uid="{00000000-0005-0000-0000-000085100000}"/>
    <cellStyle name="Normal 2 4 5 2 9 2" xfId="13132" xr:uid="{1CA5D62E-92EE-4872-9EE7-8347D05CED89}"/>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2 2 2" xfId="15696" xr:uid="{F4ED54E3-1A1B-4AAA-BE15-1628F67E016B}"/>
    <cellStyle name="Normal 2 4 5 3 2 2 2 3" xfId="11478" xr:uid="{1111444A-83F2-4F3C-A062-2E5708AC3F24}"/>
    <cellStyle name="Normal 2 4 5 3 2 2 3" xfId="5116" xr:uid="{00000000-0005-0000-0000-00008B100000}"/>
    <cellStyle name="Normal 2 4 5 3 2 2 3 2" xfId="13551" xr:uid="{7DE1F233-D451-4BEB-8E1F-9C3DDB3DC311}"/>
    <cellStyle name="Normal 2 4 5 3 2 2 4" xfId="9333" xr:uid="{FE854B30-C4CB-48FF-ADE4-A0FE64A5610A}"/>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2 2 2" xfId="16109" xr:uid="{DD615BA8-6501-46CA-A191-D4F643810486}"/>
    <cellStyle name="Normal 2 4 5 3 2 3 2 3" xfId="11891" xr:uid="{C51A680E-811F-4EB1-B351-2A116045B7A7}"/>
    <cellStyle name="Normal 2 4 5 3 2 3 3" xfId="5529" xr:uid="{00000000-0005-0000-0000-00008F100000}"/>
    <cellStyle name="Normal 2 4 5 3 2 3 3 2" xfId="13964" xr:uid="{BA266FEC-06D5-4288-887B-B18B6B3E35FC}"/>
    <cellStyle name="Normal 2 4 5 3 2 3 4" xfId="9746" xr:uid="{5CC62392-DCFB-4901-839F-F037B2DBFDF8}"/>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2 2 2" xfId="16522" xr:uid="{83464E77-1956-4F0B-AC42-2FB7DBEB9EC6}"/>
    <cellStyle name="Normal 2 4 5 3 2 4 2 3" xfId="12304" xr:uid="{447F5F8E-0634-4F18-9147-5E149C1BF025}"/>
    <cellStyle name="Normal 2 4 5 3 2 4 3" xfId="5942" xr:uid="{00000000-0005-0000-0000-000093100000}"/>
    <cellStyle name="Normal 2 4 5 3 2 4 3 2" xfId="14377" xr:uid="{BB1180FF-EB77-4810-8BB3-C95CAF2576BA}"/>
    <cellStyle name="Normal 2 4 5 3 2 4 4" xfId="10159" xr:uid="{3489B6CC-963B-40AE-A4B8-D47A2741CFBD}"/>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2 2 2" xfId="16935" xr:uid="{E66353F7-5D41-443A-A781-853E75F8C33D}"/>
    <cellStyle name="Normal 2 4 5 3 2 5 2 3" xfId="12717" xr:uid="{62BDDC54-B936-4E8E-AB5B-A5CBF740E954}"/>
    <cellStyle name="Normal 2 4 5 3 2 5 3" xfId="6355" xr:uid="{00000000-0005-0000-0000-000097100000}"/>
    <cellStyle name="Normal 2 4 5 3 2 5 3 2" xfId="14790" xr:uid="{2A009D5E-7922-41FE-93C6-8D459CDECA4C}"/>
    <cellStyle name="Normal 2 4 5 3 2 5 4" xfId="10572" xr:uid="{854A741B-26A2-420C-89AA-063AEC233902}"/>
    <cellStyle name="Normal 2 4 5 3 2 6" xfId="2484" xr:uid="{00000000-0005-0000-0000-000098100000}"/>
    <cellStyle name="Normal 2 4 5 3 2 6 2" xfId="6768" xr:uid="{00000000-0005-0000-0000-000099100000}"/>
    <cellStyle name="Normal 2 4 5 3 2 6 2 2" xfId="15203" xr:uid="{10BC59E8-6EB6-4A55-952B-9AA99FE8DD52}"/>
    <cellStyle name="Normal 2 4 5 3 2 6 3" xfId="10985" xr:uid="{61113901-F6D5-4B5F-84B0-358F8A6AF11B}"/>
    <cellStyle name="Normal 2 4 5 3 2 7" xfId="4702" xr:uid="{00000000-0005-0000-0000-00009A100000}"/>
    <cellStyle name="Normal 2 4 5 3 2 7 2" xfId="13137" xr:uid="{16AE4353-AB94-4911-8F2C-B70735ADC325}"/>
    <cellStyle name="Normal 2 4 5 3 2 8" xfId="8919" xr:uid="{67B56BE7-ED39-494A-A7EA-0BD8BE78FAA2}"/>
    <cellStyle name="Normal 2 4 5 3 3" xfId="798" xr:uid="{00000000-0005-0000-0000-00009B100000}"/>
    <cellStyle name="Normal 2 4 5 3 3 2" xfId="3037" xr:uid="{00000000-0005-0000-0000-00009C100000}"/>
    <cellStyle name="Normal 2 4 5 3 3 2 2" xfId="7260" xr:uid="{00000000-0005-0000-0000-00009D100000}"/>
    <cellStyle name="Normal 2 4 5 3 3 2 2 2" xfId="15695" xr:uid="{FAD49EF7-C928-491A-9F21-DB9A2DFCE358}"/>
    <cellStyle name="Normal 2 4 5 3 3 2 3" xfId="11477" xr:uid="{39BACD93-91DD-4AEC-9424-F517A9E3B3AC}"/>
    <cellStyle name="Normal 2 4 5 3 3 3" xfId="5115" xr:uid="{00000000-0005-0000-0000-00009E100000}"/>
    <cellStyle name="Normal 2 4 5 3 3 3 2" xfId="13550" xr:uid="{AB5DFB5D-F581-4A30-AB03-086B7644572B}"/>
    <cellStyle name="Normal 2 4 5 3 3 4" xfId="9332" xr:uid="{DBE8F8CD-0DE5-4D55-9422-1998A311FD66}"/>
    <cellStyle name="Normal 2 4 5 3 4" xfId="1220" xr:uid="{00000000-0005-0000-0000-00009F100000}"/>
    <cellStyle name="Normal 2 4 5 3 4 2" xfId="3450" xr:uid="{00000000-0005-0000-0000-0000A0100000}"/>
    <cellStyle name="Normal 2 4 5 3 4 2 2" xfId="7673" xr:uid="{00000000-0005-0000-0000-0000A1100000}"/>
    <cellStyle name="Normal 2 4 5 3 4 2 2 2" xfId="16108" xr:uid="{92E95EA4-EEDF-4D23-B2F8-E4D906FB5150}"/>
    <cellStyle name="Normal 2 4 5 3 4 2 3" xfId="11890" xr:uid="{2204597F-4C2C-40C4-92D5-28491C5D2CA2}"/>
    <cellStyle name="Normal 2 4 5 3 4 3" xfId="5528" xr:uid="{00000000-0005-0000-0000-0000A2100000}"/>
    <cellStyle name="Normal 2 4 5 3 4 3 2" xfId="13963" xr:uid="{CA8290FC-D638-4AFB-8E57-238D80BC24A5}"/>
    <cellStyle name="Normal 2 4 5 3 4 4" xfId="9745" xr:uid="{0862FB5A-63BB-403A-BB9D-C5E1108EA6BF}"/>
    <cellStyle name="Normal 2 4 5 3 5" xfId="1633" xr:uid="{00000000-0005-0000-0000-0000A3100000}"/>
    <cellStyle name="Normal 2 4 5 3 5 2" xfId="3863" xr:uid="{00000000-0005-0000-0000-0000A4100000}"/>
    <cellStyle name="Normal 2 4 5 3 5 2 2" xfId="8086" xr:uid="{00000000-0005-0000-0000-0000A5100000}"/>
    <cellStyle name="Normal 2 4 5 3 5 2 2 2" xfId="16521" xr:uid="{2955DCE1-629E-4143-81A8-EBF92A87AE48}"/>
    <cellStyle name="Normal 2 4 5 3 5 2 3" xfId="12303" xr:uid="{B94AF2D5-D8DD-47F9-AD33-010EA17F70CD}"/>
    <cellStyle name="Normal 2 4 5 3 5 3" xfId="5941" xr:uid="{00000000-0005-0000-0000-0000A6100000}"/>
    <cellStyle name="Normal 2 4 5 3 5 3 2" xfId="14376" xr:uid="{8EF3D583-EB69-4D51-8F0B-952339E5212C}"/>
    <cellStyle name="Normal 2 4 5 3 5 4" xfId="10158" xr:uid="{1B438AF3-630F-447D-9EBB-D4D83D76E4B1}"/>
    <cellStyle name="Normal 2 4 5 3 6" xfId="2047" xr:uid="{00000000-0005-0000-0000-0000A7100000}"/>
    <cellStyle name="Normal 2 4 5 3 6 2" xfId="4276" xr:uid="{00000000-0005-0000-0000-0000A8100000}"/>
    <cellStyle name="Normal 2 4 5 3 6 2 2" xfId="8499" xr:uid="{00000000-0005-0000-0000-0000A9100000}"/>
    <cellStyle name="Normal 2 4 5 3 6 2 2 2" xfId="16934" xr:uid="{12696580-7C7A-41A2-826F-FB606E2BEBCD}"/>
    <cellStyle name="Normal 2 4 5 3 6 2 3" xfId="12716" xr:uid="{08104B03-6585-4B93-9987-C98B05122E85}"/>
    <cellStyle name="Normal 2 4 5 3 6 3" xfId="6354" xr:uid="{00000000-0005-0000-0000-0000AA100000}"/>
    <cellStyle name="Normal 2 4 5 3 6 3 2" xfId="14789" xr:uid="{44D4E3F7-8646-4961-B9F5-4E366FA8B380}"/>
    <cellStyle name="Normal 2 4 5 3 6 4" xfId="10571" xr:uid="{3CD1F71A-3235-4426-A6A0-5F4B8F208F14}"/>
    <cellStyle name="Normal 2 4 5 3 7" xfId="2483" xr:uid="{00000000-0005-0000-0000-0000AB100000}"/>
    <cellStyle name="Normal 2 4 5 3 7 2" xfId="6767" xr:uid="{00000000-0005-0000-0000-0000AC100000}"/>
    <cellStyle name="Normal 2 4 5 3 7 2 2" xfId="15202" xr:uid="{40F1893F-B36F-4286-82FC-3E9CDD0734FE}"/>
    <cellStyle name="Normal 2 4 5 3 7 3" xfId="10984" xr:uid="{1EAE9A8B-E0DF-45C6-A314-78D4B84482C8}"/>
    <cellStyle name="Normal 2 4 5 3 8" xfId="4701" xr:uid="{00000000-0005-0000-0000-0000AD100000}"/>
    <cellStyle name="Normal 2 4 5 3 8 2" xfId="13136" xr:uid="{5D64DB39-3C5A-40CD-A0AF-1CBF194F1E90}"/>
    <cellStyle name="Normal 2 4 5 3 9" xfId="8918" xr:uid="{37BC48C4-A5EC-42F2-AF29-AD3EE2192B7E}"/>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2 2 2" xfId="15697" xr:uid="{90DF990D-25BC-404B-A432-B17B7B47EBDA}"/>
    <cellStyle name="Normal 2 4 5 4 2 2 3" xfId="11479" xr:uid="{9F6AC553-5A56-4386-87E3-B7C14BD4C2AC}"/>
    <cellStyle name="Normal 2 4 5 4 2 3" xfId="5117" xr:uid="{00000000-0005-0000-0000-0000B2100000}"/>
    <cellStyle name="Normal 2 4 5 4 2 3 2" xfId="13552" xr:uid="{A63244D4-4FAB-411E-AE93-55E8FAEDA4ED}"/>
    <cellStyle name="Normal 2 4 5 4 2 4" xfId="9334" xr:uid="{E1B86F95-02DA-4A2A-B7C8-F336956D94F6}"/>
    <cellStyle name="Normal 2 4 5 4 3" xfId="1222" xr:uid="{00000000-0005-0000-0000-0000B3100000}"/>
    <cellStyle name="Normal 2 4 5 4 3 2" xfId="3452" xr:uid="{00000000-0005-0000-0000-0000B4100000}"/>
    <cellStyle name="Normal 2 4 5 4 3 2 2" xfId="7675" xr:uid="{00000000-0005-0000-0000-0000B5100000}"/>
    <cellStyle name="Normal 2 4 5 4 3 2 2 2" xfId="16110" xr:uid="{D9FB6DD0-626C-44DE-B545-D9B8093EE4B6}"/>
    <cellStyle name="Normal 2 4 5 4 3 2 3" xfId="11892" xr:uid="{35BD964A-295B-4CBF-9316-83F01ACB5A56}"/>
    <cellStyle name="Normal 2 4 5 4 3 3" xfId="5530" xr:uid="{00000000-0005-0000-0000-0000B6100000}"/>
    <cellStyle name="Normal 2 4 5 4 3 3 2" xfId="13965" xr:uid="{A834C518-DA08-4CB0-A0E7-53E02242C673}"/>
    <cellStyle name="Normal 2 4 5 4 3 4" xfId="9747" xr:uid="{017327E5-155D-41FC-A729-8590C9D1511D}"/>
    <cellStyle name="Normal 2 4 5 4 4" xfId="1635" xr:uid="{00000000-0005-0000-0000-0000B7100000}"/>
    <cellStyle name="Normal 2 4 5 4 4 2" xfId="3865" xr:uid="{00000000-0005-0000-0000-0000B8100000}"/>
    <cellStyle name="Normal 2 4 5 4 4 2 2" xfId="8088" xr:uid="{00000000-0005-0000-0000-0000B9100000}"/>
    <cellStyle name="Normal 2 4 5 4 4 2 2 2" xfId="16523" xr:uid="{6C931533-058A-40AF-A85C-80D0F99C9D58}"/>
    <cellStyle name="Normal 2 4 5 4 4 2 3" xfId="12305" xr:uid="{7030DD75-26DF-4B47-8620-6BE7F993C108}"/>
    <cellStyle name="Normal 2 4 5 4 4 3" xfId="5943" xr:uid="{00000000-0005-0000-0000-0000BA100000}"/>
    <cellStyle name="Normal 2 4 5 4 4 3 2" xfId="14378" xr:uid="{7390C574-6ED7-4F44-BC5E-25FC968E668A}"/>
    <cellStyle name="Normal 2 4 5 4 4 4" xfId="10160" xr:uid="{DDCB5665-132B-429D-8E51-E0D021BB8F1C}"/>
    <cellStyle name="Normal 2 4 5 4 5" xfId="2049" xr:uid="{00000000-0005-0000-0000-0000BB100000}"/>
    <cellStyle name="Normal 2 4 5 4 5 2" xfId="4278" xr:uid="{00000000-0005-0000-0000-0000BC100000}"/>
    <cellStyle name="Normal 2 4 5 4 5 2 2" xfId="8501" xr:uid="{00000000-0005-0000-0000-0000BD100000}"/>
    <cellStyle name="Normal 2 4 5 4 5 2 2 2" xfId="16936" xr:uid="{367FBC50-04B8-4776-AB9B-4F96E755CD01}"/>
    <cellStyle name="Normal 2 4 5 4 5 2 3" xfId="12718" xr:uid="{CE639FF4-99CE-425B-9F76-D43BB58D4BE0}"/>
    <cellStyle name="Normal 2 4 5 4 5 3" xfId="6356" xr:uid="{00000000-0005-0000-0000-0000BE100000}"/>
    <cellStyle name="Normal 2 4 5 4 5 3 2" xfId="14791" xr:uid="{602A7675-7D89-4D6A-833F-C14B5631FD70}"/>
    <cellStyle name="Normal 2 4 5 4 5 4" xfId="10573" xr:uid="{792DCA71-3B83-4757-B10F-2DDEE7B5749B}"/>
    <cellStyle name="Normal 2 4 5 4 6" xfId="2485" xr:uid="{00000000-0005-0000-0000-0000BF100000}"/>
    <cellStyle name="Normal 2 4 5 4 6 2" xfId="6769" xr:uid="{00000000-0005-0000-0000-0000C0100000}"/>
    <cellStyle name="Normal 2 4 5 4 6 2 2" xfId="15204" xr:uid="{81553A45-A95F-470B-ABF8-CF8BA0702E5A}"/>
    <cellStyle name="Normal 2 4 5 4 6 3" xfId="10986" xr:uid="{31AEE81A-6486-4390-95BB-5FE1BE51920D}"/>
    <cellStyle name="Normal 2 4 5 4 7" xfId="4703" xr:uid="{00000000-0005-0000-0000-0000C1100000}"/>
    <cellStyle name="Normal 2 4 5 4 7 2" xfId="13138" xr:uid="{40E84830-B750-47BF-A64E-679430604CC9}"/>
    <cellStyle name="Normal 2 4 5 4 8" xfId="8920" xr:uid="{4D45617D-D3F3-42C9-9D92-29684CB0656B}"/>
    <cellStyle name="Normal 2 4 5 5" xfId="793" xr:uid="{00000000-0005-0000-0000-0000C2100000}"/>
    <cellStyle name="Normal 2 4 5 5 2" xfId="3032" xr:uid="{00000000-0005-0000-0000-0000C3100000}"/>
    <cellStyle name="Normal 2 4 5 5 2 2" xfId="7255" xr:uid="{00000000-0005-0000-0000-0000C4100000}"/>
    <cellStyle name="Normal 2 4 5 5 2 2 2" xfId="15690" xr:uid="{1DC6EA1E-E1E8-478A-844D-A895BD0E876E}"/>
    <cellStyle name="Normal 2 4 5 5 2 3" xfId="11472" xr:uid="{4B3C26AF-76C8-4E24-9506-D28709056BC7}"/>
    <cellStyle name="Normal 2 4 5 5 3" xfId="5110" xr:uid="{00000000-0005-0000-0000-0000C5100000}"/>
    <cellStyle name="Normal 2 4 5 5 3 2" xfId="13545" xr:uid="{B90A480C-656F-4902-95AB-71014352EF56}"/>
    <cellStyle name="Normal 2 4 5 5 4" xfId="9327" xr:uid="{51998737-7455-48FA-9141-B428980BB902}"/>
    <cellStyle name="Normal 2 4 5 6" xfId="1215" xr:uid="{00000000-0005-0000-0000-0000C6100000}"/>
    <cellStyle name="Normal 2 4 5 6 2" xfId="3445" xr:uid="{00000000-0005-0000-0000-0000C7100000}"/>
    <cellStyle name="Normal 2 4 5 6 2 2" xfId="7668" xr:uid="{00000000-0005-0000-0000-0000C8100000}"/>
    <cellStyle name="Normal 2 4 5 6 2 2 2" xfId="16103" xr:uid="{FC5A85D3-50E8-43D7-A48F-AAA7D0CD1C89}"/>
    <cellStyle name="Normal 2 4 5 6 2 3" xfId="11885" xr:uid="{4CA7CAEB-6E6F-4FA8-B4FC-77B470CC7302}"/>
    <cellStyle name="Normal 2 4 5 6 3" xfId="5523" xr:uid="{00000000-0005-0000-0000-0000C9100000}"/>
    <cellStyle name="Normal 2 4 5 6 3 2" xfId="13958" xr:uid="{66E221E6-6018-4355-8F6F-930D7301DF4E}"/>
    <cellStyle name="Normal 2 4 5 6 4" xfId="9740" xr:uid="{1B0A86BB-FDCB-45D6-A985-41972A12FB24}"/>
    <cellStyle name="Normal 2 4 5 7" xfId="1628" xr:uid="{00000000-0005-0000-0000-0000CA100000}"/>
    <cellStyle name="Normal 2 4 5 7 2" xfId="3858" xr:uid="{00000000-0005-0000-0000-0000CB100000}"/>
    <cellStyle name="Normal 2 4 5 7 2 2" xfId="8081" xr:uid="{00000000-0005-0000-0000-0000CC100000}"/>
    <cellStyle name="Normal 2 4 5 7 2 2 2" xfId="16516" xr:uid="{42D6F268-BF13-4848-A954-FF5532F3F644}"/>
    <cellStyle name="Normal 2 4 5 7 2 3" xfId="12298" xr:uid="{5BB71FBF-5DA0-43DD-A799-3B445925873A}"/>
    <cellStyle name="Normal 2 4 5 7 3" xfId="5936" xr:uid="{00000000-0005-0000-0000-0000CD100000}"/>
    <cellStyle name="Normal 2 4 5 7 3 2" xfId="14371" xr:uid="{0BC8C464-7935-481C-9708-D8809FA19472}"/>
    <cellStyle name="Normal 2 4 5 7 4" xfId="10153" xr:uid="{0BE15E80-C835-4733-B780-BB49485D4C4B}"/>
    <cellStyle name="Normal 2 4 5 8" xfId="2042" xr:uid="{00000000-0005-0000-0000-0000CE100000}"/>
    <cellStyle name="Normal 2 4 5 8 2" xfId="4271" xr:uid="{00000000-0005-0000-0000-0000CF100000}"/>
    <cellStyle name="Normal 2 4 5 8 2 2" xfId="8494" xr:uid="{00000000-0005-0000-0000-0000D0100000}"/>
    <cellStyle name="Normal 2 4 5 8 2 2 2" xfId="16929" xr:uid="{533BBF56-401C-4747-8DB3-2A5F28FC84F1}"/>
    <cellStyle name="Normal 2 4 5 8 2 3" xfId="12711" xr:uid="{42F23506-7089-4288-BF27-9E4A4DED73E8}"/>
    <cellStyle name="Normal 2 4 5 8 3" xfId="6349" xr:uid="{00000000-0005-0000-0000-0000D1100000}"/>
    <cellStyle name="Normal 2 4 5 8 3 2" xfId="14784" xr:uid="{8CA35976-035E-4125-9BE0-2C36123567C0}"/>
    <cellStyle name="Normal 2 4 5 8 4" xfId="10566" xr:uid="{B4026898-E6D9-4D18-828B-932F2B1F7B51}"/>
    <cellStyle name="Normal 2 4 5 9" xfId="2478" xr:uid="{00000000-0005-0000-0000-0000D2100000}"/>
    <cellStyle name="Normal 2 4 5 9 2" xfId="6762" xr:uid="{00000000-0005-0000-0000-0000D3100000}"/>
    <cellStyle name="Normal 2 4 5 9 2 2" xfId="15197" xr:uid="{CC2B73FC-9B82-4213-BE52-90BA86A6DD91}"/>
    <cellStyle name="Normal 2 4 5 9 3" xfId="10979" xr:uid="{7653F3EB-D4B8-420D-8B17-AF11B8542BAC}"/>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2 2 2" xfId="15699" xr:uid="{8FA859C5-E250-4537-B3ED-0FC62F1CDF7B}"/>
    <cellStyle name="Normal 2 4 7 2 2 2 3" xfId="11481" xr:uid="{A1C1E4A3-9BC6-479A-9868-CA330EF89889}"/>
    <cellStyle name="Normal 2 4 7 2 2 3" xfId="5119" xr:uid="{00000000-0005-0000-0000-0000DA100000}"/>
    <cellStyle name="Normal 2 4 7 2 2 3 2" xfId="13554" xr:uid="{36F73AF6-E01A-49F6-8927-136963DE46A2}"/>
    <cellStyle name="Normal 2 4 7 2 2 4" xfId="9336" xr:uid="{3231C38F-3EAE-486B-B48B-8634FABFA099}"/>
    <cellStyle name="Normal 2 4 7 2 3" xfId="1224" xr:uid="{00000000-0005-0000-0000-0000DB100000}"/>
    <cellStyle name="Normal 2 4 7 2 3 2" xfId="3454" xr:uid="{00000000-0005-0000-0000-0000DC100000}"/>
    <cellStyle name="Normal 2 4 7 2 3 2 2" xfId="7677" xr:uid="{00000000-0005-0000-0000-0000DD100000}"/>
    <cellStyle name="Normal 2 4 7 2 3 2 2 2" xfId="16112" xr:uid="{8DB01C2F-5FDF-4DF0-8303-FBCD0DAA8E49}"/>
    <cellStyle name="Normal 2 4 7 2 3 2 3" xfId="11894" xr:uid="{68F96569-606F-458D-9562-2D89485A2AE4}"/>
    <cellStyle name="Normal 2 4 7 2 3 3" xfId="5532" xr:uid="{00000000-0005-0000-0000-0000DE100000}"/>
    <cellStyle name="Normal 2 4 7 2 3 3 2" xfId="13967" xr:uid="{E8BA1291-E124-497C-8F26-D30992D8BD39}"/>
    <cellStyle name="Normal 2 4 7 2 3 4" xfId="9749" xr:uid="{839E8C20-F98B-45FE-806D-2076B615C7D9}"/>
    <cellStyle name="Normal 2 4 7 2 4" xfId="1637" xr:uid="{00000000-0005-0000-0000-0000DF100000}"/>
    <cellStyle name="Normal 2 4 7 2 4 2" xfId="3867" xr:uid="{00000000-0005-0000-0000-0000E0100000}"/>
    <cellStyle name="Normal 2 4 7 2 4 2 2" xfId="8090" xr:uid="{00000000-0005-0000-0000-0000E1100000}"/>
    <cellStyle name="Normal 2 4 7 2 4 2 2 2" xfId="16525" xr:uid="{A1C09B94-D58A-40D1-8EC7-E13E53D7987A}"/>
    <cellStyle name="Normal 2 4 7 2 4 2 3" xfId="12307" xr:uid="{7621520A-9CC6-4A38-B6B3-8257C01AE8AF}"/>
    <cellStyle name="Normal 2 4 7 2 4 3" xfId="5945" xr:uid="{00000000-0005-0000-0000-0000E2100000}"/>
    <cellStyle name="Normal 2 4 7 2 4 3 2" xfId="14380" xr:uid="{AC7C9F39-AAC2-4F78-8E58-6D1A56DCE481}"/>
    <cellStyle name="Normal 2 4 7 2 4 4" xfId="10162" xr:uid="{AB9497F2-D6C3-4F37-A425-155274CCE467}"/>
    <cellStyle name="Normal 2 4 7 2 5" xfId="2051" xr:uid="{00000000-0005-0000-0000-0000E3100000}"/>
    <cellStyle name="Normal 2 4 7 2 5 2" xfId="4280" xr:uid="{00000000-0005-0000-0000-0000E4100000}"/>
    <cellStyle name="Normal 2 4 7 2 5 2 2" xfId="8503" xr:uid="{00000000-0005-0000-0000-0000E5100000}"/>
    <cellStyle name="Normal 2 4 7 2 5 2 2 2" xfId="16938" xr:uid="{2F8A4EFA-98F7-4E19-9B78-5E4D02A768A5}"/>
    <cellStyle name="Normal 2 4 7 2 5 2 3" xfId="12720" xr:uid="{4030C7E2-81E3-4DB2-AE3D-A091B0729532}"/>
    <cellStyle name="Normal 2 4 7 2 5 3" xfId="6358" xr:uid="{00000000-0005-0000-0000-0000E6100000}"/>
    <cellStyle name="Normal 2 4 7 2 5 3 2" xfId="14793" xr:uid="{1472AFB3-E02B-4520-BE6D-30B2837948B4}"/>
    <cellStyle name="Normal 2 4 7 2 5 4" xfId="10575" xr:uid="{F72C9F07-1483-44B6-A5E8-7B055252285E}"/>
    <cellStyle name="Normal 2 4 7 2 6" xfId="2487" xr:uid="{00000000-0005-0000-0000-0000E7100000}"/>
    <cellStyle name="Normal 2 4 7 2 6 2" xfId="6771" xr:uid="{00000000-0005-0000-0000-0000E8100000}"/>
    <cellStyle name="Normal 2 4 7 2 6 2 2" xfId="15206" xr:uid="{9E13D8F0-26C1-4B1C-8F72-7D9E45B4645F}"/>
    <cellStyle name="Normal 2 4 7 2 6 3" xfId="10988" xr:uid="{EB1E0713-D7F8-40C3-B3C2-903A2E05E81F}"/>
    <cellStyle name="Normal 2 4 7 2 7" xfId="4705" xr:uid="{00000000-0005-0000-0000-0000E9100000}"/>
    <cellStyle name="Normal 2 4 7 2 7 2" xfId="13140" xr:uid="{811F27A1-BB27-42F8-A99A-83748F6ACE2E}"/>
    <cellStyle name="Normal 2 4 7 2 8" xfId="8922" xr:uid="{69647496-75B4-4D65-8462-A1E725AE6D70}"/>
    <cellStyle name="Normal 2 4 7 3" xfId="801" xr:uid="{00000000-0005-0000-0000-0000EA100000}"/>
    <cellStyle name="Normal 2 4 7 3 2" xfId="3040" xr:uid="{00000000-0005-0000-0000-0000EB100000}"/>
    <cellStyle name="Normal 2 4 7 3 2 2" xfId="7263" xr:uid="{00000000-0005-0000-0000-0000EC100000}"/>
    <cellStyle name="Normal 2 4 7 3 2 2 2" xfId="15698" xr:uid="{9047C83D-76CF-4357-BB7C-89E6A0B360F4}"/>
    <cellStyle name="Normal 2 4 7 3 2 3" xfId="11480" xr:uid="{8A45A164-1696-40A5-B1DD-DCF789E7FF65}"/>
    <cellStyle name="Normal 2 4 7 3 3" xfId="5118" xr:uid="{00000000-0005-0000-0000-0000ED100000}"/>
    <cellStyle name="Normal 2 4 7 3 3 2" xfId="13553" xr:uid="{8BC7D7F8-791C-4E79-BA2A-C688D9069392}"/>
    <cellStyle name="Normal 2 4 7 3 4" xfId="9335" xr:uid="{9F6454ED-48B3-4013-B2EB-58BE2BB18D51}"/>
    <cellStyle name="Normal 2 4 7 4" xfId="1223" xr:uid="{00000000-0005-0000-0000-0000EE100000}"/>
    <cellStyle name="Normal 2 4 7 4 2" xfId="3453" xr:uid="{00000000-0005-0000-0000-0000EF100000}"/>
    <cellStyle name="Normal 2 4 7 4 2 2" xfId="7676" xr:uid="{00000000-0005-0000-0000-0000F0100000}"/>
    <cellStyle name="Normal 2 4 7 4 2 2 2" xfId="16111" xr:uid="{AD6D9589-CFB2-4681-95C6-68D186D427AE}"/>
    <cellStyle name="Normal 2 4 7 4 2 3" xfId="11893" xr:uid="{7C01F316-C2D8-4D89-8857-2729FEAE7741}"/>
    <cellStyle name="Normal 2 4 7 4 3" xfId="5531" xr:uid="{00000000-0005-0000-0000-0000F1100000}"/>
    <cellStyle name="Normal 2 4 7 4 3 2" xfId="13966" xr:uid="{F082F931-8262-4930-84E6-B4DAF149F922}"/>
    <cellStyle name="Normal 2 4 7 4 4" xfId="9748" xr:uid="{773F452C-11E9-4831-8D25-3DDD5C79BBB1}"/>
    <cellStyle name="Normal 2 4 7 5" xfId="1636" xr:uid="{00000000-0005-0000-0000-0000F2100000}"/>
    <cellStyle name="Normal 2 4 7 5 2" xfId="3866" xr:uid="{00000000-0005-0000-0000-0000F3100000}"/>
    <cellStyle name="Normal 2 4 7 5 2 2" xfId="8089" xr:uid="{00000000-0005-0000-0000-0000F4100000}"/>
    <cellStyle name="Normal 2 4 7 5 2 2 2" xfId="16524" xr:uid="{27FA17EF-420A-4A8C-BE60-0BD065625722}"/>
    <cellStyle name="Normal 2 4 7 5 2 3" xfId="12306" xr:uid="{B12C9B0D-CE38-4F70-B34D-BF0DD7FC8779}"/>
    <cellStyle name="Normal 2 4 7 5 3" xfId="5944" xr:uid="{00000000-0005-0000-0000-0000F5100000}"/>
    <cellStyle name="Normal 2 4 7 5 3 2" xfId="14379" xr:uid="{2D11CE22-8F33-4ABC-849D-63C477E67880}"/>
    <cellStyle name="Normal 2 4 7 5 4" xfId="10161" xr:uid="{176C6ADB-5AF6-46F5-BF3B-B7E5492358CF}"/>
    <cellStyle name="Normal 2 4 7 6" xfId="2050" xr:uid="{00000000-0005-0000-0000-0000F6100000}"/>
    <cellStyle name="Normal 2 4 7 6 2" xfId="4279" xr:uid="{00000000-0005-0000-0000-0000F7100000}"/>
    <cellStyle name="Normal 2 4 7 6 2 2" xfId="8502" xr:uid="{00000000-0005-0000-0000-0000F8100000}"/>
    <cellStyle name="Normal 2 4 7 6 2 2 2" xfId="16937" xr:uid="{D119E063-F041-4F70-A4FA-157951EEDC97}"/>
    <cellStyle name="Normal 2 4 7 6 2 3" xfId="12719" xr:uid="{EEC349AF-5A7A-4B15-BE2F-B1998AF2CF09}"/>
    <cellStyle name="Normal 2 4 7 6 3" xfId="6357" xr:uid="{00000000-0005-0000-0000-0000F9100000}"/>
    <cellStyle name="Normal 2 4 7 6 3 2" xfId="14792" xr:uid="{9897E763-17A1-4189-B682-3F2CDAC41960}"/>
    <cellStyle name="Normal 2 4 7 6 4" xfId="10574" xr:uid="{4C316031-F1C8-4A06-8449-4E15E6700AA2}"/>
    <cellStyle name="Normal 2 4 7 7" xfId="2486" xr:uid="{00000000-0005-0000-0000-0000FA100000}"/>
    <cellStyle name="Normal 2 4 7 7 2" xfId="6770" xr:uid="{00000000-0005-0000-0000-0000FB100000}"/>
    <cellStyle name="Normal 2 4 7 7 2 2" xfId="15205" xr:uid="{1556D392-BA4B-4541-A2D1-C12D5ABD4137}"/>
    <cellStyle name="Normal 2 4 7 7 3" xfId="10987" xr:uid="{595C7175-009C-47BB-8DD4-D9BC6BB53443}"/>
    <cellStyle name="Normal 2 4 7 8" xfId="4704" xr:uid="{00000000-0005-0000-0000-0000FC100000}"/>
    <cellStyle name="Normal 2 4 7 8 2" xfId="13139" xr:uid="{DFED1FE9-D671-4D84-899C-92497A246932}"/>
    <cellStyle name="Normal 2 4 7 9" xfId="8921" xr:uid="{051B87B7-D2F8-4520-9004-567D1D80E4A6}"/>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2 2 2" xfId="15700" xr:uid="{E1D71E18-B5E7-44D0-8A75-7BF15EE6A67C}"/>
    <cellStyle name="Normal 2 4 8 2 2 3" xfId="11482" xr:uid="{24623485-790D-4778-AD83-86799A7EF7E4}"/>
    <cellStyle name="Normal 2 4 8 2 3" xfId="5120" xr:uid="{00000000-0005-0000-0000-000001110000}"/>
    <cellStyle name="Normal 2 4 8 2 3 2" xfId="13555" xr:uid="{1AAC31AB-78CD-4E5E-8690-66BBEF547EE3}"/>
    <cellStyle name="Normal 2 4 8 2 4" xfId="9337" xr:uid="{6182AC18-E2ED-494D-A443-456B7BE5FFD0}"/>
    <cellStyle name="Normal 2 4 8 3" xfId="1225" xr:uid="{00000000-0005-0000-0000-000002110000}"/>
    <cellStyle name="Normal 2 4 8 3 2" xfId="3455" xr:uid="{00000000-0005-0000-0000-000003110000}"/>
    <cellStyle name="Normal 2 4 8 3 2 2" xfId="7678" xr:uid="{00000000-0005-0000-0000-000004110000}"/>
    <cellStyle name="Normal 2 4 8 3 2 2 2" xfId="16113" xr:uid="{5BC09F50-5FF2-4B5E-A7AC-4BAA26274E39}"/>
    <cellStyle name="Normal 2 4 8 3 2 3" xfId="11895" xr:uid="{5A175296-2E2F-41E9-841F-6336ED20DFA1}"/>
    <cellStyle name="Normal 2 4 8 3 3" xfId="5533" xr:uid="{00000000-0005-0000-0000-000005110000}"/>
    <cellStyle name="Normal 2 4 8 3 3 2" xfId="13968" xr:uid="{D35D6A6D-E5B5-4BE7-B712-AC9128A66155}"/>
    <cellStyle name="Normal 2 4 8 3 4" xfId="9750" xr:uid="{A67B8F2B-07F3-44A7-974F-B4F089148251}"/>
    <cellStyle name="Normal 2 4 8 4" xfId="1638" xr:uid="{00000000-0005-0000-0000-000006110000}"/>
    <cellStyle name="Normal 2 4 8 4 2" xfId="3868" xr:uid="{00000000-0005-0000-0000-000007110000}"/>
    <cellStyle name="Normal 2 4 8 4 2 2" xfId="8091" xr:uid="{00000000-0005-0000-0000-000008110000}"/>
    <cellStyle name="Normal 2 4 8 4 2 2 2" xfId="16526" xr:uid="{75905102-2CB8-47DF-8861-12A60A9C12D8}"/>
    <cellStyle name="Normal 2 4 8 4 2 3" xfId="12308" xr:uid="{6BAC122F-4175-4078-B86D-C53ACB1AF003}"/>
    <cellStyle name="Normal 2 4 8 4 3" xfId="5946" xr:uid="{00000000-0005-0000-0000-000009110000}"/>
    <cellStyle name="Normal 2 4 8 4 3 2" xfId="14381" xr:uid="{6F762D9B-0262-4BB9-968B-ECBA278B48AE}"/>
    <cellStyle name="Normal 2 4 8 4 4" xfId="10163" xr:uid="{0E724A6B-0854-43B4-9093-9EDEA4F20E8A}"/>
    <cellStyle name="Normal 2 4 8 5" xfId="2052" xr:uid="{00000000-0005-0000-0000-00000A110000}"/>
    <cellStyle name="Normal 2 4 8 5 2" xfId="4281" xr:uid="{00000000-0005-0000-0000-00000B110000}"/>
    <cellStyle name="Normal 2 4 8 5 2 2" xfId="8504" xr:uid="{00000000-0005-0000-0000-00000C110000}"/>
    <cellStyle name="Normal 2 4 8 5 2 2 2" xfId="16939" xr:uid="{BBC8BA76-DF12-4319-B0D8-8330B62CEDEC}"/>
    <cellStyle name="Normal 2 4 8 5 2 3" xfId="12721" xr:uid="{51B29834-0D08-4F03-BC77-CBD11FFD424F}"/>
    <cellStyle name="Normal 2 4 8 5 3" xfId="6359" xr:uid="{00000000-0005-0000-0000-00000D110000}"/>
    <cellStyle name="Normal 2 4 8 5 3 2" xfId="14794" xr:uid="{03A2D156-DF53-4E43-BFB9-AB79BC44A63D}"/>
    <cellStyle name="Normal 2 4 8 5 4" xfId="10576" xr:uid="{F406A420-6690-4A03-96BE-61730AE61C11}"/>
    <cellStyle name="Normal 2 4 8 6" xfId="2488" xr:uid="{00000000-0005-0000-0000-00000E110000}"/>
    <cellStyle name="Normal 2 4 8 6 2" xfId="6772" xr:uid="{00000000-0005-0000-0000-00000F110000}"/>
    <cellStyle name="Normal 2 4 8 6 2 2" xfId="15207" xr:uid="{F93CF2E5-C443-4591-B83D-6236794C86D9}"/>
    <cellStyle name="Normal 2 4 8 6 3" xfId="10989" xr:uid="{4E77E18B-0894-4FA6-823D-C76881B95216}"/>
    <cellStyle name="Normal 2 4 8 7" xfId="4706" xr:uid="{00000000-0005-0000-0000-000010110000}"/>
    <cellStyle name="Normal 2 4 8 7 2" xfId="13141" xr:uid="{10E405FA-2C46-4D4A-AE5C-725D325BA82F}"/>
    <cellStyle name="Normal 2 4 8 8" xfId="8923" xr:uid="{E71DF05B-8606-4D6E-82F1-B2797159FA8E}"/>
    <cellStyle name="Normal 2 5" xfId="315" xr:uid="{00000000-0005-0000-0000-000011110000}"/>
    <cellStyle name="Normal 2 5 10" xfId="4707" xr:uid="{00000000-0005-0000-0000-000012110000}"/>
    <cellStyle name="Normal 2 5 10 2" xfId="13142" xr:uid="{FC1D132A-66DC-4881-85D6-29FCC86C8A0A}"/>
    <cellStyle name="Normal 2 5 11" xfId="8924" xr:uid="{D067F490-B3CC-4DD4-BCBB-8DDFD74E3258}"/>
    <cellStyle name="Normal 2 5 2" xfId="316" xr:uid="{00000000-0005-0000-0000-000013110000}"/>
    <cellStyle name="Normal 2 5 3" xfId="317" xr:uid="{00000000-0005-0000-0000-000014110000}"/>
    <cellStyle name="Normal 2 5 4" xfId="318" xr:uid="{00000000-0005-0000-0000-000015110000}"/>
    <cellStyle name="Normal 2 5 4 10" xfId="8925" xr:uid="{B186B933-0907-4733-89BE-256E5C82C28C}"/>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2 2 2" xfId="15704" xr:uid="{997AB141-7FC2-453D-8A5D-32DA507261C8}"/>
    <cellStyle name="Normal 2 5 4 2 2 2 2 3" xfId="11486" xr:uid="{FBC510F8-F4E3-4BB6-B1FB-4F18758D0EFF}"/>
    <cellStyle name="Normal 2 5 4 2 2 2 3" xfId="5124" xr:uid="{00000000-0005-0000-0000-00001B110000}"/>
    <cellStyle name="Normal 2 5 4 2 2 2 3 2" xfId="13559" xr:uid="{5F16EA75-0AD2-4153-B90C-EF0AE19DC8C6}"/>
    <cellStyle name="Normal 2 5 4 2 2 2 4" xfId="9341" xr:uid="{D0673FEF-5EC8-4B6D-9DA0-1F5568469005}"/>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2 2 2" xfId="16117" xr:uid="{011472A0-6A6D-4AAB-83C6-9404EE941880}"/>
    <cellStyle name="Normal 2 5 4 2 2 3 2 3" xfId="11899" xr:uid="{B6047788-2661-44C3-AF20-2A643A1E281E}"/>
    <cellStyle name="Normal 2 5 4 2 2 3 3" xfId="5537" xr:uid="{00000000-0005-0000-0000-00001F110000}"/>
    <cellStyle name="Normal 2 5 4 2 2 3 3 2" xfId="13972" xr:uid="{8EDD03D3-BE69-4AA1-AD8D-A3B948855F7D}"/>
    <cellStyle name="Normal 2 5 4 2 2 3 4" xfId="9754" xr:uid="{4D920943-EB9F-4C48-A5D9-E7E6075E97A6}"/>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2 2 2" xfId="16530" xr:uid="{494571C2-96F1-4AE2-BC5F-91DF800F044F}"/>
    <cellStyle name="Normal 2 5 4 2 2 4 2 3" xfId="12312" xr:uid="{411A6B91-F2CE-4FF2-A95D-AF388F653AE1}"/>
    <cellStyle name="Normal 2 5 4 2 2 4 3" xfId="5950" xr:uid="{00000000-0005-0000-0000-000023110000}"/>
    <cellStyle name="Normal 2 5 4 2 2 4 3 2" xfId="14385" xr:uid="{4F86F1DB-B23D-443E-A07E-B4E4270A1F81}"/>
    <cellStyle name="Normal 2 5 4 2 2 4 4" xfId="10167" xr:uid="{7F3B9C03-72BC-42AE-9BAD-0357CCA6ACDF}"/>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2 2 2" xfId="16943" xr:uid="{422B75B6-D01B-4220-B54F-48FC2C47BF26}"/>
    <cellStyle name="Normal 2 5 4 2 2 5 2 3" xfId="12725" xr:uid="{3654C4D0-9F8D-4AC5-ACF2-275CBE24E267}"/>
    <cellStyle name="Normal 2 5 4 2 2 5 3" xfId="6363" xr:uid="{00000000-0005-0000-0000-000027110000}"/>
    <cellStyle name="Normal 2 5 4 2 2 5 3 2" xfId="14798" xr:uid="{DD36CBD4-224A-4E7F-B721-08D7E92AD40B}"/>
    <cellStyle name="Normal 2 5 4 2 2 5 4" xfId="10580" xr:uid="{A064AD61-F812-4362-A3E3-70F0ECC6010B}"/>
    <cellStyle name="Normal 2 5 4 2 2 6" xfId="2492" xr:uid="{00000000-0005-0000-0000-000028110000}"/>
    <cellStyle name="Normal 2 5 4 2 2 6 2" xfId="6776" xr:uid="{00000000-0005-0000-0000-000029110000}"/>
    <cellStyle name="Normal 2 5 4 2 2 6 2 2" xfId="15211" xr:uid="{DED4C3B4-BEA5-4260-A1AA-8A09F443506B}"/>
    <cellStyle name="Normal 2 5 4 2 2 6 3" xfId="10993" xr:uid="{65ACB5DC-C475-45B0-9574-7947861CFED5}"/>
    <cellStyle name="Normal 2 5 4 2 2 7" xfId="4710" xr:uid="{00000000-0005-0000-0000-00002A110000}"/>
    <cellStyle name="Normal 2 5 4 2 2 7 2" xfId="13145" xr:uid="{AD6FBC47-9FE0-4634-9EF3-3FA0838184D2}"/>
    <cellStyle name="Normal 2 5 4 2 2 8" xfId="8927" xr:uid="{9FCFA586-7AB1-4EB5-9E6E-9A3834A74BED}"/>
    <cellStyle name="Normal 2 5 4 2 3" xfId="806" xr:uid="{00000000-0005-0000-0000-00002B110000}"/>
    <cellStyle name="Normal 2 5 4 2 3 2" xfId="3045" xr:uid="{00000000-0005-0000-0000-00002C110000}"/>
    <cellStyle name="Normal 2 5 4 2 3 2 2" xfId="7268" xr:uid="{00000000-0005-0000-0000-00002D110000}"/>
    <cellStyle name="Normal 2 5 4 2 3 2 2 2" xfId="15703" xr:uid="{F8892B6C-EC77-4BC9-AA77-29CBEEF56BFD}"/>
    <cellStyle name="Normal 2 5 4 2 3 2 3" xfId="11485" xr:uid="{1B0C09F2-0A06-4442-BDBE-8A54331B5963}"/>
    <cellStyle name="Normal 2 5 4 2 3 3" xfId="5123" xr:uid="{00000000-0005-0000-0000-00002E110000}"/>
    <cellStyle name="Normal 2 5 4 2 3 3 2" xfId="13558" xr:uid="{F56B51E8-E56E-48C2-9B52-B71E4E35E4DB}"/>
    <cellStyle name="Normal 2 5 4 2 3 4" xfId="9340" xr:uid="{77EFC995-F737-471D-8978-CBD3D9BF4F7D}"/>
    <cellStyle name="Normal 2 5 4 2 4" xfId="1228" xr:uid="{00000000-0005-0000-0000-00002F110000}"/>
    <cellStyle name="Normal 2 5 4 2 4 2" xfId="3458" xr:uid="{00000000-0005-0000-0000-000030110000}"/>
    <cellStyle name="Normal 2 5 4 2 4 2 2" xfId="7681" xr:uid="{00000000-0005-0000-0000-000031110000}"/>
    <cellStyle name="Normal 2 5 4 2 4 2 2 2" xfId="16116" xr:uid="{B0546B60-305F-4A13-B677-C8181FC9A032}"/>
    <cellStyle name="Normal 2 5 4 2 4 2 3" xfId="11898" xr:uid="{BFED322C-5A4F-43E0-88AE-64AD4A906D64}"/>
    <cellStyle name="Normal 2 5 4 2 4 3" xfId="5536" xr:uid="{00000000-0005-0000-0000-000032110000}"/>
    <cellStyle name="Normal 2 5 4 2 4 3 2" xfId="13971" xr:uid="{C945F7D5-F462-4A8D-8720-13206B871FB6}"/>
    <cellStyle name="Normal 2 5 4 2 4 4" xfId="9753" xr:uid="{BC20A65F-5C5D-49E4-9F57-A9C8D6C75AB0}"/>
    <cellStyle name="Normal 2 5 4 2 5" xfId="1641" xr:uid="{00000000-0005-0000-0000-000033110000}"/>
    <cellStyle name="Normal 2 5 4 2 5 2" xfId="3871" xr:uid="{00000000-0005-0000-0000-000034110000}"/>
    <cellStyle name="Normal 2 5 4 2 5 2 2" xfId="8094" xr:uid="{00000000-0005-0000-0000-000035110000}"/>
    <cellStyle name="Normal 2 5 4 2 5 2 2 2" xfId="16529" xr:uid="{EF6DEF4D-F499-4BE3-B140-CA87BA3B9C53}"/>
    <cellStyle name="Normal 2 5 4 2 5 2 3" xfId="12311" xr:uid="{17976C3D-F632-4660-8BF5-9BEA05C06A10}"/>
    <cellStyle name="Normal 2 5 4 2 5 3" xfId="5949" xr:uid="{00000000-0005-0000-0000-000036110000}"/>
    <cellStyle name="Normal 2 5 4 2 5 3 2" xfId="14384" xr:uid="{B8F1AD7E-6573-4432-89E1-234057D6018E}"/>
    <cellStyle name="Normal 2 5 4 2 5 4" xfId="10166" xr:uid="{49D96274-E6E5-40DE-B041-1A13027140C1}"/>
    <cellStyle name="Normal 2 5 4 2 6" xfId="2055" xr:uid="{00000000-0005-0000-0000-000037110000}"/>
    <cellStyle name="Normal 2 5 4 2 6 2" xfId="4284" xr:uid="{00000000-0005-0000-0000-000038110000}"/>
    <cellStyle name="Normal 2 5 4 2 6 2 2" xfId="8507" xr:uid="{00000000-0005-0000-0000-000039110000}"/>
    <cellStyle name="Normal 2 5 4 2 6 2 2 2" xfId="16942" xr:uid="{AB166B59-3A10-4D13-92F0-65A6F51346E4}"/>
    <cellStyle name="Normal 2 5 4 2 6 2 3" xfId="12724" xr:uid="{57ABF6E5-CE3A-4DD8-86A3-EB8B4F17E2AB}"/>
    <cellStyle name="Normal 2 5 4 2 6 3" xfId="6362" xr:uid="{00000000-0005-0000-0000-00003A110000}"/>
    <cellStyle name="Normal 2 5 4 2 6 3 2" xfId="14797" xr:uid="{7209BA16-4662-4984-AED0-CE0FD3B8AB07}"/>
    <cellStyle name="Normal 2 5 4 2 6 4" xfId="10579" xr:uid="{58CB8B75-81CA-493B-A410-90653CA4EC9E}"/>
    <cellStyle name="Normal 2 5 4 2 7" xfId="2491" xr:uid="{00000000-0005-0000-0000-00003B110000}"/>
    <cellStyle name="Normal 2 5 4 2 7 2" xfId="6775" xr:uid="{00000000-0005-0000-0000-00003C110000}"/>
    <cellStyle name="Normal 2 5 4 2 7 2 2" xfId="15210" xr:uid="{105AC68D-AE76-445F-8A86-E04A5052404B}"/>
    <cellStyle name="Normal 2 5 4 2 7 3" xfId="10992" xr:uid="{15C26341-E786-4E24-BB50-205423F0D880}"/>
    <cellStyle name="Normal 2 5 4 2 8" xfId="4709" xr:uid="{00000000-0005-0000-0000-00003D110000}"/>
    <cellStyle name="Normal 2 5 4 2 8 2" xfId="13144" xr:uid="{F26A157F-A11B-4FB2-B419-7B2BB9AA536B}"/>
    <cellStyle name="Normal 2 5 4 2 9" xfId="8926" xr:uid="{41FBE1B6-01D0-47D3-8A45-1AEA1FC45B7A}"/>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2 2 2" xfId="15705" xr:uid="{9C614DFD-F948-485D-9A95-FCD604E70116}"/>
    <cellStyle name="Normal 2 5 4 3 2 2 3" xfId="11487" xr:uid="{16126F51-1F33-4D58-B355-8E4E66E9853F}"/>
    <cellStyle name="Normal 2 5 4 3 2 3" xfId="5125" xr:uid="{00000000-0005-0000-0000-000042110000}"/>
    <cellStyle name="Normal 2 5 4 3 2 3 2" xfId="13560" xr:uid="{8EFD9D21-B2B1-4A91-8C81-5F7929E48660}"/>
    <cellStyle name="Normal 2 5 4 3 2 4" xfId="9342" xr:uid="{9C1B2372-9213-4FA7-8FE8-01D931BDFA85}"/>
    <cellStyle name="Normal 2 5 4 3 3" xfId="1230" xr:uid="{00000000-0005-0000-0000-000043110000}"/>
    <cellStyle name="Normal 2 5 4 3 3 2" xfId="3460" xr:uid="{00000000-0005-0000-0000-000044110000}"/>
    <cellStyle name="Normal 2 5 4 3 3 2 2" xfId="7683" xr:uid="{00000000-0005-0000-0000-000045110000}"/>
    <cellStyle name="Normal 2 5 4 3 3 2 2 2" xfId="16118" xr:uid="{ACAF2AC0-2161-430C-A941-BA36DE008509}"/>
    <cellStyle name="Normal 2 5 4 3 3 2 3" xfId="11900" xr:uid="{6B19603C-5F54-4F8E-9FBA-7138113375E1}"/>
    <cellStyle name="Normal 2 5 4 3 3 3" xfId="5538" xr:uid="{00000000-0005-0000-0000-000046110000}"/>
    <cellStyle name="Normal 2 5 4 3 3 3 2" xfId="13973" xr:uid="{ECAF59D3-8C24-4E0D-ABBD-D8A45626C939}"/>
    <cellStyle name="Normal 2 5 4 3 3 4" xfId="9755" xr:uid="{99A430EE-8DDF-4313-802B-C857C5AC2FB2}"/>
    <cellStyle name="Normal 2 5 4 3 4" xfId="1643" xr:uid="{00000000-0005-0000-0000-000047110000}"/>
    <cellStyle name="Normal 2 5 4 3 4 2" xfId="3873" xr:uid="{00000000-0005-0000-0000-000048110000}"/>
    <cellStyle name="Normal 2 5 4 3 4 2 2" xfId="8096" xr:uid="{00000000-0005-0000-0000-000049110000}"/>
    <cellStyle name="Normal 2 5 4 3 4 2 2 2" xfId="16531" xr:uid="{33059290-E87A-4D87-AB60-F65093905E2C}"/>
    <cellStyle name="Normal 2 5 4 3 4 2 3" xfId="12313" xr:uid="{415AE1B5-F21E-48F9-ACD1-9A4FE99F7AE6}"/>
    <cellStyle name="Normal 2 5 4 3 4 3" xfId="5951" xr:uid="{00000000-0005-0000-0000-00004A110000}"/>
    <cellStyle name="Normal 2 5 4 3 4 3 2" xfId="14386" xr:uid="{D3C59135-6F41-45F2-B903-7295406D561F}"/>
    <cellStyle name="Normal 2 5 4 3 4 4" xfId="10168" xr:uid="{8B7EC032-F7BC-42F7-BBC4-1AB6779EBAD7}"/>
    <cellStyle name="Normal 2 5 4 3 5" xfId="2057" xr:uid="{00000000-0005-0000-0000-00004B110000}"/>
    <cellStyle name="Normal 2 5 4 3 5 2" xfId="4286" xr:uid="{00000000-0005-0000-0000-00004C110000}"/>
    <cellStyle name="Normal 2 5 4 3 5 2 2" xfId="8509" xr:uid="{00000000-0005-0000-0000-00004D110000}"/>
    <cellStyle name="Normal 2 5 4 3 5 2 2 2" xfId="16944" xr:uid="{3257E821-0FF1-49DE-8197-42EBAEF8B4E8}"/>
    <cellStyle name="Normal 2 5 4 3 5 2 3" xfId="12726" xr:uid="{C8FF7D1A-7554-48F7-A1DD-6545D51BB1C8}"/>
    <cellStyle name="Normal 2 5 4 3 5 3" xfId="6364" xr:uid="{00000000-0005-0000-0000-00004E110000}"/>
    <cellStyle name="Normal 2 5 4 3 5 3 2" xfId="14799" xr:uid="{718478D9-8463-4E7B-94A2-90BE8DD510E7}"/>
    <cellStyle name="Normal 2 5 4 3 5 4" xfId="10581" xr:uid="{F0877EC8-A324-4D1B-B4A6-3C87E74A8EDA}"/>
    <cellStyle name="Normal 2 5 4 3 6" xfId="2493" xr:uid="{00000000-0005-0000-0000-00004F110000}"/>
    <cellStyle name="Normal 2 5 4 3 6 2" xfId="6777" xr:uid="{00000000-0005-0000-0000-000050110000}"/>
    <cellStyle name="Normal 2 5 4 3 6 2 2" xfId="15212" xr:uid="{81C3D720-D04B-41B2-9BC3-E8E3BF651350}"/>
    <cellStyle name="Normal 2 5 4 3 6 3" xfId="10994" xr:uid="{04134273-805C-4342-9FB0-D2F967934342}"/>
    <cellStyle name="Normal 2 5 4 3 7" xfId="4711" xr:uid="{00000000-0005-0000-0000-000051110000}"/>
    <cellStyle name="Normal 2 5 4 3 7 2" xfId="13146" xr:uid="{73C41C1E-F9F1-47E4-8302-FC05B68859E6}"/>
    <cellStyle name="Normal 2 5 4 3 8" xfId="8928" xr:uid="{4CB34129-2B97-4BD2-B082-5E38E6A19687}"/>
    <cellStyle name="Normal 2 5 4 4" xfId="805" xr:uid="{00000000-0005-0000-0000-000052110000}"/>
    <cellStyle name="Normal 2 5 4 4 2" xfId="3044" xr:uid="{00000000-0005-0000-0000-000053110000}"/>
    <cellStyle name="Normal 2 5 4 4 2 2" xfId="7267" xr:uid="{00000000-0005-0000-0000-000054110000}"/>
    <cellStyle name="Normal 2 5 4 4 2 2 2" xfId="15702" xr:uid="{564C91EC-0270-44FA-BFB6-134CE5AFFB94}"/>
    <cellStyle name="Normal 2 5 4 4 2 3" xfId="11484" xr:uid="{342CFFB5-4D63-4502-86E2-B692FAFBE57E}"/>
    <cellStyle name="Normal 2 5 4 4 3" xfId="5122" xr:uid="{00000000-0005-0000-0000-000055110000}"/>
    <cellStyle name="Normal 2 5 4 4 3 2" xfId="13557" xr:uid="{8B208F8F-CF8F-4675-85B9-3C3494B5F56D}"/>
    <cellStyle name="Normal 2 5 4 4 4" xfId="9339" xr:uid="{183B934D-F824-4BFE-9372-6142CB5361D8}"/>
    <cellStyle name="Normal 2 5 4 5" xfId="1227" xr:uid="{00000000-0005-0000-0000-000056110000}"/>
    <cellStyle name="Normal 2 5 4 5 2" xfId="3457" xr:uid="{00000000-0005-0000-0000-000057110000}"/>
    <cellStyle name="Normal 2 5 4 5 2 2" xfId="7680" xr:uid="{00000000-0005-0000-0000-000058110000}"/>
    <cellStyle name="Normal 2 5 4 5 2 2 2" xfId="16115" xr:uid="{A3D806C1-E744-4CE7-B342-15A49BD28F7A}"/>
    <cellStyle name="Normal 2 5 4 5 2 3" xfId="11897" xr:uid="{289D1A94-9A9A-42CF-877A-3D181616133D}"/>
    <cellStyle name="Normal 2 5 4 5 3" xfId="5535" xr:uid="{00000000-0005-0000-0000-000059110000}"/>
    <cellStyle name="Normal 2 5 4 5 3 2" xfId="13970" xr:uid="{E8D6206A-CA13-484C-BA04-5593E0AF554D}"/>
    <cellStyle name="Normal 2 5 4 5 4" xfId="9752" xr:uid="{54A4DA97-8D97-4CD1-B7E8-78CD7A3B1E61}"/>
    <cellStyle name="Normal 2 5 4 6" xfId="1640" xr:uid="{00000000-0005-0000-0000-00005A110000}"/>
    <cellStyle name="Normal 2 5 4 6 2" xfId="3870" xr:uid="{00000000-0005-0000-0000-00005B110000}"/>
    <cellStyle name="Normal 2 5 4 6 2 2" xfId="8093" xr:uid="{00000000-0005-0000-0000-00005C110000}"/>
    <cellStyle name="Normal 2 5 4 6 2 2 2" xfId="16528" xr:uid="{9EA75888-299E-44EE-AE98-D64FCC408F90}"/>
    <cellStyle name="Normal 2 5 4 6 2 3" xfId="12310" xr:uid="{CBA83A3D-A5EF-4819-B96D-BA32E90179D1}"/>
    <cellStyle name="Normal 2 5 4 6 3" xfId="5948" xr:uid="{00000000-0005-0000-0000-00005D110000}"/>
    <cellStyle name="Normal 2 5 4 6 3 2" xfId="14383" xr:uid="{2A90CFA2-1011-4797-B4CD-31644A1F4FAC}"/>
    <cellStyle name="Normal 2 5 4 6 4" xfId="10165" xr:uid="{334EE2DB-E695-47D3-A45B-12BA0C9C9B0C}"/>
    <cellStyle name="Normal 2 5 4 7" xfId="2054" xr:uid="{00000000-0005-0000-0000-00005E110000}"/>
    <cellStyle name="Normal 2 5 4 7 2" xfId="4283" xr:uid="{00000000-0005-0000-0000-00005F110000}"/>
    <cellStyle name="Normal 2 5 4 7 2 2" xfId="8506" xr:uid="{00000000-0005-0000-0000-000060110000}"/>
    <cellStyle name="Normal 2 5 4 7 2 2 2" xfId="16941" xr:uid="{D88ED329-D4B3-4771-9020-B3FD4DE11C1F}"/>
    <cellStyle name="Normal 2 5 4 7 2 3" xfId="12723" xr:uid="{09CA1E2E-524E-413B-8430-D050B0C5FCC5}"/>
    <cellStyle name="Normal 2 5 4 7 3" xfId="6361" xr:uid="{00000000-0005-0000-0000-000061110000}"/>
    <cellStyle name="Normal 2 5 4 7 3 2" xfId="14796" xr:uid="{5DF84D48-9304-492B-BE15-28CE7437410F}"/>
    <cellStyle name="Normal 2 5 4 7 4" xfId="10578" xr:uid="{1A2435E7-C788-43E8-931F-D79FA5C35F97}"/>
    <cellStyle name="Normal 2 5 4 8" xfId="2490" xr:uid="{00000000-0005-0000-0000-000062110000}"/>
    <cellStyle name="Normal 2 5 4 8 2" xfId="6774" xr:uid="{00000000-0005-0000-0000-000063110000}"/>
    <cellStyle name="Normal 2 5 4 8 2 2" xfId="15209" xr:uid="{4250D50C-0007-4619-B0AB-4ECD0D4D61C6}"/>
    <cellStyle name="Normal 2 5 4 8 3" xfId="10991" xr:uid="{B084E7A9-F166-4174-8DCF-48525C6A5DE2}"/>
    <cellStyle name="Normal 2 5 4 9" xfId="4708" xr:uid="{00000000-0005-0000-0000-000064110000}"/>
    <cellStyle name="Normal 2 5 4 9 2" xfId="13143" xr:uid="{194E6837-3AF2-417E-9BD4-393310410C66}"/>
    <cellStyle name="Normal 2 5 5" xfId="804" xr:uid="{00000000-0005-0000-0000-000065110000}"/>
    <cellStyle name="Normal 2 5 5 2" xfId="3043" xr:uid="{00000000-0005-0000-0000-000066110000}"/>
    <cellStyle name="Normal 2 5 5 2 2" xfId="7266" xr:uid="{00000000-0005-0000-0000-000067110000}"/>
    <cellStyle name="Normal 2 5 5 2 2 2" xfId="15701" xr:uid="{BCCED0CD-2D36-4C85-907D-E4B53CA81BEA}"/>
    <cellStyle name="Normal 2 5 5 2 3" xfId="11483" xr:uid="{526B2868-6AF2-484F-A37A-6F4B8A5D46BE}"/>
    <cellStyle name="Normal 2 5 5 3" xfId="5121" xr:uid="{00000000-0005-0000-0000-000068110000}"/>
    <cellStyle name="Normal 2 5 5 3 2" xfId="13556" xr:uid="{A59F4C66-728E-4784-8D42-7793DFFE6E87}"/>
    <cellStyle name="Normal 2 5 5 4" xfId="9338" xr:uid="{E09A7E29-4962-412F-9D00-E435A269EFAE}"/>
    <cellStyle name="Normal 2 5 6" xfId="1226" xr:uid="{00000000-0005-0000-0000-000069110000}"/>
    <cellStyle name="Normal 2 5 6 2" xfId="3456" xr:uid="{00000000-0005-0000-0000-00006A110000}"/>
    <cellStyle name="Normal 2 5 6 2 2" xfId="7679" xr:uid="{00000000-0005-0000-0000-00006B110000}"/>
    <cellStyle name="Normal 2 5 6 2 2 2" xfId="16114" xr:uid="{35417B9D-A08F-4252-A739-981111950717}"/>
    <cellStyle name="Normal 2 5 6 2 3" xfId="11896" xr:uid="{1A774B81-65CA-445F-84B4-CB82C9D51E45}"/>
    <cellStyle name="Normal 2 5 6 3" xfId="5534" xr:uid="{00000000-0005-0000-0000-00006C110000}"/>
    <cellStyle name="Normal 2 5 6 3 2" xfId="13969" xr:uid="{32A602C1-9310-4E2E-A80E-81D61E6FB7D8}"/>
    <cellStyle name="Normal 2 5 6 4" xfId="9751" xr:uid="{6741158B-F123-4AB4-86DE-A9FEF5DB613E}"/>
    <cellStyle name="Normal 2 5 7" xfId="1639" xr:uid="{00000000-0005-0000-0000-00006D110000}"/>
    <cellStyle name="Normal 2 5 7 2" xfId="3869" xr:uid="{00000000-0005-0000-0000-00006E110000}"/>
    <cellStyle name="Normal 2 5 7 2 2" xfId="8092" xr:uid="{00000000-0005-0000-0000-00006F110000}"/>
    <cellStyle name="Normal 2 5 7 2 2 2" xfId="16527" xr:uid="{A530F156-692F-44EE-BF36-80EB9FD6D921}"/>
    <cellStyle name="Normal 2 5 7 2 3" xfId="12309" xr:uid="{B76EEF5C-DED0-4593-AE7C-5394AC4428C9}"/>
    <cellStyle name="Normal 2 5 7 3" xfId="5947" xr:uid="{00000000-0005-0000-0000-000070110000}"/>
    <cellStyle name="Normal 2 5 7 3 2" xfId="14382" xr:uid="{62605C84-9482-40CB-820F-CECC09C62BB7}"/>
    <cellStyle name="Normal 2 5 7 4" xfId="10164" xr:uid="{AEC146AD-56CC-4611-8430-9FD96C60AC45}"/>
    <cellStyle name="Normal 2 5 8" xfId="2053" xr:uid="{00000000-0005-0000-0000-000071110000}"/>
    <cellStyle name="Normal 2 5 8 2" xfId="4282" xr:uid="{00000000-0005-0000-0000-000072110000}"/>
    <cellStyle name="Normal 2 5 8 2 2" xfId="8505" xr:uid="{00000000-0005-0000-0000-000073110000}"/>
    <cellStyle name="Normal 2 5 8 2 2 2" xfId="16940" xr:uid="{7A66AC99-51A7-4C66-A84C-259EF3A165BF}"/>
    <cellStyle name="Normal 2 5 8 2 3" xfId="12722" xr:uid="{E55FC9A7-043F-4A9A-94D3-228064AF2795}"/>
    <cellStyle name="Normal 2 5 8 3" xfId="6360" xr:uid="{00000000-0005-0000-0000-000074110000}"/>
    <cellStyle name="Normal 2 5 8 3 2" xfId="14795" xr:uid="{16228F04-1231-4AB6-A8A7-A153C2707D3F}"/>
    <cellStyle name="Normal 2 5 8 4" xfId="10577" xr:uid="{2B25C9DA-4FE3-465F-BA1E-EDBA514E7456}"/>
    <cellStyle name="Normal 2 5 9" xfId="2489" xr:uid="{00000000-0005-0000-0000-000075110000}"/>
    <cellStyle name="Normal 2 5 9 2" xfId="6773" xr:uid="{00000000-0005-0000-0000-000076110000}"/>
    <cellStyle name="Normal 2 5 9 2 2" xfId="15208" xr:uid="{16946431-EF21-43E8-BE4D-D500A4EF7435}"/>
    <cellStyle name="Normal 2 5 9 3" xfId="10990" xr:uid="{233BECCC-3962-47F1-8643-7769722E844A}"/>
    <cellStyle name="Normal 2 6" xfId="322" xr:uid="{00000000-0005-0000-0000-000077110000}"/>
    <cellStyle name="Normal 2 7" xfId="770" xr:uid="{00000000-0005-0000-0000-000078110000}"/>
    <cellStyle name="Normal 2 8" xfId="4496" xr:uid="{00000000-0005-0000-0000-000079110000}"/>
    <cellStyle name="Normal 2 8 2" xfId="12934" xr:uid="{B5C75352-9123-4598-8541-5453D09BFB4B}"/>
    <cellStyle name="Normal 3" xfId="323" xr:uid="{00000000-0005-0000-0000-00007A110000}"/>
    <cellStyle name="Normal 3 2" xfId="324" xr:uid="{00000000-0005-0000-0000-00007B110000}"/>
    <cellStyle name="Normal 3 2 10" xfId="8929" xr:uid="{35F670AE-41F0-4882-810F-C56A0BEDC105}"/>
    <cellStyle name="Normal 3 2 2" xfId="325" xr:uid="{00000000-0005-0000-0000-00007C110000}"/>
    <cellStyle name="Normal 3 2 2 2" xfId="811" xr:uid="{00000000-0005-0000-0000-00007D110000}"/>
    <cellStyle name="Normal 3 2 3" xfId="326" xr:uid="{00000000-0005-0000-0000-00007E110000}"/>
    <cellStyle name="Normal 3 2 3 10" xfId="8930" xr:uid="{D6CC889E-C05B-48EF-9BB9-C6F4E197A126}"/>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2 2 2" xfId="15709" xr:uid="{99F33887-3140-45C6-A0F5-1511DF97378A}"/>
    <cellStyle name="Normal 3 2 3 2 2 2 2 3" xfId="11491" xr:uid="{90994D02-B99A-4B47-9CEB-31B5295C0936}"/>
    <cellStyle name="Normal 3 2 3 2 2 2 3" xfId="5129" xr:uid="{00000000-0005-0000-0000-000084110000}"/>
    <cellStyle name="Normal 3 2 3 2 2 2 3 2" xfId="13564" xr:uid="{A1650581-53F9-45DA-8E84-197D77F0DC2A}"/>
    <cellStyle name="Normal 3 2 3 2 2 2 4" xfId="9346" xr:uid="{4740D4ED-B5CA-4CB6-94D5-93568B70D88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2 2 2" xfId="16122" xr:uid="{89F627CC-1E1A-490B-8BFD-5A73B5D8F3B7}"/>
    <cellStyle name="Normal 3 2 3 2 2 3 2 3" xfId="11904" xr:uid="{02C06B18-118D-4CDF-A622-4A7E2A4D1FBD}"/>
    <cellStyle name="Normal 3 2 3 2 2 3 3" xfId="5542" xr:uid="{00000000-0005-0000-0000-000088110000}"/>
    <cellStyle name="Normal 3 2 3 2 2 3 3 2" xfId="13977" xr:uid="{12C5F74E-666C-422F-A842-E15635F0D656}"/>
    <cellStyle name="Normal 3 2 3 2 2 3 4" xfId="9759" xr:uid="{880F712A-5C84-41C1-8C32-ABA54CDC9597}"/>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2 2 2" xfId="16535" xr:uid="{62A5EAAD-967A-47F4-98A1-89CFDD9450C4}"/>
    <cellStyle name="Normal 3 2 3 2 2 4 2 3" xfId="12317" xr:uid="{4C2025C3-38FC-443B-9965-AF02803DC7C3}"/>
    <cellStyle name="Normal 3 2 3 2 2 4 3" xfId="5955" xr:uid="{00000000-0005-0000-0000-00008C110000}"/>
    <cellStyle name="Normal 3 2 3 2 2 4 3 2" xfId="14390" xr:uid="{7A10B958-97CA-42C5-8CBD-F7EEC9F0268A}"/>
    <cellStyle name="Normal 3 2 3 2 2 4 4" xfId="10172" xr:uid="{AA30EE38-DF91-4BE8-9BEE-0BC5C68A89E2}"/>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2 2 2" xfId="16948" xr:uid="{31AF5EAD-7C85-41CD-90CF-2E0C01138A93}"/>
    <cellStyle name="Normal 3 2 3 2 2 5 2 3" xfId="12730" xr:uid="{E03022FF-757D-4E22-A2DE-69364FC61BF5}"/>
    <cellStyle name="Normal 3 2 3 2 2 5 3" xfId="6368" xr:uid="{00000000-0005-0000-0000-000090110000}"/>
    <cellStyle name="Normal 3 2 3 2 2 5 3 2" xfId="14803" xr:uid="{FA6C85F7-9688-44C8-9C2B-A2981994F293}"/>
    <cellStyle name="Normal 3 2 3 2 2 5 4" xfId="10585" xr:uid="{5007FD6D-76A6-49AD-BD77-B05C0FBF13DD}"/>
    <cellStyle name="Normal 3 2 3 2 2 6" xfId="2497" xr:uid="{00000000-0005-0000-0000-000091110000}"/>
    <cellStyle name="Normal 3 2 3 2 2 6 2" xfId="6781" xr:uid="{00000000-0005-0000-0000-000092110000}"/>
    <cellStyle name="Normal 3 2 3 2 2 6 2 2" xfId="15216" xr:uid="{9593B69B-D0D6-49CA-90C0-2F7C91C52249}"/>
    <cellStyle name="Normal 3 2 3 2 2 6 3" xfId="10998" xr:uid="{A14AF596-DB4B-4DF8-A9F3-9D21CB9E7F87}"/>
    <cellStyle name="Normal 3 2 3 2 2 7" xfId="4715" xr:uid="{00000000-0005-0000-0000-000093110000}"/>
    <cellStyle name="Normal 3 2 3 2 2 7 2" xfId="13150" xr:uid="{31563A43-D193-47D3-9A1F-EFC5229B599C}"/>
    <cellStyle name="Normal 3 2 3 2 2 8" xfId="8932" xr:uid="{786C779E-579F-4E85-84B7-A88CF1C964C2}"/>
    <cellStyle name="Normal 3 2 3 2 3" xfId="813" xr:uid="{00000000-0005-0000-0000-000094110000}"/>
    <cellStyle name="Normal 3 2 3 2 3 2" xfId="3050" xr:uid="{00000000-0005-0000-0000-000095110000}"/>
    <cellStyle name="Normal 3 2 3 2 3 2 2" xfId="7273" xr:uid="{00000000-0005-0000-0000-000096110000}"/>
    <cellStyle name="Normal 3 2 3 2 3 2 2 2" xfId="15708" xr:uid="{CFC52D1D-62E2-4045-B463-EA3BDFD40CBE}"/>
    <cellStyle name="Normal 3 2 3 2 3 2 3" xfId="11490" xr:uid="{5B910817-1F02-4A4A-853F-BF8F009A6FBB}"/>
    <cellStyle name="Normal 3 2 3 2 3 3" xfId="5128" xr:uid="{00000000-0005-0000-0000-000097110000}"/>
    <cellStyle name="Normal 3 2 3 2 3 3 2" xfId="13563" xr:uid="{AFFBC287-0FC0-44A3-9850-BA595D47B96E}"/>
    <cellStyle name="Normal 3 2 3 2 3 4" xfId="9345" xr:uid="{B7671367-6BAA-4C4D-B302-DD5522BEA743}"/>
    <cellStyle name="Normal 3 2 3 2 4" xfId="1233" xr:uid="{00000000-0005-0000-0000-000098110000}"/>
    <cellStyle name="Normal 3 2 3 2 4 2" xfId="3463" xr:uid="{00000000-0005-0000-0000-000099110000}"/>
    <cellStyle name="Normal 3 2 3 2 4 2 2" xfId="7686" xr:uid="{00000000-0005-0000-0000-00009A110000}"/>
    <cellStyle name="Normal 3 2 3 2 4 2 2 2" xfId="16121" xr:uid="{870139DE-38BA-4BCF-A039-DE76FF36FD31}"/>
    <cellStyle name="Normal 3 2 3 2 4 2 3" xfId="11903" xr:uid="{5EE09E58-81B0-4B9B-BBEB-A49AB077AA4F}"/>
    <cellStyle name="Normal 3 2 3 2 4 3" xfId="5541" xr:uid="{00000000-0005-0000-0000-00009B110000}"/>
    <cellStyle name="Normal 3 2 3 2 4 3 2" xfId="13976" xr:uid="{05074554-58E7-46A9-B3F8-4757F7E920E6}"/>
    <cellStyle name="Normal 3 2 3 2 4 4" xfId="9758" xr:uid="{99F28D62-36E2-4DD3-9820-FB68BA71D038}"/>
    <cellStyle name="Normal 3 2 3 2 5" xfId="1646" xr:uid="{00000000-0005-0000-0000-00009C110000}"/>
    <cellStyle name="Normal 3 2 3 2 5 2" xfId="3876" xr:uid="{00000000-0005-0000-0000-00009D110000}"/>
    <cellStyle name="Normal 3 2 3 2 5 2 2" xfId="8099" xr:uid="{00000000-0005-0000-0000-00009E110000}"/>
    <cellStyle name="Normal 3 2 3 2 5 2 2 2" xfId="16534" xr:uid="{DEA34010-7B2B-4D9B-A98A-58898EEE09F9}"/>
    <cellStyle name="Normal 3 2 3 2 5 2 3" xfId="12316" xr:uid="{96F8071B-B20B-4C48-8C90-5A2DD6828C25}"/>
    <cellStyle name="Normal 3 2 3 2 5 3" xfId="5954" xr:uid="{00000000-0005-0000-0000-00009F110000}"/>
    <cellStyle name="Normal 3 2 3 2 5 3 2" xfId="14389" xr:uid="{823B60BB-9025-4D3A-B02C-BECC2823CE62}"/>
    <cellStyle name="Normal 3 2 3 2 5 4" xfId="10171" xr:uid="{88727549-A120-4AD3-88CD-C5A2F739A514}"/>
    <cellStyle name="Normal 3 2 3 2 6" xfId="2060" xr:uid="{00000000-0005-0000-0000-0000A0110000}"/>
    <cellStyle name="Normal 3 2 3 2 6 2" xfId="4289" xr:uid="{00000000-0005-0000-0000-0000A1110000}"/>
    <cellStyle name="Normal 3 2 3 2 6 2 2" xfId="8512" xr:uid="{00000000-0005-0000-0000-0000A2110000}"/>
    <cellStyle name="Normal 3 2 3 2 6 2 2 2" xfId="16947" xr:uid="{77490089-29E5-4A08-8D71-78250B56FE88}"/>
    <cellStyle name="Normal 3 2 3 2 6 2 3" xfId="12729" xr:uid="{BB41E9B3-ECDC-4254-AC6E-E6A15AA91516}"/>
    <cellStyle name="Normal 3 2 3 2 6 3" xfId="6367" xr:uid="{00000000-0005-0000-0000-0000A3110000}"/>
    <cellStyle name="Normal 3 2 3 2 6 3 2" xfId="14802" xr:uid="{7E42F080-029A-44CA-BF9F-4727610FDA29}"/>
    <cellStyle name="Normal 3 2 3 2 6 4" xfId="10584" xr:uid="{60508F9E-C812-41C9-84D3-F5504AF4292C}"/>
    <cellStyle name="Normal 3 2 3 2 7" xfId="2496" xr:uid="{00000000-0005-0000-0000-0000A4110000}"/>
    <cellStyle name="Normal 3 2 3 2 7 2" xfId="6780" xr:uid="{00000000-0005-0000-0000-0000A5110000}"/>
    <cellStyle name="Normal 3 2 3 2 7 2 2" xfId="15215" xr:uid="{1E8FAAF1-A2D8-4BDF-B116-BCD68BF637D7}"/>
    <cellStyle name="Normal 3 2 3 2 7 3" xfId="10997" xr:uid="{3401693A-0546-4761-AEA9-063EC8C5208F}"/>
    <cellStyle name="Normal 3 2 3 2 8" xfId="4714" xr:uid="{00000000-0005-0000-0000-0000A6110000}"/>
    <cellStyle name="Normal 3 2 3 2 8 2" xfId="13149" xr:uid="{34B40135-E89B-48D8-BB4D-59B4D2F5AE5F}"/>
    <cellStyle name="Normal 3 2 3 2 9" xfId="8931" xr:uid="{3CDF0E1F-0C2B-460C-A82B-47B3E85AD2F7}"/>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2 2 2" xfId="15710" xr:uid="{B01B4147-88BD-4A5D-8D6F-38A001ED7D2E}"/>
    <cellStyle name="Normal 3 2 3 3 2 2 3" xfId="11492" xr:uid="{447FDA46-DBE0-4F0A-A4E3-B06C87D270E1}"/>
    <cellStyle name="Normal 3 2 3 3 2 3" xfId="5130" xr:uid="{00000000-0005-0000-0000-0000AB110000}"/>
    <cellStyle name="Normal 3 2 3 3 2 3 2" xfId="13565" xr:uid="{369016AF-9259-4003-BC9C-5DCF4F12740D}"/>
    <cellStyle name="Normal 3 2 3 3 2 4" xfId="9347" xr:uid="{A5CD90BD-5498-48B8-9634-21958EF3F505}"/>
    <cellStyle name="Normal 3 2 3 3 3" xfId="1235" xr:uid="{00000000-0005-0000-0000-0000AC110000}"/>
    <cellStyle name="Normal 3 2 3 3 3 2" xfId="3465" xr:uid="{00000000-0005-0000-0000-0000AD110000}"/>
    <cellStyle name="Normal 3 2 3 3 3 2 2" xfId="7688" xr:uid="{00000000-0005-0000-0000-0000AE110000}"/>
    <cellStyle name="Normal 3 2 3 3 3 2 2 2" xfId="16123" xr:uid="{1F1BB75D-0C33-444F-A217-B96BAE32FBB0}"/>
    <cellStyle name="Normal 3 2 3 3 3 2 3" xfId="11905" xr:uid="{14778360-5554-48BE-BAC1-5AB55E204C56}"/>
    <cellStyle name="Normal 3 2 3 3 3 3" xfId="5543" xr:uid="{00000000-0005-0000-0000-0000AF110000}"/>
    <cellStyle name="Normal 3 2 3 3 3 3 2" xfId="13978" xr:uid="{284ED7DB-7204-4BF4-AA30-53240EA11502}"/>
    <cellStyle name="Normal 3 2 3 3 3 4" xfId="9760" xr:uid="{5C4DE4BB-E32C-4284-B3B6-2D2C66172253}"/>
    <cellStyle name="Normal 3 2 3 3 4" xfId="1648" xr:uid="{00000000-0005-0000-0000-0000B0110000}"/>
    <cellStyle name="Normal 3 2 3 3 4 2" xfId="3878" xr:uid="{00000000-0005-0000-0000-0000B1110000}"/>
    <cellStyle name="Normal 3 2 3 3 4 2 2" xfId="8101" xr:uid="{00000000-0005-0000-0000-0000B2110000}"/>
    <cellStyle name="Normal 3 2 3 3 4 2 2 2" xfId="16536" xr:uid="{A27D376B-EF66-435C-88FE-EC01B407E766}"/>
    <cellStyle name="Normal 3 2 3 3 4 2 3" xfId="12318" xr:uid="{634539B2-1595-4E98-A4F9-FC52D49F2112}"/>
    <cellStyle name="Normal 3 2 3 3 4 3" xfId="5956" xr:uid="{00000000-0005-0000-0000-0000B3110000}"/>
    <cellStyle name="Normal 3 2 3 3 4 3 2" xfId="14391" xr:uid="{35F44753-EBA2-4C24-A044-9F344F2FFE93}"/>
    <cellStyle name="Normal 3 2 3 3 4 4" xfId="10173" xr:uid="{A9E0F262-96B9-49D0-BE84-1EEC1F93A6C2}"/>
    <cellStyle name="Normal 3 2 3 3 5" xfId="2062" xr:uid="{00000000-0005-0000-0000-0000B4110000}"/>
    <cellStyle name="Normal 3 2 3 3 5 2" xfId="4291" xr:uid="{00000000-0005-0000-0000-0000B5110000}"/>
    <cellStyle name="Normal 3 2 3 3 5 2 2" xfId="8514" xr:uid="{00000000-0005-0000-0000-0000B6110000}"/>
    <cellStyle name="Normal 3 2 3 3 5 2 2 2" xfId="16949" xr:uid="{9864514A-E9AE-4344-B237-87DD3693C333}"/>
    <cellStyle name="Normal 3 2 3 3 5 2 3" xfId="12731" xr:uid="{387C14F6-7756-47E6-9335-BB2D20EA39DF}"/>
    <cellStyle name="Normal 3 2 3 3 5 3" xfId="6369" xr:uid="{00000000-0005-0000-0000-0000B7110000}"/>
    <cellStyle name="Normal 3 2 3 3 5 3 2" xfId="14804" xr:uid="{CDB81186-E959-4BE1-905A-32E97AC33DB7}"/>
    <cellStyle name="Normal 3 2 3 3 5 4" xfId="10586" xr:uid="{4A7ABF76-2600-42B6-8A15-9D86EE65744D}"/>
    <cellStyle name="Normal 3 2 3 3 6" xfId="2498" xr:uid="{00000000-0005-0000-0000-0000B8110000}"/>
    <cellStyle name="Normal 3 2 3 3 6 2" xfId="6782" xr:uid="{00000000-0005-0000-0000-0000B9110000}"/>
    <cellStyle name="Normal 3 2 3 3 6 2 2" xfId="15217" xr:uid="{E733A017-D0B0-4472-A4BA-ACCD41D61B27}"/>
    <cellStyle name="Normal 3 2 3 3 6 3" xfId="10999" xr:uid="{DB920390-2F10-42F9-992E-EE0DBC68E29E}"/>
    <cellStyle name="Normal 3 2 3 3 7" xfId="4716" xr:uid="{00000000-0005-0000-0000-0000BA110000}"/>
    <cellStyle name="Normal 3 2 3 3 7 2" xfId="13151" xr:uid="{E2DA0C27-D374-4E7F-A1EB-1AEF2FECC768}"/>
    <cellStyle name="Normal 3 2 3 3 8" xfId="8933" xr:uid="{45B2E4F7-EADA-4DCF-84E5-4AA22A6B7C3E}"/>
    <cellStyle name="Normal 3 2 3 4" xfId="812" xr:uid="{00000000-0005-0000-0000-0000BB110000}"/>
    <cellStyle name="Normal 3 2 3 4 2" xfId="3049" xr:uid="{00000000-0005-0000-0000-0000BC110000}"/>
    <cellStyle name="Normal 3 2 3 4 2 2" xfId="7272" xr:uid="{00000000-0005-0000-0000-0000BD110000}"/>
    <cellStyle name="Normal 3 2 3 4 2 2 2" xfId="15707" xr:uid="{A74419F5-0E98-4BC5-989E-F3C0B617FF06}"/>
    <cellStyle name="Normal 3 2 3 4 2 3" xfId="11489" xr:uid="{F77B1F04-584B-4DAD-99C4-58B6750C3A15}"/>
    <cellStyle name="Normal 3 2 3 4 3" xfId="5127" xr:uid="{00000000-0005-0000-0000-0000BE110000}"/>
    <cellStyle name="Normal 3 2 3 4 3 2" xfId="13562" xr:uid="{9C584F37-B8B5-40BB-8568-D01C2AF339E5}"/>
    <cellStyle name="Normal 3 2 3 4 4" xfId="9344" xr:uid="{683E0131-2805-480A-AA30-1BE4614104C3}"/>
    <cellStyle name="Normal 3 2 3 5" xfId="1232" xr:uid="{00000000-0005-0000-0000-0000BF110000}"/>
    <cellStyle name="Normal 3 2 3 5 2" xfId="3462" xr:uid="{00000000-0005-0000-0000-0000C0110000}"/>
    <cellStyle name="Normal 3 2 3 5 2 2" xfId="7685" xr:uid="{00000000-0005-0000-0000-0000C1110000}"/>
    <cellStyle name="Normal 3 2 3 5 2 2 2" xfId="16120" xr:uid="{65B4CF77-02B8-4039-A022-F33991447EA6}"/>
    <cellStyle name="Normal 3 2 3 5 2 3" xfId="11902" xr:uid="{81196F9A-D854-412E-828A-DD760CFB2B80}"/>
    <cellStyle name="Normal 3 2 3 5 3" xfId="5540" xr:uid="{00000000-0005-0000-0000-0000C2110000}"/>
    <cellStyle name="Normal 3 2 3 5 3 2" xfId="13975" xr:uid="{3244C20A-EF56-4317-8C51-1767E168AC4C}"/>
    <cellStyle name="Normal 3 2 3 5 4" xfId="9757" xr:uid="{9DE26E9C-37D3-4362-93ED-14248C29AB1A}"/>
    <cellStyle name="Normal 3 2 3 6" xfId="1645" xr:uid="{00000000-0005-0000-0000-0000C3110000}"/>
    <cellStyle name="Normal 3 2 3 6 2" xfId="3875" xr:uid="{00000000-0005-0000-0000-0000C4110000}"/>
    <cellStyle name="Normal 3 2 3 6 2 2" xfId="8098" xr:uid="{00000000-0005-0000-0000-0000C5110000}"/>
    <cellStyle name="Normal 3 2 3 6 2 2 2" xfId="16533" xr:uid="{9C7C41AC-804B-4BE5-BAC9-9EDDBB637277}"/>
    <cellStyle name="Normal 3 2 3 6 2 3" xfId="12315" xr:uid="{6218FBA4-152D-447A-BE98-DE19D59E2759}"/>
    <cellStyle name="Normal 3 2 3 6 3" xfId="5953" xr:uid="{00000000-0005-0000-0000-0000C6110000}"/>
    <cellStyle name="Normal 3 2 3 6 3 2" xfId="14388" xr:uid="{C05591AB-7DD6-4B93-BFFA-EFDDE1FA0834}"/>
    <cellStyle name="Normal 3 2 3 6 4" xfId="10170" xr:uid="{582C8767-7BD2-4369-BAB5-A32BAA4A75FE}"/>
    <cellStyle name="Normal 3 2 3 7" xfId="2059" xr:uid="{00000000-0005-0000-0000-0000C7110000}"/>
    <cellStyle name="Normal 3 2 3 7 2" xfId="4288" xr:uid="{00000000-0005-0000-0000-0000C8110000}"/>
    <cellStyle name="Normal 3 2 3 7 2 2" xfId="8511" xr:uid="{00000000-0005-0000-0000-0000C9110000}"/>
    <cellStyle name="Normal 3 2 3 7 2 2 2" xfId="16946" xr:uid="{6057C35E-5B56-4633-BF34-AC3E0525104A}"/>
    <cellStyle name="Normal 3 2 3 7 2 3" xfId="12728" xr:uid="{452D1108-F6B8-40D5-90B8-E1B34D40070F}"/>
    <cellStyle name="Normal 3 2 3 7 3" xfId="6366" xr:uid="{00000000-0005-0000-0000-0000CA110000}"/>
    <cellStyle name="Normal 3 2 3 7 3 2" xfId="14801" xr:uid="{255FC613-2A80-4EB4-B777-DC2361C53803}"/>
    <cellStyle name="Normal 3 2 3 7 4" xfId="10583" xr:uid="{AA921C5D-F230-474C-AB1C-79EC99DD23C1}"/>
    <cellStyle name="Normal 3 2 3 8" xfId="2495" xr:uid="{00000000-0005-0000-0000-0000CB110000}"/>
    <cellStyle name="Normal 3 2 3 8 2" xfId="6779" xr:uid="{00000000-0005-0000-0000-0000CC110000}"/>
    <cellStyle name="Normal 3 2 3 8 2 2" xfId="15214" xr:uid="{439A1B2B-08B4-43D6-9570-EF9A05A3D890}"/>
    <cellStyle name="Normal 3 2 3 8 3" xfId="10996" xr:uid="{BE625289-4FF2-43DB-A9F6-762150F5B5EA}"/>
    <cellStyle name="Normal 3 2 3 9" xfId="4713" xr:uid="{00000000-0005-0000-0000-0000CD110000}"/>
    <cellStyle name="Normal 3 2 3 9 2" xfId="13148" xr:uid="{0AE8A7E7-30CC-463B-9895-31E0D9835C15}"/>
    <cellStyle name="Normal 3 2 4" xfId="810" xr:uid="{00000000-0005-0000-0000-0000CE110000}"/>
    <cellStyle name="Normal 3 2 4 2" xfId="3048" xr:uid="{00000000-0005-0000-0000-0000CF110000}"/>
    <cellStyle name="Normal 3 2 4 2 2" xfId="7271" xr:uid="{00000000-0005-0000-0000-0000D0110000}"/>
    <cellStyle name="Normal 3 2 4 2 2 2" xfId="15706" xr:uid="{8ADC8BC4-AC22-4C07-9E23-D4C1488DD551}"/>
    <cellStyle name="Normal 3 2 4 2 3" xfId="11488" xr:uid="{EBFEC389-741B-4DA5-814C-47A69A091D54}"/>
    <cellStyle name="Normal 3 2 4 3" xfId="5126" xr:uid="{00000000-0005-0000-0000-0000D1110000}"/>
    <cellStyle name="Normal 3 2 4 3 2" xfId="13561" xr:uid="{EFAE0598-11F8-45D7-9769-61D1B190AAA5}"/>
    <cellStyle name="Normal 3 2 4 4" xfId="9343" xr:uid="{21DA7B7D-DCDC-4AB1-AC0D-41D759C0A485}"/>
    <cellStyle name="Normal 3 2 5" xfId="1231" xr:uid="{00000000-0005-0000-0000-0000D2110000}"/>
    <cellStyle name="Normal 3 2 5 2" xfId="3461" xr:uid="{00000000-0005-0000-0000-0000D3110000}"/>
    <cellStyle name="Normal 3 2 5 2 2" xfId="7684" xr:uid="{00000000-0005-0000-0000-0000D4110000}"/>
    <cellStyle name="Normal 3 2 5 2 2 2" xfId="16119" xr:uid="{7D4A2277-DDF6-4613-B650-F56C4F96F9A0}"/>
    <cellStyle name="Normal 3 2 5 2 3" xfId="11901" xr:uid="{C5A99FEC-4AF8-49AC-8072-5FBC3B1C9118}"/>
    <cellStyle name="Normal 3 2 5 3" xfId="5539" xr:uid="{00000000-0005-0000-0000-0000D5110000}"/>
    <cellStyle name="Normal 3 2 5 3 2" xfId="13974" xr:uid="{19DA49F2-9140-4114-ACE0-701BB5BE3F46}"/>
    <cellStyle name="Normal 3 2 5 4" xfId="9756" xr:uid="{855832B5-FF9D-4474-B601-3C4087681C14}"/>
    <cellStyle name="Normal 3 2 6" xfId="1644" xr:uid="{00000000-0005-0000-0000-0000D6110000}"/>
    <cellStyle name="Normal 3 2 6 2" xfId="3874" xr:uid="{00000000-0005-0000-0000-0000D7110000}"/>
    <cellStyle name="Normal 3 2 6 2 2" xfId="8097" xr:uid="{00000000-0005-0000-0000-0000D8110000}"/>
    <cellStyle name="Normal 3 2 6 2 2 2" xfId="16532" xr:uid="{C46F6899-35EA-4918-BDBE-411E4F9E33EC}"/>
    <cellStyle name="Normal 3 2 6 2 3" xfId="12314" xr:uid="{CA31811C-2F0B-4F0F-BC22-EB95E57E8058}"/>
    <cellStyle name="Normal 3 2 6 3" xfId="5952" xr:uid="{00000000-0005-0000-0000-0000D9110000}"/>
    <cellStyle name="Normal 3 2 6 3 2" xfId="14387" xr:uid="{D1FEFD33-A4A9-4B42-A1F5-FFF142A0C2BA}"/>
    <cellStyle name="Normal 3 2 6 4" xfId="10169" xr:uid="{569A039A-D55E-405D-B3EA-F6F1C0CCBE0F}"/>
    <cellStyle name="Normal 3 2 7" xfId="2058" xr:uid="{00000000-0005-0000-0000-0000DA110000}"/>
    <cellStyle name="Normal 3 2 7 2" xfId="4287" xr:uid="{00000000-0005-0000-0000-0000DB110000}"/>
    <cellStyle name="Normal 3 2 7 2 2" xfId="8510" xr:uid="{00000000-0005-0000-0000-0000DC110000}"/>
    <cellStyle name="Normal 3 2 7 2 2 2" xfId="16945" xr:uid="{DEE34733-B00A-47F5-AB76-7114F0084A59}"/>
    <cellStyle name="Normal 3 2 7 2 3" xfId="12727" xr:uid="{BC45064E-A303-4D69-A705-889B01D2D945}"/>
    <cellStyle name="Normal 3 2 7 3" xfId="6365" xr:uid="{00000000-0005-0000-0000-0000DD110000}"/>
    <cellStyle name="Normal 3 2 7 3 2" xfId="14800" xr:uid="{F4B80817-1742-433A-9CC7-9F777B64C626}"/>
    <cellStyle name="Normal 3 2 7 4" xfId="10582" xr:uid="{E866753E-42C1-4B5F-9AEA-77E1075FF0B4}"/>
    <cellStyle name="Normal 3 2 8" xfId="2494" xr:uid="{00000000-0005-0000-0000-0000DE110000}"/>
    <cellStyle name="Normal 3 2 8 2" xfId="6778" xr:uid="{00000000-0005-0000-0000-0000DF110000}"/>
    <cellStyle name="Normal 3 2 8 2 2" xfId="15213" xr:uid="{A4EC6E1A-7CCD-4B5C-9818-341CACB279CB}"/>
    <cellStyle name="Normal 3 2 8 3" xfId="10995" xr:uid="{4AF8A335-807C-48EB-AF1C-E46B7E97F130}"/>
    <cellStyle name="Normal 3 2 9" xfId="4712" xr:uid="{00000000-0005-0000-0000-0000E0110000}"/>
    <cellStyle name="Normal 3 2 9 2" xfId="13147" xr:uid="{0973D6C3-E319-4B97-89A6-C801B7B3C471}"/>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10" xfId="8934" xr:uid="{6B604C8C-FE6A-4D0C-8C86-E67CFF25164C}"/>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2 2 2" xfId="16950" xr:uid="{2B85B52E-7DAE-445D-8791-04AC547E62CE}"/>
    <cellStyle name="Normal 4 2 2 10 2 3" xfId="12732" xr:uid="{64F448A2-2E30-4685-A49B-A05338EDB323}"/>
    <cellStyle name="Normal 4 2 2 10 3" xfId="6370" xr:uid="{00000000-0005-0000-0000-0000ED110000}"/>
    <cellStyle name="Normal 4 2 2 10 3 2" xfId="14805" xr:uid="{8D901A9E-0BF6-4320-BBA8-5FA8EE738EB7}"/>
    <cellStyle name="Normal 4 2 2 10 4" xfId="10587" xr:uid="{66B7B074-A5F6-466B-83D0-302F4B473499}"/>
    <cellStyle name="Normal 4 2 2 11" xfId="2499" xr:uid="{00000000-0005-0000-0000-0000EE110000}"/>
    <cellStyle name="Normal 4 2 2 11 2" xfId="6783" xr:uid="{00000000-0005-0000-0000-0000EF110000}"/>
    <cellStyle name="Normal 4 2 2 11 2 2" xfId="15218" xr:uid="{3919E133-15D3-4093-9164-0EF1B732869E}"/>
    <cellStyle name="Normal 4 2 2 11 3" xfId="11000" xr:uid="{9A3C9B90-4E6E-4201-9CFB-8EA945D17F69}"/>
    <cellStyle name="Normal 4 2 2 12" xfId="4718" xr:uid="{00000000-0005-0000-0000-0000F0110000}"/>
    <cellStyle name="Normal 4 2 2 12 2" xfId="13153" xr:uid="{FD65C582-7E8B-490C-8C53-F4E0B5F957EC}"/>
    <cellStyle name="Normal 4 2 2 13" xfId="8935" xr:uid="{2B585565-7A8E-45FD-8D29-E14BD75A4429}"/>
    <cellStyle name="Normal 4 2 2 2" xfId="338" xr:uid="{00000000-0005-0000-0000-0000F1110000}"/>
    <cellStyle name="Normal 4 2 2 3" xfId="339" xr:uid="{00000000-0005-0000-0000-0000F2110000}"/>
    <cellStyle name="Normal 4 2 2 3 10" xfId="4719" xr:uid="{00000000-0005-0000-0000-0000F3110000}"/>
    <cellStyle name="Normal 4 2 2 3 10 2" xfId="13154" xr:uid="{13E77CD9-032F-4E4F-A201-E8D2A75839AC}"/>
    <cellStyle name="Normal 4 2 2 3 11" xfId="8936" xr:uid="{B5FADF76-9653-4A71-B47D-722378E8C1FB}"/>
    <cellStyle name="Normal 4 2 2 3 2" xfId="340" xr:uid="{00000000-0005-0000-0000-0000F4110000}"/>
    <cellStyle name="Normal 4 2 2 3 2 10" xfId="8937" xr:uid="{ED30FF3D-1BE6-4598-A736-EFD3B225BFCF}"/>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2 2 2" xfId="15715" xr:uid="{4A8D328D-A417-4EB3-A2F0-A40DF966C996}"/>
    <cellStyle name="Normal 4 2 2 3 2 2 2 2 2 3" xfId="11497" xr:uid="{15A00D96-1148-4CCE-A146-9D1CA2587251}"/>
    <cellStyle name="Normal 4 2 2 3 2 2 2 2 3" xfId="5135" xr:uid="{00000000-0005-0000-0000-0000FA110000}"/>
    <cellStyle name="Normal 4 2 2 3 2 2 2 2 3 2" xfId="13570" xr:uid="{A418C302-7C0A-4676-B959-F09DEEE3ADE4}"/>
    <cellStyle name="Normal 4 2 2 3 2 2 2 2 4" xfId="9352" xr:uid="{72D4A9EC-6683-4A02-BC6A-1A1EDBECC632}"/>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2 2 2" xfId="16128" xr:uid="{6989DC26-9D85-4321-9C04-4670125B0A6A}"/>
    <cellStyle name="Normal 4 2 2 3 2 2 2 3 2 3" xfId="11910" xr:uid="{8F2624FB-85DB-4B8E-915C-0FBF3ACC446D}"/>
    <cellStyle name="Normal 4 2 2 3 2 2 2 3 3" xfId="5548" xr:uid="{00000000-0005-0000-0000-0000FE110000}"/>
    <cellStyle name="Normal 4 2 2 3 2 2 2 3 3 2" xfId="13983" xr:uid="{5D66ACAD-2128-4CE3-9E3F-9B1A86D8FD70}"/>
    <cellStyle name="Normal 4 2 2 3 2 2 2 3 4" xfId="9765" xr:uid="{1A0325DE-8DA0-4861-B985-CF7D4902B128}"/>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2 2 2" xfId="16541" xr:uid="{A558439B-5DB8-4C00-B5DC-1D5665561354}"/>
    <cellStyle name="Normal 4 2 2 3 2 2 2 4 2 3" xfId="12323" xr:uid="{F94CE8AB-755A-41CF-902B-795EC77DC9B5}"/>
    <cellStyle name="Normal 4 2 2 3 2 2 2 4 3" xfId="5961" xr:uid="{00000000-0005-0000-0000-000002120000}"/>
    <cellStyle name="Normal 4 2 2 3 2 2 2 4 3 2" xfId="14396" xr:uid="{6FF46A0A-B613-4ED6-BDEC-EB75724F94BD}"/>
    <cellStyle name="Normal 4 2 2 3 2 2 2 4 4" xfId="10178" xr:uid="{CFFFA844-C1B5-431F-A954-A98965B11947}"/>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2 2 2" xfId="16954" xr:uid="{BE1398F3-C0CD-4DB0-BEE3-2E0E591B0BA6}"/>
    <cellStyle name="Normal 4 2 2 3 2 2 2 5 2 3" xfId="12736" xr:uid="{8876F7F7-1604-4DA4-A8DD-B29C17490465}"/>
    <cellStyle name="Normal 4 2 2 3 2 2 2 5 3" xfId="6374" xr:uid="{00000000-0005-0000-0000-000006120000}"/>
    <cellStyle name="Normal 4 2 2 3 2 2 2 5 3 2" xfId="14809" xr:uid="{C7D2D1B5-39A6-43E7-B5C3-CC15BF477C6C}"/>
    <cellStyle name="Normal 4 2 2 3 2 2 2 5 4" xfId="10591" xr:uid="{2F63FF9E-1C74-44A2-8EC2-415B5B93BEE4}"/>
    <cellStyle name="Normal 4 2 2 3 2 2 2 6" xfId="2503" xr:uid="{00000000-0005-0000-0000-000007120000}"/>
    <cellStyle name="Normal 4 2 2 3 2 2 2 6 2" xfId="6787" xr:uid="{00000000-0005-0000-0000-000008120000}"/>
    <cellStyle name="Normal 4 2 2 3 2 2 2 6 2 2" xfId="15222" xr:uid="{502CA8C7-28A9-4D9F-965D-FB3D49BB9447}"/>
    <cellStyle name="Normal 4 2 2 3 2 2 2 6 3" xfId="11004" xr:uid="{4A7AEF64-4531-4814-928F-07FD5B2C5209}"/>
    <cellStyle name="Normal 4 2 2 3 2 2 2 7" xfId="4722" xr:uid="{00000000-0005-0000-0000-000009120000}"/>
    <cellStyle name="Normal 4 2 2 3 2 2 2 7 2" xfId="13157" xr:uid="{B07A1116-49E9-4BB2-B492-B80EFD3C0746}"/>
    <cellStyle name="Normal 4 2 2 3 2 2 2 8" xfId="8939" xr:uid="{7168400A-7BFB-46D7-89F0-527B1B56C289}"/>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2 2 2" xfId="15714" xr:uid="{852162B1-A9BD-452B-B192-84BA0BE6B94B}"/>
    <cellStyle name="Normal 4 2 2 3 2 2 3 2 3" xfId="11496" xr:uid="{9B7F54C6-FC83-4663-9D3D-9168B8FC9CAD}"/>
    <cellStyle name="Normal 4 2 2 3 2 2 3 3" xfId="5134" xr:uid="{00000000-0005-0000-0000-00000D120000}"/>
    <cellStyle name="Normal 4 2 2 3 2 2 3 3 2" xfId="13569" xr:uid="{48995006-0F16-4D8E-8FC9-EFB7D71F8BAE}"/>
    <cellStyle name="Normal 4 2 2 3 2 2 3 4" xfId="9351" xr:uid="{859E3A32-B446-4604-8474-D20B0B31C829}"/>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2 2 2" xfId="16127" xr:uid="{A49F33A1-6E2C-4B21-A76A-9975835B9A33}"/>
    <cellStyle name="Normal 4 2 2 3 2 2 4 2 3" xfId="11909" xr:uid="{479E9126-828E-44B4-B448-79943352D293}"/>
    <cellStyle name="Normal 4 2 2 3 2 2 4 3" xfId="5547" xr:uid="{00000000-0005-0000-0000-000011120000}"/>
    <cellStyle name="Normal 4 2 2 3 2 2 4 3 2" xfId="13982" xr:uid="{988513DB-A765-485E-A35B-7D479AB69B16}"/>
    <cellStyle name="Normal 4 2 2 3 2 2 4 4" xfId="9764" xr:uid="{1F8057D0-5FE8-42D9-8921-DF701A995809}"/>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2 2 2" xfId="16540" xr:uid="{DFD5CE95-CA4D-41AB-B630-CED55EBA5189}"/>
    <cellStyle name="Normal 4 2 2 3 2 2 5 2 3" xfId="12322" xr:uid="{DD9ED2A8-68E2-453B-B2DE-E8C9DECA90AC}"/>
    <cellStyle name="Normal 4 2 2 3 2 2 5 3" xfId="5960" xr:uid="{00000000-0005-0000-0000-000015120000}"/>
    <cellStyle name="Normal 4 2 2 3 2 2 5 3 2" xfId="14395" xr:uid="{700A0B37-5E75-4595-B494-D23509CE4EBB}"/>
    <cellStyle name="Normal 4 2 2 3 2 2 5 4" xfId="10177" xr:uid="{E1E854A3-0717-4AF9-B5E6-75F983CBAFE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2 2 2" xfId="16953" xr:uid="{34AEBC4D-C6B6-45C2-9074-B9918476DECD}"/>
    <cellStyle name="Normal 4 2 2 3 2 2 6 2 3" xfId="12735" xr:uid="{67A6D4C6-7757-48F5-9569-E22BD8CD4123}"/>
    <cellStyle name="Normal 4 2 2 3 2 2 6 3" xfId="6373" xr:uid="{00000000-0005-0000-0000-000019120000}"/>
    <cellStyle name="Normal 4 2 2 3 2 2 6 3 2" xfId="14808" xr:uid="{331767ED-C857-4F43-ABEA-A1EEE8033719}"/>
    <cellStyle name="Normal 4 2 2 3 2 2 6 4" xfId="10590" xr:uid="{071C7BDC-F46F-4E1D-BB02-6BA905F9C6AF}"/>
    <cellStyle name="Normal 4 2 2 3 2 2 7" xfId="2502" xr:uid="{00000000-0005-0000-0000-00001A120000}"/>
    <cellStyle name="Normal 4 2 2 3 2 2 7 2" xfId="6786" xr:uid="{00000000-0005-0000-0000-00001B120000}"/>
    <cellStyle name="Normal 4 2 2 3 2 2 7 2 2" xfId="15221" xr:uid="{B1CAD9AD-0C97-4600-A74B-05B5AB932AA0}"/>
    <cellStyle name="Normal 4 2 2 3 2 2 7 3" xfId="11003" xr:uid="{0E10A90D-1C04-4558-907A-0784EDEA6D1A}"/>
    <cellStyle name="Normal 4 2 2 3 2 2 8" xfId="4721" xr:uid="{00000000-0005-0000-0000-00001C120000}"/>
    <cellStyle name="Normal 4 2 2 3 2 2 8 2" xfId="13156" xr:uid="{7A65357B-0665-4E2D-8B76-EABDB036364A}"/>
    <cellStyle name="Normal 4 2 2 3 2 2 9" xfId="8938" xr:uid="{869E61A5-2C96-4397-BC62-861E62792F78}"/>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2 2 2" xfId="15716" xr:uid="{6675821E-A2A7-4211-B266-CBA808E82FC8}"/>
    <cellStyle name="Normal 4 2 2 3 2 3 2 2 3" xfId="11498" xr:uid="{911E5C58-BC88-40E1-A419-FA49F24B3BDC}"/>
    <cellStyle name="Normal 4 2 2 3 2 3 2 3" xfId="5136" xr:uid="{00000000-0005-0000-0000-000021120000}"/>
    <cellStyle name="Normal 4 2 2 3 2 3 2 3 2" xfId="13571" xr:uid="{4B142C5B-3009-4DDB-90B4-17D31B909C1D}"/>
    <cellStyle name="Normal 4 2 2 3 2 3 2 4" xfId="9353" xr:uid="{8D9CBB94-1765-4F17-B66B-274C4BA0A3C2}"/>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2 2 2" xfId="16129" xr:uid="{5F51DBDB-1895-4133-BF5A-F8C44A67781E}"/>
    <cellStyle name="Normal 4 2 2 3 2 3 3 2 3" xfId="11911" xr:uid="{BC992A45-665E-4DD4-B46A-A8D60F5190E5}"/>
    <cellStyle name="Normal 4 2 2 3 2 3 3 3" xfId="5549" xr:uid="{00000000-0005-0000-0000-000025120000}"/>
    <cellStyle name="Normal 4 2 2 3 2 3 3 3 2" xfId="13984" xr:uid="{C600986C-9734-4C6C-8DDD-1A270883CA77}"/>
    <cellStyle name="Normal 4 2 2 3 2 3 3 4" xfId="9766" xr:uid="{765CECBF-B275-4DEA-86FC-537ABBD0A64D}"/>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2 2 2" xfId="16542" xr:uid="{92653999-B03C-445E-94BB-0844E7CB771B}"/>
    <cellStyle name="Normal 4 2 2 3 2 3 4 2 3" xfId="12324" xr:uid="{8C883D94-647E-420C-93D0-63670EA41334}"/>
    <cellStyle name="Normal 4 2 2 3 2 3 4 3" xfId="5962" xr:uid="{00000000-0005-0000-0000-000029120000}"/>
    <cellStyle name="Normal 4 2 2 3 2 3 4 3 2" xfId="14397" xr:uid="{43D34FE8-09C1-4500-8B61-356F36823CEA}"/>
    <cellStyle name="Normal 4 2 2 3 2 3 4 4" xfId="10179" xr:uid="{E5D840F9-6D99-4F14-A871-3B32AE8F42BD}"/>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2 2 2" xfId="16955" xr:uid="{D09FA6F7-923E-4B99-8049-20D74A717A44}"/>
    <cellStyle name="Normal 4 2 2 3 2 3 5 2 3" xfId="12737" xr:uid="{19B51C53-601A-488F-9630-9398A35D64BC}"/>
    <cellStyle name="Normal 4 2 2 3 2 3 5 3" xfId="6375" xr:uid="{00000000-0005-0000-0000-00002D120000}"/>
    <cellStyle name="Normal 4 2 2 3 2 3 5 3 2" xfId="14810" xr:uid="{0A39162A-37A6-49CA-8640-6BC68D304B82}"/>
    <cellStyle name="Normal 4 2 2 3 2 3 5 4" xfId="10592" xr:uid="{082F3348-3694-4BDE-8B26-D3D1D11DE4D0}"/>
    <cellStyle name="Normal 4 2 2 3 2 3 6" xfId="2504" xr:uid="{00000000-0005-0000-0000-00002E120000}"/>
    <cellStyle name="Normal 4 2 2 3 2 3 6 2" xfId="6788" xr:uid="{00000000-0005-0000-0000-00002F120000}"/>
    <cellStyle name="Normal 4 2 2 3 2 3 6 2 2" xfId="15223" xr:uid="{AC99D557-AEA3-42C8-81DF-267C96756585}"/>
    <cellStyle name="Normal 4 2 2 3 2 3 6 3" xfId="11005" xr:uid="{E0FEA46E-2AD7-4A9A-BFAF-58E94AB5BD25}"/>
    <cellStyle name="Normal 4 2 2 3 2 3 7" xfId="4723" xr:uid="{00000000-0005-0000-0000-000030120000}"/>
    <cellStyle name="Normal 4 2 2 3 2 3 7 2" xfId="13158" xr:uid="{A2B0DE62-607F-40A4-A553-4F110C63225E}"/>
    <cellStyle name="Normal 4 2 2 3 2 3 8" xfId="8940" xr:uid="{C1EA7037-6A13-48BB-897E-1F195292C835}"/>
    <cellStyle name="Normal 4 2 2 3 2 4" xfId="818" xr:uid="{00000000-0005-0000-0000-000031120000}"/>
    <cellStyle name="Normal 4 2 2 3 2 4 2" xfId="3055" xr:uid="{00000000-0005-0000-0000-000032120000}"/>
    <cellStyle name="Normal 4 2 2 3 2 4 2 2" xfId="7278" xr:uid="{00000000-0005-0000-0000-000033120000}"/>
    <cellStyle name="Normal 4 2 2 3 2 4 2 2 2" xfId="15713" xr:uid="{5EAC9F63-1126-4464-A4FB-31883CB102C3}"/>
    <cellStyle name="Normal 4 2 2 3 2 4 2 3" xfId="11495" xr:uid="{B37CDD09-F4D1-4845-9A5D-E725978148DE}"/>
    <cellStyle name="Normal 4 2 2 3 2 4 3" xfId="5133" xr:uid="{00000000-0005-0000-0000-000034120000}"/>
    <cellStyle name="Normal 4 2 2 3 2 4 3 2" xfId="13568" xr:uid="{BEC1A3BA-8AA8-4EF7-BEF7-2BFE0C44F348}"/>
    <cellStyle name="Normal 4 2 2 3 2 4 4" xfId="9350" xr:uid="{61AF37A3-34E5-4428-AD46-B55E12A0C61C}"/>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2 2 2" xfId="16126" xr:uid="{91AF3A3D-251D-40CE-8A62-AAE75840367F}"/>
    <cellStyle name="Normal 4 2 2 3 2 5 2 3" xfId="11908" xr:uid="{11007037-400D-462B-A47F-4C5CE0C94A15}"/>
    <cellStyle name="Normal 4 2 2 3 2 5 3" xfId="5546" xr:uid="{00000000-0005-0000-0000-000038120000}"/>
    <cellStyle name="Normal 4 2 2 3 2 5 3 2" xfId="13981" xr:uid="{C32AD7F6-341E-4374-91F7-28D78963F764}"/>
    <cellStyle name="Normal 4 2 2 3 2 5 4" xfId="9763" xr:uid="{36F9FDB3-46EE-4EAD-A8FA-E26BA5D214A5}"/>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2 2 2" xfId="16539" xr:uid="{47CDEDF8-AD6F-479B-AA1D-C5FFF945F007}"/>
    <cellStyle name="Normal 4 2 2 3 2 6 2 3" xfId="12321" xr:uid="{A736F58C-883E-4366-96EE-B00A2F9597DE}"/>
    <cellStyle name="Normal 4 2 2 3 2 6 3" xfId="5959" xr:uid="{00000000-0005-0000-0000-00003C120000}"/>
    <cellStyle name="Normal 4 2 2 3 2 6 3 2" xfId="14394" xr:uid="{9E310554-E595-415D-9343-0EE091009E71}"/>
    <cellStyle name="Normal 4 2 2 3 2 6 4" xfId="10176" xr:uid="{712DFFDC-465E-4FA9-899B-96C1D48387CC}"/>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2 2 2" xfId="16952" xr:uid="{87365BE7-68F9-4F3C-A3F2-DEA7361576B8}"/>
    <cellStyle name="Normal 4 2 2 3 2 7 2 3" xfId="12734" xr:uid="{18B078B0-35EC-4199-A858-6247FC228CA2}"/>
    <cellStyle name="Normal 4 2 2 3 2 7 3" xfId="6372" xr:uid="{00000000-0005-0000-0000-000040120000}"/>
    <cellStyle name="Normal 4 2 2 3 2 7 3 2" xfId="14807" xr:uid="{DDA19D7E-542B-4C3B-A5DF-DCC05C56A9FD}"/>
    <cellStyle name="Normal 4 2 2 3 2 7 4" xfId="10589" xr:uid="{D12E60AF-4112-4E7D-B70A-AE88CE46CF0A}"/>
    <cellStyle name="Normal 4 2 2 3 2 8" xfId="2501" xr:uid="{00000000-0005-0000-0000-000041120000}"/>
    <cellStyle name="Normal 4 2 2 3 2 8 2" xfId="6785" xr:uid="{00000000-0005-0000-0000-000042120000}"/>
    <cellStyle name="Normal 4 2 2 3 2 8 2 2" xfId="15220" xr:uid="{B03F600C-5DE3-4367-9E5D-813ABE41724B}"/>
    <cellStyle name="Normal 4 2 2 3 2 8 3" xfId="11002" xr:uid="{E37F080E-2A39-4F46-A76F-5E4FF4DB6751}"/>
    <cellStyle name="Normal 4 2 2 3 2 9" xfId="4720" xr:uid="{00000000-0005-0000-0000-000043120000}"/>
    <cellStyle name="Normal 4 2 2 3 2 9 2" xfId="13155" xr:uid="{024E8A78-A20B-4F7A-ACAA-80B9D8FB3EAE}"/>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2 2 2" xfId="15718" xr:uid="{150C4F5F-9DE4-41FF-9774-680C3B5E2C34}"/>
    <cellStyle name="Normal 4 2 2 3 3 2 2 2 3" xfId="11500" xr:uid="{5589E910-3767-481E-97B6-CAB087CC8D1D}"/>
    <cellStyle name="Normal 4 2 2 3 3 2 2 3" xfId="5138" xr:uid="{00000000-0005-0000-0000-000049120000}"/>
    <cellStyle name="Normal 4 2 2 3 3 2 2 3 2" xfId="13573" xr:uid="{57CA82A9-5D3F-493B-AD71-9A7CDA117E3A}"/>
    <cellStyle name="Normal 4 2 2 3 3 2 2 4" xfId="9355" xr:uid="{4E797F73-AABE-4765-A37F-D36F3A11723E}"/>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2 2 2" xfId="16131" xr:uid="{927B11A1-5328-4580-AB7A-077210ECE7D7}"/>
    <cellStyle name="Normal 4 2 2 3 3 2 3 2 3" xfId="11913" xr:uid="{C246DA9A-E6E4-4736-9AC4-616C02A7C359}"/>
    <cellStyle name="Normal 4 2 2 3 3 2 3 3" xfId="5551" xr:uid="{00000000-0005-0000-0000-00004D120000}"/>
    <cellStyle name="Normal 4 2 2 3 3 2 3 3 2" xfId="13986" xr:uid="{0D69260D-D606-478F-8F5E-AFF49ABE96A9}"/>
    <cellStyle name="Normal 4 2 2 3 3 2 3 4" xfId="9768" xr:uid="{4EA26572-624F-4F3F-B004-4FC2BF592949}"/>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2 2 2" xfId="16544" xr:uid="{BE2622F7-905D-4B7F-93C8-C4AF39A65772}"/>
    <cellStyle name="Normal 4 2 2 3 3 2 4 2 3" xfId="12326" xr:uid="{16B3CD0E-8172-4AE1-832F-A7557AC58251}"/>
    <cellStyle name="Normal 4 2 2 3 3 2 4 3" xfId="5964" xr:uid="{00000000-0005-0000-0000-000051120000}"/>
    <cellStyle name="Normal 4 2 2 3 3 2 4 3 2" xfId="14399" xr:uid="{F046E22E-62A2-493A-8EB6-7C4CB0F44E4A}"/>
    <cellStyle name="Normal 4 2 2 3 3 2 4 4" xfId="10181" xr:uid="{44B5D8E3-7708-424F-9111-435E3037AEB3}"/>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2 2 2" xfId="16957" xr:uid="{925D4DD2-FC51-471D-879D-E58D7C8F73EF}"/>
    <cellStyle name="Normal 4 2 2 3 3 2 5 2 3" xfId="12739" xr:uid="{150C6119-DE03-48E0-B638-B99EB96551D3}"/>
    <cellStyle name="Normal 4 2 2 3 3 2 5 3" xfId="6377" xr:uid="{00000000-0005-0000-0000-000055120000}"/>
    <cellStyle name="Normal 4 2 2 3 3 2 5 3 2" xfId="14812" xr:uid="{3FB1026F-F7A1-46A9-A22D-6A269B244549}"/>
    <cellStyle name="Normal 4 2 2 3 3 2 5 4" xfId="10594" xr:uid="{59106948-58FC-49B0-BA7B-81488D605959}"/>
    <cellStyle name="Normal 4 2 2 3 3 2 6" xfId="2506" xr:uid="{00000000-0005-0000-0000-000056120000}"/>
    <cellStyle name="Normal 4 2 2 3 3 2 6 2" xfId="6790" xr:uid="{00000000-0005-0000-0000-000057120000}"/>
    <cellStyle name="Normal 4 2 2 3 3 2 6 2 2" xfId="15225" xr:uid="{BCA8C1DF-96F7-4047-9ECC-405200D0CFA7}"/>
    <cellStyle name="Normal 4 2 2 3 3 2 6 3" xfId="11007" xr:uid="{5FFF6E4D-1432-4447-9AF2-453DEAF4FD8B}"/>
    <cellStyle name="Normal 4 2 2 3 3 2 7" xfId="4725" xr:uid="{00000000-0005-0000-0000-000058120000}"/>
    <cellStyle name="Normal 4 2 2 3 3 2 7 2" xfId="13160" xr:uid="{C08696CD-80DF-4855-95E3-D4C5EB5CBF56}"/>
    <cellStyle name="Normal 4 2 2 3 3 2 8" xfId="8942" xr:uid="{54A1EC36-DF40-4E71-A458-2900E261DD68}"/>
    <cellStyle name="Normal 4 2 2 3 3 3" xfId="822" xr:uid="{00000000-0005-0000-0000-000059120000}"/>
    <cellStyle name="Normal 4 2 2 3 3 3 2" xfId="3059" xr:uid="{00000000-0005-0000-0000-00005A120000}"/>
    <cellStyle name="Normal 4 2 2 3 3 3 2 2" xfId="7282" xr:uid="{00000000-0005-0000-0000-00005B120000}"/>
    <cellStyle name="Normal 4 2 2 3 3 3 2 2 2" xfId="15717" xr:uid="{940C624D-99FE-49FC-8053-424DD0543C7A}"/>
    <cellStyle name="Normal 4 2 2 3 3 3 2 3" xfId="11499" xr:uid="{01163B9F-0EEE-47B3-85ED-041ABECCF4E0}"/>
    <cellStyle name="Normal 4 2 2 3 3 3 3" xfId="5137" xr:uid="{00000000-0005-0000-0000-00005C120000}"/>
    <cellStyle name="Normal 4 2 2 3 3 3 3 2" xfId="13572" xr:uid="{703692E9-2A67-4B68-BF10-B4F9037C29C2}"/>
    <cellStyle name="Normal 4 2 2 3 3 3 4" xfId="9354" xr:uid="{E3AC65FE-3936-408A-A1FA-9307B500F802}"/>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2 2 2" xfId="16130" xr:uid="{C202AF6B-1FA3-4F54-AE92-C643EE5495E2}"/>
    <cellStyle name="Normal 4 2 2 3 3 4 2 3" xfId="11912" xr:uid="{8E7BD8FE-D479-46DD-87A1-05751CDF6232}"/>
    <cellStyle name="Normal 4 2 2 3 3 4 3" xfId="5550" xr:uid="{00000000-0005-0000-0000-000060120000}"/>
    <cellStyle name="Normal 4 2 2 3 3 4 3 2" xfId="13985" xr:uid="{40B9ECEE-55FE-4EBB-A76F-E310023AEAD9}"/>
    <cellStyle name="Normal 4 2 2 3 3 4 4" xfId="9767" xr:uid="{EF17156C-8356-42D5-8C20-FABF12219F7F}"/>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2 2 2" xfId="16543" xr:uid="{96669D74-7F24-4107-AEF6-EC8D5B03397A}"/>
    <cellStyle name="Normal 4 2 2 3 3 5 2 3" xfId="12325" xr:uid="{6BAA74C8-E761-4EF8-8898-917AAB424E27}"/>
    <cellStyle name="Normal 4 2 2 3 3 5 3" xfId="5963" xr:uid="{00000000-0005-0000-0000-000064120000}"/>
    <cellStyle name="Normal 4 2 2 3 3 5 3 2" xfId="14398" xr:uid="{414084BD-71DF-4DC1-9AC1-7B49E4405FF7}"/>
    <cellStyle name="Normal 4 2 2 3 3 5 4" xfId="10180" xr:uid="{F4F21510-4A39-4653-B792-FB6FF41A15E3}"/>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2 2 2" xfId="16956" xr:uid="{BFCC0D02-9CE3-40DB-9D46-DA7048EBBFC7}"/>
    <cellStyle name="Normal 4 2 2 3 3 6 2 3" xfId="12738" xr:uid="{17A8EA4C-BDA2-4B31-AE3D-4E12F160D97B}"/>
    <cellStyle name="Normal 4 2 2 3 3 6 3" xfId="6376" xr:uid="{00000000-0005-0000-0000-000068120000}"/>
    <cellStyle name="Normal 4 2 2 3 3 6 3 2" xfId="14811" xr:uid="{3B872E17-CA2F-4579-A445-CC7C274DCE2F}"/>
    <cellStyle name="Normal 4 2 2 3 3 6 4" xfId="10593" xr:uid="{7BC909FB-1E53-4B80-8CE2-10503355FD58}"/>
    <cellStyle name="Normal 4 2 2 3 3 7" xfId="2505" xr:uid="{00000000-0005-0000-0000-000069120000}"/>
    <cellStyle name="Normal 4 2 2 3 3 7 2" xfId="6789" xr:uid="{00000000-0005-0000-0000-00006A120000}"/>
    <cellStyle name="Normal 4 2 2 3 3 7 2 2" xfId="15224" xr:uid="{B4175446-EFC1-45C3-8270-191A8D0A3AD6}"/>
    <cellStyle name="Normal 4 2 2 3 3 7 3" xfId="11006" xr:uid="{C489229A-5F16-4722-9866-4C7BA8665685}"/>
    <cellStyle name="Normal 4 2 2 3 3 8" xfId="4724" xr:uid="{00000000-0005-0000-0000-00006B120000}"/>
    <cellStyle name="Normal 4 2 2 3 3 8 2" xfId="13159" xr:uid="{E40550CE-2BEB-4A1E-B9D5-5738A0B3062B}"/>
    <cellStyle name="Normal 4 2 2 3 3 9" xfId="8941" xr:uid="{A02BA9C1-F639-4BD0-8B92-7D9F9472282F}"/>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2 2 2" xfId="15719" xr:uid="{6040755F-C0B5-4B22-A870-02F3AF25B0FF}"/>
    <cellStyle name="Normal 4 2 2 3 4 2 2 3" xfId="11501" xr:uid="{25704ACD-27AA-432E-B22C-700383516201}"/>
    <cellStyle name="Normal 4 2 2 3 4 2 3" xfId="5139" xr:uid="{00000000-0005-0000-0000-000070120000}"/>
    <cellStyle name="Normal 4 2 2 3 4 2 3 2" xfId="13574" xr:uid="{4FAE342C-4470-4F62-8ADA-229045835D3A}"/>
    <cellStyle name="Normal 4 2 2 3 4 2 4" xfId="9356" xr:uid="{004F2F8E-023D-4176-8D53-0CC807507248}"/>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2 2 2" xfId="16132" xr:uid="{E2843382-EA19-4ED5-A74D-B924A30FF7ED}"/>
    <cellStyle name="Normal 4 2 2 3 4 3 2 3" xfId="11914" xr:uid="{3B7626CC-F8BB-40B6-A120-DE69F4F8B58E}"/>
    <cellStyle name="Normal 4 2 2 3 4 3 3" xfId="5552" xr:uid="{00000000-0005-0000-0000-000074120000}"/>
    <cellStyle name="Normal 4 2 2 3 4 3 3 2" xfId="13987" xr:uid="{0C07E5D8-100D-469F-AD07-24D2FAF79AC1}"/>
    <cellStyle name="Normal 4 2 2 3 4 3 4" xfId="9769" xr:uid="{2231CE37-B54A-4CD4-9F21-2C86F2F61BD1}"/>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2 2 2" xfId="16545" xr:uid="{636C19ED-4FF2-4ED8-B416-934FCB425E3E}"/>
    <cellStyle name="Normal 4 2 2 3 4 4 2 3" xfId="12327" xr:uid="{737BD103-C45B-41F0-BB6F-93751C9B9128}"/>
    <cellStyle name="Normal 4 2 2 3 4 4 3" xfId="5965" xr:uid="{00000000-0005-0000-0000-000078120000}"/>
    <cellStyle name="Normal 4 2 2 3 4 4 3 2" xfId="14400" xr:uid="{8655CBB7-A533-4373-BEDA-CA180F168484}"/>
    <cellStyle name="Normal 4 2 2 3 4 4 4" xfId="10182" xr:uid="{DCD66F44-55EC-47A5-BE50-C60E486C4E8E}"/>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2 2 2" xfId="16958" xr:uid="{D5522D69-4046-4DE1-BD82-95B1B5CCD128}"/>
    <cellStyle name="Normal 4 2 2 3 4 5 2 3" xfId="12740" xr:uid="{9690E2E2-5134-451A-9488-C2B6D4FF0F96}"/>
    <cellStyle name="Normal 4 2 2 3 4 5 3" xfId="6378" xr:uid="{00000000-0005-0000-0000-00007C120000}"/>
    <cellStyle name="Normal 4 2 2 3 4 5 3 2" xfId="14813" xr:uid="{082797BF-D649-4EA2-9113-05AFC8335DCA}"/>
    <cellStyle name="Normal 4 2 2 3 4 5 4" xfId="10595" xr:uid="{A0DB6CAE-4C71-4706-84AA-81F1DEF28FD1}"/>
    <cellStyle name="Normal 4 2 2 3 4 6" xfId="2507" xr:uid="{00000000-0005-0000-0000-00007D120000}"/>
    <cellStyle name="Normal 4 2 2 3 4 6 2" xfId="6791" xr:uid="{00000000-0005-0000-0000-00007E120000}"/>
    <cellStyle name="Normal 4 2 2 3 4 6 2 2" xfId="15226" xr:uid="{AB60148B-E6D4-417D-A9D6-18D344C2FFED}"/>
    <cellStyle name="Normal 4 2 2 3 4 6 3" xfId="11008" xr:uid="{D5BEA7A7-050C-448C-8656-91BDC8A67827}"/>
    <cellStyle name="Normal 4 2 2 3 4 7" xfId="4726" xr:uid="{00000000-0005-0000-0000-00007F120000}"/>
    <cellStyle name="Normal 4 2 2 3 4 7 2" xfId="13161" xr:uid="{7E5260F4-132F-4E18-8856-3D69026E37AE}"/>
    <cellStyle name="Normal 4 2 2 3 4 8" xfId="8943" xr:uid="{CEE9CA68-983A-4846-9CA9-C88C068840F5}"/>
    <cellStyle name="Normal 4 2 2 3 5" xfId="817" xr:uid="{00000000-0005-0000-0000-000080120000}"/>
    <cellStyle name="Normal 4 2 2 3 5 2" xfId="3054" xr:uid="{00000000-0005-0000-0000-000081120000}"/>
    <cellStyle name="Normal 4 2 2 3 5 2 2" xfId="7277" xr:uid="{00000000-0005-0000-0000-000082120000}"/>
    <cellStyle name="Normal 4 2 2 3 5 2 2 2" xfId="15712" xr:uid="{35DF40CD-1DB1-4070-A577-71DD8EECAE2E}"/>
    <cellStyle name="Normal 4 2 2 3 5 2 3" xfId="11494" xr:uid="{A9741052-0376-410D-8DEA-779DBE548CAA}"/>
    <cellStyle name="Normal 4 2 2 3 5 3" xfId="5132" xr:uid="{00000000-0005-0000-0000-000083120000}"/>
    <cellStyle name="Normal 4 2 2 3 5 3 2" xfId="13567" xr:uid="{84597B16-E3E7-4203-8819-E82CF393DD5F}"/>
    <cellStyle name="Normal 4 2 2 3 5 4" xfId="9349" xr:uid="{25FAD363-55E7-4CE9-8037-4DFB55D992C1}"/>
    <cellStyle name="Normal 4 2 2 3 6" xfId="1237" xr:uid="{00000000-0005-0000-0000-000084120000}"/>
    <cellStyle name="Normal 4 2 2 3 6 2" xfId="3467" xr:uid="{00000000-0005-0000-0000-000085120000}"/>
    <cellStyle name="Normal 4 2 2 3 6 2 2" xfId="7690" xr:uid="{00000000-0005-0000-0000-000086120000}"/>
    <cellStyle name="Normal 4 2 2 3 6 2 2 2" xfId="16125" xr:uid="{6DB63FE7-1DF9-4FF7-B114-EA1774A7396B}"/>
    <cellStyle name="Normal 4 2 2 3 6 2 3" xfId="11907" xr:uid="{F69D71C2-4293-46E8-8EAB-06088815C5B5}"/>
    <cellStyle name="Normal 4 2 2 3 6 3" xfId="5545" xr:uid="{00000000-0005-0000-0000-000087120000}"/>
    <cellStyle name="Normal 4 2 2 3 6 3 2" xfId="13980" xr:uid="{C7D63F10-19B3-4F84-8D68-37AE7070D51B}"/>
    <cellStyle name="Normal 4 2 2 3 6 4" xfId="9762" xr:uid="{92B80044-C5B3-474F-A078-F9F5D93D6108}"/>
    <cellStyle name="Normal 4 2 2 3 7" xfId="1650" xr:uid="{00000000-0005-0000-0000-000088120000}"/>
    <cellStyle name="Normal 4 2 2 3 7 2" xfId="3880" xr:uid="{00000000-0005-0000-0000-000089120000}"/>
    <cellStyle name="Normal 4 2 2 3 7 2 2" xfId="8103" xr:uid="{00000000-0005-0000-0000-00008A120000}"/>
    <cellStyle name="Normal 4 2 2 3 7 2 2 2" xfId="16538" xr:uid="{8F460471-325C-44D8-A9E1-CD68EA629EB6}"/>
    <cellStyle name="Normal 4 2 2 3 7 2 3" xfId="12320" xr:uid="{262A3A01-68C0-4C79-BCE4-9AAF9EEFB8AF}"/>
    <cellStyle name="Normal 4 2 2 3 7 3" xfId="5958" xr:uid="{00000000-0005-0000-0000-00008B120000}"/>
    <cellStyle name="Normal 4 2 2 3 7 3 2" xfId="14393" xr:uid="{AAF169C7-2876-4BF3-B665-49F46C39BC08}"/>
    <cellStyle name="Normal 4 2 2 3 7 4" xfId="10175" xr:uid="{D4DE5C1E-F700-43D3-8011-25C7FBF9B893}"/>
    <cellStyle name="Normal 4 2 2 3 8" xfId="2064" xr:uid="{00000000-0005-0000-0000-00008C120000}"/>
    <cellStyle name="Normal 4 2 2 3 8 2" xfId="4293" xr:uid="{00000000-0005-0000-0000-00008D120000}"/>
    <cellStyle name="Normal 4 2 2 3 8 2 2" xfId="8516" xr:uid="{00000000-0005-0000-0000-00008E120000}"/>
    <cellStyle name="Normal 4 2 2 3 8 2 2 2" xfId="16951" xr:uid="{1A4C99D0-27EA-48B7-A84E-F9F0BA42EB9B}"/>
    <cellStyle name="Normal 4 2 2 3 8 2 3" xfId="12733" xr:uid="{DC9EDC85-BD19-447B-BA9E-9482E2E403E1}"/>
    <cellStyle name="Normal 4 2 2 3 8 3" xfId="6371" xr:uid="{00000000-0005-0000-0000-00008F120000}"/>
    <cellStyle name="Normal 4 2 2 3 8 3 2" xfId="14806" xr:uid="{30A6C674-2BB9-4A90-8302-06702BBF2CFE}"/>
    <cellStyle name="Normal 4 2 2 3 8 4" xfId="10588" xr:uid="{E647068F-4B3F-447A-B93E-2F9E95C2B72F}"/>
    <cellStyle name="Normal 4 2 2 3 9" xfId="2500" xr:uid="{00000000-0005-0000-0000-000090120000}"/>
    <cellStyle name="Normal 4 2 2 3 9 2" xfId="6784" xr:uid="{00000000-0005-0000-0000-000091120000}"/>
    <cellStyle name="Normal 4 2 2 3 9 2 2" xfId="15219" xr:uid="{C68BADB5-55EF-4373-9A1B-ABF3B38996BC}"/>
    <cellStyle name="Normal 4 2 2 3 9 3" xfId="11001" xr:uid="{C65DF85E-72B7-4422-8DDB-C4CBF1E2EC25}"/>
    <cellStyle name="Normal 4 2 2 4" xfId="347" xr:uid="{00000000-0005-0000-0000-000092120000}"/>
    <cellStyle name="Normal 4 2 2 4 10" xfId="8944" xr:uid="{4692D2D3-6DDB-4F42-9A6E-09B443D60E9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2 2 2" xfId="15722" xr:uid="{A388064F-9882-49AB-8DD0-8EA3EA050C8E}"/>
    <cellStyle name="Normal 4 2 2 4 2 2 2 2 3" xfId="11504" xr:uid="{3DE3AF88-6DCE-4961-9121-54EA0377B423}"/>
    <cellStyle name="Normal 4 2 2 4 2 2 2 3" xfId="5142" xr:uid="{00000000-0005-0000-0000-000098120000}"/>
    <cellStyle name="Normal 4 2 2 4 2 2 2 3 2" xfId="13577" xr:uid="{82EDD38C-C515-4D7D-930E-8585AA86D4EA}"/>
    <cellStyle name="Normal 4 2 2 4 2 2 2 4" xfId="9359" xr:uid="{87C61058-3A0F-477C-A8A2-D6741B69C133}"/>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2 2 2" xfId="16135" xr:uid="{29F27B7B-E88E-4A7D-A8F5-07923307D5E5}"/>
    <cellStyle name="Normal 4 2 2 4 2 2 3 2 3" xfId="11917" xr:uid="{AABBB12E-91BA-4D1B-AF1B-5BFE71DB059D}"/>
    <cellStyle name="Normal 4 2 2 4 2 2 3 3" xfId="5555" xr:uid="{00000000-0005-0000-0000-00009C120000}"/>
    <cellStyle name="Normal 4 2 2 4 2 2 3 3 2" xfId="13990" xr:uid="{79DAF84A-20B8-4E84-8EC9-4F288F16103F}"/>
    <cellStyle name="Normal 4 2 2 4 2 2 3 4" xfId="9772" xr:uid="{B6790B79-BD54-4CF4-9553-D7CC91F497D9}"/>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2 2 2" xfId="16548" xr:uid="{AEA09176-5549-4AF5-A4D1-F05BF2017AA9}"/>
    <cellStyle name="Normal 4 2 2 4 2 2 4 2 3" xfId="12330" xr:uid="{01DE71ED-8BA5-474A-AFBF-FC8B59EA9824}"/>
    <cellStyle name="Normal 4 2 2 4 2 2 4 3" xfId="5968" xr:uid="{00000000-0005-0000-0000-0000A0120000}"/>
    <cellStyle name="Normal 4 2 2 4 2 2 4 3 2" xfId="14403" xr:uid="{D22177CF-5EF9-4863-84F8-A0C5F44063DE}"/>
    <cellStyle name="Normal 4 2 2 4 2 2 4 4" xfId="10185" xr:uid="{D1E975DE-2414-4C69-874F-7948F90A386A}"/>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2 2 2" xfId="16961" xr:uid="{5C3CA1EC-98E3-4C2C-9F32-B50B4B5C44E6}"/>
    <cellStyle name="Normal 4 2 2 4 2 2 5 2 3" xfId="12743" xr:uid="{CFD6497F-6AFF-4456-9D50-BD66DFE862FB}"/>
    <cellStyle name="Normal 4 2 2 4 2 2 5 3" xfId="6381" xr:uid="{00000000-0005-0000-0000-0000A4120000}"/>
    <cellStyle name="Normal 4 2 2 4 2 2 5 3 2" xfId="14816" xr:uid="{A3EC9042-D95B-4E13-8F5B-77F11E6FF666}"/>
    <cellStyle name="Normal 4 2 2 4 2 2 5 4" xfId="10598" xr:uid="{63B2CFC1-8EA5-4ABE-AF79-5BF0B074A3C2}"/>
    <cellStyle name="Normal 4 2 2 4 2 2 6" xfId="2510" xr:uid="{00000000-0005-0000-0000-0000A5120000}"/>
    <cellStyle name="Normal 4 2 2 4 2 2 6 2" xfId="6794" xr:uid="{00000000-0005-0000-0000-0000A6120000}"/>
    <cellStyle name="Normal 4 2 2 4 2 2 6 2 2" xfId="15229" xr:uid="{067BD0B4-90E0-47E6-BBF5-ED98410F03E4}"/>
    <cellStyle name="Normal 4 2 2 4 2 2 6 3" xfId="11011" xr:uid="{CC18F17F-FEF9-4E2B-8891-E4EEA87844D9}"/>
    <cellStyle name="Normal 4 2 2 4 2 2 7" xfId="4729" xr:uid="{00000000-0005-0000-0000-0000A7120000}"/>
    <cellStyle name="Normal 4 2 2 4 2 2 7 2" xfId="13164" xr:uid="{0261CF17-BE8E-45C4-9792-85D14C55360C}"/>
    <cellStyle name="Normal 4 2 2 4 2 2 8" xfId="8946" xr:uid="{F3B4F8F5-9BFD-4F85-BFE4-59CEF5B91C63}"/>
    <cellStyle name="Normal 4 2 2 4 2 3" xfId="826" xr:uid="{00000000-0005-0000-0000-0000A8120000}"/>
    <cellStyle name="Normal 4 2 2 4 2 3 2" xfId="3063" xr:uid="{00000000-0005-0000-0000-0000A9120000}"/>
    <cellStyle name="Normal 4 2 2 4 2 3 2 2" xfId="7286" xr:uid="{00000000-0005-0000-0000-0000AA120000}"/>
    <cellStyle name="Normal 4 2 2 4 2 3 2 2 2" xfId="15721" xr:uid="{65427D03-FFF5-4BDE-9DBB-2A257BC35CE0}"/>
    <cellStyle name="Normal 4 2 2 4 2 3 2 3" xfId="11503" xr:uid="{BF39E045-65F8-43C5-9E82-789D0E7868AF}"/>
    <cellStyle name="Normal 4 2 2 4 2 3 3" xfId="5141" xr:uid="{00000000-0005-0000-0000-0000AB120000}"/>
    <cellStyle name="Normal 4 2 2 4 2 3 3 2" xfId="13576" xr:uid="{DCECA473-E72D-46F0-A16E-4F2EA3863295}"/>
    <cellStyle name="Normal 4 2 2 4 2 3 4" xfId="9358" xr:uid="{B7917C2C-9845-4A2B-B629-E12AFE65E83B}"/>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2 2 2" xfId="16134" xr:uid="{1D872460-3E11-43C7-A2E5-5282A7355F40}"/>
    <cellStyle name="Normal 4 2 2 4 2 4 2 3" xfId="11916" xr:uid="{C838E16D-5BC0-4002-A5AE-F35932E4E9B7}"/>
    <cellStyle name="Normal 4 2 2 4 2 4 3" xfId="5554" xr:uid="{00000000-0005-0000-0000-0000AF120000}"/>
    <cellStyle name="Normal 4 2 2 4 2 4 3 2" xfId="13989" xr:uid="{D9335769-7916-4C07-AF82-D661A2978938}"/>
    <cellStyle name="Normal 4 2 2 4 2 4 4" xfId="9771" xr:uid="{608A88B7-5BBC-4BDC-824C-345A9D26DC1F}"/>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2 2 2" xfId="16547" xr:uid="{11E10741-7ACB-47D0-B3EE-02815FF6F3DD}"/>
    <cellStyle name="Normal 4 2 2 4 2 5 2 3" xfId="12329" xr:uid="{367276EA-0AAA-482D-9E5A-A195957B1BEF}"/>
    <cellStyle name="Normal 4 2 2 4 2 5 3" xfId="5967" xr:uid="{00000000-0005-0000-0000-0000B3120000}"/>
    <cellStyle name="Normal 4 2 2 4 2 5 3 2" xfId="14402" xr:uid="{545DF464-BDDD-442F-A657-BCFDE2BB4D50}"/>
    <cellStyle name="Normal 4 2 2 4 2 5 4" xfId="10184" xr:uid="{E543565B-CE2D-487F-9F57-D6514C936651}"/>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2 2 2" xfId="16960" xr:uid="{97B799D0-0275-4F74-91D8-9EFF7778C364}"/>
    <cellStyle name="Normal 4 2 2 4 2 6 2 3" xfId="12742" xr:uid="{D90C2136-87E9-41E6-8E9E-7F550CECAE1F}"/>
    <cellStyle name="Normal 4 2 2 4 2 6 3" xfId="6380" xr:uid="{00000000-0005-0000-0000-0000B7120000}"/>
    <cellStyle name="Normal 4 2 2 4 2 6 3 2" xfId="14815" xr:uid="{058F8415-C763-4319-BE7D-4CF05CFF9D1F}"/>
    <cellStyle name="Normal 4 2 2 4 2 6 4" xfId="10597" xr:uid="{75EEB7DF-C346-4664-9B4C-3C8D9BB7C33B}"/>
    <cellStyle name="Normal 4 2 2 4 2 7" xfId="2509" xr:uid="{00000000-0005-0000-0000-0000B8120000}"/>
    <cellStyle name="Normal 4 2 2 4 2 7 2" xfId="6793" xr:uid="{00000000-0005-0000-0000-0000B9120000}"/>
    <cellStyle name="Normal 4 2 2 4 2 7 2 2" xfId="15228" xr:uid="{F2F56D71-3250-4E76-8BFA-28CDE5394877}"/>
    <cellStyle name="Normal 4 2 2 4 2 7 3" xfId="11010" xr:uid="{B96E0EFB-9596-46FA-9466-57EFA683EBCF}"/>
    <cellStyle name="Normal 4 2 2 4 2 8" xfId="4728" xr:uid="{00000000-0005-0000-0000-0000BA120000}"/>
    <cellStyle name="Normal 4 2 2 4 2 8 2" xfId="13163" xr:uid="{9CFDF638-FA3C-4426-8E07-4AC99095D16E}"/>
    <cellStyle name="Normal 4 2 2 4 2 9" xfId="8945" xr:uid="{8EB97B91-6173-461D-9EB3-0E6DEA718C3E}"/>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2 2 2" xfId="15723" xr:uid="{75EF3E7B-09E3-4D03-BCFB-D575929DFC22}"/>
    <cellStyle name="Normal 4 2 2 4 3 2 2 3" xfId="11505" xr:uid="{826F4318-014B-4D79-BA16-5AF0318D7F9D}"/>
    <cellStyle name="Normal 4 2 2 4 3 2 3" xfId="5143" xr:uid="{00000000-0005-0000-0000-0000BF120000}"/>
    <cellStyle name="Normal 4 2 2 4 3 2 3 2" xfId="13578" xr:uid="{536B2258-8E1E-4360-87FC-E9ED8175B5C5}"/>
    <cellStyle name="Normal 4 2 2 4 3 2 4" xfId="9360" xr:uid="{3B116569-D2C3-4B2F-8792-12C98C0BD4A6}"/>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2 2 2" xfId="16136" xr:uid="{38CF4B0D-BAA1-422E-8FB0-3B23B0C566F1}"/>
    <cellStyle name="Normal 4 2 2 4 3 3 2 3" xfId="11918" xr:uid="{584E87AE-C2D5-4323-8341-F549E1908BAD}"/>
    <cellStyle name="Normal 4 2 2 4 3 3 3" xfId="5556" xr:uid="{00000000-0005-0000-0000-0000C3120000}"/>
    <cellStyle name="Normal 4 2 2 4 3 3 3 2" xfId="13991" xr:uid="{A0042285-E074-4D50-BB6E-B4CA2A13E8CA}"/>
    <cellStyle name="Normal 4 2 2 4 3 3 4" xfId="9773" xr:uid="{E46EFD47-4781-4B22-8B2A-6BEB59010B12}"/>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2 2 2" xfId="16549" xr:uid="{9F17537B-A281-4D9C-A587-C3D4E2E510B9}"/>
    <cellStyle name="Normal 4 2 2 4 3 4 2 3" xfId="12331" xr:uid="{AADBCF63-08DA-4724-AA98-E8C0F947CC9C}"/>
    <cellStyle name="Normal 4 2 2 4 3 4 3" xfId="5969" xr:uid="{00000000-0005-0000-0000-0000C7120000}"/>
    <cellStyle name="Normal 4 2 2 4 3 4 3 2" xfId="14404" xr:uid="{4AB40982-6AC7-4444-B62A-3C13A5EA14AE}"/>
    <cellStyle name="Normal 4 2 2 4 3 4 4" xfId="10186" xr:uid="{2945CEF5-F762-4AA1-B2C6-3DD3BC946AFB}"/>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2 2 2" xfId="16962" xr:uid="{ECB4C99C-8EE5-4B90-BF23-501BEF117502}"/>
    <cellStyle name="Normal 4 2 2 4 3 5 2 3" xfId="12744" xr:uid="{678937C7-52AC-43EC-860F-5468FB8444EC}"/>
    <cellStyle name="Normal 4 2 2 4 3 5 3" xfId="6382" xr:uid="{00000000-0005-0000-0000-0000CB120000}"/>
    <cellStyle name="Normal 4 2 2 4 3 5 3 2" xfId="14817" xr:uid="{4B8F627B-224A-4EDF-8526-E00D24D2C593}"/>
    <cellStyle name="Normal 4 2 2 4 3 5 4" xfId="10599" xr:uid="{65875C33-3B8D-431C-8E1B-715BE324671E}"/>
    <cellStyle name="Normal 4 2 2 4 3 6" xfId="2511" xr:uid="{00000000-0005-0000-0000-0000CC120000}"/>
    <cellStyle name="Normal 4 2 2 4 3 6 2" xfId="6795" xr:uid="{00000000-0005-0000-0000-0000CD120000}"/>
    <cellStyle name="Normal 4 2 2 4 3 6 2 2" xfId="15230" xr:uid="{9152F7B8-6916-40A3-B136-51C04A988E42}"/>
    <cellStyle name="Normal 4 2 2 4 3 6 3" xfId="11012" xr:uid="{4FBE4EFE-9D6D-48B3-80D9-BB7FFECD987B}"/>
    <cellStyle name="Normal 4 2 2 4 3 7" xfId="4730" xr:uid="{00000000-0005-0000-0000-0000CE120000}"/>
    <cellStyle name="Normal 4 2 2 4 3 7 2" xfId="13165" xr:uid="{9B620ED6-E275-4CC5-AD56-60862CAE6C0E}"/>
    <cellStyle name="Normal 4 2 2 4 3 8" xfId="8947" xr:uid="{1AECF4AF-0ABE-4A98-901C-DF6A32854365}"/>
    <cellStyle name="Normal 4 2 2 4 4" xfId="825" xr:uid="{00000000-0005-0000-0000-0000CF120000}"/>
    <cellStyle name="Normal 4 2 2 4 4 2" xfId="3062" xr:uid="{00000000-0005-0000-0000-0000D0120000}"/>
    <cellStyle name="Normal 4 2 2 4 4 2 2" xfId="7285" xr:uid="{00000000-0005-0000-0000-0000D1120000}"/>
    <cellStyle name="Normal 4 2 2 4 4 2 2 2" xfId="15720" xr:uid="{B820CA48-0E82-4AD3-A707-FC526D4FADB2}"/>
    <cellStyle name="Normal 4 2 2 4 4 2 3" xfId="11502" xr:uid="{F5DA459C-E58A-4A3C-AD73-F1FBFB9A07D6}"/>
    <cellStyle name="Normal 4 2 2 4 4 3" xfId="5140" xr:uid="{00000000-0005-0000-0000-0000D2120000}"/>
    <cellStyle name="Normal 4 2 2 4 4 3 2" xfId="13575" xr:uid="{11C769E9-E19A-46E7-98FE-7ED20108FB5A}"/>
    <cellStyle name="Normal 4 2 2 4 4 4" xfId="9357" xr:uid="{C023B96F-31EB-44B7-A0D5-359313C274C5}"/>
    <cellStyle name="Normal 4 2 2 4 5" xfId="1245" xr:uid="{00000000-0005-0000-0000-0000D3120000}"/>
    <cellStyle name="Normal 4 2 2 4 5 2" xfId="3475" xr:uid="{00000000-0005-0000-0000-0000D4120000}"/>
    <cellStyle name="Normal 4 2 2 4 5 2 2" xfId="7698" xr:uid="{00000000-0005-0000-0000-0000D5120000}"/>
    <cellStyle name="Normal 4 2 2 4 5 2 2 2" xfId="16133" xr:uid="{14A428F9-2F8E-4822-B007-418591ECA70C}"/>
    <cellStyle name="Normal 4 2 2 4 5 2 3" xfId="11915" xr:uid="{68E839CC-AE03-4D66-A5F4-A5DF6DEB3DDC}"/>
    <cellStyle name="Normal 4 2 2 4 5 3" xfId="5553" xr:uid="{00000000-0005-0000-0000-0000D6120000}"/>
    <cellStyle name="Normal 4 2 2 4 5 3 2" xfId="13988" xr:uid="{DF239132-500E-42A1-B664-F42AC99D2871}"/>
    <cellStyle name="Normal 4 2 2 4 5 4" xfId="9770" xr:uid="{82DE04C6-2B4F-4222-8346-BCE4EC361F81}"/>
    <cellStyle name="Normal 4 2 2 4 6" xfId="1658" xr:uid="{00000000-0005-0000-0000-0000D7120000}"/>
    <cellStyle name="Normal 4 2 2 4 6 2" xfId="3888" xr:uid="{00000000-0005-0000-0000-0000D8120000}"/>
    <cellStyle name="Normal 4 2 2 4 6 2 2" xfId="8111" xr:uid="{00000000-0005-0000-0000-0000D9120000}"/>
    <cellStyle name="Normal 4 2 2 4 6 2 2 2" xfId="16546" xr:uid="{7FBE0BA9-9116-4C44-8AEE-71F09D2A320F}"/>
    <cellStyle name="Normal 4 2 2 4 6 2 3" xfId="12328" xr:uid="{442116CF-DC64-4135-8A23-5A17FDCD6DD0}"/>
    <cellStyle name="Normal 4 2 2 4 6 3" xfId="5966" xr:uid="{00000000-0005-0000-0000-0000DA120000}"/>
    <cellStyle name="Normal 4 2 2 4 6 3 2" xfId="14401" xr:uid="{0A5D6B70-8891-43E8-9461-D2209A4ABDE1}"/>
    <cellStyle name="Normal 4 2 2 4 6 4" xfId="10183" xr:uid="{0F3E2AE5-65F9-49ED-ABC2-A50FFFB09DD5}"/>
    <cellStyle name="Normal 4 2 2 4 7" xfId="2072" xr:uid="{00000000-0005-0000-0000-0000DB120000}"/>
    <cellStyle name="Normal 4 2 2 4 7 2" xfId="4301" xr:uid="{00000000-0005-0000-0000-0000DC120000}"/>
    <cellStyle name="Normal 4 2 2 4 7 2 2" xfId="8524" xr:uid="{00000000-0005-0000-0000-0000DD120000}"/>
    <cellStyle name="Normal 4 2 2 4 7 2 2 2" xfId="16959" xr:uid="{E0260E12-B49D-4772-BF52-42DF40C4455A}"/>
    <cellStyle name="Normal 4 2 2 4 7 2 3" xfId="12741" xr:uid="{48F051B3-0885-45B2-815F-BF927F4B0653}"/>
    <cellStyle name="Normal 4 2 2 4 7 3" xfId="6379" xr:uid="{00000000-0005-0000-0000-0000DE120000}"/>
    <cellStyle name="Normal 4 2 2 4 7 3 2" xfId="14814" xr:uid="{53B3BA8A-ED9B-4396-BF0B-2179C87351B3}"/>
    <cellStyle name="Normal 4 2 2 4 7 4" xfId="10596" xr:uid="{C61064C8-E16F-48F7-A276-DD80667CF60E}"/>
    <cellStyle name="Normal 4 2 2 4 8" xfId="2508" xr:uid="{00000000-0005-0000-0000-0000DF120000}"/>
    <cellStyle name="Normal 4 2 2 4 8 2" xfId="6792" xr:uid="{00000000-0005-0000-0000-0000E0120000}"/>
    <cellStyle name="Normal 4 2 2 4 8 2 2" xfId="15227" xr:uid="{44EE00C7-2338-4676-8EF7-F1EFA74D29FB}"/>
    <cellStyle name="Normal 4 2 2 4 8 3" xfId="11009" xr:uid="{00457DB7-B6E6-432A-90B7-E3C330E695E6}"/>
    <cellStyle name="Normal 4 2 2 4 9" xfId="4727" xr:uid="{00000000-0005-0000-0000-0000E1120000}"/>
    <cellStyle name="Normal 4 2 2 4 9 2" xfId="13162" xr:uid="{A3600D30-534C-4ECF-9A88-2F3D874DACBE}"/>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2 2 2" xfId="15725" xr:uid="{088E619B-8353-4A19-9D45-23359C2D02BC}"/>
    <cellStyle name="Normal 4 2 2 5 2 2 2 3" xfId="11507" xr:uid="{2554D2BE-A964-4033-8515-1E49DEBD619B}"/>
    <cellStyle name="Normal 4 2 2 5 2 2 3" xfId="5145" xr:uid="{00000000-0005-0000-0000-0000E7120000}"/>
    <cellStyle name="Normal 4 2 2 5 2 2 3 2" xfId="13580" xr:uid="{278D760A-10E1-4C3E-85FD-CEC5C11F378D}"/>
    <cellStyle name="Normal 4 2 2 5 2 2 4" xfId="9362" xr:uid="{71412355-A018-4C15-82C4-6CA1754F01E9}"/>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2 2 2" xfId="16138" xr:uid="{44BC2842-1E3E-42EF-B1CF-68EE1C6E9C9B}"/>
    <cellStyle name="Normal 4 2 2 5 2 3 2 3" xfId="11920" xr:uid="{013AF544-D24A-42BB-B00C-3A32908B7074}"/>
    <cellStyle name="Normal 4 2 2 5 2 3 3" xfId="5558" xr:uid="{00000000-0005-0000-0000-0000EB120000}"/>
    <cellStyle name="Normal 4 2 2 5 2 3 3 2" xfId="13993" xr:uid="{099D1B01-EBAA-41B2-89D5-476AFAE08965}"/>
    <cellStyle name="Normal 4 2 2 5 2 3 4" xfId="9775" xr:uid="{5F8AFEC2-3FE2-4688-9BFB-3D0B52BEC322}"/>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2 2 2" xfId="16551" xr:uid="{ABDE19AE-06BE-4DA1-8ED7-7DE32B106C24}"/>
    <cellStyle name="Normal 4 2 2 5 2 4 2 3" xfId="12333" xr:uid="{39E22CC9-35F8-41F2-B448-E58C1057003D}"/>
    <cellStyle name="Normal 4 2 2 5 2 4 3" xfId="5971" xr:uid="{00000000-0005-0000-0000-0000EF120000}"/>
    <cellStyle name="Normal 4 2 2 5 2 4 3 2" xfId="14406" xr:uid="{073CDE0F-1C9A-41F0-9010-691C9DBF1783}"/>
    <cellStyle name="Normal 4 2 2 5 2 4 4" xfId="10188" xr:uid="{D5C6A5F3-08B8-45CE-8653-557B875E8A6F}"/>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2 2 2" xfId="16964" xr:uid="{3F255BF2-0B14-4D32-B65C-BD6B44139A1F}"/>
    <cellStyle name="Normal 4 2 2 5 2 5 2 3" xfId="12746" xr:uid="{312C89E0-4BD7-4891-8F63-A40C525E967A}"/>
    <cellStyle name="Normal 4 2 2 5 2 5 3" xfId="6384" xr:uid="{00000000-0005-0000-0000-0000F3120000}"/>
    <cellStyle name="Normal 4 2 2 5 2 5 3 2" xfId="14819" xr:uid="{D74CD2D0-4015-4E3C-A2CA-FC4059E936DF}"/>
    <cellStyle name="Normal 4 2 2 5 2 5 4" xfId="10601" xr:uid="{FD66975D-030E-4925-93FE-B3C7D65E7109}"/>
    <cellStyle name="Normal 4 2 2 5 2 6" xfId="2513" xr:uid="{00000000-0005-0000-0000-0000F4120000}"/>
    <cellStyle name="Normal 4 2 2 5 2 6 2" xfId="6797" xr:uid="{00000000-0005-0000-0000-0000F5120000}"/>
    <cellStyle name="Normal 4 2 2 5 2 6 2 2" xfId="15232" xr:uid="{AA450F3F-1DC1-45F5-81A7-E0A6C3923E81}"/>
    <cellStyle name="Normal 4 2 2 5 2 6 3" xfId="11014" xr:uid="{1932D58C-26C5-4878-8EDB-19B0209EC8CE}"/>
    <cellStyle name="Normal 4 2 2 5 2 7" xfId="4732" xr:uid="{00000000-0005-0000-0000-0000F6120000}"/>
    <cellStyle name="Normal 4 2 2 5 2 7 2" xfId="13167" xr:uid="{D369160A-141A-488C-BFE0-5EC40DB3BB7F}"/>
    <cellStyle name="Normal 4 2 2 5 2 8" xfId="8949" xr:uid="{A364805C-952C-4B94-AB20-7805AC3A97A9}"/>
    <cellStyle name="Normal 4 2 2 5 3" xfId="829" xr:uid="{00000000-0005-0000-0000-0000F7120000}"/>
    <cellStyle name="Normal 4 2 2 5 3 2" xfId="3066" xr:uid="{00000000-0005-0000-0000-0000F8120000}"/>
    <cellStyle name="Normal 4 2 2 5 3 2 2" xfId="7289" xr:uid="{00000000-0005-0000-0000-0000F9120000}"/>
    <cellStyle name="Normal 4 2 2 5 3 2 2 2" xfId="15724" xr:uid="{0401648E-71D5-425E-844F-6BA351BE5874}"/>
    <cellStyle name="Normal 4 2 2 5 3 2 3" xfId="11506" xr:uid="{1A759829-D0FE-4282-906F-9CB54EFCD10C}"/>
    <cellStyle name="Normal 4 2 2 5 3 3" xfId="5144" xr:uid="{00000000-0005-0000-0000-0000FA120000}"/>
    <cellStyle name="Normal 4 2 2 5 3 3 2" xfId="13579" xr:uid="{430A58ED-D418-4CAB-965A-27A8E9507568}"/>
    <cellStyle name="Normal 4 2 2 5 3 4" xfId="9361" xr:uid="{6835263C-2316-4866-8DED-13E9F3E3746B}"/>
    <cellStyle name="Normal 4 2 2 5 4" xfId="1249" xr:uid="{00000000-0005-0000-0000-0000FB120000}"/>
    <cellStyle name="Normal 4 2 2 5 4 2" xfId="3479" xr:uid="{00000000-0005-0000-0000-0000FC120000}"/>
    <cellStyle name="Normal 4 2 2 5 4 2 2" xfId="7702" xr:uid="{00000000-0005-0000-0000-0000FD120000}"/>
    <cellStyle name="Normal 4 2 2 5 4 2 2 2" xfId="16137" xr:uid="{11022B88-BC3B-44B1-A549-1C2CF39A466B}"/>
    <cellStyle name="Normal 4 2 2 5 4 2 3" xfId="11919" xr:uid="{A0590F83-FFC8-4BAE-AC13-4BE3F0615811}"/>
    <cellStyle name="Normal 4 2 2 5 4 3" xfId="5557" xr:uid="{00000000-0005-0000-0000-0000FE120000}"/>
    <cellStyle name="Normal 4 2 2 5 4 3 2" xfId="13992" xr:uid="{AC3958C6-E137-4E3E-9925-8D45CA8FCDB0}"/>
    <cellStyle name="Normal 4 2 2 5 4 4" xfId="9774" xr:uid="{0C70F70A-CE4F-4AF3-88FB-156BCCAA4989}"/>
    <cellStyle name="Normal 4 2 2 5 5" xfId="1662" xr:uid="{00000000-0005-0000-0000-0000FF120000}"/>
    <cellStyle name="Normal 4 2 2 5 5 2" xfId="3892" xr:uid="{00000000-0005-0000-0000-000000130000}"/>
    <cellStyle name="Normal 4 2 2 5 5 2 2" xfId="8115" xr:uid="{00000000-0005-0000-0000-000001130000}"/>
    <cellStyle name="Normal 4 2 2 5 5 2 2 2" xfId="16550" xr:uid="{39FDAB7A-7105-4E0C-8A24-29C391DE7DB2}"/>
    <cellStyle name="Normal 4 2 2 5 5 2 3" xfId="12332" xr:uid="{CB954938-3D03-4F01-B9DD-0D8757AF7D75}"/>
    <cellStyle name="Normal 4 2 2 5 5 3" xfId="5970" xr:uid="{00000000-0005-0000-0000-000002130000}"/>
    <cellStyle name="Normal 4 2 2 5 5 3 2" xfId="14405" xr:uid="{992E8B28-A7B1-4EF3-8B26-DFF0A527A2AD}"/>
    <cellStyle name="Normal 4 2 2 5 5 4" xfId="10187" xr:uid="{A326CEC5-74F1-40CA-8AD1-FBE8A5BDC1D0}"/>
    <cellStyle name="Normal 4 2 2 5 6" xfId="2076" xr:uid="{00000000-0005-0000-0000-000003130000}"/>
    <cellStyle name="Normal 4 2 2 5 6 2" xfId="4305" xr:uid="{00000000-0005-0000-0000-000004130000}"/>
    <cellStyle name="Normal 4 2 2 5 6 2 2" xfId="8528" xr:uid="{00000000-0005-0000-0000-000005130000}"/>
    <cellStyle name="Normal 4 2 2 5 6 2 2 2" xfId="16963" xr:uid="{0A4CCC76-032C-4A90-8063-0FC9F5662A87}"/>
    <cellStyle name="Normal 4 2 2 5 6 2 3" xfId="12745" xr:uid="{BB15E3A4-11B1-4B4B-A5B3-F61FCB8B46AD}"/>
    <cellStyle name="Normal 4 2 2 5 6 3" xfId="6383" xr:uid="{00000000-0005-0000-0000-000006130000}"/>
    <cellStyle name="Normal 4 2 2 5 6 3 2" xfId="14818" xr:uid="{B20FCD4E-A010-4C0C-A730-56F12A74660D}"/>
    <cellStyle name="Normal 4 2 2 5 6 4" xfId="10600" xr:uid="{78174078-3C03-4D53-9127-FDF7745F51D5}"/>
    <cellStyle name="Normal 4 2 2 5 7" xfId="2512" xr:uid="{00000000-0005-0000-0000-000007130000}"/>
    <cellStyle name="Normal 4 2 2 5 7 2" xfId="6796" xr:uid="{00000000-0005-0000-0000-000008130000}"/>
    <cellStyle name="Normal 4 2 2 5 7 2 2" xfId="15231" xr:uid="{95F492A1-F925-4F59-B185-C201FDE8F78D}"/>
    <cellStyle name="Normal 4 2 2 5 7 3" xfId="11013" xr:uid="{85219171-D40C-43A0-97E1-533DC2AE8521}"/>
    <cellStyle name="Normal 4 2 2 5 8" xfId="4731" xr:uid="{00000000-0005-0000-0000-000009130000}"/>
    <cellStyle name="Normal 4 2 2 5 8 2" xfId="13166" xr:uid="{E7D81C3A-CAFB-4051-B9F9-102D36EDE4E2}"/>
    <cellStyle name="Normal 4 2 2 5 9" xfId="8948" xr:uid="{FF1CD109-04B1-4827-A677-A040218A1496}"/>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2 2 2" xfId="15726" xr:uid="{A6B39427-AA36-4C46-8CD6-FDC764D74820}"/>
    <cellStyle name="Normal 4 2 2 6 2 2 3" xfId="11508" xr:uid="{CBCF45A6-B301-4029-83BE-A9E4A842F9ED}"/>
    <cellStyle name="Normal 4 2 2 6 2 3" xfId="5146" xr:uid="{00000000-0005-0000-0000-00000E130000}"/>
    <cellStyle name="Normal 4 2 2 6 2 3 2" xfId="13581" xr:uid="{F58E5525-941E-4F48-832E-3DFC3E0ECC1E}"/>
    <cellStyle name="Normal 4 2 2 6 2 4" xfId="9363" xr:uid="{3FD1F9E2-4292-4CBB-B9AF-C8963E6B7083}"/>
    <cellStyle name="Normal 4 2 2 6 3" xfId="1251" xr:uid="{00000000-0005-0000-0000-00000F130000}"/>
    <cellStyle name="Normal 4 2 2 6 3 2" xfId="3481" xr:uid="{00000000-0005-0000-0000-000010130000}"/>
    <cellStyle name="Normal 4 2 2 6 3 2 2" xfId="7704" xr:uid="{00000000-0005-0000-0000-000011130000}"/>
    <cellStyle name="Normal 4 2 2 6 3 2 2 2" xfId="16139" xr:uid="{B5042137-8066-48E6-9917-72E0104495C0}"/>
    <cellStyle name="Normal 4 2 2 6 3 2 3" xfId="11921" xr:uid="{75DE7551-303A-46C2-B7C1-066B0121D89A}"/>
    <cellStyle name="Normal 4 2 2 6 3 3" xfId="5559" xr:uid="{00000000-0005-0000-0000-000012130000}"/>
    <cellStyle name="Normal 4 2 2 6 3 3 2" xfId="13994" xr:uid="{305556A5-E3E3-4A97-9B9F-70874089AD5D}"/>
    <cellStyle name="Normal 4 2 2 6 3 4" xfId="9776" xr:uid="{76A845E6-0350-4EFA-A209-91DB25E17643}"/>
    <cellStyle name="Normal 4 2 2 6 4" xfId="1664" xr:uid="{00000000-0005-0000-0000-000013130000}"/>
    <cellStyle name="Normal 4 2 2 6 4 2" xfId="3894" xr:uid="{00000000-0005-0000-0000-000014130000}"/>
    <cellStyle name="Normal 4 2 2 6 4 2 2" xfId="8117" xr:uid="{00000000-0005-0000-0000-000015130000}"/>
    <cellStyle name="Normal 4 2 2 6 4 2 2 2" xfId="16552" xr:uid="{AEF1AB76-24F5-40E5-8C69-BFBFBFFB46C3}"/>
    <cellStyle name="Normal 4 2 2 6 4 2 3" xfId="12334" xr:uid="{A6364E7F-DB33-4F13-9126-BA8B82514A6F}"/>
    <cellStyle name="Normal 4 2 2 6 4 3" xfId="5972" xr:uid="{00000000-0005-0000-0000-000016130000}"/>
    <cellStyle name="Normal 4 2 2 6 4 3 2" xfId="14407" xr:uid="{A95BBAF6-E8D3-47A0-8FDD-0EFE435FA5FA}"/>
    <cellStyle name="Normal 4 2 2 6 4 4" xfId="10189" xr:uid="{0CCD0F73-EB1E-4532-9F38-AD3B4F686142}"/>
    <cellStyle name="Normal 4 2 2 6 5" xfId="2078" xr:uid="{00000000-0005-0000-0000-000017130000}"/>
    <cellStyle name="Normal 4 2 2 6 5 2" xfId="4307" xr:uid="{00000000-0005-0000-0000-000018130000}"/>
    <cellStyle name="Normal 4 2 2 6 5 2 2" xfId="8530" xr:uid="{00000000-0005-0000-0000-000019130000}"/>
    <cellStyle name="Normal 4 2 2 6 5 2 2 2" xfId="16965" xr:uid="{DF7A5F28-FA04-4DB7-8C9B-B2D52082FAA5}"/>
    <cellStyle name="Normal 4 2 2 6 5 2 3" xfId="12747" xr:uid="{3D7D50B2-4C8A-4BC1-84B5-FC84B6550247}"/>
    <cellStyle name="Normal 4 2 2 6 5 3" xfId="6385" xr:uid="{00000000-0005-0000-0000-00001A130000}"/>
    <cellStyle name="Normal 4 2 2 6 5 3 2" xfId="14820" xr:uid="{ACAC3813-373F-4595-A088-17D8E99104A6}"/>
    <cellStyle name="Normal 4 2 2 6 5 4" xfId="10602" xr:uid="{DD227B3C-A0C3-4269-9A16-27224226709E}"/>
    <cellStyle name="Normal 4 2 2 6 6" xfId="2514" xr:uid="{00000000-0005-0000-0000-00001B130000}"/>
    <cellStyle name="Normal 4 2 2 6 6 2" xfId="6798" xr:uid="{00000000-0005-0000-0000-00001C130000}"/>
    <cellStyle name="Normal 4 2 2 6 6 2 2" xfId="15233" xr:uid="{0B98B8C9-2360-4281-B7BF-0DD4611FD461}"/>
    <cellStyle name="Normal 4 2 2 6 6 3" xfId="11015" xr:uid="{3CD2CA41-8E83-4CFD-940E-139E2BDEBD36}"/>
    <cellStyle name="Normal 4 2 2 6 7" xfId="4733" xr:uid="{00000000-0005-0000-0000-00001D130000}"/>
    <cellStyle name="Normal 4 2 2 6 7 2" xfId="13168" xr:uid="{7B9052B2-0A1A-45B3-BAE3-EA1585DA391A}"/>
    <cellStyle name="Normal 4 2 2 6 8" xfId="8950" xr:uid="{95091F4B-AA3E-4FBF-84D7-AEC1A5714DB0}"/>
    <cellStyle name="Normal 4 2 2 7" xfId="816" xr:uid="{00000000-0005-0000-0000-00001E130000}"/>
    <cellStyle name="Normal 4 2 2 7 2" xfId="3053" xr:uid="{00000000-0005-0000-0000-00001F130000}"/>
    <cellStyle name="Normal 4 2 2 7 2 2" xfId="7276" xr:uid="{00000000-0005-0000-0000-000020130000}"/>
    <cellStyle name="Normal 4 2 2 7 2 2 2" xfId="15711" xr:uid="{9D0B8F79-927D-4228-8BBF-3FC886D863A7}"/>
    <cellStyle name="Normal 4 2 2 7 2 3" xfId="11493" xr:uid="{323AE685-2F51-47F0-8152-F8BE23920097}"/>
    <cellStyle name="Normal 4 2 2 7 3" xfId="5131" xr:uid="{00000000-0005-0000-0000-000021130000}"/>
    <cellStyle name="Normal 4 2 2 7 3 2" xfId="13566" xr:uid="{5FD457E3-8959-4BF5-88DE-1EA2392EE9E0}"/>
    <cellStyle name="Normal 4 2 2 7 4" xfId="9348" xr:uid="{D4C17C26-ACB1-421D-ACD6-0AF3A8260646}"/>
    <cellStyle name="Normal 4 2 2 8" xfId="1236" xr:uid="{00000000-0005-0000-0000-000022130000}"/>
    <cellStyle name="Normal 4 2 2 8 2" xfId="3466" xr:uid="{00000000-0005-0000-0000-000023130000}"/>
    <cellStyle name="Normal 4 2 2 8 2 2" xfId="7689" xr:uid="{00000000-0005-0000-0000-000024130000}"/>
    <cellStyle name="Normal 4 2 2 8 2 2 2" xfId="16124" xr:uid="{368B5965-03EA-4BA4-B066-B5E8B0199835}"/>
    <cellStyle name="Normal 4 2 2 8 2 3" xfId="11906" xr:uid="{AC4B0458-15E7-4367-BF72-168048F380F1}"/>
    <cellStyle name="Normal 4 2 2 8 3" xfId="5544" xr:uid="{00000000-0005-0000-0000-000025130000}"/>
    <cellStyle name="Normal 4 2 2 8 3 2" xfId="13979" xr:uid="{D6813E4E-EA81-4DFF-96E2-D677005F4DF9}"/>
    <cellStyle name="Normal 4 2 2 8 4" xfId="9761" xr:uid="{45AD8F55-DDDD-445F-A3CC-AE2B1EACAE5E}"/>
    <cellStyle name="Normal 4 2 2 9" xfId="1649" xr:uid="{00000000-0005-0000-0000-000026130000}"/>
    <cellStyle name="Normal 4 2 2 9 2" xfId="3879" xr:uid="{00000000-0005-0000-0000-000027130000}"/>
    <cellStyle name="Normal 4 2 2 9 2 2" xfId="8102" xr:uid="{00000000-0005-0000-0000-000028130000}"/>
    <cellStyle name="Normal 4 2 2 9 2 2 2" xfId="16537" xr:uid="{AD9EED9D-71A7-4D01-8BB8-A6BDFB8D9EEC}"/>
    <cellStyle name="Normal 4 2 2 9 2 3" xfId="12319" xr:uid="{6593A1E6-E2CB-4090-84EA-C90009DFB51D}"/>
    <cellStyle name="Normal 4 2 2 9 3" xfId="5957" xr:uid="{00000000-0005-0000-0000-000029130000}"/>
    <cellStyle name="Normal 4 2 2 9 3 2" xfId="14392" xr:uid="{7C884DDD-036B-4451-AFF6-5F518B0D0173}"/>
    <cellStyle name="Normal 4 2 2 9 4" xfId="10174" xr:uid="{9763A81D-276B-4BBA-B07A-D7640B1FFE95}"/>
    <cellStyle name="Normal 4 2 3" xfId="354" xr:uid="{00000000-0005-0000-0000-00002A130000}"/>
    <cellStyle name="Normal 4 2 4" xfId="355" xr:uid="{00000000-0005-0000-0000-00002B130000}"/>
    <cellStyle name="Normal 4 2 4 10" xfId="4734" xr:uid="{00000000-0005-0000-0000-00002C130000}"/>
    <cellStyle name="Normal 4 2 4 10 2" xfId="13169" xr:uid="{9C5407A5-F2D8-4580-B175-7D3E8615CF41}"/>
    <cellStyle name="Normal 4 2 4 11" xfId="8951" xr:uid="{3EE8C791-FD26-4B44-B6F1-91E2E81D1D27}"/>
    <cellStyle name="Normal 4 2 4 2" xfId="356" xr:uid="{00000000-0005-0000-0000-00002D130000}"/>
    <cellStyle name="Normal 4 2 4 2 10" xfId="8952" xr:uid="{AFC0DD51-4E75-4B78-9E1D-C7EAE1B020DA}"/>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2 2 2" xfId="15730" xr:uid="{0BBE7D12-E55F-42EC-B9B5-96D3A3B0BAF5}"/>
    <cellStyle name="Normal 4 2 4 2 2 2 2 2 3" xfId="11512" xr:uid="{5D7BF458-97A3-4D79-9824-80B685A2B925}"/>
    <cellStyle name="Normal 4 2 4 2 2 2 2 3" xfId="5150" xr:uid="{00000000-0005-0000-0000-000033130000}"/>
    <cellStyle name="Normal 4 2 4 2 2 2 2 3 2" xfId="13585" xr:uid="{7D3211F2-998C-4C0E-B879-DE20BEF8E683}"/>
    <cellStyle name="Normal 4 2 4 2 2 2 2 4" xfId="9367" xr:uid="{C620C051-5706-4508-83AA-9132BADB6B6E}"/>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2 2 2" xfId="16143" xr:uid="{30AFA088-7E76-4490-B64B-7CB408B509CE}"/>
    <cellStyle name="Normal 4 2 4 2 2 2 3 2 3" xfId="11925" xr:uid="{639E890F-6DE3-4DC5-B4BB-1FD3E46A3108}"/>
    <cellStyle name="Normal 4 2 4 2 2 2 3 3" xfId="5563" xr:uid="{00000000-0005-0000-0000-000037130000}"/>
    <cellStyle name="Normal 4 2 4 2 2 2 3 3 2" xfId="13998" xr:uid="{FA760FDD-8D63-4ED8-8729-24613280A3DB}"/>
    <cellStyle name="Normal 4 2 4 2 2 2 3 4" xfId="9780" xr:uid="{2A71A894-1176-4F17-896C-388342A9B6BF}"/>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2 2 2" xfId="16556" xr:uid="{5DF71173-E5F1-43DA-8F4F-19B0B2BABEE1}"/>
    <cellStyle name="Normal 4 2 4 2 2 2 4 2 3" xfId="12338" xr:uid="{BD7D5D57-414C-402B-9AE3-EEE2EA5A2559}"/>
    <cellStyle name="Normal 4 2 4 2 2 2 4 3" xfId="5976" xr:uid="{00000000-0005-0000-0000-00003B130000}"/>
    <cellStyle name="Normal 4 2 4 2 2 2 4 3 2" xfId="14411" xr:uid="{386FD3B2-5F7B-4A89-AD8B-D9D2CE704E1E}"/>
    <cellStyle name="Normal 4 2 4 2 2 2 4 4" xfId="10193" xr:uid="{E2881AA6-D0D6-4DB0-807E-A6C10674238B}"/>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2 2 2" xfId="16969" xr:uid="{93A05C47-5426-4371-9B2C-FBA63EB102EA}"/>
    <cellStyle name="Normal 4 2 4 2 2 2 5 2 3" xfId="12751" xr:uid="{08AC47CA-5060-4FC2-9B32-008061915208}"/>
    <cellStyle name="Normal 4 2 4 2 2 2 5 3" xfId="6389" xr:uid="{00000000-0005-0000-0000-00003F130000}"/>
    <cellStyle name="Normal 4 2 4 2 2 2 5 3 2" xfId="14824" xr:uid="{F6013E30-CDF1-4A0B-804B-53FD69CA6DA6}"/>
    <cellStyle name="Normal 4 2 4 2 2 2 5 4" xfId="10606" xr:uid="{3A4999EE-F953-48FB-A4C2-47C2FCC4ABB5}"/>
    <cellStyle name="Normal 4 2 4 2 2 2 6" xfId="2518" xr:uid="{00000000-0005-0000-0000-000040130000}"/>
    <cellStyle name="Normal 4 2 4 2 2 2 6 2" xfId="6802" xr:uid="{00000000-0005-0000-0000-000041130000}"/>
    <cellStyle name="Normal 4 2 4 2 2 2 6 2 2" xfId="15237" xr:uid="{60B42EE8-98A8-4E5B-AED8-BAE9407C940D}"/>
    <cellStyle name="Normal 4 2 4 2 2 2 6 3" xfId="11019" xr:uid="{2C019B07-9816-4D9D-B6A7-F1FB35DB5F40}"/>
    <cellStyle name="Normal 4 2 4 2 2 2 7" xfId="4737" xr:uid="{00000000-0005-0000-0000-000042130000}"/>
    <cellStyle name="Normal 4 2 4 2 2 2 7 2" xfId="13172" xr:uid="{F51889E4-F749-429B-836F-AB2B0D40A12C}"/>
    <cellStyle name="Normal 4 2 4 2 2 2 8" xfId="8954" xr:uid="{3307A375-FD80-4F9D-852E-CA470D9D324E}"/>
    <cellStyle name="Normal 4 2 4 2 2 3" xfId="834" xr:uid="{00000000-0005-0000-0000-000043130000}"/>
    <cellStyle name="Normal 4 2 4 2 2 3 2" xfId="3071" xr:uid="{00000000-0005-0000-0000-000044130000}"/>
    <cellStyle name="Normal 4 2 4 2 2 3 2 2" xfId="7294" xr:uid="{00000000-0005-0000-0000-000045130000}"/>
    <cellStyle name="Normal 4 2 4 2 2 3 2 2 2" xfId="15729" xr:uid="{5818B54D-372B-4731-A9D7-5319192F51EF}"/>
    <cellStyle name="Normal 4 2 4 2 2 3 2 3" xfId="11511" xr:uid="{A9267199-D104-45EF-B97B-47A37F3F44A7}"/>
    <cellStyle name="Normal 4 2 4 2 2 3 3" xfId="5149" xr:uid="{00000000-0005-0000-0000-000046130000}"/>
    <cellStyle name="Normal 4 2 4 2 2 3 3 2" xfId="13584" xr:uid="{B67D7AC1-79B3-49A2-95D5-1B944C537DE1}"/>
    <cellStyle name="Normal 4 2 4 2 2 3 4" xfId="9366" xr:uid="{10C25A2E-06E6-47E9-A339-E29C92F2A881}"/>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2 2 2" xfId="16142" xr:uid="{1175229A-E587-495E-9494-2BD2AB2A4167}"/>
    <cellStyle name="Normal 4 2 4 2 2 4 2 3" xfId="11924" xr:uid="{74226D0D-AD28-428B-90C5-0E7591BB1A2C}"/>
    <cellStyle name="Normal 4 2 4 2 2 4 3" xfId="5562" xr:uid="{00000000-0005-0000-0000-00004A130000}"/>
    <cellStyle name="Normal 4 2 4 2 2 4 3 2" xfId="13997" xr:uid="{414E4C70-9BE7-4BBB-A13F-40253A8F9429}"/>
    <cellStyle name="Normal 4 2 4 2 2 4 4" xfId="9779" xr:uid="{DAE4003B-CC8D-4AC7-99D4-2DDD869E670E}"/>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2 2 2" xfId="16555" xr:uid="{878352B9-5F0F-4633-950E-AAB1A4170165}"/>
    <cellStyle name="Normal 4 2 4 2 2 5 2 3" xfId="12337" xr:uid="{EAAAB517-9B8B-4377-B45A-B45B4C465746}"/>
    <cellStyle name="Normal 4 2 4 2 2 5 3" xfId="5975" xr:uid="{00000000-0005-0000-0000-00004E130000}"/>
    <cellStyle name="Normal 4 2 4 2 2 5 3 2" xfId="14410" xr:uid="{087EB333-CBE1-4F5E-A4B9-047C30AC63E1}"/>
    <cellStyle name="Normal 4 2 4 2 2 5 4" xfId="10192" xr:uid="{3726086B-4D8B-4EAE-93E9-39F0816D0772}"/>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2 2 2" xfId="16968" xr:uid="{5FD909D1-7F40-464E-B119-9CFFAF059C1E}"/>
    <cellStyle name="Normal 4 2 4 2 2 6 2 3" xfId="12750" xr:uid="{5D46C451-2B4C-4452-80E8-2EED69B578CA}"/>
    <cellStyle name="Normal 4 2 4 2 2 6 3" xfId="6388" xr:uid="{00000000-0005-0000-0000-000052130000}"/>
    <cellStyle name="Normal 4 2 4 2 2 6 3 2" xfId="14823" xr:uid="{61BB4403-1001-47C2-8738-82AED6E212F3}"/>
    <cellStyle name="Normal 4 2 4 2 2 6 4" xfId="10605" xr:uid="{53DD70B3-135C-441B-8526-2B07A611FAB3}"/>
    <cellStyle name="Normal 4 2 4 2 2 7" xfId="2517" xr:uid="{00000000-0005-0000-0000-000053130000}"/>
    <cellStyle name="Normal 4 2 4 2 2 7 2" xfId="6801" xr:uid="{00000000-0005-0000-0000-000054130000}"/>
    <cellStyle name="Normal 4 2 4 2 2 7 2 2" xfId="15236" xr:uid="{14029FF7-EF0D-4B74-B930-9CE91A325E32}"/>
    <cellStyle name="Normal 4 2 4 2 2 7 3" xfId="11018" xr:uid="{87FA822F-702A-4A1E-AC67-B8EAC6AE90A7}"/>
    <cellStyle name="Normal 4 2 4 2 2 8" xfId="4736" xr:uid="{00000000-0005-0000-0000-000055130000}"/>
    <cellStyle name="Normal 4 2 4 2 2 8 2" xfId="13171" xr:uid="{8047A4A5-A111-4B94-9C69-677CB23D0F81}"/>
    <cellStyle name="Normal 4 2 4 2 2 9" xfId="8953" xr:uid="{A48193D8-DA29-40E1-ACBF-14C14AE0C494}"/>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2 2 2" xfId="15731" xr:uid="{148CA98E-8381-4ADD-A0B1-CE6B1B8D590B}"/>
    <cellStyle name="Normal 4 2 4 2 3 2 2 3" xfId="11513" xr:uid="{137CC4FD-E8F5-427C-AA4E-B52ECF46751D}"/>
    <cellStyle name="Normal 4 2 4 2 3 2 3" xfId="5151" xr:uid="{00000000-0005-0000-0000-00005A130000}"/>
    <cellStyle name="Normal 4 2 4 2 3 2 3 2" xfId="13586" xr:uid="{914691EF-6E11-4B82-A762-4F660DDDDDA9}"/>
    <cellStyle name="Normal 4 2 4 2 3 2 4" xfId="9368" xr:uid="{8FE05199-2898-4D8B-98D8-4EC600070EA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2 2 2" xfId="16144" xr:uid="{3A21AA47-D842-474A-A0B0-F8449E5CA94A}"/>
    <cellStyle name="Normal 4 2 4 2 3 3 2 3" xfId="11926" xr:uid="{31D0C646-4C23-4C94-8923-3147440CE0EF}"/>
    <cellStyle name="Normal 4 2 4 2 3 3 3" xfId="5564" xr:uid="{00000000-0005-0000-0000-00005E130000}"/>
    <cellStyle name="Normal 4 2 4 2 3 3 3 2" xfId="13999" xr:uid="{554350B3-00D4-4F27-B172-D6F7F36495EF}"/>
    <cellStyle name="Normal 4 2 4 2 3 3 4" xfId="9781" xr:uid="{BC1F4004-2B24-4C90-8343-6EC8DEED30A4}"/>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2 2 2" xfId="16557" xr:uid="{49A3DC77-9C70-4976-A199-75415609ABC6}"/>
    <cellStyle name="Normal 4 2 4 2 3 4 2 3" xfId="12339" xr:uid="{58C7012E-A4AA-44D1-B9E5-F742F6F8E155}"/>
    <cellStyle name="Normal 4 2 4 2 3 4 3" xfId="5977" xr:uid="{00000000-0005-0000-0000-000062130000}"/>
    <cellStyle name="Normal 4 2 4 2 3 4 3 2" xfId="14412" xr:uid="{40901F3F-C512-494E-8AA8-178D6F6411E0}"/>
    <cellStyle name="Normal 4 2 4 2 3 4 4" xfId="10194" xr:uid="{90DDA150-420B-4BCB-880A-3259BE4A3FAD}"/>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2 2 2" xfId="16970" xr:uid="{955B364F-4872-4738-A081-8D97561A5B63}"/>
    <cellStyle name="Normal 4 2 4 2 3 5 2 3" xfId="12752" xr:uid="{81D8BD0F-6590-4212-A546-719ACEB5E92C}"/>
    <cellStyle name="Normal 4 2 4 2 3 5 3" xfId="6390" xr:uid="{00000000-0005-0000-0000-000066130000}"/>
    <cellStyle name="Normal 4 2 4 2 3 5 3 2" xfId="14825" xr:uid="{1E900E40-81F8-4FC0-8589-D06B14C23F7A}"/>
    <cellStyle name="Normal 4 2 4 2 3 5 4" xfId="10607" xr:uid="{0E7E5310-A8A5-47F3-B901-E59A43B14FC0}"/>
    <cellStyle name="Normal 4 2 4 2 3 6" xfId="2519" xr:uid="{00000000-0005-0000-0000-000067130000}"/>
    <cellStyle name="Normal 4 2 4 2 3 6 2" xfId="6803" xr:uid="{00000000-0005-0000-0000-000068130000}"/>
    <cellStyle name="Normal 4 2 4 2 3 6 2 2" xfId="15238" xr:uid="{D8D957FA-C2CB-41E9-9587-2407ED0CB39D}"/>
    <cellStyle name="Normal 4 2 4 2 3 6 3" xfId="11020" xr:uid="{9717AAC6-8C00-4B35-B8B8-5DF4F6209FEC}"/>
    <cellStyle name="Normal 4 2 4 2 3 7" xfId="4738" xr:uid="{00000000-0005-0000-0000-000069130000}"/>
    <cellStyle name="Normal 4 2 4 2 3 7 2" xfId="13173" xr:uid="{EFB8C80A-C2D8-4AEC-AA4E-6D5EA58698ED}"/>
    <cellStyle name="Normal 4 2 4 2 3 8" xfId="8955" xr:uid="{EFB8E8E6-DC26-48B1-A9A3-53263C94217B}"/>
    <cellStyle name="Normal 4 2 4 2 4" xfId="833" xr:uid="{00000000-0005-0000-0000-00006A130000}"/>
    <cellStyle name="Normal 4 2 4 2 4 2" xfId="3070" xr:uid="{00000000-0005-0000-0000-00006B130000}"/>
    <cellStyle name="Normal 4 2 4 2 4 2 2" xfId="7293" xr:uid="{00000000-0005-0000-0000-00006C130000}"/>
    <cellStyle name="Normal 4 2 4 2 4 2 2 2" xfId="15728" xr:uid="{5E6A6D3C-3F26-4A27-B5FA-67FA2FD5A7AD}"/>
    <cellStyle name="Normal 4 2 4 2 4 2 3" xfId="11510" xr:uid="{56359E70-CEDE-4AB1-90C6-76B83A101FD7}"/>
    <cellStyle name="Normal 4 2 4 2 4 3" xfId="5148" xr:uid="{00000000-0005-0000-0000-00006D130000}"/>
    <cellStyle name="Normal 4 2 4 2 4 3 2" xfId="13583" xr:uid="{33C33172-58C1-4ECC-A338-3EE1B1CD85F5}"/>
    <cellStyle name="Normal 4 2 4 2 4 4" xfId="9365" xr:uid="{ED6D7CF0-92CC-4D63-B4F0-70D1E3042533}"/>
    <cellStyle name="Normal 4 2 4 2 5" xfId="1253" xr:uid="{00000000-0005-0000-0000-00006E130000}"/>
    <cellStyle name="Normal 4 2 4 2 5 2" xfId="3483" xr:uid="{00000000-0005-0000-0000-00006F130000}"/>
    <cellStyle name="Normal 4 2 4 2 5 2 2" xfId="7706" xr:uid="{00000000-0005-0000-0000-000070130000}"/>
    <cellStyle name="Normal 4 2 4 2 5 2 2 2" xfId="16141" xr:uid="{4F680306-DD44-4593-9356-06D648C323F2}"/>
    <cellStyle name="Normal 4 2 4 2 5 2 3" xfId="11923" xr:uid="{3E417B1D-691A-4EBA-93FF-D5A220432063}"/>
    <cellStyle name="Normal 4 2 4 2 5 3" xfId="5561" xr:uid="{00000000-0005-0000-0000-000071130000}"/>
    <cellStyle name="Normal 4 2 4 2 5 3 2" xfId="13996" xr:uid="{A6F40EC7-2F70-487F-AE0C-73A67BD1EDAD}"/>
    <cellStyle name="Normal 4 2 4 2 5 4" xfId="9778" xr:uid="{ECBF8DBF-9B5C-4B50-9597-3AFED9A15C85}"/>
    <cellStyle name="Normal 4 2 4 2 6" xfId="1666" xr:uid="{00000000-0005-0000-0000-000072130000}"/>
    <cellStyle name="Normal 4 2 4 2 6 2" xfId="3896" xr:uid="{00000000-0005-0000-0000-000073130000}"/>
    <cellStyle name="Normal 4 2 4 2 6 2 2" xfId="8119" xr:uid="{00000000-0005-0000-0000-000074130000}"/>
    <cellStyle name="Normal 4 2 4 2 6 2 2 2" xfId="16554" xr:uid="{CB29680C-C6D2-467F-AC8E-89B3B4FC4F5B}"/>
    <cellStyle name="Normal 4 2 4 2 6 2 3" xfId="12336" xr:uid="{FC180B71-6006-4169-AD9F-36CF556E0F28}"/>
    <cellStyle name="Normal 4 2 4 2 6 3" xfId="5974" xr:uid="{00000000-0005-0000-0000-000075130000}"/>
    <cellStyle name="Normal 4 2 4 2 6 3 2" xfId="14409" xr:uid="{F23DF6F8-6A33-4294-A8AA-A41EF4529529}"/>
    <cellStyle name="Normal 4 2 4 2 6 4" xfId="10191" xr:uid="{02D3FB84-5E82-4BA4-A099-6F0902D3D199}"/>
    <cellStyle name="Normal 4 2 4 2 7" xfId="2080" xr:uid="{00000000-0005-0000-0000-000076130000}"/>
    <cellStyle name="Normal 4 2 4 2 7 2" xfId="4309" xr:uid="{00000000-0005-0000-0000-000077130000}"/>
    <cellStyle name="Normal 4 2 4 2 7 2 2" xfId="8532" xr:uid="{00000000-0005-0000-0000-000078130000}"/>
    <cellStyle name="Normal 4 2 4 2 7 2 2 2" xfId="16967" xr:uid="{659C764D-9241-4117-ADF5-715D2210F3A4}"/>
    <cellStyle name="Normal 4 2 4 2 7 2 3" xfId="12749" xr:uid="{B0B7DAA3-F50C-4485-9A45-10E8511CC077}"/>
    <cellStyle name="Normal 4 2 4 2 7 3" xfId="6387" xr:uid="{00000000-0005-0000-0000-000079130000}"/>
    <cellStyle name="Normal 4 2 4 2 7 3 2" xfId="14822" xr:uid="{C2EA704D-BEF5-4D0C-8B89-2E29B8F86ABB}"/>
    <cellStyle name="Normal 4 2 4 2 7 4" xfId="10604" xr:uid="{0F4BDC58-435C-4219-AA1F-AF213ED123B4}"/>
    <cellStyle name="Normal 4 2 4 2 8" xfId="2516" xr:uid="{00000000-0005-0000-0000-00007A130000}"/>
    <cellStyle name="Normal 4 2 4 2 8 2" xfId="6800" xr:uid="{00000000-0005-0000-0000-00007B130000}"/>
    <cellStyle name="Normal 4 2 4 2 8 2 2" xfId="15235" xr:uid="{1A115679-C4DE-4F03-91BD-456554280E85}"/>
    <cellStyle name="Normal 4 2 4 2 8 3" xfId="11017" xr:uid="{54436B95-0B9C-4811-9D54-3C9DCCD85799}"/>
    <cellStyle name="Normal 4 2 4 2 9" xfId="4735" xr:uid="{00000000-0005-0000-0000-00007C130000}"/>
    <cellStyle name="Normal 4 2 4 2 9 2" xfId="13170" xr:uid="{79C5D179-68A2-4C5F-89F1-7B0551438626}"/>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2 2 2" xfId="15733" xr:uid="{0A8F5F91-2B5A-4BD4-93BE-BA7AA929D5F6}"/>
    <cellStyle name="Normal 4 2 4 3 2 2 2 3" xfId="11515" xr:uid="{BDBD1356-9863-4044-80D8-E6BDDE28080F}"/>
    <cellStyle name="Normal 4 2 4 3 2 2 3" xfId="5153" xr:uid="{00000000-0005-0000-0000-000082130000}"/>
    <cellStyle name="Normal 4 2 4 3 2 2 3 2" xfId="13588" xr:uid="{8066F838-205E-405A-9C7C-BC91AEE574FB}"/>
    <cellStyle name="Normal 4 2 4 3 2 2 4" xfId="9370" xr:uid="{FC7628D8-28FF-47D4-8870-47803AABE2F9}"/>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2 2 2" xfId="16146" xr:uid="{CDCCEF06-5420-479C-B300-A8AA3D8F4BBC}"/>
    <cellStyle name="Normal 4 2 4 3 2 3 2 3" xfId="11928" xr:uid="{35A0D620-A1D4-4E22-A053-A8AC27A1397B}"/>
    <cellStyle name="Normal 4 2 4 3 2 3 3" xfId="5566" xr:uid="{00000000-0005-0000-0000-000086130000}"/>
    <cellStyle name="Normal 4 2 4 3 2 3 3 2" xfId="14001" xr:uid="{C8492B61-AA81-42BB-AE8D-1C8676E05D54}"/>
    <cellStyle name="Normal 4 2 4 3 2 3 4" xfId="9783" xr:uid="{209E4845-0647-4754-884D-8C73226BB007}"/>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2 2 2" xfId="16559" xr:uid="{3D3944ED-FBDF-4B0B-A34B-EC6676A22969}"/>
    <cellStyle name="Normal 4 2 4 3 2 4 2 3" xfId="12341" xr:uid="{D5C0C664-27AB-415D-9D48-EA8925EA1368}"/>
    <cellStyle name="Normal 4 2 4 3 2 4 3" xfId="5979" xr:uid="{00000000-0005-0000-0000-00008A130000}"/>
    <cellStyle name="Normal 4 2 4 3 2 4 3 2" xfId="14414" xr:uid="{DF2E33EA-D000-4D11-B714-D0A918C5DD67}"/>
    <cellStyle name="Normal 4 2 4 3 2 4 4" xfId="10196" xr:uid="{0EF51608-FAAC-40CA-A5F2-868BA60DF244}"/>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2 2 2" xfId="16972" xr:uid="{5A09B636-C49A-4968-A130-06DDDF1044DF}"/>
    <cellStyle name="Normal 4 2 4 3 2 5 2 3" xfId="12754" xr:uid="{BA4CBD72-5771-45C7-AB2F-99E14E3DBF0E}"/>
    <cellStyle name="Normal 4 2 4 3 2 5 3" xfId="6392" xr:uid="{00000000-0005-0000-0000-00008E130000}"/>
    <cellStyle name="Normal 4 2 4 3 2 5 3 2" xfId="14827" xr:uid="{BD4ED341-4AD6-42B4-B2FF-09C150D28B38}"/>
    <cellStyle name="Normal 4 2 4 3 2 5 4" xfId="10609" xr:uid="{9B7EDFAB-9DAC-400B-AF63-C5443A301231}"/>
    <cellStyle name="Normal 4 2 4 3 2 6" xfId="2521" xr:uid="{00000000-0005-0000-0000-00008F130000}"/>
    <cellStyle name="Normal 4 2 4 3 2 6 2" xfId="6805" xr:uid="{00000000-0005-0000-0000-000090130000}"/>
    <cellStyle name="Normal 4 2 4 3 2 6 2 2" xfId="15240" xr:uid="{485BDA60-F162-42BA-A3FC-1F14A3C8CAC1}"/>
    <cellStyle name="Normal 4 2 4 3 2 6 3" xfId="11022" xr:uid="{A64BD6EE-C8C7-4C7E-88B1-D90463758049}"/>
    <cellStyle name="Normal 4 2 4 3 2 7" xfId="4740" xr:uid="{00000000-0005-0000-0000-000091130000}"/>
    <cellStyle name="Normal 4 2 4 3 2 7 2" xfId="13175" xr:uid="{5021EEA7-BD0C-4B55-8EE9-D834F07D9ED3}"/>
    <cellStyle name="Normal 4 2 4 3 2 8" xfId="8957" xr:uid="{B6CB0A1E-EEB2-4096-AE2B-71DEEAE4A6C2}"/>
    <cellStyle name="Normal 4 2 4 3 3" xfId="837" xr:uid="{00000000-0005-0000-0000-000092130000}"/>
    <cellStyle name="Normal 4 2 4 3 3 2" xfId="3074" xr:uid="{00000000-0005-0000-0000-000093130000}"/>
    <cellStyle name="Normal 4 2 4 3 3 2 2" xfId="7297" xr:uid="{00000000-0005-0000-0000-000094130000}"/>
    <cellStyle name="Normal 4 2 4 3 3 2 2 2" xfId="15732" xr:uid="{25F66A7C-3867-4622-9AD6-8653526D9B78}"/>
    <cellStyle name="Normal 4 2 4 3 3 2 3" xfId="11514" xr:uid="{E197BC54-118B-41D0-BC18-017E72B4F7EB}"/>
    <cellStyle name="Normal 4 2 4 3 3 3" xfId="5152" xr:uid="{00000000-0005-0000-0000-000095130000}"/>
    <cellStyle name="Normal 4 2 4 3 3 3 2" xfId="13587" xr:uid="{630A44AA-FB5E-4271-95A9-B93CA5F12313}"/>
    <cellStyle name="Normal 4 2 4 3 3 4" xfId="9369" xr:uid="{DC64E85F-E1FF-413C-A4A1-B86DF4D87E38}"/>
    <cellStyle name="Normal 4 2 4 3 4" xfId="1257" xr:uid="{00000000-0005-0000-0000-000096130000}"/>
    <cellStyle name="Normal 4 2 4 3 4 2" xfId="3487" xr:uid="{00000000-0005-0000-0000-000097130000}"/>
    <cellStyle name="Normal 4 2 4 3 4 2 2" xfId="7710" xr:uid="{00000000-0005-0000-0000-000098130000}"/>
    <cellStyle name="Normal 4 2 4 3 4 2 2 2" xfId="16145" xr:uid="{F0BEFC47-1EB5-4041-B356-AE1F75ED5A7E}"/>
    <cellStyle name="Normal 4 2 4 3 4 2 3" xfId="11927" xr:uid="{DC5584A7-04A3-437F-9192-1AA6D55DF2A1}"/>
    <cellStyle name="Normal 4 2 4 3 4 3" xfId="5565" xr:uid="{00000000-0005-0000-0000-000099130000}"/>
    <cellStyle name="Normal 4 2 4 3 4 3 2" xfId="14000" xr:uid="{792A9F4A-06B6-4A82-9C24-1BEDD15E89DC}"/>
    <cellStyle name="Normal 4 2 4 3 4 4" xfId="9782" xr:uid="{488AA2BC-2DEF-4F31-B28D-E770337ED8E5}"/>
    <cellStyle name="Normal 4 2 4 3 5" xfId="1670" xr:uid="{00000000-0005-0000-0000-00009A130000}"/>
    <cellStyle name="Normal 4 2 4 3 5 2" xfId="3900" xr:uid="{00000000-0005-0000-0000-00009B130000}"/>
    <cellStyle name="Normal 4 2 4 3 5 2 2" xfId="8123" xr:uid="{00000000-0005-0000-0000-00009C130000}"/>
    <cellStyle name="Normal 4 2 4 3 5 2 2 2" xfId="16558" xr:uid="{8BEF2153-B8E2-482B-9A53-051754AC063C}"/>
    <cellStyle name="Normal 4 2 4 3 5 2 3" xfId="12340" xr:uid="{FD820C46-59C1-4858-AE40-3D5CB3C4747B}"/>
    <cellStyle name="Normal 4 2 4 3 5 3" xfId="5978" xr:uid="{00000000-0005-0000-0000-00009D130000}"/>
    <cellStyle name="Normal 4 2 4 3 5 3 2" xfId="14413" xr:uid="{C288A487-5E07-4D2B-9CE7-8F723D047DFF}"/>
    <cellStyle name="Normal 4 2 4 3 5 4" xfId="10195" xr:uid="{6C862727-5022-485D-8FD8-A08F9991D34A}"/>
    <cellStyle name="Normal 4 2 4 3 6" xfId="2084" xr:uid="{00000000-0005-0000-0000-00009E130000}"/>
    <cellStyle name="Normal 4 2 4 3 6 2" xfId="4313" xr:uid="{00000000-0005-0000-0000-00009F130000}"/>
    <cellStyle name="Normal 4 2 4 3 6 2 2" xfId="8536" xr:uid="{00000000-0005-0000-0000-0000A0130000}"/>
    <cellStyle name="Normal 4 2 4 3 6 2 2 2" xfId="16971" xr:uid="{07606D31-FCAC-48D0-8129-789BDFCC7778}"/>
    <cellStyle name="Normal 4 2 4 3 6 2 3" xfId="12753" xr:uid="{3099494F-6980-4B9A-8247-CF27F1335CB7}"/>
    <cellStyle name="Normal 4 2 4 3 6 3" xfId="6391" xr:uid="{00000000-0005-0000-0000-0000A1130000}"/>
    <cellStyle name="Normal 4 2 4 3 6 3 2" xfId="14826" xr:uid="{24EBF4C8-8B13-4131-A9A9-C950A3BF4BE5}"/>
    <cellStyle name="Normal 4 2 4 3 6 4" xfId="10608" xr:uid="{242EE41F-7EDF-4515-89C7-E7CA780294FF}"/>
    <cellStyle name="Normal 4 2 4 3 7" xfId="2520" xr:uid="{00000000-0005-0000-0000-0000A2130000}"/>
    <cellStyle name="Normal 4 2 4 3 7 2" xfId="6804" xr:uid="{00000000-0005-0000-0000-0000A3130000}"/>
    <cellStyle name="Normal 4 2 4 3 7 2 2" xfId="15239" xr:uid="{1905D016-0F78-4CE4-8765-3581B2916760}"/>
    <cellStyle name="Normal 4 2 4 3 7 3" xfId="11021" xr:uid="{B41410B3-2FCF-400B-A2E5-D0A84AB98249}"/>
    <cellStyle name="Normal 4 2 4 3 8" xfId="4739" xr:uid="{00000000-0005-0000-0000-0000A4130000}"/>
    <cellStyle name="Normal 4 2 4 3 8 2" xfId="13174" xr:uid="{525E0B73-166E-41F9-990C-1ABB4705D416}"/>
    <cellStyle name="Normal 4 2 4 3 9" xfId="8956" xr:uid="{3A3DA114-0717-423A-B54D-E4F2D82BAC12}"/>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2 2 2" xfId="15734" xr:uid="{4589B71E-E6E3-4EAF-BA43-652EB12B781B}"/>
    <cellStyle name="Normal 4 2 4 4 2 2 3" xfId="11516" xr:uid="{473CCF82-03B3-4773-BE40-E8F9A431321C}"/>
    <cellStyle name="Normal 4 2 4 4 2 3" xfId="5154" xr:uid="{00000000-0005-0000-0000-0000A9130000}"/>
    <cellStyle name="Normal 4 2 4 4 2 3 2" xfId="13589" xr:uid="{BFFE4879-D78A-4FC4-A9E8-E26B12E87584}"/>
    <cellStyle name="Normal 4 2 4 4 2 4" xfId="9371" xr:uid="{0804442E-2223-472E-9DD4-678D6C188B01}"/>
    <cellStyle name="Normal 4 2 4 4 3" xfId="1259" xr:uid="{00000000-0005-0000-0000-0000AA130000}"/>
    <cellStyle name="Normal 4 2 4 4 3 2" xfId="3489" xr:uid="{00000000-0005-0000-0000-0000AB130000}"/>
    <cellStyle name="Normal 4 2 4 4 3 2 2" xfId="7712" xr:uid="{00000000-0005-0000-0000-0000AC130000}"/>
    <cellStyle name="Normal 4 2 4 4 3 2 2 2" xfId="16147" xr:uid="{8D84F815-67A5-429B-A7E9-961DCB000B4F}"/>
    <cellStyle name="Normal 4 2 4 4 3 2 3" xfId="11929" xr:uid="{261D1A0E-D5B5-4700-980D-E73460937594}"/>
    <cellStyle name="Normal 4 2 4 4 3 3" xfId="5567" xr:uid="{00000000-0005-0000-0000-0000AD130000}"/>
    <cellStyle name="Normal 4 2 4 4 3 3 2" xfId="14002" xr:uid="{5352C691-CC5A-4351-8DC9-A2635A5BEFB7}"/>
    <cellStyle name="Normal 4 2 4 4 3 4" xfId="9784" xr:uid="{B91CF283-77A4-4A29-9BA9-A84D03E5AA50}"/>
    <cellStyle name="Normal 4 2 4 4 4" xfId="1672" xr:uid="{00000000-0005-0000-0000-0000AE130000}"/>
    <cellStyle name="Normal 4 2 4 4 4 2" xfId="3902" xr:uid="{00000000-0005-0000-0000-0000AF130000}"/>
    <cellStyle name="Normal 4 2 4 4 4 2 2" xfId="8125" xr:uid="{00000000-0005-0000-0000-0000B0130000}"/>
    <cellStyle name="Normal 4 2 4 4 4 2 2 2" xfId="16560" xr:uid="{B4A1D9A8-2B68-4A0E-B644-7991557D316B}"/>
    <cellStyle name="Normal 4 2 4 4 4 2 3" xfId="12342" xr:uid="{E8F25A62-E795-4A17-BAFE-9A56913F0899}"/>
    <cellStyle name="Normal 4 2 4 4 4 3" xfId="5980" xr:uid="{00000000-0005-0000-0000-0000B1130000}"/>
    <cellStyle name="Normal 4 2 4 4 4 3 2" xfId="14415" xr:uid="{B4CB205F-4F2A-4BDD-907F-3E462B846808}"/>
    <cellStyle name="Normal 4 2 4 4 4 4" xfId="10197" xr:uid="{C2A4F7EC-07C4-4EDB-ADCC-74996851BC11}"/>
    <cellStyle name="Normal 4 2 4 4 5" xfId="2086" xr:uid="{00000000-0005-0000-0000-0000B2130000}"/>
    <cellStyle name="Normal 4 2 4 4 5 2" xfId="4315" xr:uid="{00000000-0005-0000-0000-0000B3130000}"/>
    <cellStyle name="Normal 4 2 4 4 5 2 2" xfId="8538" xr:uid="{00000000-0005-0000-0000-0000B4130000}"/>
    <cellStyle name="Normal 4 2 4 4 5 2 2 2" xfId="16973" xr:uid="{1D65013C-DA78-4373-9E0A-BD5227BDD5B9}"/>
    <cellStyle name="Normal 4 2 4 4 5 2 3" xfId="12755" xr:uid="{372B32AC-912C-4295-AF8F-69760C0DF906}"/>
    <cellStyle name="Normal 4 2 4 4 5 3" xfId="6393" xr:uid="{00000000-0005-0000-0000-0000B5130000}"/>
    <cellStyle name="Normal 4 2 4 4 5 3 2" xfId="14828" xr:uid="{F7EDB1E1-8252-450A-A50F-565DBFEB4E69}"/>
    <cellStyle name="Normal 4 2 4 4 5 4" xfId="10610" xr:uid="{0AAC115C-16A3-4DB3-8B62-EAD7A9E6DF5A}"/>
    <cellStyle name="Normal 4 2 4 4 6" xfId="2522" xr:uid="{00000000-0005-0000-0000-0000B6130000}"/>
    <cellStyle name="Normal 4 2 4 4 6 2" xfId="6806" xr:uid="{00000000-0005-0000-0000-0000B7130000}"/>
    <cellStyle name="Normal 4 2 4 4 6 2 2" xfId="15241" xr:uid="{424F53CC-A88B-4C1A-B74F-0AFF809DB412}"/>
    <cellStyle name="Normal 4 2 4 4 6 3" xfId="11023" xr:uid="{6E59A9F2-4F67-450E-8277-5D0353A40E2B}"/>
    <cellStyle name="Normal 4 2 4 4 7" xfId="4741" xr:uid="{00000000-0005-0000-0000-0000B8130000}"/>
    <cellStyle name="Normal 4 2 4 4 7 2" xfId="13176" xr:uid="{97392CCA-66FA-4456-BF85-7249B95FFB0A}"/>
    <cellStyle name="Normal 4 2 4 4 8" xfId="8958" xr:uid="{195DD78C-B65A-4128-BC70-BEBC395017EA}"/>
    <cellStyle name="Normal 4 2 4 5" xfId="832" xr:uid="{00000000-0005-0000-0000-0000B9130000}"/>
    <cellStyle name="Normal 4 2 4 5 2" xfId="3069" xr:uid="{00000000-0005-0000-0000-0000BA130000}"/>
    <cellStyle name="Normal 4 2 4 5 2 2" xfId="7292" xr:uid="{00000000-0005-0000-0000-0000BB130000}"/>
    <cellStyle name="Normal 4 2 4 5 2 2 2" xfId="15727" xr:uid="{05A74AE9-B7AD-46BD-8267-07FC3DF05278}"/>
    <cellStyle name="Normal 4 2 4 5 2 3" xfId="11509" xr:uid="{6E4D52EF-8FB4-4D14-A3C8-3FCDC3FD706C}"/>
    <cellStyle name="Normal 4 2 4 5 3" xfId="5147" xr:uid="{00000000-0005-0000-0000-0000BC130000}"/>
    <cellStyle name="Normal 4 2 4 5 3 2" xfId="13582" xr:uid="{E62B44E7-E2BA-4695-AA25-217C832A6C61}"/>
    <cellStyle name="Normal 4 2 4 5 4" xfId="9364" xr:uid="{CE479CB1-F47D-4FA8-A069-D7079FE03BE2}"/>
    <cellStyle name="Normal 4 2 4 6" xfId="1252" xr:uid="{00000000-0005-0000-0000-0000BD130000}"/>
    <cellStyle name="Normal 4 2 4 6 2" xfId="3482" xr:uid="{00000000-0005-0000-0000-0000BE130000}"/>
    <cellStyle name="Normal 4 2 4 6 2 2" xfId="7705" xr:uid="{00000000-0005-0000-0000-0000BF130000}"/>
    <cellStyle name="Normal 4 2 4 6 2 2 2" xfId="16140" xr:uid="{25821324-B883-4B84-AC35-27D7DFA8CBF6}"/>
    <cellStyle name="Normal 4 2 4 6 2 3" xfId="11922" xr:uid="{8876D703-82F2-4DC9-9ACA-6732ABA4962A}"/>
    <cellStyle name="Normal 4 2 4 6 3" xfId="5560" xr:uid="{00000000-0005-0000-0000-0000C0130000}"/>
    <cellStyle name="Normal 4 2 4 6 3 2" xfId="13995" xr:uid="{05F2CAB0-CACA-4985-BC1E-CBEB3F5BB1C8}"/>
    <cellStyle name="Normal 4 2 4 6 4" xfId="9777" xr:uid="{C69B9E75-A94C-4E5B-B302-9893D0290882}"/>
    <cellStyle name="Normal 4 2 4 7" xfId="1665" xr:uid="{00000000-0005-0000-0000-0000C1130000}"/>
    <cellStyle name="Normal 4 2 4 7 2" xfId="3895" xr:uid="{00000000-0005-0000-0000-0000C2130000}"/>
    <cellStyle name="Normal 4 2 4 7 2 2" xfId="8118" xr:uid="{00000000-0005-0000-0000-0000C3130000}"/>
    <cellStyle name="Normal 4 2 4 7 2 2 2" xfId="16553" xr:uid="{EBC45494-5813-4175-8C77-7851AE26F3C7}"/>
    <cellStyle name="Normal 4 2 4 7 2 3" xfId="12335" xr:uid="{FF8E963F-603C-4515-849F-6A2935F0E5EF}"/>
    <cellStyle name="Normal 4 2 4 7 3" xfId="5973" xr:uid="{00000000-0005-0000-0000-0000C4130000}"/>
    <cellStyle name="Normal 4 2 4 7 3 2" xfId="14408" xr:uid="{7D3B86C9-BBA5-4506-8B32-773FFC482B33}"/>
    <cellStyle name="Normal 4 2 4 7 4" xfId="10190" xr:uid="{1B36A791-A21E-4056-8C39-E5CE315E70D8}"/>
    <cellStyle name="Normal 4 2 4 8" xfId="2079" xr:uid="{00000000-0005-0000-0000-0000C5130000}"/>
    <cellStyle name="Normal 4 2 4 8 2" xfId="4308" xr:uid="{00000000-0005-0000-0000-0000C6130000}"/>
    <cellStyle name="Normal 4 2 4 8 2 2" xfId="8531" xr:uid="{00000000-0005-0000-0000-0000C7130000}"/>
    <cellStyle name="Normal 4 2 4 8 2 2 2" xfId="16966" xr:uid="{3C7A27C9-35F6-47F0-8BEF-C4AEC7C5B832}"/>
    <cellStyle name="Normal 4 2 4 8 2 3" xfId="12748" xr:uid="{CB106446-E515-451A-B750-20D3EB2FAABD}"/>
    <cellStyle name="Normal 4 2 4 8 3" xfId="6386" xr:uid="{00000000-0005-0000-0000-0000C8130000}"/>
    <cellStyle name="Normal 4 2 4 8 3 2" xfId="14821" xr:uid="{CF8C6F2D-7687-4499-A9A6-C7FCBE81E5C6}"/>
    <cellStyle name="Normal 4 2 4 8 4" xfId="10603" xr:uid="{F180E0FE-D6AA-4B29-9FFF-7C004D758790}"/>
    <cellStyle name="Normal 4 2 4 9" xfId="2515" xr:uid="{00000000-0005-0000-0000-0000C9130000}"/>
    <cellStyle name="Normal 4 2 4 9 2" xfId="6799" xr:uid="{00000000-0005-0000-0000-0000CA130000}"/>
    <cellStyle name="Normal 4 2 4 9 2 2" xfId="15234" xr:uid="{BFA9E698-209D-4200-B654-96D8D2FF73C3}"/>
    <cellStyle name="Normal 4 2 4 9 3" xfId="11016" xr:uid="{7D983534-194A-430E-B2FA-EBEE6CCF194A}"/>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2 2 2" xfId="15736" xr:uid="{F0DF3BAF-564A-4FF2-AC12-61621C617661}"/>
    <cellStyle name="Normal 4 2 5 2 2 2 3" xfId="11518" xr:uid="{3C49341D-A2FE-4409-A487-3FE68A194D98}"/>
    <cellStyle name="Normal 4 2 5 2 2 3" xfId="5156" xr:uid="{00000000-0005-0000-0000-0000D0130000}"/>
    <cellStyle name="Normal 4 2 5 2 2 3 2" xfId="13591" xr:uid="{8B75800A-EFBF-43E3-9E38-66C0FE15F467}"/>
    <cellStyle name="Normal 4 2 5 2 2 4" xfId="9373" xr:uid="{8BFAC0AA-9975-449A-AD81-80ACB7DB0833}"/>
    <cellStyle name="Normal 4 2 5 2 3" xfId="1261" xr:uid="{00000000-0005-0000-0000-0000D1130000}"/>
    <cellStyle name="Normal 4 2 5 2 3 2" xfId="3491" xr:uid="{00000000-0005-0000-0000-0000D2130000}"/>
    <cellStyle name="Normal 4 2 5 2 3 2 2" xfId="7714" xr:uid="{00000000-0005-0000-0000-0000D3130000}"/>
    <cellStyle name="Normal 4 2 5 2 3 2 2 2" xfId="16149" xr:uid="{F274DB9F-8668-4165-9580-BEB320483B0E}"/>
    <cellStyle name="Normal 4 2 5 2 3 2 3" xfId="11931" xr:uid="{A764F2DD-5887-4ABE-8EB7-222E3175B21D}"/>
    <cellStyle name="Normal 4 2 5 2 3 3" xfId="5569" xr:uid="{00000000-0005-0000-0000-0000D4130000}"/>
    <cellStyle name="Normal 4 2 5 2 3 3 2" xfId="14004" xr:uid="{DE60F409-D8C1-41A1-A77B-BEEB51C2D0CB}"/>
    <cellStyle name="Normal 4 2 5 2 3 4" xfId="9786" xr:uid="{355C5253-3866-4AD2-B69B-73CD2482F0AB}"/>
    <cellStyle name="Normal 4 2 5 2 4" xfId="1674" xr:uid="{00000000-0005-0000-0000-0000D5130000}"/>
    <cellStyle name="Normal 4 2 5 2 4 2" xfId="3904" xr:uid="{00000000-0005-0000-0000-0000D6130000}"/>
    <cellStyle name="Normal 4 2 5 2 4 2 2" xfId="8127" xr:uid="{00000000-0005-0000-0000-0000D7130000}"/>
    <cellStyle name="Normal 4 2 5 2 4 2 2 2" xfId="16562" xr:uid="{A311D2AB-05B5-4815-9563-0069924D5541}"/>
    <cellStyle name="Normal 4 2 5 2 4 2 3" xfId="12344" xr:uid="{4C7E47DD-1904-4BF3-B17E-4431EE52BD7E}"/>
    <cellStyle name="Normal 4 2 5 2 4 3" xfId="5982" xr:uid="{00000000-0005-0000-0000-0000D8130000}"/>
    <cellStyle name="Normal 4 2 5 2 4 3 2" xfId="14417" xr:uid="{BCC28F1B-92C3-4947-80E0-B0D2A1E208E1}"/>
    <cellStyle name="Normal 4 2 5 2 4 4" xfId="10199" xr:uid="{437D0D49-31AC-4203-831F-368C00443A42}"/>
    <cellStyle name="Normal 4 2 5 2 5" xfId="2088" xr:uid="{00000000-0005-0000-0000-0000D9130000}"/>
    <cellStyle name="Normal 4 2 5 2 5 2" xfId="4317" xr:uid="{00000000-0005-0000-0000-0000DA130000}"/>
    <cellStyle name="Normal 4 2 5 2 5 2 2" xfId="8540" xr:uid="{00000000-0005-0000-0000-0000DB130000}"/>
    <cellStyle name="Normal 4 2 5 2 5 2 2 2" xfId="16975" xr:uid="{AE95B388-1770-4CE1-9BBA-6E447DA7CD63}"/>
    <cellStyle name="Normal 4 2 5 2 5 2 3" xfId="12757" xr:uid="{6DFBC45A-4F35-482F-9182-B3C0C8D3208A}"/>
    <cellStyle name="Normal 4 2 5 2 5 3" xfId="6395" xr:uid="{00000000-0005-0000-0000-0000DC130000}"/>
    <cellStyle name="Normal 4 2 5 2 5 3 2" xfId="14830" xr:uid="{40AD6912-A06C-464D-AA7C-515D061FDB58}"/>
    <cellStyle name="Normal 4 2 5 2 5 4" xfId="10612" xr:uid="{1B55DA4F-6AB7-4550-8FC4-BA1EE707594F}"/>
    <cellStyle name="Normal 4 2 5 2 6" xfId="2524" xr:uid="{00000000-0005-0000-0000-0000DD130000}"/>
    <cellStyle name="Normal 4 2 5 2 6 2" xfId="6808" xr:uid="{00000000-0005-0000-0000-0000DE130000}"/>
    <cellStyle name="Normal 4 2 5 2 6 2 2" xfId="15243" xr:uid="{B17DA611-54A7-494D-B898-3C3474441E80}"/>
    <cellStyle name="Normal 4 2 5 2 6 3" xfId="11025" xr:uid="{61D706F3-5FF3-4C33-AABB-12F8B214DEF6}"/>
    <cellStyle name="Normal 4 2 5 2 7" xfId="4743" xr:uid="{00000000-0005-0000-0000-0000DF130000}"/>
    <cellStyle name="Normal 4 2 5 2 7 2" xfId="13178" xr:uid="{4B707FC3-F526-4D9F-BA60-6C584CFA69AD}"/>
    <cellStyle name="Normal 4 2 5 2 8" xfId="8960" xr:uid="{14FACBE8-21B2-4406-900A-25ED0C730C69}"/>
    <cellStyle name="Normal 4 2 5 3" xfId="840" xr:uid="{00000000-0005-0000-0000-0000E0130000}"/>
    <cellStyle name="Normal 4 2 5 3 2" xfId="3077" xr:uid="{00000000-0005-0000-0000-0000E1130000}"/>
    <cellStyle name="Normal 4 2 5 3 2 2" xfId="7300" xr:uid="{00000000-0005-0000-0000-0000E2130000}"/>
    <cellStyle name="Normal 4 2 5 3 2 2 2" xfId="15735" xr:uid="{63047FCD-3138-4134-8DEB-FAA96E7D3519}"/>
    <cellStyle name="Normal 4 2 5 3 2 3" xfId="11517" xr:uid="{291EC4C2-AE6F-46CE-95B2-6BDEB2199A0D}"/>
    <cellStyle name="Normal 4 2 5 3 3" xfId="5155" xr:uid="{00000000-0005-0000-0000-0000E3130000}"/>
    <cellStyle name="Normal 4 2 5 3 3 2" xfId="13590" xr:uid="{43E34B93-8100-4E26-B8EC-79FE5E22F02B}"/>
    <cellStyle name="Normal 4 2 5 3 4" xfId="9372" xr:uid="{3A94218A-940E-4BDB-A612-8949F7A56A15}"/>
    <cellStyle name="Normal 4 2 5 4" xfId="1260" xr:uid="{00000000-0005-0000-0000-0000E4130000}"/>
    <cellStyle name="Normal 4 2 5 4 2" xfId="3490" xr:uid="{00000000-0005-0000-0000-0000E5130000}"/>
    <cellStyle name="Normal 4 2 5 4 2 2" xfId="7713" xr:uid="{00000000-0005-0000-0000-0000E6130000}"/>
    <cellStyle name="Normal 4 2 5 4 2 2 2" xfId="16148" xr:uid="{13BFB24C-BB33-4B71-A8EC-611264DD9E9E}"/>
    <cellStyle name="Normal 4 2 5 4 2 3" xfId="11930" xr:uid="{6A342E34-F3FB-4270-A0F8-A6173E47354A}"/>
    <cellStyle name="Normal 4 2 5 4 3" xfId="5568" xr:uid="{00000000-0005-0000-0000-0000E7130000}"/>
    <cellStyle name="Normal 4 2 5 4 3 2" xfId="14003" xr:uid="{83977ECD-A753-4D9A-9366-AD18C5F28BC8}"/>
    <cellStyle name="Normal 4 2 5 4 4" xfId="9785" xr:uid="{674364AE-ADDD-452B-82CD-8FF75A23225A}"/>
    <cellStyle name="Normal 4 2 5 5" xfId="1673" xr:uid="{00000000-0005-0000-0000-0000E8130000}"/>
    <cellStyle name="Normal 4 2 5 5 2" xfId="3903" xr:uid="{00000000-0005-0000-0000-0000E9130000}"/>
    <cellStyle name="Normal 4 2 5 5 2 2" xfId="8126" xr:uid="{00000000-0005-0000-0000-0000EA130000}"/>
    <cellStyle name="Normal 4 2 5 5 2 2 2" xfId="16561" xr:uid="{8C1D7FDC-B758-4018-980E-7E0F523B4432}"/>
    <cellStyle name="Normal 4 2 5 5 2 3" xfId="12343" xr:uid="{5E20D309-8B5A-4E0C-B81E-1829D2908FC4}"/>
    <cellStyle name="Normal 4 2 5 5 3" xfId="5981" xr:uid="{00000000-0005-0000-0000-0000EB130000}"/>
    <cellStyle name="Normal 4 2 5 5 3 2" xfId="14416" xr:uid="{27178386-3BC4-4C26-A4FB-236A7B11A2E6}"/>
    <cellStyle name="Normal 4 2 5 5 4" xfId="10198" xr:uid="{76B8005B-83B1-4412-A053-AF6E9C7641E4}"/>
    <cellStyle name="Normal 4 2 5 6" xfId="2087" xr:uid="{00000000-0005-0000-0000-0000EC130000}"/>
    <cellStyle name="Normal 4 2 5 6 2" xfId="4316" xr:uid="{00000000-0005-0000-0000-0000ED130000}"/>
    <cellStyle name="Normal 4 2 5 6 2 2" xfId="8539" xr:uid="{00000000-0005-0000-0000-0000EE130000}"/>
    <cellStyle name="Normal 4 2 5 6 2 2 2" xfId="16974" xr:uid="{AE942DF9-4242-4A5A-BAB4-FEC0C5C3AD20}"/>
    <cellStyle name="Normal 4 2 5 6 2 3" xfId="12756" xr:uid="{73C101B8-0371-4871-8017-5D6B9BC3966B}"/>
    <cellStyle name="Normal 4 2 5 6 3" xfId="6394" xr:uid="{00000000-0005-0000-0000-0000EF130000}"/>
    <cellStyle name="Normal 4 2 5 6 3 2" xfId="14829" xr:uid="{EDE92C81-6A66-49CB-BF29-0F385889A557}"/>
    <cellStyle name="Normal 4 2 5 6 4" xfId="10611" xr:uid="{B8682B2D-54B6-4ECB-A203-3597854BDD60}"/>
    <cellStyle name="Normal 4 2 5 7" xfId="2523" xr:uid="{00000000-0005-0000-0000-0000F0130000}"/>
    <cellStyle name="Normal 4 2 5 7 2" xfId="6807" xr:uid="{00000000-0005-0000-0000-0000F1130000}"/>
    <cellStyle name="Normal 4 2 5 7 2 2" xfId="15242" xr:uid="{0FF8AB61-9594-4F98-BC8D-BFA47113AE5B}"/>
    <cellStyle name="Normal 4 2 5 7 3" xfId="11024" xr:uid="{9053A8FB-C55F-43B0-B10F-46F7EC9DB233}"/>
    <cellStyle name="Normal 4 2 5 8" xfId="4742" xr:uid="{00000000-0005-0000-0000-0000F2130000}"/>
    <cellStyle name="Normal 4 2 5 8 2" xfId="13177" xr:uid="{5B146672-0A54-4C52-9D6B-655F0421FFC6}"/>
    <cellStyle name="Normal 4 2 5 9" xfId="8959" xr:uid="{3636421E-D0F1-4703-B3F8-EF5EB1EC8E96}"/>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2 2 2" xfId="15737" xr:uid="{65AAF926-30DD-4D94-84D6-BFB2ACDD1BD2}"/>
    <cellStyle name="Normal 4 2 6 2 2 3" xfId="11519" xr:uid="{3800EBA3-EF95-4368-8133-B468AAC7E631}"/>
    <cellStyle name="Normal 4 2 6 2 3" xfId="5157" xr:uid="{00000000-0005-0000-0000-0000F7130000}"/>
    <cellStyle name="Normal 4 2 6 2 3 2" xfId="13592" xr:uid="{946F1D60-FDDE-43E5-89B2-317E72CAA48E}"/>
    <cellStyle name="Normal 4 2 6 2 4" xfId="9374" xr:uid="{7BB7F8D2-0190-4386-A16D-71EC49EA0AF6}"/>
    <cellStyle name="Normal 4 2 6 3" xfId="1262" xr:uid="{00000000-0005-0000-0000-0000F8130000}"/>
    <cellStyle name="Normal 4 2 6 3 2" xfId="3492" xr:uid="{00000000-0005-0000-0000-0000F9130000}"/>
    <cellStyle name="Normal 4 2 6 3 2 2" xfId="7715" xr:uid="{00000000-0005-0000-0000-0000FA130000}"/>
    <cellStyle name="Normal 4 2 6 3 2 2 2" xfId="16150" xr:uid="{AF242353-6A45-4381-B35D-A50EF2FE6C31}"/>
    <cellStyle name="Normal 4 2 6 3 2 3" xfId="11932" xr:uid="{46F1031D-A8BE-4EDE-B840-E75225620233}"/>
    <cellStyle name="Normal 4 2 6 3 3" xfId="5570" xr:uid="{00000000-0005-0000-0000-0000FB130000}"/>
    <cellStyle name="Normal 4 2 6 3 3 2" xfId="14005" xr:uid="{ACC9B134-793C-447A-AD7C-B21AE01D48B5}"/>
    <cellStyle name="Normal 4 2 6 3 4" xfId="9787" xr:uid="{F951CCF8-1DAF-4AD5-BA08-C325D530DB04}"/>
    <cellStyle name="Normal 4 2 6 4" xfId="1675" xr:uid="{00000000-0005-0000-0000-0000FC130000}"/>
    <cellStyle name="Normal 4 2 6 4 2" xfId="3905" xr:uid="{00000000-0005-0000-0000-0000FD130000}"/>
    <cellStyle name="Normal 4 2 6 4 2 2" xfId="8128" xr:uid="{00000000-0005-0000-0000-0000FE130000}"/>
    <cellStyle name="Normal 4 2 6 4 2 2 2" xfId="16563" xr:uid="{2AAE2560-D847-4253-8426-15B3669E4741}"/>
    <cellStyle name="Normal 4 2 6 4 2 3" xfId="12345" xr:uid="{838CF3BB-C704-4072-83DF-C807176DDFDE}"/>
    <cellStyle name="Normal 4 2 6 4 3" xfId="5983" xr:uid="{00000000-0005-0000-0000-0000FF130000}"/>
    <cellStyle name="Normal 4 2 6 4 3 2" xfId="14418" xr:uid="{1BA0D314-4C15-487C-968B-3F609CE1A53F}"/>
    <cellStyle name="Normal 4 2 6 4 4" xfId="10200" xr:uid="{E3C387E0-04D7-4CCD-8CBA-3AD9C062031C}"/>
    <cellStyle name="Normal 4 2 6 5" xfId="2089" xr:uid="{00000000-0005-0000-0000-000000140000}"/>
    <cellStyle name="Normal 4 2 6 5 2" xfId="4318" xr:uid="{00000000-0005-0000-0000-000001140000}"/>
    <cellStyle name="Normal 4 2 6 5 2 2" xfId="8541" xr:uid="{00000000-0005-0000-0000-000002140000}"/>
    <cellStyle name="Normal 4 2 6 5 2 2 2" xfId="16976" xr:uid="{7B38E885-61E1-4BDE-9266-69A1111EE613}"/>
    <cellStyle name="Normal 4 2 6 5 2 3" xfId="12758" xr:uid="{B15BFAEC-B287-46DE-BDE7-EBFC4C5169A8}"/>
    <cellStyle name="Normal 4 2 6 5 3" xfId="6396" xr:uid="{00000000-0005-0000-0000-000003140000}"/>
    <cellStyle name="Normal 4 2 6 5 3 2" xfId="14831" xr:uid="{0A4A323B-C6E6-435A-BC9C-6FA4F790B05E}"/>
    <cellStyle name="Normal 4 2 6 5 4" xfId="10613" xr:uid="{3B3AFBED-8020-4F56-B2A3-83E8C55CAB09}"/>
    <cellStyle name="Normal 4 2 6 6" xfId="2525" xr:uid="{00000000-0005-0000-0000-000004140000}"/>
    <cellStyle name="Normal 4 2 6 6 2" xfId="6809" xr:uid="{00000000-0005-0000-0000-000005140000}"/>
    <cellStyle name="Normal 4 2 6 6 2 2" xfId="15244" xr:uid="{423179CA-FCCD-47A4-85F0-18D30A5E6C2B}"/>
    <cellStyle name="Normal 4 2 6 6 3" xfId="11026" xr:uid="{5E68BCE9-969B-4C29-BEC5-F3C0A8B83849}"/>
    <cellStyle name="Normal 4 2 6 7" xfId="4744" xr:uid="{00000000-0005-0000-0000-000006140000}"/>
    <cellStyle name="Normal 4 2 6 7 2" xfId="13179" xr:uid="{9A6E10CB-C092-4459-A27D-2E04EFCBBE5A}"/>
    <cellStyle name="Normal 4 2 6 8" xfId="8961" xr:uid="{F7DFA3AE-666F-4FF1-8181-9DBE52D07EAC}"/>
    <cellStyle name="Normal 4 3" xfId="366" xr:uid="{00000000-0005-0000-0000-000007140000}"/>
    <cellStyle name="Normal 4 3 10" xfId="8962" xr:uid="{52C7BDD9-5A21-4B63-B57A-9A50D47D65C8}"/>
    <cellStyle name="Normal 4 3 2" xfId="367" xr:uid="{00000000-0005-0000-0000-000008140000}"/>
    <cellStyle name="Normal 4 3 2 2" xfId="368" xr:uid="{00000000-0005-0000-0000-000009140000}"/>
    <cellStyle name="Normal 4 3 2 2 2" xfId="369" xr:uid="{00000000-0005-0000-0000-00000A140000}"/>
    <cellStyle name="Normal 4 3 2 2 2 10" xfId="8963" xr:uid="{6FED1749-598C-4BD0-B477-4F3CF8F57727}"/>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2 2 2" xfId="15741" xr:uid="{3C15B14E-F173-486D-BFF2-D49669FDDDB5}"/>
    <cellStyle name="Normal 4 3 2 2 2 2 2 2 2 3" xfId="11523" xr:uid="{38A21DE0-8274-4FAB-B20C-AAD2F50A2709}"/>
    <cellStyle name="Normal 4 3 2 2 2 2 2 2 3" xfId="5161" xr:uid="{00000000-0005-0000-0000-000010140000}"/>
    <cellStyle name="Normal 4 3 2 2 2 2 2 2 3 2" xfId="13596" xr:uid="{180C53BA-B62A-46BA-B04F-2CFD375CF9EA}"/>
    <cellStyle name="Normal 4 3 2 2 2 2 2 2 4" xfId="9378" xr:uid="{D62FB600-1535-486C-9BBF-38B82BE91BE8}"/>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2 2 2" xfId="16154" xr:uid="{CB1F867F-C103-4624-B424-92A3A1940FE9}"/>
    <cellStyle name="Normal 4 3 2 2 2 2 2 3 2 3" xfId="11936" xr:uid="{DB97FF54-31B1-4B5D-8A86-D0B552F217F5}"/>
    <cellStyle name="Normal 4 3 2 2 2 2 2 3 3" xfId="5574" xr:uid="{00000000-0005-0000-0000-000014140000}"/>
    <cellStyle name="Normal 4 3 2 2 2 2 2 3 3 2" xfId="14009" xr:uid="{6B3BC77B-3AF2-4453-BC29-72F70233F811}"/>
    <cellStyle name="Normal 4 3 2 2 2 2 2 3 4" xfId="9791" xr:uid="{2C5822F8-8548-4FE0-9652-2E9889C38626}"/>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2 2 2" xfId="16567" xr:uid="{6100B78C-8634-4B6A-86CD-DDA918AA970A}"/>
    <cellStyle name="Normal 4 3 2 2 2 2 2 4 2 3" xfId="12349" xr:uid="{5FF37BD2-6F4C-4824-8A3E-2445E5E879F3}"/>
    <cellStyle name="Normal 4 3 2 2 2 2 2 4 3" xfId="5987" xr:uid="{00000000-0005-0000-0000-000018140000}"/>
    <cellStyle name="Normal 4 3 2 2 2 2 2 4 3 2" xfId="14422" xr:uid="{56DC1DFC-59FA-4BB6-9E71-8063EB42F7FD}"/>
    <cellStyle name="Normal 4 3 2 2 2 2 2 4 4" xfId="10204" xr:uid="{64F8F41E-F2BE-4C1B-AB0E-5B4AE16F1A3A}"/>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2 2 2" xfId="16980" xr:uid="{6AC1DC93-AFED-47D9-8BD5-27D99FB1EF04}"/>
    <cellStyle name="Normal 4 3 2 2 2 2 2 5 2 3" xfId="12762" xr:uid="{2286104F-132C-41C3-860E-7268D15F718C}"/>
    <cellStyle name="Normal 4 3 2 2 2 2 2 5 3" xfId="6400" xr:uid="{00000000-0005-0000-0000-00001C140000}"/>
    <cellStyle name="Normal 4 3 2 2 2 2 2 5 3 2" xfId="14835" xr:uid="{2D39FCE7-519B-42AE-A5CE-0926B9DFD09E}"/>
    <cellStyle name="Normal 4 3 2 2 2 2 2 5 4" xfId="10617" xr:uid="{99341D4B-33C1-42F1-8B7A-728E358256C8}"/>
    <cellStyle name="Normal 4 3 2 2 2 2 2 6" xfId="2529" xr:uid="{00000000-0005-0000-0000-00001D140000}"/>
    <cellStyle name="Normal 4 3 2 2 2 2 2 6 2" xfId="6813" xr:uid="{00000000-0005-0000-0000-00001E140000}"/>
    <cellStyle name="Normal 4 3 2 2 2 2 2 6 2 2" xfId="15248" xr:uid="{110EE909-0DE8-4DD8-AF80-753A663FB332}"/>
    <cellStyle name="Normal 4 3 2 2 2 2 2 6 3" xfId="11030" xr:uid="{17BB08D0-F49F-4676-BC94-414585FD5F27}"/>
    <cellStyle name="Normal 4 3 2 2 2 2 2 7" xfId="4748" xr:uid="{00000000-0005-0000-0000-00001F140000}"/>
    <cellStyle name="Normal 4 3 2 2 2 2 2 7 2" xfId="13183" xr:uid="{6C28785C-3978-4FE1-8513-C987CDD1F085}"/>
    <cellStyle name="Normal 4 3 2 2 2 2 2 8" xfId="8965" xr:uid="{A5F2B02A-301C-42BA-8BAE-786374EF997A}"/>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2 2 2" xfId="15740" xr:uid="{FB47A1F1-B1F6-4309-85E2-DD25C00B2635}"/>
    <cellStyle name="Normal 4 3 2 2 2 2 3 2 3" xfId="11522" xr:uid="{646030B5-E718-4BB8-BF5D-95EA62F14796}"/>
    <cellStyle name="Normal 4 3 2 2 2 2 3 3" xfId="5160" xr:uid="{00000000-0005-0000-0000-000023140000}"/>
    <cellStyle name="Normal 4 3 2 2 2 2 3 3 2" xfId="13595" xr:uid="{CEA8AAAA-A5D9-4BEA-8E02-EED10C55DA18}"/>
    <cellStyle name="Normal 4 3 2 2 2 2 3 4" xfId="9377" xr:uid="{0FF13487-832C-41A8-85A9-223988916B84}"/>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2 2 2" xfId="16153" xr:uid="{321447DB-7F19-4350-AD92-C1B873446CF0}"/>
    <cellStyle name="Normal 4 3 2 2 2 2 4 2 3" xfId="11935" xr:uid="{91EDFA9D-CEFC-401A-AACB-273758C24AB5}"/>
    <cellStyle name="Normal 4 3 2 2 2 2 4 3" xfId="5573" xr:uid="{00000000-0005-0000-0000-000027140000}"/>
    <cellStyle name="Normal 4 3 2 2 2 2 4 3 2" xfId="14008" xr:uid="{989AC4A9-DE63-491A-9153-2B660E82846F}"/>
    <cellStyle name="Normal 4 3 2 2 2 2 4 4" xfId="9790" xr:uid="{88F13B73-252F-4BEE-9A23-B9FAF925FBA2}"/>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2 2 2" xfId="16566" xr:uid="{97773A7D-0478-46CA-8122-1DBEA31E3A8F}"/>
    <cellStyle name="Normal 4 3 2 2 2 2 5 2 3" xfId="12348" xr:uid="{906B5B27-1E47-4690-9497-ED2FBEF6421A}"/>
    <cellStyle name="Normal 4 3 2 2 2 2 5 3" xfId="5986" xr:uid="{00000000-0005-0000-0000-00002B140000}"/>
    <cellStyle name="Normal 4 3 2 2 2 2 5 3 2" xfId="14421" xr:uid="{8884E549-7D41-48AB-B3F6-A6FA2730BD9F}"/>
    <cellStyle name="Normal 4 3 2 2 2 2 5 4" xfId="10203" xr:uid="{B41505CC-7AD5-488C-A3ED-4143F05F29B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2 2 2" xfId="16979" xr:uid="{D46E8FCA-E83E-44E0-9D66-996F5E92F686}"/>
    <cellStyle name="Normal 4 3 2 2 2 2 6 2 3" xfId="12761" xr:uid="{E153E8F6-B5B8-4CEC-A28E-46B33BF0CC0E}"/>
    <cellStyle name="Normal 4 3 2 2 2 2 6 3" xfId="6399" xr:uid="{00000000-0005-0000-0000-00002F140000}"/>
    <cellStyle name="Normal 4 3 2 2 2 2 6 3 2" xfId="14834" xr:uid="{C7F8E7EA-0873-422E-AF72-2F5D7B09BC01}"/>
    <cellStyle name="Normal 4 3 2 2 2 2 6 4" xfId="10616" xr:uid="{6FB7F84C-4628-4391-A3DC-0B0FDA522647}"/>
    <cellStyle name="Normal 4 3 2 2 2 2 7" xfId="2528" xr:uid="{00000000-0005-0000-0000-000030140000}"/>
    <cellStyle name="Normal 4 3 2 2 2 2 7 2" xfId="6812" xr:uid="{00000000-0005-0000-0000-000031140000}"/>
    <cellStyle name="Normal 4 3 2 2 2 2 7 2 2" xfId="15247" xr:uid="{A8686C16-EDED-4F51-AFD7-5FDF767D4A06}"/>
    <cellStyle name="Normal 4 3 2 2 2 2 7 3" xfId="11029" xr:uid="{6A654CD0-7A60-419F-9BAF-60861F5A755A}"/>
    <cellStyle name="Normal 4 3 2 2 2 2 8" xfId="4747" xr:uid="{00000000-0005-0000-0000-000032140000}"/>
    <cellStyle name="Normal 4 3 2 2 2 2 8 2" xfId="13182" xr:uid="{030874E7-451C-40FF-953D-85E7C61AAA0B}"/>
    <cellStyle name="Normal 4 3 2 2 2 2 9" xfId="8964" xr:uid="{C4BD3073-E4D7-4584-8B4B-1866D981200D}"/>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2 2 2" xfId="15742" xr:uid="{C2E5BA35-2F06-4613-B4C9-9352F8068419}"/>
    <cellStyle name="Normal 4 3 2 2 2 3 2 2 3" xfId="11524" xr:uid="{CA010D69-9C35-42BD-95BB-647831AC16DB}"/>
    <cellStyle name="Normal 4 3 2 2 2 3 2 3" xfId="5162" xr:uid="{00000000-0005-0000-0000-000037140000}"/>
    <cellStyle name="Normal 4 3 2 2 2 3 2 3 2" xfId="13597" xr:uid="{440854E7-5AAB-4C6D-A1B4-1F00BF42BC60}"/>
    <cellStyle name="Normal 4 3 2 2 2 3 2 4" xfId="9379" xr:uid="{1C301EF4-99C6-40E9-B955-F6255266E09A}"/>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2 2 2" xfId="16155" xr:uid="{97367299-EA74-40E3-B6BA-DC7FEB46AC45}"/>
    <cellStyle name="Normal 4 3 2 2 2 3 3 2 3" xfId="11937" xr:uid="{A19F00F5-7EC6-46C5-8DFE-1B698ABE094F}"/>
    <cellStyle name="Normal 4 3 2 2 2 3 3 3" xfId="5575" xr:uid="{00000000-0005-0000-0000-00003B140000}"/>
    <cellStyle name="Normal 4 3 2 2 2 3 3 3 2" xfId="14010" xr:uid="{1EDC9C05-9625-4B4E-9415-D03E6EDFC0D6}"/>
    <cellStyle name="Normal 4 3 2 2 2 3 3 4" xfId="9792" xr:uid="{8B9774A0-D3F9-4CA9-B995-15BCF3BFCF41}"/>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2 2 2" xfId="16568" xr:uid="{A00CA585-EE83-4474-88F1-D6C780EB031F}"/>
    <cellStyle name="Normal 4 3 2 2 2 3 4 2 3" xfId="12350" xr:uid="{5A9DD620-8D2D-4468-857A-4C8D9D675A5C}"/>
    <cellStyle name="Normal 4 3 2 2 2 3 4 3" xfId="5988" xr:uid="{00000000-0005-0000-0000-00003F140000}"/>
    <cellStyle name="Normal 4 3 2 2 2 3 4 3 2" xfId="14423" xr:uid="{9204B4E8-3FB2-4057-8F49-930498931977}"/>
    <cellStyle name="Normal 4 3 2 2 2 3 4 4" xfId="10205" xr:uid="{6B7161D8-D73E-4E9B-9BD3-FBC0E44A8CC1}"/>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2 2 2" xfId="16981" xr:uid="{DCBE86BA-1C67-45CB-937F-81BAE2C5A8DD}"/>
    <cellStyle name="Normal 4 3 2 2 2 3 5 2 3" xfId="12763" xr:uid="{F52AF37C-DF63-4BB8-B713-1C73081AA4E7}"/>
    <cellStyle name="Normal 4 3 2 2 2 3 5 3" xfId="6401" xr:uid="{00000000-0005-0000-0000-000043140000}"/>
    <cellStyle name="Normal 4 3 2 2 2 3 5 3 2" xfId="14836" xr:uid="{693D1971-0C63-4310-ADFC-2604C667C944}"/>
    <cellStyle name="Normal 4 3 2 2 2 3 5 4" xfId="10618" xr:uid="{5EE2B44E-4BB7-4C1A-9518-CF8E39C532E3}"/>
    <cellStyle name="Normal 4 3 2 2 2 3 6" xfId="2530" xr:uid="{00000000-0005-0000-0000-000044140000}"/>
    <cellStyle name="Normal 4 3 2 2 2 3 6 2" xfId="6814" xr:uid="{00000000-0005-0000-0000-000045140000}"/>
    <cellStyle name="Normal 4 3 2 2 2 3 6 2 2" xfId="15249" xr:uid="{481DCDF0-BD28-47A8-A18B-D113398588A1}"/>
    <cellStyle name="Normal 4 3 2 2 2 3 6 3" xfId="11031" xr:uid="{37CB58C3-152F-4A6F-8F0D-5D51954E4CE5}"/>
    <cellStyle name="Normal 4 3 2 2 2 3 7" xfId="4749" xr:uid="{00000000-0005-0000-0000-000046140000}"/>
    <cellStyle name="Normal 4 3 2 2 2 3 7 2" xfId="13184" xr:uid="{78A476D5-D8EA-489C-8575-6D5EB8723BE4}"/>
    <cellStyle name="Normal 4 3 2 2 2 3 8" xfId="8966" xr:uid="{24385F99-2EC5-4B7B-A371-BD48FE470207}"/>
    <cellStyle name="Normal 4 3 2 2 2 4" xfId="845" xr:uid="{00000000-0005-0000-0000-000047140000}"/>
    <cellStyle name="Normal 4 3 2 2 2 4 2" xfId="3081" xr:uid="{00000000-0005-0000-0000-000048140000}"/>
    <cellStyle name="Normal 4 3 2 2 2 4 2 2" xfId="7304" xr:uid="{00000000-0005-0000-0000-000049140000}"/>
    <cellStyle name="Normal 4 3 2 2 2 4 2 2 2" xfId="15739" xr:uid="{B24E10EC-C382-4FBA-B732-30CFEC2ED8CE}"/>
    <cellStyle name="Normal 4 3 2 2 2 4 2 3" xfId="11521" xr:uid="{3915AB5E-E778-4CF5-A20C-6090F68660EF}"/>
    <cellStyle name="Normal 4 3 2 2 2 4 3" xfId="5159" xr:uid="{00000000-0005-0000-0000-00004A140000}"/>
    <cellStyle name="Normal 4 3 2 2 2 4 3 2" xfId="13594" xr:uid="{E55C5807-D94E-4720-817E-29EE7B9F16F9}"/>
    <cellStyle name="Normal 4 3 2 2 2 4 4" xfId="9376" xr:uid="{B5D3997A-E510-468D-BA6D-4A6F4869A948}"/>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2 2 2" xfId="16152" xr:uid="{4361F075-CE5B-4B25-9827-26451D9BD093}"/>
    <cellStyle name="Normal 4 3 2 2 2 5 2 3" xfId="11934" xr:uid="{BBD946F1-B254-49B5-8B87-19F629C4C923}"/>
    <cellStyle name="Normal 4 3 2 2 2 5 3" xfId="5572" xr:uid="{00000000-0005-0000-0000-00004E140000}"/>
    <cellStyle name="Normal 4 3 2 2 2 5 3 2" xfId="14007" xr:uid="{089DE096-FC6F-4B1A-8AE7-FEAE358B60E2}"/>
    <cellStyle name="Normal 4 3 2 2 2 5 4" xfId="9789" xr:uid="{FD1515AC-378B-48D2-BD55-CBC79B4B854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2 2 2" xfId="16565" xr:uid="{DB09202A-F29C-4623-BE18-82D11E803BA0}"/>
    <cellStyle name="Normal 4 3 2 2 2 6 2 3" xfId="12347" xr:uid="{06097031-00AF-42C5-B4D2-BF2FBE14BEA0}"/>
    <cellStyle name="Normal 4 3 2 2 2 6 3" xfId="5985" xr:uid="{00000000-0005-0000-0000-000052140000}"/>
    <cellStyle name="Normal 4 3 2 2 2 6 3 2" xfId="14420" xr:uid="{D0B05F22-B33B-42E8-9CEE-DBB324AFC294}"/>
    <cellStyle name="Normal 4 3 2 2 2 6 4" xfId="10202" xr:uid="{D2EBD5F5-A7DF-46A0-91B9-1CE15B6BDDD1}"/>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2 2 2" xfId="16978" xr:uid="{3A662B76-D40F-4EA8-BE02-B7AF97EA6A01}"/>
    <cellStyle name="Normal 4 3 2 2 2 7 2 3" xfId="12760" xr:uid="{67610E05-A144-43DB-9578-37377C075E75}"/>
    <cellStyle name="Normal 4 3 2 2 2 7 3" xfId="6398" xr:uid="{00000000-0005-0000-0000-000056140000}"/>
    <cellStyle name="Normal 4 3 2 2 2 7 3 2" xfId="14833" xr:uid="{7BE5F2AD-F3D6-49A3-814F-748621D6BF5E}"/>
    <cellStyle name="Normal 4 3 2 2 2 7 4" xfId="10615" xr:uid="{DA89ED79-1628-48F1-A4B8-566FE023D611}"/>
    <cellStyle name="Normal 4 3 2 2 2 8" xfId="2527" xr:uid="{00000000-0005-0000-0000-000057140000}"/>
    <cellStyle name="Normal 4 3 2 2 2 8 2" xfId="6811" xr:uid="{00000000-0005-0000-0000-000058140000}"/>
    <cellStyle name="Normal 4 3 2 2 2 8 2 2" xfId="15246" xr:uid="{93EAC229-984C-4B1E-BE25-EABFE994AF2D}"/>
    <cellStyle name="Normal 4 3 2 2 2 8 3" xfId="11028" xr:uid="{F0344B64-6B53-4415-989B-128CA471D1A5}"/>
    <cellStyle name="Normal 4 3 2 2 2 9" xfId="4746" xr:uid="{00000000-0005-0000-0000-000059140000}"/>
    <cellStyle name="Normal 4 3 2 2 2 9 2" xfId="13181" xr:uid="{CA6ECE94-B6F5-4B9F-8940-0BFFF0E636D8}"/>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10" xfId="8967" xr:uid="{5D213AD9-6794-48C9-8C02-2FD7C2DDB3BC}"/>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2 2 2" xfId="15745" xr:uid="{52EF0E2F-48A4-4A3A-9487-07978BE8DA47}"/>
    <cellStyle name="Normal 4 3 3 2 2 2 2 3" xfId="11527" xr:uid="{1F4DE8FC-89FD-4701-BEFD-67FA8EE898D4}"/>
    <cellStyle name="Normal 4 3 3 2 2 2 3" xfId="5165" xr:uid="{00000000-0005-0000-0000-000063140000}"/>
    <cellStyle name="Normal 4 3 3 2 2 2 3 2" xfId="13600" xr:uid="{573D838F-211D-4034-A56E-6AEB218D422D}"/>
    <cellStyle name="Normal 4 3 3 2 2 2 4" xfId="9382" xr:uid="{FC557950-2225-493A-A264-27DDF7F70338}"/>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2 2 2" xfId="16158" xr:uid="{DBB28B4A-6ABC-4D74-A15B-E6839CAF07E8}"/>
    <cellStyle name="Normal 4 3 3 2 2 3 2 3" xfId="11940" xr:uid="{C00DA8AA-825D-4C77-9160-44BEAC12AF5C}"/>
    <cellStyle name="Normal 4 3 3 2 2 3 3" xfId="5578" xr:uid="{00000000-0005-0000-0000-000067140000}"/>
    <cellStyle name="Normal 4 3 3 2 2 3 3 2" xfId="14013" xr:uid="{C706EE79-BE08-47E7-BD8A-15D1B06C235E}"/>
    <cellStyle name="Normal 4 3 3 2 2 3 4" xfId="9795" xr:uid="{FEF58368-7F42-4CCA-AA2B-399C85EC455D}"/>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2 2 2" xfId="16571" xr:uid="{5D817FDD-F653-4043-8E51-9B4C00FC9AF4}"/>
    <cellStyle name="Normal 4 3 3 2 2 4 2 3" xfId="12353" xr:uid="{CB725D3E-030F-479C-B4A8-09690B7A03C8}"/>
    <cellStyle name="Normal 4 3 3 2 2 4 3" xfId="5991" xr:uid="{00000000-0005-0000-0000-00006B140000}"/>
    <cellStyle name="Normal 4 3 3 2 2 4 3 2" xfId="14426" xr:uid="{39A00460-5A3E-4F19-844F-8FA36FB16522}"/>
    <cellStyle name="Normal 4 3 3 2 2 4 4" xfId="10208" xr:uid="{979DE7AB-8C78-4139-8F18-13494CFB26E1}"/>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2 2 2" xfId="16984" xr:uid="{F8572224-BD32-4A51-9E38-81AA8D0CB662}"/>
    <cellStyle name="Normal 4 3 3 2 2 5 2 3" xfId="12766" xr:uid="{4EDB9C8C-C643-45F8-BBAD-6077E0EBF3BF}"/>
    <cellStyle name="Normal 4 3 3 2 2 5 3" xfId="6404" xr:uid="{00000000-0005-0000-0000-00006F140000}"/>
    <cellStyle name="Normal 4 3 3 2 2 5 3 2" xfId="14839" xr:uid="{C64930E5-6F09-4D58-8C92-E3682793A809}"/>
    <cellStyle name="Normal 4 3 3 2 2 5 4" xfId="10621" xr:uid="{2078A662-00F1-4587-975C-3316CC553192}"/>
    <cellStyle name="Normal 4 3 3 2 2 6" xfId="2533" xr:uid="{00000000-0005-0000-0000-000070140000}"/>
    <cellStyle name="Normal 4 3 3 2 2 6 2" xfId="6817" xr:uid="{00000000-0005-0000-0000-000071140000}"/>
    <cellStyle name="Normal 4 3 3 2 2 6 2 2" xfId="15252" xr:uid="{068A79C1-8E72-4A03-AEEC-03B9E0A54E97}"/>
    <cellStyle name="Normal 4 3 3 2 2 6 3" xfId="11034" xr:uid="{DDD44C56-1D29-4C0B-9ED5-C328D2405E72}"/>
    <cellStyle name="Normal 4 3 3 2 2 7" xfId="4752" xr:uid="{00000000-0005-0000-0000-000072140000}"/>
    <cellStyle name="Normal 4 3 3 2 2 7 2" xfId="13187" xr:uid="{09048546-DEDA-459D-B73D-3771F3AD4C4E}"/>
    <cellStyle name="Normal 4 3 3 2 2 8" xfId="8969" xr:uid="{DF158DC0-87A9-4503-B3D5-96C2D15EDB66}"/>
    <cellStyle name="Normal 4 3 3 2 3" xfId="851" xr:uid="{00000000-0005-0000-0000-000073140000}"/>
    <cellStyle name="Normal 4 3 3 2 3 2" xfId="3086" xr:uid="{00000000-0005-0000-0000-000074140000}"/>
    <cellStyle name="Normal 4 3 3 2 3 2 2" xfId="7309" xr:uid="{00000000-0005-0000-0000-000075140000}"/>
    <cellStyle name="Normal 4 3 3 2 3 2 2 2" xfId="15744" xr:uid="{F054EF14-9F7E-4220-BB8A-271460E14E16}"/>
    <cellStyle name="Normal 4 3 3 2 3 2 3" xfId="11526" xr:uid="{729AEFFB-BE1B-458E-B655-35B0184B3B91}"/>
    <cellStyle name="Normal 4 3 3 2 3 3" xfId="5164" xr:uid="{00000000-0005-0000-0000-000076140000}"/>
    <cellStyle name="Normal 4 3 3 2 3 3 2" xfId="13599" xr:uid="{59FA3AA6-F015-46E8-9FDA-9AA7AC3E909F}"/>
    <cellStyle name="Normal 4 3 3 2 3 4" xfId="9381" xr:uid="{C947798C-DAB4-4129-99D2-7FAF19ECFBAC}"/>
    <cellStyle name="Normal 4 3 3 2 4" xfId="1269" xr:uid="{00000000-0005-0000-0000-000077140000}"/>
    <cellStyle name="Normal 4 3 3 2 4 2" xfId="3499" xr:uid="{00000000-0005-0000-0000-000078140000}"/>
    <cellStyle name="Normal 4 3 3 2 4 2 2" xfId="7722" xr:uid="{00000000-0005-0000-0000-000079140000}"/>
    <cellStyle name="Normal 4 3 3 2 4 2 2 2" xfId="16157" xr:uid="{0E7CF56F-16C6-4142-859A-74D0893A1AF5}"/>
    <cellStyle name="Normal 4 3 3 2 4 2 3" xfId="11939" xr:uid="{403E1633-9A27-4182-94C8-C9C8F17E9877}"/>
    <cellStyle name="Normal 4 3 3 2 4 3" xfId="5577" xr:uid="{00000000-0005-0000-0000-00007A140000}"/>
    <cellStyle name="Normal 4 3 3 2 4 3 2" xfId="14012" xr:uid="{A1EFFAC7-3BA3-4619-A6EB-C8D02F0927A2}"/>
    <cellStyle name="Normal 4 3 3 2 4 4" xfId="9794" xr:uid="{A68A5D1F-5453-4A7D-A21E-142F27398A9C}"/>
    <cellStyle name="Normal 4 3 3 2 5" xfId="1682" xr:uid="{00000000-0005-0000-0000-00007B140000}"/>
    <cellStyle name="Normal 4 3 3 2 5 2" xfId="3912" xr:uid="{00000000-0005-0000-0000-00007C140000}"/>
    <cellStyle name="Normal 4 3 3 2 5 2 2" xfId="8135" xr:uid="{00000000-0005-0000-0000-00007D140000}"/>
    <cellStyle name="Normal 4 3 3 2 5 2 2 2" xfId="16570" xr:uid="{6CA7CDCA-8074-4D0B-B578-18A5C53E3AF8}"/>
    <cellStyle name="Normal 4 3 3 2 5 2 3" xfId="12352" xr:uid="{793A01A6-36A5-411D-AB11-76A605719FBB}"/>
    <cellStyle name="Normal 4 3 3 2 5 3" xfId="5990" xr:uid="{00000000-0005-0000-0000-00007E140000}"/>
    <cellStyle name="Normal 4 3 3 2 5 3 2" xfId="14425" xr:uid="{930ECA4E-F52F-4FDC-B07B-1D20BE69777D}"/>
    <cellStyle name="Normal 4 3 3 2 5 4" xfId="10207" xr:uid="{CC25D9C1-0991-474B-873C-64181387A4C9}"/>
    <cellStyle name="Normal 4 3 3 2 6" xfId="2096" xr:uid="{00000000-0005-0000-0000-00007F140000}"/>
    <cellStyle name="Normal 4 3 3 2 6 2" xfId="4325" xr:uid="{00000000-0005-0000-0000-000080140000}"/>
    <cellStyle name="Normal 4 3 3 2 6 2 2" xfId="8548" xr:uid="{00000000-0005-0000-0000-000081140000}"/>
    <cellStyle name="Normal 4 3 3 2 6 2 2 2" xfId="16983" xr:uid="{23B5F0E0-5D62-4388-8FB3-F7921CED83E5}"/>
    <cellStyle name="Normal 4 3 3 2 6 2 3" xfId="12765" xr:uid="{AF20A7C1-0741-47E5-8C1F-3B564B37559F}"/>
    <cellStyle name="Normal 4 3 3 2 6 3" xfId="6403" xr:uid="{00000000-0005-0000-0000-000082140000}"/>
    <cellStyle name="Normal 4 3 3 2 6 3 2" xfId="14838" xr:uid="{76D87BC0-92DC-4438-B3D7-5209D526A704}"/>
    <cellStyle name="Normal 4 3 3 2 6 4" xfId="10620" xr:uid="{64CC5A71-D679-4370-8828-7686EDB9F186}"/>
    <cellStyle name="Normal 4 3 3 2 7" xfId="2532" xr:uid="{00000000-0005-0000-0000-000083140000}"/>
    <cellStyle name="Normal 4 3 3 2 7 2" xfId="6816" xr:uid="{00000000-0005-0000-0000-000084140000}"/>
    <cellStyle name="Normal 4 3 3 2 7 2 2" xfId="15251" xr:uid="{05951592-668C-46D0-AD42-A175173FBF75}"/>
    <cellStyle name="Normal 4 3 3 2 7 3" xfId="11033" xr:uid="{AD6914FF-BA02-4A82-B04C-67F208B4AEF1}"/>
    <cellStyle name="Normal 4 3 3 2 8" xfId="4751" xr:uid="{00000000-0005-0000-0000-000085140000}"/>
    <cellStyle name="Normal 4 3 3 2 8 2" xfId="13186" xr:uid="{66ECA056-3AB5-4562-B905-FD4ABF02C152}"/>
    <cellStyle name="Normal 4 3 3 2 9" xfId="8968" xr:uid="{B8959622-CFA1-4797-AD1E-95147EA4277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2 2 2" xfId="15746" xr:uid="{469C4DFC-1754-471F-AE78-1E86F2029DFE}"/>
    <cellStyle name="Normal 4 3 3 3 2 2 3" xfId="11528" xr:uid="{7A074AE6-E893-4E89-A38B-71682958D78D}"/>
    <cellStyle name="Normal 4 3 3 3 2 3" xfId="5166" xr:uid="{00000000-0005-0000-0000-00008A140000}"/>
    <cellStyle name="Normal 4 3 3 3 2 3 2" xfId="13601" xr:uid="{59B7C0A9-9077-489F-98F3-886357BE200C}"/>
    <cellStyle name="Normal 4 3 3 3 2 4" xfId="9383" xr:uid="{DA81F8FC-770D-4B95-9F5F-F26BCE2C7917}"/>
    <cellStyle name="Normal 4 3 3 3 3" xfId="1271" xr:uid="{00000000-0005-0000-0000-00008B140000}"/>
    <cellStyle name="Normal 4 3 3 3 3 2" xfId="3501" xr:uid="{00000000-0005-0000-0000-00008C140000}"/>
    <cellStyle name="Normal 4 3 3 3 3 2 2" xfId="7724" xr:uid="{00000000-0005-0000-0000-00008D140000}"/>
    <cellStyle name="Normal 4 3 3 3 3 2 2 2" xfId="16159" xr:uid="{2C75F19B-2838-47DE-AA0C-83D3E07399B2}"/>
    <cellStyle name="Normal 4 3 3 3 3 2 3" xfId="11941" xr:uid="{3D555AC4-4E82-427E-A01C-B6C242B6554B}"/>
    <cellStyle name="Normal 4 3 3 3 3 3" xfId="5579" xr:uid="{00000000-0005-0000-0000-00008E140000}"/>
    <cellStyle name="Normal 4 3 3 3 3 3 2" xfId="14014" xr:uid="{0808CEBB-3511-4708-B0CE-53FBBA61AFF2}"/>
    <cellStyle name="Normal 4 3 3 3 3 4" xfId="9796" xr:uid="{0682F90C-A7B0-491C-9705-AAA312DE2802}"/>
    <cellStyle name="Normal 4 3 3 3 4" xfId="1684" xr:uid="{00000000-0005-0000-0000-00008F140000}"/>
    <cellStyle name="Normal 4 3 3 3 4 2" xfId="3914" xr:uid="{00000000-0005-0000-0000-000090140000}"/>
    <cellStyle name="Normal 4 3 3 3 4 2 2" xfId="8137" xr:uid="{00000000-0005-0000-0000-000091140000}"/>
    <cellStyle name="Normal 4 3 3 3 4 2 2 2" xfId="16572" xr:uid="{6D306D21-E34C-4C44-8108-8DA1294790AA}"/>
    <cellStyle name="Normal 4 3 3 3 4 2 3" xfId="12354" xr:uid="{84E71F5A-7FFE-4395-AA4A-A3FC3C88C1AE}"/>
    <cellStyle name="Normal 4 3 3 3 4 3" xfId="5992" xr:uid="{00000000-0005-0000-0000-000092140000}"/>
    <cellStyle name="Normal 4 3 3 3 4 3 2" xfId="14427" xr:uid="{6E815925-2987-4A1E-BC2B-26848D020714}"/>
    <cellStyle name="Normal 4 3 3 3 4 4" xfId="10209" xr:uid="{4A03F655-AB02-4E2A-B9BC-4825785DFB78}"/>
    <cellStyle name="Normal 4 3 3 3 5" xfId="2098" xr:uid="{00000000-0005-0000-0000-000093140000}"/>
    <cellStyle name="Normal 4 3 3 3 5 2" xfId="4327" xr:uid="{00000000-0005-0000-0000-000094140000}"/>
    <cellStyle name="Normal 4 3 3 3 5 2 2" xfId="8550" xr:uid="{00000000-0005-0000-0000-000095140000}"/>
    <cellStyle name="Normal 4 3 3 3 5 2 2 2" xfId="16985" xr:uid="{F2F9FFC0-01DA-48DA-A96B-46FCE8D6853C}"/>
    <cellStyle name="Normal 4 3 3 3 5 2 3" xfId="12767" xr:uid="{0D2426E9-03BA-422A-BAA0-5198DC419998}"/>
    <cellStyle name="Normal 4 3 3 3 5 3" xfId="6405" xr:uid="{00000000-0005-0000-0000-000096140000}"/>
    <cellStyle name="Normal 4 3 3 3 5 3 2" xfId="14840" xr:uid="{50180932-47B4-42A2-AE5D-717199B1D4BF}"/>
    <cellStyle name="Normal 4 3 3 3 5 4" xfId="10622" xr:uid="{07E29B96-B7AC-430F-AA30-BFD33CF9C661}"/>
    <cellStyle name="Normal 4 3 3 3 6" xfId="2534" xr:uid="{00000000-0005-0000-0000-000097140000}"/>
    <cellStyle name="Normal 4 3 3 3 6 2" xfId="6818" xr:uid="{00000000-0005-0000-0000-000098140000}"/>
    <cellStyle name="Normal 4 3 3 3 6 2 2" xfId="15253" xr:uid="{3F5518D7-9012-470D-93CE-8D31EF1E94CA}"/>
    <cellStyle name="Normal 4 3 3 3 6 3" xfId="11035" xr:uid="{71900063-B0CA-4A24-B5A2-0AE04C33FF5C}"/>
    <cellStyle name="Normal 4 3 3 3 7" xfId="4753" xr:uid="{00000000-0005-0000-0000-000099140000}"/>
    <cellStyle name="Normal 4 3 3 3 7 2" xfId="13188" xr:uid="{086DD76D-1062-4379-8580-04B4B61E6714}"/>
    <cellStyle name="Normal 4 3 3 3 8" xfId="8970" xr:uid="{05D760BD-0480-4D24-A578-17CD8D1CBAEA}"/>
    <cellStyle name="Normal 4 3 3 4" xfId="850" xr:uid="{00000000-0005-0000-0000-00009A140000}"/>
    <cellStyle name="Normal 4 3 3 4 2" xfId="3085" xr:uid="{00000000-0005-0000-0000-00009B140000}"/>
    <cellStyle name="Normal 4 3 3 4 2 2" xfId="7308" xr:uid="{00000000-0005-0000-0000-00009C140000}"/>
    <cellStyle name="Normal 4 3 3 4 2 2 2" xfId="15743" xr:uid="{B23C8566-339D-4607-929C-3A793FD1E308}"/>
    <cellStyle name="Normal 4 3 3 4 2 3" xfId="11525" xr:uid="{C06E9CEE-3398-4FC3-8285-EB8DC5F36879}"/>
    <cellStyle name="Normal 4 3 3 4 3" xfId="5163" xr:uid="{00000000-0005-0000-0000-00009D140000}"/>
    <cellStyle name="Normal 4 3 3 4 3 2" xfId="13598" xr:uid="{B45A90BF-5A23-433F-88E6-29A18FD7EB24}"/>
    <cellStyle name="Normal 4 3 3 4 4" xfId="9380" xr:uid="{6627A869-EF16-46CD-8E44-35F4C5793F73}"/>
    <cellStyle name="Normal 4 3 3 5" xfId="1268" xr:uid="{00000000-0005-0000-0000-00009E140000}"/>
    <cellStyle name="Normal 4 3 3 5 2" xfId="3498" xr:uid="{00000000-0005-0000-0000-00009F140000}"/>
    <cellStyle name="Normal 4 3 3 5 2 2" xfId="7721" xr:uid="{00000000-0005-0000-0000-0000A0140000}"/>
    <cellStyle name="Normal 4 3 3 5 2 2 2" xfId="16156" xr:uid="{44E4269D-8C5A-4D97-AC42-62F73DFD1653}"/>
    <cellStyle name="Normal 4 3 3 5 2 3" xfId="11938" xr:uid="{156F1C2B-4F88-47DD-88D3-0174D10064F7}"/>
    <cellStyle name="Normal 4 3 3 5 3" xfId="5576" xr:uid="{00000000-0005-0000-0000-0000A1140000}"/>
    <cellStyle name="Normal 4 3 3 5 3 2" xfId="14011" xr:uid="{F5D95E28-FB19-452E-AA11-BD11CFDC4C5D}"/>
    <cellStyle name="Normal 4 3 3 5 4" xfId="9793" xr:uid="{93EA34A6-A9DA-4BDA-A005-8497BCA77EE8}"/>
    <cellStyle name="Normal 4 3 3 6" xfId="1681" xr:uid="{00000000-0005-0000-0000-0000A2140000}"/>
    <cellStyle name="Normal 4 3 3 6 2" xfId="3911" xr:uid="{00000000-0005-0000-0000-0000A3140000}"/>
    <cellStyle name="Normal 4 3 3 6 2 2" xfId="8134" xr:uid="{00000000-0005-0000-0000-0000A4140000}"/>
    <cellStyle name="Normal 4 3 3 6 2 2 2" xfId="16569" xr:uid="{882ECEB1-8E77-4795-8F69-4D9428731EB1}"/>
    <cellStyle name="Normal 4 3 3 6 2 3" xfId="12351" xr:uid="{06992347-B0D3-4B35-A681-816EA0865D04}"/>
    <cellStyle name="Normal 4 3 3 6 3" xfId="5989" xr:uid="{00000000-0005-0000-0000-0000A5140000}"/>
    <cellStyle name="Normal 4 3 3 6 3 2" xfId="14424" xr:uid="{09200B96-88E1-436B-8E16-582D92CBC573}"/>
    <cellStyle name="Normal 4 3 3 6 4" xfId="10206" xr:uid="{9E9798D3-0BF2-4493-806B-1E77132324D6}"/>
    <cellStyle name="Normal 4 3 3 7" xfId="2095" xr:uid="{00000000-0005-0000-0000-0000A6140000}"/>
    <cellStyle name="Normal 4 3 3 7 2" xfId="4324" xr:uid="{00000000-0005-0000-0000-0000A7140000}"/>
    <cellStyle name="Normal 4 3 3 7 2 2" xfId="8547" xr:uid="{00000000-0005-0000-0000-0000A8140000}"/>
    <cellStyle name="Normal 4 3 3 7 2 2 2" xfId="16982" xr:uid="{BDEC9B1C-EC79-44A2-B547-8661B7334342}"/>
    <cellStyle name="Normal 4 3 3 7 2 3" xfId="12764" xr:uid="{D2F9DCFB-0DEF-46F1-843E-FE79EA413FF5}"/>
    <cellStyle name="Normal 4 3 3 7 3" xfId="6402" xr:uid="{00000000-0005-0000-0000-0000A9140000}"/>
    <cellStyle name="Normal 4 3 3 7 3 2" xfId="14837" xr:uid="{6791F464-0094-4BA5-AE7B-E757623817E3}"/>
    <cellStyle name="Normal 4 3 3 7 4" xfId="10619" xr:uid="{6C146F12-8FDA-4390-AE2F-F5931D4B34C1}"/>
    <cellStyle name="Normal 4 3 3 8" xfId="2531" xr:uid="{00000000-0005-0000-0000-0000AA140000}"/>
    <cellStyle name="Normal 4 3 3 8 2" xfId="6815" xr:uid="{00000000-0005-0000-0000-0000AB140000}"/>
    <cellStyle name="Normal 4 3 3 8 2 2" xfId="15250" xr:uid="{FEA26272-FFC3-4FF7-B012-F82390D6E78F}"/>
    <cellStyle name="Normal 4 3 3 8 3" xfId="11032" xr:uid="{D6A1C01B-FAEB-4252-BB8A-6F8B5FE3705E}"/>
    <cellStyle name="Normal 4 3 3 9" xfId="4750" xr:uid="{00000000-0005-0000-0000-0000AC140000}"/>
    <cellStyle name="Normal 4 3 3 9 2" xfId="13185" xr:uid="{3ECC8192-0BA1-42D4-B1D9-777E1BC594EE}"/>
    <cellStyle name="Normal 4 3 4" xfId="843" xr:uid="{00000000-0005-0000-0000-0000AD140000}"/>
    <cellStyle name="Normal 4 3 4 2" xfId="3080" xr:uid="{00000000-0005-0000-0000-0000AE140000}"/>
    <cellStyle name="Normal 4 3 4 2 2" xfId="7303" xr:uid="{00000000-0005-0000-0000-0000AF140000}"/>
    <cellStyle name="Normal 4 3 4 2 2 2" xfId="15738" xr:uid="{8CD68A90-2DDA-4873-8FBA-C333DD92DCEB}"/>
    <cellStyle name="Normal 4 3 4 2 3" xfId="11520" xr:uid="{1E3EF333-5755-46D9-BF3F-339741AA02C8}"/>
    <cellStyle name="Normal 4 3 4 3" xfId="5158" xr:uid="{00000000-0005-0000-0000-0000B0140000}"/>
    <cellStyle name="Normal 4 3 4 3 2" xfId="13593" xr:uid="{5BEA63BF-F236-4AFF-AE69-C267AEA55DF6}"/>
    <cellStyle name="Normal 4 3 4 4" xfId="9375" xr:uid="{C4CC4BEC-3BF4-4B02-97AE-529E693CCC13}"/>
    <cellStyle name="Normal 4 3 5" xfId="1263" xr:uid="{00000000-0005-0000-0000-0000B1140000}"/>
    <cellStyle name="Normal 4 3 5 2" xfId="3493" xr:uid="{00000000-0005-0000-0000-0000B2140000}"/>
    <cellStyle name="Normal 4 3 5 2 2" xfId="7716" xr:uid="{00000000-0005-0000-0000-0000B3140000}"/>
    <cellStyle name="Normal 4 3 5 2 2 2" xfId="16151" xr:uid="{EC296DEE-8EAE-4E07-BD0C-68A3E57BAD3B}"/>
    <cellStyle name="Normal 4 3 5 2 3" xfId="11933" xr:uid="{203AFD3A-6A7C-4D8E-9F91-6D24A741FB04}"/>
    <cellStyle name="Normal 4 3 5 3" xfId="5571" xr:uid="{00000000-0005-0000-0000-0000B4140000}"/>
    <cellStyle name="Normal 4 3 5 3 2" xfId="14006" xr:uid="{E2BFBE53-8C5A-4D36-8F92-9AB68BC5BB47}"/>
    <cellStyle name="Normal 4 3 5 4" xfId="9788" xr:uid="{DBAC644A-C72C-42EB-BB0D-AB6EB5E19FC3}"/>
    <cellStyle name="Normal 4 3 6" xfId="1676" xr:uid="{00000000-0005-0000-0000-0000B5140000}"/>
    <cellStyle name="Normal 4 3 6 2" xfId="3906" xr:uid="{00000000-0005-0000-0000-0000B6140000}"/>
    <cellStyle name="Normal 4 3 6 2 2" xfId="8129" xr:uid="{00000000-0005-0000-0000-0000B7140000}"/>
    <cellStyle name="Normal 4 3 6 2 2 2" xfId="16564" xr:uid="{E1E2E723-A926-4D10-89D6-0BC49CF804BB}"/>
    <cellStyle name="Normal 4 3 6 2 3" xfId="12346" xr:uid="{8E26AAEE-4718-4F47-9370-87AD6E1D73A2}"/>
    <cellStyle name="Normal 4 3 6 3" xfId="5984" xr:uid="{00000000-0005-0000-0000-0000B8140000}"/>
    <cellStyle name="Normal 4 3 6 3 2" xfId="14419" xr:uid="{A9BD9C73-B920-4FA4-AEA6-80B5456F9042}"/>
    <cellStyle name="Normal 4 3 6 4" xfId="10201" xr:uid="{0641427B-B3B2-4F65-A850-A618652699E3}"/>
    <cellStyle name="Normal 4 3 7" xfId="2090" xr:uid="{00000000-0005-0000-0000-0000B9140000}"/>
    <cellStyle name="Normal 4 3 7 2" xfId="4319" xr:uid="{00000000-0005-0000-0000-0000BA140000}"/>
    <cellStyle name="Normal 4 3 7 2 2" xfId="8542" xr:uid="{00000000-0005-0000-0000-0000BB140000}"/>
    <cellStyle name="Normal 4 3 7 2 2 2" xfId="16977" xr:uid="{E3EDC1B3-2CB3-444C-9E63-EC5AA2339AC1}"/>
    <cellStyle name="Normal 4 3 7 2 3" xfId="12759" xr:uid="{E0AF9EB1-7E4F-4E81-8328-1C31C119D011}"/>
    <cellStyle name="Normal 4 3 7 3" xfId="6397" xr:uid="{00000000-0005-0000-0000-0000BC140000}"/>
    <cellStyle name="Normal 4 3 7 3 2" xfId="14832" xr:uid="{76857DED-8423-496D-AEC0-51891306064E}"/>
    <cellStyle name="Normal 4 3 7 4" xfId="10614" xr:uid="{73BC232B-FDEA-4002-949B-D2C1427EF4D8}"/>
    <cellStyle name="Normal 4 3 8" xfId="2526" xr:uid="{00000000-0005-0000-0000-0000BD140000}"/>
    <cellStyle name="Normal 4 3 8 2" xfId="6810" xr:uid="{00000000-0005-0000-0000-0000BE140000}"/>
    <cellStyle name="Normal 4 3 8 2 2" xfId="15245" xr:uid="{CC770407-88B5-4116-8DA4-648C7CAFE754}"/>
    <cellStyle name="Normal 4 3 8 3" xfId="11027" xr:uid="{7B0841A5-2003-415F-B0D4-339A2A6D8803}"/>
    <cellStyle name="Normal 4 3 9" xfId="4745" xr:uid="{00000000-0005-0000-0000-0000BF140000}"/>
    <cellStyle name="Normal 4 3 9 2" xfId="13180" xr:uid="{FAF57BBD-523A-4552-8489-75D01C7DCE4D}"/>
    <cellStyle name="Normal 4 4" xfId="378" xr:uid="{00000000-0005-0000-0000-0000C0140000}"/>
    <cellStyle name="Normal 4 4 10" xfId="2535" xr:uid="{00000000-0005-0000-0000-0000C1140000}"/>
    <cellStyle name="Normal 4 4 10 2" xfId="6819" xr:uid="{00000000-0005-0000-0000-0000C2140000}"/>
    <cellStyle name="Normal 4 4 10 2 2" xfId="15254" xr:uid="{F6334630-05EA-4263-860E-46159AEABD23}"/>
    <cellStyle name="Normal 4 4 10 3" xfId="11036" xr:uid="{4DEA0609-76DF-46BD-AC4D-A984DC93E1E7}"/>
    <cellStyle name="Normal 4 4 11" xfId="4754" xr:uid="{00000000-0005-0000-0000-0000C3140000}"/>
    <cellStyle name="Normal 4 4 11 2" xfId="13189" xr:uid="{87A71D0C-FA49-4848-B58D-03559BF09886}"/>
    <cellStyle name="Normal 4 4 12" xfId="8971" xr:uid="{5166683D-76CF-4A70-BA59-CD0106DCC826}"/>
    <cellStyle name="Normal 4 4 2" xfId="379" xr:uid="{00000000-0005-0000-0000-0000C4140000}"/>
    <cellStyle name="Normal 4 4 2 10" xfId="4755" xr:uid="{00000000-0005-0000-0000-0000C5140000}"/>
    <cellStyle name="Normal 4 4 2 10 2" xfId="13190" xr:uid="{5B95DB85-1DC7-40FF-8E2A-18FF85C910BE}"/>
    <cellStyle name="Normal 4 4 2 11" xfId="8972" xr:uid="{D9B58D8A-A609-4F29-97D5-EF10B0CB51C8}"/>
    <cellStyle name="Normal 4 4 2 2" xfId="380" xr:uid="{00000000-0005-0000-0000-0000C6140000}"/>
    <cellStyle name="Normal 4 4 2 2 10" xfId="8973" xr:uid="{9C64DF1F-401F-445D-B758-CA28D4CE431F}"/>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2 2 2" xfId="15751" xr:uid="{82A43971-6333-45C5-A33B-D4ADD2BC5B06}"/>
    <cellStyle name="Normal 4 4 2 2 2 2 2 2 3" xfId="11533" xr:uid="{65DB8812-5004-4720-960D-B2BAB6D5FCF3}"/>
    <cellStyle name="Normal 4 4 2 2 2 2 2 3" xfId="5171" xr:uid="{00000000-0005-0000-0000-0000CC140000}"/>
    <cellStyle name="Normal 4 4 2 2 2 2 2 3 2" xfId="13606" xr:uid="{7E86FEE5-EA06-4C4E-AA47-106CAB83C242}"/>
    <cellStyle name="Normal 4 4 2 2 2 2 2 4" xfId="9388" xr:uid="{A3275A1C-43CF-457B-AE15-7243E0A29EFC}"/>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2 2 2" xfId="16164" xr:uid="{0524534B-F64F-4ACF-BA54-29FD0EDCCA0C}"/>
    <cellStyle name="Normal 4 4 2 2 2 2 3 2 3" xfId="11946" xr:uid="{7EFB3FFB-342D-4A9F-82DB-CD5CD80D6E17}"/>
    <cellStyle name="Normal 4 4 2 2 2 2 3 3" xfId="5584" xr:uid="{00000000-0005-0000-0000-0000D0140000}"/>
    <cellStyle name="Normal 4 4 2 2 2 2 3 3 2" xfId="14019" xr:uid="{DF4BD77A-AAE5-4F91-97F1-62AEA1137167}"/>
    <cellStyle name="Normal 4 4 2 2 2 2 3 4" xfId="9801" xr:uid="{73398017-8BFE-498F-AF57-73AC3E1285D4}"/>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2 2 2" xfId="16577" xr:uid="{880EDEBD-A928-42D4-AD02-13EE3EE74419}"/>
    <cellStyle name="Normal 4 4 2 2 2 2 4 2 3" xfId="12359" xr:uid="{AE32FDCE-D485-4B49-9C93-7A340719C4EA}"/>
    <cellStyle name="Normal 4 4 2 2 2 2 4 3" xfId="5997" xr:uid="{00000000-0005-0000-0000-0000D4140000}"/>
    <cellStyle name="Normal 4 4 2 2 2 2 4 3 2" xfId="14432" xr:uid="{70BE0F88-BDD7-449A-BD3E-CB26B8C377C2}"/>
    <cellStyle name="Normal 4 4 2 2 2 2 4 4" xfId="10214" xr:uid="{E6141F0F-38A1-4CCC-A218-856719452603}"/>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2 2 2" xfId="16990" xr:uid="{614D5418-8417-47C8-A325-8ED15BC3851F}"/>
    <cellStyle name="Normal 4 4 2 2 2 2 5 2 3" xfId="12772" xr:uid="{F43A5878-60AC-4562-9870-BBE6E7EED3AB}"/>
    <cellStyle name="Normal 4 4 2 2 2 2 5 3" xfId="6410" xr:uid="{00000000-0005-0000-0000-0000D8140000}"/>
    <cellStyle name="Normal 4 4 2 2 2 2 5 3 2" xfId="14845" xr:uid="{C15DF977-0E81-4295-A93D-74F4EB8AF677}"/>
    <cellStyle name="Normal 4 4 2 2 2 2 5 4" xfId="10627" xr:uid="{4420273F-87BA-456B-AC40-F5F126EB16B8}"/>
    <cellStyle name="Normal 4 4 2 2 2 2 6" xfId="2539" xr:uid="{00000000-0005-0000-0000-0000D9140000}"/>
    <cellStyle name="Normal 4 4 2 2 2 2 6 2" xfId="6823" xr:uid="{00000000-0005-0000-0000-0000DA140000}"/>
    <cellStyle name="Normal 4 4 2 2 2 2 6 2 2" xfId="15258" xr:uid="{D4447E5E-DED3-42EB-8F44-A4721CDB2661}"/>
    <cellStyle name="Normal 4 4 2 2 2 2 6 3" xfId="11040" xr:uid="{95A3A1C7-47B7-4621-A345-B86E89D9B826}"/>
    <cellStyle name="Normal 4 4 2 2 2 2 7" xfId="4758" xr:uid="{00000000-0005-0000-0000-0000DB140000}"/>
    <cellStyle name="Normal 4 4 2 2 2 2 7 2" xfId="13193" xr:uid="{8E297EB2-374C-4BAE-96C1-181B80C6928E}"/>
    <cellStyle name="Normal 4 4 2 2 2 2 8" xfId="8975" xr:uid="{4A0495FB-7E0E-4F06-8627-00AC3FEBAACC}"/>
    <cellStyle name="Normal 4 4 2 2 2 3" xfId="857" xr:uid="{00000000-0005-0000-0000-0000DC140000}"/>
    <cellStyle name="Normal 4 4 2 2 2 3 2" xfId="3092" xr:uid="{00000000-0005-0000-0000-0000DD140000}"/>
    <cellStyle name="Normal 4 4 2 2 2 3 2 2" xfId="7315" xr:uid="{00000000-0005-0000-0000-0000DE140000}"/>
    <cellStyle name="Normal 4 4 2 2 2 3 2 2 2" xfId="15750" xr:uid="{F397505D-15CF-44D1-B22D-2E6238AED32C}"/>
    <cellStyle name="Normal 4 4 2 2 2 3 2 3" xfId="11532" xr:uid="{36767A14-A95E-4DA4-BBEB-9379A16473AE}"/>
    <cellStyle name="Normal 4 4 2 2 2 3 3" xfId="5170" xr:uid="{00000000-0005-0000-0000-0000DF140000}"/>
    <cellStyle name="Normal 4 4 2 2 2 3 3 2" xfId="13605" xr:uid="{3AAC056A-CFDF-40D1-8AB9-5ABB21B167CC}"/>
    <cellStyle name="Normal 4 4 2 2 2 3 4" xfId="9387" xr:uid="{A10D1260-B461-4D9A-84DD-81C5FC75BD97}"/>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2 2 2" xfId="16163" xr:uid="{36DD25BB-1CF0-4B8F-8B31-18BF757BA380}"/>
    <cellStyle name="Normal 4 4 2 2 2 4 2 3" xfId="11945" xr:uid="{99D00526-229A-44A1-9D99-151597F691C1}"/>
    <cellStyle name="Normal 4 4 2 2 2 4 3" xfId="5583" xr:uid="{00000000-0005-0000-0000-0000E3140000}"/>
    <cellStyle name="Normal 4 4 2 2 2 4 3 2" xfId="14018" xr:uid="{ED986938-F2D3-4008-93A4-3BD22D3A0E49}"/>
    <cellStyle name="Normal 4 4 2 2 2 4 4" xfId="9800" xr:uid="{A03B903D-7EF4-4646-8B2F-54D61BF369FF}"/>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2 2 2" xfId="16576" xr:uid="{0CB9D2F7-E035-4DEE-AF4C-5AC6A073025D}"/>
    <cellStyle name="Normal 4 4 2 2 2 5 2 3" xfId="12358" xr:uid="{73B34D71-8110-4BAD-96B1-BA12F457C10D}"/>
    <cellStyle name="Normal 4 4 2 2 2 5 3" xfId="5996" xr:uid="{00000000-0005-0000-0000-0000E7140000}"/>
    <cellStyle name="Normal 4 4 2 2 2 5 3 2" xfId="14431" xr:uid="{4624FF43-1503-4FE7-BFF9-6A9E1D212295}"/>
    <cellStyle name="Normal 4 4 2 2 2 5 4" xfId="10213" xr:uid="{2A7C8B15-F5CE-498F-93EB-99601A323509}"/>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2 2 2" xfId="16989" xr:uid="{12E322AB-FBF6-44E0-B7B1-169D49121688}"/>
    <cellStyle name="Normal 4 4 2 2 2 6 2 3" xfId="12771" xr:uid="{17B22C04-29A1-40AD-92DF-B18E0BF385DA}"/>
    <cellStyle name="Normal 4 4 2 2 2 6 3" xfId="6409" xr:uid="{00000000-0005-0000-0000-0000EB140000}"/>
    <cellStyle name="Normal 4 4 2 2 2 6 3 2" xfId="14844" xr:uid="{F890E9A8-3958-47CD-8710-832C76980299}"/>
    <cellStyle name="Normal 4 4 2 2 2 6 4" xfId="10626" xr:uid="{6F0C3937-13DE-4EFD-9F86-A0AAAFCD20C0}"/>
    <cellStyle name="Normal 4 4 2 2 2 7" xfId="2538" xr:uid="{00000000-0005-0000-0000-0000EC140000}"/>
    <cellStyle name="Normal 4 4 2 2 2 7 2" xfId="6822" xr:uid="{00000000-0005-0000-0000-0000ED140000}"/>
    <cellStyle name="Normal 4 4 2 2 2 7 2 2" xfId="15257" xr:uid="{AE4C809C-5893-4CE7-AB4C-99C9E32AEEE0}"/>
    <cellStyle name="Normal 4 4 2 2 2 7 3" xfId="11039" xr:uid="{47FC18EF-A5E7-4EC9-8865-BDDCE79E797F}"/>
    <cellStyle name="Normal 4 4 2 2 2 8" xfId="4757" xr:uid="{00000000-0005-0000-0000-0000EE140000}"/>
    <cellStyle name="Normal 4 4 2 2 2 8 2" xfId="13192" xr:uid="{42CA51F7-973A-4C09-9CA5-A1CDDA5EBCFE}"/>
    <cellStyle name="Normal 4 4 2 2 2 9" xfId="8974" xr:uid="{B922B8AD-3601-4A91-AEC5-1ADA822B4988}"/>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2 2 2" xfId="15752" xr:uid="{1E6907BB-37D8-4BE8-8B3A-F096101E1098}"/>
    <cellStyle name="Normal 4 4 2 2 3 2 2 3" xfId="11534" xr:uid="{6C620AB4-9160-485A-8E9E-77F792DA1B4C}"/>
    <cellStyle name="Normal 4 4 2 2 3 2 3" xfId="5172" xr:uid="{00000000-0005-0000-0000-0000F3140000}"/>
    <cellStyle name="Normal 4 4 2 2 3 2 3 2" xfId="13607" xr:uid="{5E65E218-5D2D-4200-B43A-25AED7F72645}"/>
    <cellStyle name="Normal 4 4 2 2 3 2 4" xfId="9389" xr:uid="{064CC29D-B731-4965-B18F-F9F5892BD004}"/>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2 2 2" xfId="16165" xr:uid="{C9C23D45-165F-47F6-B9D0-1CF79F4B9112}"/>
    <cellStyle name="Normal 4 4 2 2 3 3 2 3" xfId="11947" xr:uid="{3DD7E819-AE74-48D5-AFAD-1DC431A76F43}"/>
    <cellStyle name="Normal 4 4 2 2 3 3 3" xfId="5585" xr:uid="{00000000-0005-0000-0000-0000F7140000}"/>
    <cellStyle name="Normal 4 4 2 2 3 3 3 2" xfId="14020" xr:uid="{E6749A08-BFA6-46C6-811C-BAB6451CD198}"/>
    <cellStyle name="Normal 4 4 2 2 3 3 4" xfId="9802" xr:uid="{D9A2D555-46A1-4DD4-ACAE-DC76DFA663CB}"/>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2 2 2" xfId="16578" xr:uid="{708E8C12-B8C9-4C0C-9C5B-93328A6C6B1E}"/>
    <cellStyle name="Normal 4 4 2 2 3 4 2 3" xfId="12360" xr:uid="{569C67D7-399F-4088-A131-65930B9C1C1D}"/>
    <cellStyle name="Normal 4 4 2 2 3 4 3" xfId="5998" xr:uid="{00000000-0005-0000-0000-0000FB140000}"/>
    <cellStyle name="Normal 4 4 2 2 3 4 3 2" xfId="14433" xr:uid="{A516B78E-CE2F-4EFE-8600-F52285050806}"/>
    <cellStyle name="Normal 4 4 2 2 3 4 4" xfId="10215" xr:uid="{5C3D6EBC-825A-4BC0-9B85-45866EC4D95B}"/>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2 2 2" xfId="16991" xr:uid="{F5185798-0477-4083-B25D-64ED030708C0}"/>
    <cellStyle name="Normal 4 4 2 2 3 5 2 3" xfId="12773" xr:uid="{2BD1D35A-0EC7-4B4E-9BD2-EE393F0DFA43}"/>
    <cellStyle name="Normal 4 4 2 2 3 5 3" xfId="6411" xr:uid="{00000000-0005-0000-0000-0000FF140000}"/>
    <cellStyle name="Normal 4 4 2 2 3 5 3 2" xfId="14846" xr:uid="{4988A07A-8E0A-45A7-A243-7E70C8E3A24D}"/>
    <cellStyle name="Normal 4 4 2 2 3 5 4" xfId="10628" xr:uid="{EC05C000-1764-4AE0-80AB-6562380C6DC3}"/>
    <cellStyle name="Normal 4 4 2 2 3 6" xfId="2540" xr:uid="{00000000-0005-0000-0000-000000150000}"/>
    <cellStyle name="Normal 4 4 2 2 3 6 2" xfId="6824" xr:uid="{00000000-0005-0000-0000-000001150000}"/>
    <cellStyle name="Normal 4 4 2 2 3 6 2 2" xfId="15259" xr:uid="{6758B9EA-17B2-4FFE-AAFB-0BF735EB40F2}"/>
    <cellStyle name="Normal 4 4 2 2 3 6 3" xfId="11041" xr:uid="{DC31E4A7-37F9-4523-9602-E912E8E17332}"/>
    <cellStyle name="Normal 4 4 2 2 3 7" xfId="4759" xr:uid="{00000000-0005-0000-0000-000002150000}"/>
    <cellStyle name="Normal 4 4 2 2 3 7 2" xfId="13194" xr:uid="{BA2067FF-725A-468F-87F6-52D5CD7AE1F7}"/>
    <cellStyle name="Normal 4 4 2 2 3 8" xfId="8976" xr:uid="{47D38006-E251-4046-A23E-709C26C6DED8}"/>
    <cellStyle name="Normal 4 4 2 2 4" xfId="856" xr:uid="{00000000-0005-0000-0000-000003150000}"/>
    <cellStyle name="Normal 4 4 2 2 4 2" xfId="3091" xr:uid="{00000000-0005-0000-0000-000004150000}"/>
    <cellStyle name="Normal 4 4 2 2 4 2 2" xfId="7314" xr:uid="{00000000-0005-0000-0000-000005150000}"/>
    <cellStyle name="Normal 4 4 2 2 4 2 2 2" xfId="15749" xr:uid="{23B02F1F-51EF-429D-9A81-D162F5F78A64}"/>
    <cellStyle name="Normal 4 4 2 2 4 2 3" xfId="11531" xr:uid="{0413B420-B4EB-482A-89A0-6BF377A7421F}"/>
    <cellStyle name="Normal 4 4 2 2 4 3" xfId="5169" xr:uid="{00000000-0005-0000-0000-000006150000}"/>
    <cellStyle name="Normal 4 4 2 2 4 3 2" xfId="13604" xr:uid="{49528F0E-9D31-4C9A-89A8-2EA99B940817}"/>
    <cellStyle name="Normal 4 4 2 2 4 4" xfId="9386" xr:uid="{56459392-7D3D-440A-97B5-88F97A75ECAA}"/>
    <cellStyle name="Normal 4 4 2 2 5" xfId="1274" xr:uid="{00000000-0005-0000-0000-000007150000}"/>
    <cellStyle name="Normal 4 4 2 2 5 2" xfId="3504" xr:uid="{00000000-0005-0000-0000-000008150000}"/>
    <cellStyle name="Normal 4 4 2 2 5 2 2" xfId="7727" xr:uid="{00000000-0005-0000-0000-000009150000}"/>
    <cellStyle name="Normal 4 4 2 2 5 2 2 2" xfId="16162" xr:uid="{7FFDD376-659C-41C7-BC45-F4A2CCD48952}"/>
    <cellStyle name="Normal 4 4 2 2 5 2 3" xfId="11944" xr:uid="{39BCAC93-B95D-4D10-9BA0-FD9499AB55BE}"/>
    <cellStyle name="Normal 4 4 2 2 5 3" xfId="5582" xr:uid="{00000000-0005-0000-0000-00000A150000}"/>
    <cellStyle name="Normal 4 4 2 2 5 3 2" xfId="14017" xr:uid="{8A8E80B3-7B5B-4B7A-A9E7-54EABD26CA5C}"/>
    <cellStyle name="Normal 4 4 2 2 5 4" xfId="9799" xr:uid="{C8A92811-EDA7-4320-A2A3-2F3AE4127A83}"/>
    <cellStyle name="Normal 4 4 2 2 6" xfId="1687" xr:uid="{00000000-0005-0000-0000-00000B150000}"/>
    <cellStyle name="Normal 4 4 2 2 6 2" xfId="3917" xr:uid="{00000000-0005-0000-0000-00000C150000}"/>
    <cellStyle name="Normal 4 4 2 2 6 2 2" xfId="8140" xr:uid="{00000000-0005-0000-0000-00000D150000}"/>
    <cellStyle name="Normal 4 4 2 2 6 2 2 2" xfId="16575" xr:uid="{2B1DD0BE-5331-4823-BCFE-C11E147E343C}"/>
    <cellStyle name="Normal 4 4 2 2 6 2 3" xfId="12357" xr:uid="{2C55F3C3-66DF-4A5A-822C-67AF61647B23}"/>
    <cellStyle name="Normal 4 4 2 2 6 3" xfId="5995" xr:uid="{00000000-0005-0000-0000-00000E150000}"/>
    <cellStyle name="Normal 4 4 2 2 6 3 2" xfId="14430" xr:uid="{B1A71939-FDE9-4038-ACD4-CF4FF3E76F25}"/>
    <cellStyle name="Normal 4 4 2 2 6 4" xfId="10212" xr:uid="{94005652-B2E7-4769-B6EC-C25F40F44540}"/>
    <cellStyle name="Normal 4 4 2 2 7" xfId="2101" xr:uid="{00000000-0005-0000-0000-00000F150000}"/>
    <cellStyle name="Normal 4 4 2 2 7 2" xfId="4330" xr:uid="{00000000-0005-0000-0000-000010150000}"/>
    <cellStyle name="Normal 4 4 2 2 7 2 2" xfId="8553" xr:uid="{00000000-0005-0000-0000-000011150000}"/>
    <cellStyle name="Normal 4 4 2 2 7 2 2 2" xfId="16988" xr:uid="{C09C2C2B-AF50-47A5-AAD3-366D7566C90D}"/>
    <cellStyle name="Normal 4 4 2 2 7 2 3" xfId="12770" xr:uid="{4B70A7ED-6282-490B-A3EE-7385D6BBDFB8}"/>
    <cellStyle name="Normal 4 4 2 2 7 3" xfId="6408" xr:uid="{00000000-0005-0000-0000-000012150000}"/>
    <cellStyle name="Normal 4 4 2 2 7 3 2" xfId="14843" xr:uid="{0243C105-FCE8-4D51-9B0D-6DC855508398}"/>
    <cellStyle name="Normal 4 4 2 2 7 4" xfId="10625" xr:uid="{03C26F0B-E4CA-4A8D-A66E-90EEA4BC317D}"/>
    <cellStyle name="Normal 4 4 2 2 8" xfId="2537" xr:uid="{00000000-0005-0000-0000-000013150000}"/>
    <cellStyle name="Normal 4 4 2 2 8 2" xfId="6821" xr:uid="{00000000-0005-0000-0000-000014150000}"/>
    <cellStyle name="Normal 4 4 2 2 8 2 2" xfId="15256" xr:uid="{D630FAA9-A3B2-4EC2-B173-71E82994FAE4}"/>
    <cellStyle name="Normal 4 4 2 2 8 3" xfId="11038" xr:uid="{18B93AB8-8672-48C2-8AC1-026E5C829B72}"/>
    <cellStyle name="Normal 4 4 2 2 9" xfId="4756" xr:uid="{00000000-0005-0000-0000-000015150000}"/>
    <cellStyle name="Normal 4 4 2 2 9 2" xfId="13191" xr:uid="{493FA5EE-2CFD-4AF9-8932-46321816A7FB}"/>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2 2 2" xfId="15754" xr:uid="{6E0F5064-F5C3-49B3-B7CB-7A3604FD86BD}"/>
    <cellStyle name="Normal 4 4 2 3 2 2 2 3" xfId="11536" xr:uid="{55C31ECF-98B2-41E1-9C3A-CA3AB4BED93B}"/>
    <cellStyle name="Normal 4 4 2 3 2 2 3" xfId="5174" xr:uid="{00000000-0005-0000-0000-00001B150000}"/>
    <cellStyle name="Normal 4 4 2 3 2 2 3 2" xfId="13609" xr:uid="{B3C463E6-A17B-4D40-ADBF-ECFCE5E975C5}"/>
    <cellStyle name="Normal 4 4 2 3 2 2 4" xfId="9391" xr:uid="{8F3A728D-6D80-428E-9128-893CF8115EC8}"/>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2 2 2" xfId="16167" xr:uid="{3FAF4325-3228-40F6-ADD3-1C7B501C186E}"/>
    <cellStyle name="Normal 4 4 2 3 2 3 2 3" xfId="11949" xr:uid="{ECF6C774-9024-4D15-8467-CA83211021BB}"/>
    <cellStyle name="Normal 4 4 2 3 2 3 3" xfId="5587" xr:uid="{00000000-0005-0000-0000-00001F150000}"/>
    <cellStyle name="Normal 4 4 2 3 2 3 3 2" xfId="14022" xr:uid="{E04757F9-27F1-4E65-82F7-E67D21244508}"/>
    <cellStyle name="Normal 4 4 2 3 2 3 4" xfId="9804" xr:uid="{CAD13F10-AC02-4BC6-8721-40C489CC703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2 2 2" xfId="16580" xr:uid="{F7D080C8-8206-4AEB-828D-327E384102DF}"/>
    <cellStyle name="Normal 4 4 2 3 2 4 2 3" xfId="12362" xr:uid="{754E34AB-A004-4810-B354-DEA9E0908D6A}"/>
    <cellStyle name="Normal 4 4 2 3 2 4 3" xfId="6000" xr:uid="{00000000-0005-0000-0000-000023150000}"/>
    <cellStyle name="Normal 4 4 2 3 2 4 3 2" xfId="14435" xr:uid="{BA58DB66-69AF-48D4-8306-3C5F76B9556A}"/>
    <cellStyle name="Normal 4 4 2 3 2 4 4" xfId="10217" xr:uid="{D6D07381-E7C2-48EF-A093-4FE2ED8B5A2D}"/>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2 2 2" xfId="16993" xr:uid="{40D66D19-38E6-4131-AB8B-3D5231DEEC21}"/>
    <cellStyle name="Normal 4 4 2 3 2 5 2 3" xfId="12775" xr:uid="{BFC9DEC8-B7AD-42B9-B1D7-9B0D5A5A3429}"/>
    <cellStyle name="Normal 4 4 2 3 2 5 3" xfId="6413" xr:uid="{00000000-0005-0000-0000-000027150000}"/>
    <cellStyle name="Normal 4 4 2 3 2 5 3 2" xfId="14848" xr:uid="{66BED72B-A553-4B79-B496-BACB9455784A}"/>
    <cellStyle name="Normal 4 4 2 3 2 5 4" xfId="10630" xr:uid="{F028E659-30D1-4E97-8308-96FF3B3B7A8A}"/>
    <cellStyle name="Normal 4 4 2 3 2 6" xfId="2542" xr:uid="{00000000-0005-0000-0000-000028150000}"/>
    <cellStyle name="Normal 4 4 2 3 2 6 2" xfId="6826" xr:uid="{00000000-0005-0000-0000-000029150000}"/>
    <cellStyle name="Normal 4 4 2 3 2 6 2 2" xfId="15261" xr:uid="{3E9296F7-FBD1-4F68-86FA-D87B3F82F649}"/>
    <cellStyle name="Normal 4 4 2 3 2 6 3" xfId="11043" xr:uid="{281F32BA-BBE1-4E0E-8965-F4034DA7D677}"/>
    <cellStyle name="Normal 4 4 2 3 2 7" xfId="4761" xr:uid="{00000000-0005-0000-0000-00002A150000}"/>
    <cellStyle name="Normal 4 4 2 3 2 7 2" xfId="13196" xr:uid="{79CEF177-7034-4AA6-8DEA-CC5662D39C8D}"/>
    <cellStyle name="Normal 4 4 2 3 2 8" xfId="8978" xr:uid="{7D4758D6-967F-425B-8B00-E3C4667B1419}"/>
    <cellStyle name="Normal 4 4 2 3 3" xfId="860" xr:uid="{00000000-0005-0000-0000-00002B150000}"/>
    <cellStyle name="Normal 4 4 2 3 3 2" xfId="3095" xr:uid="{00000000-0005-0000-0000-00002C150000}"/>
    <cellStyle name="Normal 4 4 2 3 3 2 2" xfId="7318" xr:uid="{00000000-0005-0000-0000-00002D150000}"/>
    <cellStyle name="Normal 4 4 2 3 3 2 2 2" xfId="15753" xr:uid="{B27149AA-A4FC-49D5-8B0A-275498391789}"/>
    <cellStyle name="Normal 4 4 2 3 3 2 3" xfId="11535" xr:uid="{9D739685-75C1-4451-B7E4-0FE77E76B6E6}"/>
    <cellStyle name="Normal 4 4 2 3 3 3" xfId="5173" xr:uid="{00000000-0005-0000-0000-00002E150000}"/>
    <cellStyle name="Normal 4 4 2 3 3 3 2" xfId="13608" xr:uid="{0D3D7F51-516C-4685-9C2F-BB73B4CAACC9}"/>
    <cellStyle name="Normal 4 4 2 3 3 4" xfId="9390" xr:uid="{D031E400-5E82-4017-9759-495AEABDF96E}"/>
    <cellStyle name="Normal 4 4 2 3 4" xfId="1278" xr:uid="{00000000-0005-0000-0000-00002F150000}"/>
    <cellStyle name="Normal 4 4 2 3 4 2" xfId="3508" xr:uid="{00000000-0005-0000-0000-000030150000}"/>
    <cellStyle name="Normal 4 4 2 3 4 2 2" xfId="7731" xr:uid="{00000000-0005-0000-0000-000031150000}"/>
    <cellStyle name="Normal 4 4 2 3 4 2 2 2" xfId="16166" xr:uid="{96FA8B82-4EA0-4057-A77C-8F2D5693F2DB}"/>
    <cellStyle name="Normal 4 4 2 3 4 2 3" xfId="11948" xr:uid="{410F7583-FD3B-4A90-97FF-CF77E1955599}"/>
    <cellStyle name="Normal 4 4 2 3 4 3" xfId="5586" xr:uid="{00000000-0005-0000-0000-000032150000}"/>
    <cellStyle name="Normal 4 4 2 3 4 3 2" xfId="14021" xr:uid="{96920C62-2034-4B5E-9AF9-CF8558B4DB3F}"/>
    <cellStyle name="Normal 4 4 2 3 4 4" xfId="9803" xr:uid="{315F4E8F-7F86-431B-96D1-4E4C14075623}"/>
    <cellStyle name="Normal 4 4 2 3 5" xfId="1691" xr:uid="{00000000-0005-0000-0000-000033150000}"/>
    <cellStyle name="Normal 4 4 2 3 5 2" xfId="3921" xr:uid="{00000000-0005-0000-0000-000034150000}"/>
    <cellStyle name="Normal 4 4 2 3 5 2 2" xfId="8144" xr:uid="{00000000-0005-0000-0000-000035150000}"/>
    <cellStyle name="Normal 4 4 2 3 5 2 2 2" xfId="16579" xr:uid="{BCE639AC-0D7A-4BD0-A4C4-673E1499C1CE}"/>
    <cellStyle name="Normal 4 4 2 3 5 2 3" xfId="12361" xr:uid="{C4193045-6BD8-4F0E-8470-D20A89A8DA33}"/>
    <cellStyle name="Normal 4 4 2 3 5 3" xfId="5999" xr:uid="{00000000-0005-0000-0000-000036150000}"/>
    <cellStyle name="Normal 4 4 2 3 5 3 2" xfId="14434" xr:uid="{7D42C606-6365-4A38-A86C-FD1CA549A7AB}"/>
    <cellStyle name="Normal 4 4 2 3 5 4" xfId="10216" xr:uid="{6B31D203-3316-4E69-B823-73E9E78D1496}"/>
    <cellStyle name="Normal 4 4 2 3 6" xfId="2105" xr:uid="{00000000-0005-0000-0000-000037150000}"/>
    <cellStyle name="Normal 4 4 2 3 6 2" xfId="4334" xr:uid="{00000000-0005-0000-0000-000038150000}"/>
    <cellStyle name="Normal 4 4 2 3 6 2 2" xfId="8557" xr:uid="{00000000-0005-0000-0000-000039150000}"/>
    <cellStyle name="Normal 4 4 2 3 6 2 2 2" xfId="16992" xr:uid="{CDD9E224-0DB7-4196-8198-53A2ABD935CC}"/>
    <cellStyle name="Normal 4 4 2 3 6 2 3" xfId="12774" xr:uid="{D9490005-6E87-4BF4-AA69-D6DBFC9A0BC0}"/>
    <cellStyle name="Normal 4 4 2 3 6 3" xfId="6412" xr:uid="{00000000-0005-0000-0000-00003A150000}"/>
    <cellStyle name="Normal 4 4 2 3 6 3 2" xfId="14847" xr:uid="{E6DB57D0-DFA2-41A1-95E0-1104118A7D02}"/>
    <cellStyle name="Normal 4 4 2 3 6 4" xfId="10629" xr:uid="{E1BDFA1C-24AC-4244-8100-10F194D52454}"/>
    <cellStyle name="Normal 4 4 2 3 7" xfId="2541" xr:uid="{00000000-0005-0000-0000-00003B150000}"/>
    <cellStyle name="Normal 4 4 2 3 7 2" xfId="6825" xr:uid="{00000000-0005-0000-0000-00003C150000}"/>
    <cellStyle name="Normal 4 4 2 3 7 2 2" xfId="15260" xr:uid="{C0A480FE-F040-4059-B1C4-B738B3C7E6E3}"/>
    <cellStyle name="Normal 4 4 2 3 7 3" xfId="11042" xr:uid="{E2460585-18A4-44C8-B2A8-884AE30F19C5}"/>
    <cellStyle name="Normal 4 4 2 3 8" xfId="4760" xr:uid="{00000000-0005-0000-0000-00003D150000}"/>
    <cellStyle name="Normal 4 4 2 3 8 2" xfId="13195" xr:uid="{609BD3A4-FDE2-45F0-9473-E328FA553389}"/>
    <cellStyle name="Normal 4 4 2 3 9" xfId="8977" xr:uid="{7F5E1AC0-EBAB-497A-A5C8-C1C4ACB9AC9E}"/>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2 2 2" xfId="15755" xr:uid="{2EBD1D6C-EAC0-4FF5-AB8F-2F762AE4882A}"/>
    <cellStyle name="Normal 4 4 2 4 2 2 3" xfId="11537" xr:uid="{C6BDC9CC-2C40-4215-AE3B-F0EBA43D828F}"/>
    <cellStyle name="Normal 4 4 2 4 2 3" xfId="5175" xr:uid="{00000000-0005-0000-0000-000042150000}"/>
    <cellStyle name="Normal 4 4 2 4 2 3 2" xfId="13610" xr:uid="{5237FD19-9C2C-4DE2-A751-7137F93170EA}"/>
    <cellStyle name="Normal 4 4 2 4 2 4" xfId="9392" xr:uid="{1E1FBD2F-9388-4005-9059-715CE5A7FEDB}"/>
    <cellStyle name="Normal 4 4 2 4 3" xfId="1280" xr:uid="{00000000-0005-0000-0000-000043150000}"/>
    <cellStyle name="Normal 4 4 2 4 3 2" xfId="3510" xr:uid="{00000000-0005-0000-0000-000044150000}"/>
    <cellStyle name="Normal 4 4 2 4 3 2 2" xfId="7733" xr:uid="{00000000-0005-0000-0000-000045150000}"/>
    <cellStyle name="Normal 4 4 2 4 3 2 2 2" xfId="16168" xr:uid="{022737A8-7A3E-4E41-B78B-AB786D2CE60B}"/>
    <cellStyle name="Normal 4 4 2 4 3 2 3" xfId="11950" xr:uid="{ACB31B94-7D4C-4311-9934-2286D4E484EB}"/>
    <cellStyle name="Normal 4 4 2 4 3 3" xfId="5588" xr:uid="{00000000-0005-0000-0000-000046150000}"/>
    <cellStyle name="Normal 4 4 2 4 3 3 2" xfId="14023" xr:uid="{240575F8-2858-4A37-A0CD-B12144F5DA88}"/>
    <cellStyle name="Normal 4 4 2 4 3 4" xfId="9805" xr:uid="{BE2E8960-D481-4DE7-A262-F99E595FC61B}"/>
    <cellStyle name="Normal 4 4 2 4 4" xfId="1693" xr:uid="{00000000-0005-0000-0000-000047150000}"/>
    <cellStyle name="Normal 4 4 2 4 4 2" xfId="3923" xr:uid="{00000000-0005-0000-0000-000048150000}"/>
    <cellStyle name="Normal 4 4 2 4 4 2 2" xfId="8146" xr:uid="{00000000-0005-0000-0000-000049150000}"/>
    <cellStyle name="Normal 4 4 2 4 4 2 2 2" xfId="16581" xr:uid="{07A19058-CF54-472E-AFEC-41146D454F24}"/>
    <cellStyle name="Normal 4 4 2 4 4 2 3" xfId="12363" xr:uid="{8002303E-4181-4C42-A72D-78B2D1A7A86D}"/>
    <cellStyle name="Normal 4 4 2 4 4 3" xfId="6001" xr:uid="{00000000-0005-0000-0000-00004A150000}"/>
    <cellStyle name="Normal 4 4 2 4 4 3 2" xfId="14436" xr:uid="{6380A587-7413-4AF6-B9A0-E1C46FC3CAF4}"/>
    <cellStyle name="Normal 4 4 2 4 4 4" xfId="10218" xr:uid="{6F0A5413-4DF6-42E6-9192-AB8B784AE293}"/>
    <cellStyle name="Normal 4 4 2 4 5" xfId="2107" xr:uid="{00000000-0005-0000-0000-00004B150000}"/>
    <cellStyle name="Normal 4 4 2 4 5 2" xfId="4336" xr:uid="{00000000-0005-0000-0000-00004C150000}"/>
    <cellStyle name="Normal 4 4 2 4 5 2 2" xfId="8559" xr:uid="{00000000-0005-0000-0000-00004D150000}"/>
    <cellStyle name="Normal 4 4 2 4 5 2 2 2" xfId="16994" xr:uid="{AABEF1DC-71D3-449A-A697-114D0C124344}"/>
    <cellStyle name="Normal 4 4 2 4 5 2 3" xfId="12776" xr:uid="{A0D5438B-34FF-49A5-A755-0E0F9FCB8A94}"/>
    <cellStyle name="Normal 4 4 2 4 5 3" xfId="6414" xr:uid="{00000000-0005-0000-0000-00004E150000}"/>
    <cellStyle name="Normal 4 4 2 4 5 3 2" xfId="14849" xr:uid="{9D73840F-55D6-4F6F-A28B-FF56ED51A2CF}"/>
    <cellStyle name="Normal 4 4 2 4 5 4" xfId="10631" xr:uid="{20747B61-780E-4B9E-B038-727C889CA268}"/>
    <cellStyle name="Normal 4 4 2 4 6" xfId="2543" xr:uid="{00000000-0005-0000-0000-00004F150000}"/>
    <cellStyle name="Normal 4 4 2 4 6 2" xfId="6827" xr:uid="{00000000-0005-0000-0000-000050150000}"/>
    <cellStyle name="Normal 4 4 2 4 6 2 2" xfId="15262" xr:uid="{90C3F863-3B47-487B-8EA4-F63C6DB06FBB}"/>
    <cellStyle name="Normal 4 4 2 4 6 3" xfId="11044" xr:uid="{EFCF0F96-E209-4DEA-AF63-E989E3639BFB}"/>
    <cellStyle name="Normal 4 4 2 4 7" xfId="4762" xr:uid="{00000000-0005-0000-0000-000051150000}"/>
    <cellStyle name="Normal 4 4 2 4 7 2" xfId="13197" xr:uid="{2966ECF7-7E6B-4461-8FAF-EEC9AD5FA8B9}"/>
    <cellStyle name="Normal 4 4 2 4 8" xfId="8979" xr:uid="{03EE88D1-5C20-47C7-8984-A5F15B07B54D}"/>
    <cellStyle name="Normal 4 4 2 5" xfId="855" xr:uid="{00000000-0005-0000-0000-000052150000}"/>
    <cellStyle name="Normal 4 4 2 5 2" xfId="3090" xr:uid="{00000000-0005-0000-0000-000053150000}"/>
    <cellStyle name="Normal 4 4 2 5 2 2" xfId="7313" xr:uid="{00000000-0005-0000-0000-000054150000}"/>
    <cellStyle name="Normal 4 4 2 5 2 2 2" xfId="15748" xr:uid="{9DA1912D-491D-450F-800A-04E1EA47EFA1}"/>
    <cellStyle name="Normal 4 4 2 5 2 3" xfId="11530" xr:uid="{B7BC9696-129D-4A2A-9174-910499B13BB8}"/>
    <cellStyle name="Normal 4 4 2 5 3" xfId="5168" xr:uid="{00000000-0005-0000-0000-000055150000}"/>
    <cellStyle name="Normal 4 4 2 5 3 2" xfId="13603" xr:uid="{88959586-2EE6-4DD8-A77D-27AD34D9F905}"/>
    <cellStyle name="Normal 4 4 2 5 4" xfId="9385" xr:uid="{8C2E8552-60A7-453D-93BA-E426104F004E}"/>
    <cellStyle name="Normal 4 4 2 6" xfId="1273" xr:uid="{00000000-0005-0000-0000-000056150000}"/>
    <cellStyle name="Normal 4 4 2 6 2" xfId="3503" xr:uid="{00000000-0005-0000-0000-000057150000}"/>
    <cellStyle name="Normal 4 4 2 6 2 2" xfId="7726" xr:uid="{00000000-0005-0000-0000-000058150000}"/>
    <cellStyle name="Normal 4 4 2 6 2 2 2" xfId="16161" xr:uid="{17B9DB36-BFE3-4AA5-8D7A-8A03976B6D1B}"/>
    <cellStyle name="Normal 4 4 2 6 2 3" xfId="11943" xr:uid="{49BBCFF7-49DA-42CA-AE0C-C9D0B11FB448}"/>
    <cellStyle name="Normal 4 4 2 6 3" xfId="5581" xr:uid="{00000000-0005-0000-0000-000059150000}"/>
    <cellStyle name="Normal 4 4 2 6 3 2" xfId="14016" xr:uid="{18D87FCF-8FC7-40C7-A606-013EF958BBD8}"/>
    <cellStyle name="Normal 4 4 2 6 4" xfId="9798" xr:uid="{0C95C5AC-8447-4A05-AE27-74FAB670B061}"/>
    <cellStyle name="Normal 4 4 2 7" xfId="1686" xr:uid="{00000000-0005-0000-0000-00005A150000}"/>
    <cellStyle name="Normal 4 4 2 7 2" xfId="3916" xr:uid="{00000000-0005-0000-0000-00005B150000}"/>
    <cellStyle name="Normal 4 4 2 7 2 2" xfId="8139" xr:uid="{00000000-0005-0000-0000-00005C150000}"/>
    <cellStyle name="Normal 4 4 2 7 2 2 2" xfId="16574" xr:uid="{953B5269-236B-4729-B54D-DD963CECEC2E}"/>
    <cellStyle name="Normal 4 4 2 7 2 3" xfId="12356" xr:uid="{105459A1-5BF9-44CE-86E6-ACDCF2DC82A5}"/>
    <cellStyle name="Normal 4 4 2 7 3" xfId="5994" xr:uid="{00000000-0005-0000-0000-00005D150000}"/>
    <cellStyle name="Normal 4 4 2 7 3 2" xfId="14429" xr:uid="{BC181F5D-92FA-46AB-8784-C8AC92C27D03}"/>
    <cellStyle name="Normal 4 4 2 7 4" xfId="10211" xr:uid="{A7F55B52-6443-49BA-9217-D823164F0D4E}"/>
    <cellStyle name="Normal 4 4 2 8" xfId="2100" xr:uid="{00000000-0005-0000-0000-00005E150000}"/>
    <cellStyle name="Normal 4 4 2 8 2" xfId="4329" xr:uid="{00000000-0005-0000-0000-00005F150000}"/>
    <cellStyle name="Normal 4 4 2 8 2 2" xfId="8552" xr:uid="{00000000-0005-0000-0000-000060150000}"/>
    <cellStyle name="Normal 4 4 2 8 2 2 2" xfId="16987" xr:uid="{F74BC7B9-7D4D-4D74-85AC-CC803A0B78C1}"/>
    <cellStyle name="Normal 4 4 2 8 2 3" xfId="12769" xr:uid="{4C347AEA-1FC4-497D-BF25-6052A360ED93}"/>
    <cellStyle name="Normal 4 4 2 8 3" xfId="6407" xr:uid="{00000000-0005-0000-0000-000061150000}"/>
    <cellStyle name="Normal 4 4 2 8 3 2" xfId="14842" xr:uid="{0A579E58-F85D-4D74-B212-FF3790D1F25F}"/>
    <cellStyle name="Normal 4 4 2 8 4" xfId="10624" xr:uid="{C0A2A39E-A733-450D-BCB7-9A608DDADC76}"/>
    <cellStyle name="Normal 4 4 2 9" xfId="2536" xr:uid="{00000000-0005-0000-0000-000062150000}"/>
    <cellStyle name="Normal 4 4 2 9 2" xfId="6820" xr:uid="{00000000-0005-0000-0000-000063150000}"/>
    <cellStyle name="Normal 4 4 2 9 2 2" xfId="15255" xr:uid="{A1955751-32BB-42C3-8474-E0DE0617C980}"/>
    <cellStyle name="Normal 4 4 2 9 3" xfId="11037" xr:uid="{26E9F8EC-D933-4FA1-8459-F051D85858EA}"/>
    <cellStyle name="Normal 4 4 3" xfId="387" xr:uid="{00000000-0005-0000-0000-000064150000}"/>
    <cellStyle name="Normal 4 4 3 10" xfId="8980" xr:uid="{D11C777C-58A5-4094-8629-3ECCCA659354}"/>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2 2 2" xfId="15758" xr:uid="{DFD96B7D-1BB3-45D9-BECA-21B6A3357F59}"/>
    <cellStyle name="Normal 4 4 3 2 2 2 2 3" xfId="11540" xr:uid="{6FA66B70-595C-44ED-8F28-80D10EC9F327}"/>
    <cellStyle name="Normal 4 4 3 2 2 2 3" xfId="5178" xr:uid="{00000000-0005-0000-0000-00006A150000}"/>
    <cellStyle name="Normal 4 4 3 2 2 2 3 2" xfId="13613" xr:uid="{7EF32AEB-C7A7-40BD-8CB4-C999276B6150}"/>
    <cellStyle name="Normal 4 4 3 2 2 2 4" xfId="9395" xr:uid="{7610D371-BE09-467B-A7A5-4A207C039652}"/>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2 2 2" xfId="16171" xr:uid="{8E792563-924F-4AA8-AE73-DC3F824518F2}"/>
    <cellStyle name="Normal 4 4 3 2 2 3 2 3" xfId="11953" xr:uid="{1717C703-1512-4ADD-8032-DC7C72982EA6}"/>
    <cellStyle name="Normal 4 4 3 2 2 3 3" xfId="5591" xr:uid="{00000000-0005-0000-0000-00006E150000}"/>
    <cellStyle name="Normal 4 4 3 2 2 3 3 2" xfId="14026" xr:uid="{EF86E815-5D95-4401-B72F-23C5C918E30B}"/>
    <cellStyle name="Normal 4 4 3 2 2 3 4" xfId="9808" xr:uid="{FF14C4E8-741C-4FCA-874C-6F712744F10C}"/>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2 2 2" xfId="16584" xr:uid="{772F8A3C-7681-43BC-BBDA-865DFDA8C45F}"/>
    <cellStyle name="Normal 4 4 3 2 2 4 2 3" xfId="12366" xr:uid="{6A7C2FC0-D1A2-43D7-B34D-FD8942D16E31}"/>
    <cellStyle name="Normal 4 4 3 2 2 4 3" xfId="6004" xr:uid="{00000000-0005-0000-0000-000072150000}"/>
    <cellStyle name="Normal 4 4 3 2 2 4 3 2" xfId="14439" xr:uid="{18DFA21D-59E1-473A-91A5-7E8AFA0B1AFE}"/>
    <cellStyle name="Normal 4 4 3 2 2 4 4" xfId="10221" xr:uid="{B7901B51-42F4-402D-BC25-657E87108B0B}"/>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2 2 2" xfId="16997" xr:uid="{C3E80ADF-FC3F-4971-95DA-088A42E169E2}"/>
    <cellStyle name="Normal 4 4 3 2 2 5 2 3" xfId="12779" xr:uid="{6612D43D-D129-45E1-B1E5-682571E6E6E6}"/>
    <cellStyle name="Normal 4 4 3 2 2 5 3" xfId="6417" xr:uid="{00000000-0005-0000-0000-000076150000}"/>
    <cellStyle name="Normal 4 4 3 2 2 5 3 2" xfId="14852" xr:uid="{2F10E68B-8885-40DC-BCFB-E1198F59E4A1}"/>
    <cellStyle name="Normal 4 4 3 2 2 5 4" xfId="10634" xr:uid="{78802EE0-5CDB-42DE-AF22-95B82F97BCB0}"/>
    <cellStyle name="Normal 4 4 3 2 2 6" xfId="2546" xr:uid="{00000000-0005-0000-0000-000077150000}"/>
    <cellStyle name="Normal 4 4 3 2 2 6 2" xfId="6830" xr:uid="{00000000-0005-0000-0000-000078150000}"/>
    <cellStyle name="Normal 4 4 3 2 2 6 2 2" xfId="15265" xr:uid="{EC81ED94-2DA1-4A56-8155-1EC32E033614}"/>
    <cellStyle name="Normal 4 4 3 2 2 6 3" xfId="11047" xr:uid="{F67F0873-5B8B-4313-8AB8-7FB5BF631F22}"/>
    <cellStyle name="Normal 4 4 3 2 2 7" xfId="4765" xr:uid="{00000000-0005-0000-0000-000079150000}"/>
    <cellStyle name="Normal 4 4 3 2 2 7 2" xfId="13200" xr:uid="{668F133F-9CEF-4922-A685-1B617B0C74B5}"/>
    <cellStyle name="Normal 4 4 3 2 2 8" xfId="8982" xr:uid="{310E0BF2-7527-48E0-8B2D-45A7C0E11C91}"/>
    <cellStyle name="Normal 4 4 3 2 3" xfId="864" xr:uid="{00000000-0005-0000-0000-00007A150000}"/>
    <cellStyle name="Normal 4 4 3 2 3 2" xfId="3099" xr:uid="{00000000-0005-0000-0000-00007B150000}"/>
    <cellStyle name="Normal 4 4 3 2 3 2 2" xfId="7322" xr:uid="{00000000-0005-0000-0000-00007C150000}"/>
    <cellStyle name="Normal 4 4 3 2 3 2 2 2" xfId="15757" xr:uid="{E499AA9F-1010-4F55-BD4E-E9B152B0BA98}"/>
    <cellStyle name="Normal 4 4 3 2 3 2 3" xfId="11539" xr:uid="{A7FECE18-937C-441F-A45E-AD06AF88DC80}"/>
    <cellStyle name="Normal 4 4 3 2 3 3" xfId="5177" xr:uid="{00000000-0005-0000-0000-00007D150000}"/>
    <cellStyle name="Normal 4 4 3 2 3 3 2" xfId="13612" xr:uid="{EC1F275D-C33D-4BCF-8941-24A002617161}"/>
    <cellStyle name="Normal 4 4 3 2 3 4" xfId="9394" xr:uid="{3D603D70-DDA9-4712-9732-0C1E6AE4EBDF}"/>
    <cellStyle name="Normal 4 4 3 2 4" xfId="1282" xr:uid="{00000000-0005-0000-0000-00007E150000}"/>
    <cellStyle name="Normal 4 4 3 2 4 2" xfId="3512" xr:uid="{00000000-0005-0000-0000-00007F150000}"/>
    <cellStyle name="Normal 4 4 3 2 4 2 2" xfId="7735" xr:uid="{00000000-0005-0000-0000-000080150000}"/>
    <cellStyle name="Normal 4 4 3 2 4 2 2 2" xfId="16170" xr:uid="{FB2022BE-87F9-4218-8A22-47A4EF26F317}"/>
    <cellStyle name="Normal 4 4 3 2 4 2 3" xfId="11952" xr:uid="{518717C3-BB57-42C1-8C9F-83DE9AA481D4}"/>
    <cellStyle name="Normal 4 4 3 2 4 3" xfId="5590" xr:uid="{00000000-0005-0000-0000-000081150000}"/>
    <cellStyle name="Normal 4 4 3 2 4 3 2" xfId="14025" xr:uid="{91BBA7A0-AB7A-4F7D-B35C-E7454C052D27}"/>
    <cellStyle name="Normal 4 4 3 2 4 4" xfId="9807" xr:uid="{226D5848-2C06-441A-BD5F-2044C5E2A021}"/>
    <cellStyle name="Normal 4 4 3 2 5" xfId="1695" xr:uid="{00000000-0005-0000-0000-000082150000}"/>
    <cellStyle name="Normal 4 4 3 2 5 2" xfId="3925" xr:uid="{00000000-0005-0000-0000-000083150000}"/>
    <cellStyle name="Normal 4 4 3 2 5 2 2" xfId="8148" xr:uid="{00000000-0005-0000-0000-000084150000}"/>
    <cellStyle name="Normal 4 4 3 2 5 2 2 2" xfId="16583" xr:uid="{EC778FBF-66C6-4E68-ABE8-2F0C9C1ECDDB}"/>
    <cellStyle name="Normal 4 4 3 2 5 2 3" xfId="12365" xr:uid="{CE168FCC-9F90-4F3F-A780-BE311374031E}"/>
    <cellStyle name="Normal 4 4 3 2 5 3" xfId="6003" xr:uid="{00000000-0005-0000-0000-000085150000}"/>
    <cellStyle name="Normal 4 4 3 2 5 3 2" xfId="14438" xr:uid="{DAF14BF6-4C7B-4D55-BF46-18E6188DF45A}"/>
    <cellStyle name="Normal 4 4 3 2 5 4" xfId="10220" xr:uid="{C7669D43-6611-48DF-87B2-E72CB23DFDDB}"/>
    <cellStyle name="Normal 4 4 3 2 6" xfId="2109" xr:uid="{00000000-0005-0000-0000-000086150000}"/>
    <cellStyle name="Normal 4 4 3 2 6 2" xfId="4338" xr:uid="{00000000-0005-0000-0000-000087150000}"/>
    <cellStyle name="Normal 4 4 3 2 6 2 2" xfId="8561" xr:uid="{00000000-0005-0000-0000-000088150000}"/>
    <cellStyle name="Normal 4 4 3 2 6 2 2 2" xfId="16996" xr:uid="{A9E575E1-54BD-4326-AF00-404D5BF97FD4}"/>
    <cellStyle name="Normal 4 4 3 2 6 2 3" xfId="12778" xr:uid="{8A27D6B0-F616-4F43-A8A8-572173919BC2}"/>
    <cellStyle name="Normal 4 4 3 2 6 3" xfId="6416" xr:uid="{00000000-0005-0000-0000-000089150000}"/>
    <cellStyle name="Normal 4 4 3 2 6 3 2" xfId="14851" xr:uid="{82E63250-4DDF-49AD-BAAE-55EF784D332A}"/>
    <cellStyle name="Normal 4 4 3 2 6 4" xfId="10633" xr:uid="{0ADF57E2-68C0-4E2C-AE6A-92B313DC9028}"/>
    <cellStyle name="Normal 4 4 3 2 7" xfId="2545" xr:uid="{00000000-0005-0000-0000-00008A150000}"/>
    <cellStyle name="Normal 4 4 3 2 7 2" xfId="6829" xr:uid="{00000000-0005-0000-0000-00008B150000}"/>
    <cellStyle name="Normal 4 4 3 2 7 2 2" xfId="15264" xr:uid="{8B0A8407-74F0-408C-BE70-CC7446305DCE}"/>
    <cellStyle name="Normal 4 4 3 2 7 3" xfId="11046" xr:uid="{F7B6D376-F567-449D-991D-CFC55058482E}"/>
    <cellStyle name="Normal 4 4 3 2 8" xfId="4764" xr:uid="{00000000-0005-0000-0000-00008C150000}"/>
    <cellStyle name="Normal 4 4 3 2 8 2" xfId="13199" xr:uid="{0269610B-6D40-4EA4-9691-9465577A68F8}"/>
    <cellStyle name="Normal 4 4 3 2 9" xfId="8981" xr:uid="{0BBEA9EC-C682-4897-93C5-AEC554F11B5A}"/>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2 2 2" xfId="15759" xr:uid="{283FAD28-0A3E-4A27-B25B-8A29D83FDE1D}"/>
    <cellStyle name="Normal 4 4 3 3 2 2 3" xfId="11541" xr:uid="{FD9A4A93-B699-4727-A854-52C12576D806}"/>
    <cellStyle name="Normal 4 4 3 3 2 3" xfId="5179" xr:uid="{00000000-0005-0000-0000-000091150000}"/>
    <cellStyle name="Normal 4 4 3 3 2 3 2" xfId="13614" xr:uid="{A4FFC287-DD35-431F-9EE0-78D620332DDE}"/>
    <cellStyle name="Normal 4 4 3 3 2 4" xfId="9396" xr:uid="{8F6EB451-AA8E-4C5B-BE7E-12F9245F3634}"/>
    <cellStyle name="Normal 4 4 3 3 3" xfId="1284" xr:uid="{00000000-0005-0000-0000-000092150000}"/>
    <cellStyle name="Normal 4 4 3 3 3 2" xfId="3514" xr:uid="{00000000-0005-0000-0000-000093150000}"/>
    <cellStyle name="Normal 4 4 3 3 3 2 2" xfId="7737" xr:uid="{00000000-0005-0000-0000-000094150000}"/>
    <cellStyle name="Normal 4 4 3 3 3 2 2 2" xfId="16172" xr:uid="{8C566F33-06D8-4F12-B030-66834D920EBC}"/>
    <cellStyle name="Normal 4 4 3 3 3 2 3" xfId="11954" xr:uid="{B174EBF8-08C5-441B-8FB3-14B44FB499AB}"/>
    <cellStyle name="Normal 4 4 3 3 3 3" xfId="5592" xr:uid="{00000000-0005-0000-0000-000095150000}"/>
    <cellStyle name="Normal 4 4 3 3 3 3 2" xfId="14027" xr:uid="{3EB0992F-1B68-4FFB-BA38-240B9DA8D309}"/>
    <cellStyle name="Normal 4 4 3 3 3 4" xfId="9809" xr:uid="{2F367966-F042-43D9-8065-37538B325275}"/>
    <cellStyle name="Normal 4 4 3 3 4" xfId="1697" xr:uid="{00000000-0005-0000-0000-000096150000}"/>
    <cellStyle name="Normal 4 4 3 3 4 2" xfId="3927" xr:uid="{00000000-0005-0000-0000-000097150000}"/>
    <cellStyle name="Normal 4 4 3 3 4 2 2" xfId="8150" xr:uid="{00000000-0005-0000-0000-000098150000}"/>
    <cellStyle name="Normal 4 4 3 3 4 2 2 2" xfId="16585" xr:uid="{B9B135AE-7E1D-43CD-8F09-776D4F91E00D}"/>
    <cellStyle name="Normal 4 4 3 3 4 2 3" xfId="12367" xr:uid="{1B807081-418F-494C-BFD4-1E6E9219BDCD}"/>
    <cellStyle name="Normal 4 4 3 3 4 3" xfId="6005" xr:uid="{00000000-0005-0000-0000-000099150000}"/>
    <cellStyle name="Normal 4 4 3 3 4 3 2" xfId="14440" xr:uid="{28E7468A-ABE8-43AA-9545-AA6650D78226}"/>
    <cellStyle name="Normal 4 4 3 3 4 4" xfId="10222" xr:uid="{84628391-5944-4BD8-A915-CDA1E201714C}"/>
    <cellStyle name="Normal 4 4 3 3 5" xfId="2111" xr:uid="{00000000-0005-0000-0000-00009A150000}"/>
    <cellStyle name="Normal 4 4 3 3 5 2" xfId="4340" xr:uid="{00000000-0005-0000-0000-00009B150000}"/>
    <cellStyle name="Normal 4 4 3 3 5 2 2" xfId="8563" xr:uid="{00000000-0005-0000-0000-00009C150000}"/>
    <cellStyle name="Normal 4 4 3 3 5 2 2 2" xfId="16998" xr:uid="{4E55D685-7836-4DF0-839A-F3D1C2812FBC}"/>
    <cellStyle name="Normal 4 4 3 3 5 2 3" xfId="12780" xr:uid="{359A0A2D-159F-4000-B95B-4639C9F0B3FB}"/>
    <cellStyle name="Normal 4 4 3 3 5 3" xfId="6418" xr:uid="{00000000-0005-0000-0000-00009D150000}"/>
    <cellStyle name="Normal 4 4 3 3 5 3 2" xfId="14853" xr:uid="{1E4614A8-16C9-4F80-BA1F-03E971BFECA5}"/>
    <cellStyle name="Normal 4 4 3 3 5 4" xfId="10635" xr:uid="{91B3997D-E5F2-499D-B57D-327AC5D1CDCC}"/>
    <cellStyle name="Normal 4 4 3 3 6" xfId="2547" xr:uid="{00000000-0005-0000-0000-00009E150000}"/>
    <cellStyle name="Normal 4 4 3 3 6 2" xfId="6831" xr:uid="{00000000-0005-0000-0000-00009F150000}"/>
    <cellStyle name="Normal 4 4 3 3 6 2 2" xfId="15266" xr:uid="{25F223F9-E248-42B7-AA51-43411A22AF46}"/>
    <cellStyle name="Normal 4 4 3 3 6 3" xfId="11048" xr:uid="{FD0F0FED-8BF4-4390-8D31-C2583F2B231E}"/>
    <cellStyle name="Normal 4 4 3 3 7" xfId="4766" xr:uid="{00000000-0005-0000-0000-0000A0150000}"/>
    <cellStyle name="Normal 4 4 3 3 7 2" xfId="13201" xr:uid="{338E409B-7066-4C7E-ADBA-AD66D16A7FC4}"/>
    <cellStyle name="Normal 4 4 3 3 8" xfId="8983" xr:uid="{BDD2EB69-40F4-476D-B990-15C95FDD8162}"/>
    <cellStyle name="Normal 4 4 3 4" xfId="863" xr:uid="{00000000-0005-0000-0000-0000A1150000}"/>
    <cellStyle name="Normal 4 4 3 4 2" xfId="3098" xr:uid="{00000000-0005-0000-0000-0000A2150000}"/>
    <cellStyle name="Normal 4 4 3 4 2 2" xfId="7321" xr:uid="{00000000-0005-0000-0000-0000A3150000}"/>
    <cellStyle name="Normal 4 4 3 4 2 2 2" xfId="15756" xr:uid="{DF5BF4A0-A66F-40BC-9C01-993BDCD33F84}"/>
    <cellStyle name="Normal 4 4 3 4 2 3" xfId="11538" xr:uid="{CA6EDFA7-A0CB-47E4-A5A7-D7650ACDFAA0}"/>
    <cellStyle name="Normal 4 4 3 4 3" xfId="5176" xr:uid="{00000000-0005-0000-0000-0000A4150000}"/>
    <cellStyle name="Normal 4 4 3 4 3 2" xfId="13611" xr:uid="{EAEEF6C4-51F3-48EC-84F1-63EB16B52629}"/>
    <cellStyle name="Normal 4 4 3 4 4" xfId="9393" xr:uid="{352FB5B7-192E-485A-B2AB-BA0DF61A8A0E}"/>
    <cellStyle name="Normal 4 4 3 5" xfId="1281" xr:uid="{00000000-0005-0000-0000-0000A5150000}"/>
    <cellStyle name="Normal 4 4 3 5 2" xfId="3511" xr:uid="{00000000-0005-0000-0000-0000A6150000}"/>
    <cellStyle name="Normal 4 4 3 5 2 2" xfId="7734" xr:uid="{00000000-0005-0000-0000-0000A7150000}"/>
    <cellStyle name="Normal 4 4 3 5 2 2 2" xfId="16169" xr:uid="{A8650169-9AEC-4026-B66E-2B18E28C5633}"/>
    <cellStyle name="Normal 4 4 3 5 2 3" xfId="11951" xr:uid="{80DF3DDF-473B-4EFD-81C7-C168CC499C70}"/>
    <cellStyle name="Normal 4 4 3 5 3" xfId="5589" xr:uid="{00000000-0005-0000-0000-0000A8150000}"/>
    <cellStyle name="Normal 4 4 3 5 3 2" xfId="14024" xr:uid="{0F5A380A-40C8-40B5-B7E2-EBFA54B22EB0}"/>
    <cellStyle name="Normal 4 4 3 5 4" xfId="9806" xr:uid="{302F10FA-5C22-4649-B317-EF2F7892448F}"/>
    <cellStyle name="Normal 4 4 3 6" xfId="1694" xr:uid="{00000000-0005-0000-0000-0000A9150000}"/>
    <cellStyle name="Normal 4 4 3 6 2" xfId="3924" xr:uid="{00000000-0005-0000-0000-0000AA150000}"/>
    <cellStyle name="Normal 4 4 3 6 2 2" xfId="8147" xr:uid="{00000000-0005-0000-0000-0000AB150000}"/>
    <cellStyle name="Normal 4 4 3 6 2 2 2" xfId="16582" xr:uid="{032F8F7D-90D8-4292-8186-2D56CD2E3BE8}"/>
    <cellStyle name="Normal 4 4 3 6 2 3" xfId="12364" xr:uid="{8F4CADE9-430E-4A43-B2DA-B8402B85D607}"/>
    <cellStyle name="Normal 4 4 3 6 3" xfId="6002" xr:uid="{00000000-0005-0000-0000-0000AC150000}"/>
    <cellStyle name="Normal 4 4 3 6 3 2" xfId="14437" xr:uid="{7B7DD12E-3B2C-4611-94CE-1DC1A2706A90}"/>
    <cellStyle name="Normal 4 4 3 6 4" xfId="10219" xr:uid="{4EDDB502-29BF-49AC-8458-DDB525790A85}"/>
    <cellStyle name="Normal 4 4 3 7" xfId="2108" xr:uid="{00000000-0005-0000-0000-0000AD150000}"/>
    <cellStyle name="Normal 4 4 3 7 2" xfId="4337" xr:uid="{00000000-0005-0000-0000-0000AE150000}"/>
    <cellStyle name="Normal 4 4 3 7 2 2" xfId="8560" xr:uid="{00000000-0005-0000-0000-0000AF150000}"/>
    <cellStyle name="Normal 4 4 3 7 2 2 2" xfId="16995" xr:uid="{145D44D2-CA58-4627-AD06-EB34115390C0}"/>
    <cellStyle name="Normal 4 4 3 7 2 3" xfId="12777" xr:uid="{A32F02A6-D6F6-48FA-BB68-FF177FB77DDC}"/>
    <cellStyle name="Normal 4 4 3 7 3" xfId="6415" xr:uid="{00000000-0005-0000-0000-0000B0150000}"/>
    <cellStyle name="Normal 4 4 3 7 3 2" xfId="14850" xr:uid="{793D0E74-41E0-4CEE-9AE2-A4C82899ABEA}"/>
    <cellStyle name="Normal 4 4 3 7 4" xfId="10632" xr:uid="{9BA78443-426B-4E76-BBE7-15354239975C}"/>
    <cellStyle name="Normal 4 4 3 8" xfId="2544" xr:uid="{00000000-0005-0000-0000-0000B1150000}"/>
    <cellStyle name="Normal 4 4 3 8 2" xfId="6828" xr:uid="{00000000-0005-0000-0000-0000B2150000}"/>
    <cellStyle name="Normal 4 4 3 8 2 2" xfId="15263" xr:uid="{7BC5730A-2199-49DE-A2ED-8B1F15A9827C}"/>
    <cellStyle name="Normal 4 4 3 8 3" xfId="11045" xr:uid="{EC8EF842-8B51-4337-94F5-B5C6250342CD}"/>
    <cellStyle name="Normal 4 4 3 9" xfId="4763" xr:uid="{00000000-0005-0000-0000-0000B3150000}"/>
    <cellStyle name="Normal 4 4 3 9 2" xfId="13198" xr:uid="{18F49A41-676B-4595-84F2-98231BE7FF27}"/>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2 2 2" xfId="15761" xr:uid="{2289166E-FADB-461C-A222-C1572C2FB11F}"/>
    <cellStyle name="Normal 4 4 4 2 2 2 3" xfId="11543" xr:uid="{4FA3E9E5-AC1C-4274-8A8D-4E4A0C238BE2}"/>
    <cellStyle name="Normal 4 4 4 2 2 3" xfId="5181" xr:uid="{00000000-0005-0000-0000-0000B9150000}"/>
    <cellStyle name="Normal 4 4 4 2 2 3 2" xfId="13616" xr:uid="{8F11826B-4CCC-4A9E-A97C-C367972C7FCF}"/>
    <cellStyle name="Normal 4 4 4 2 2 4" xfId="9398" xr:uid="{3594A645-B104-41F9-BD1E-55E24B71355D}"/>
    <cellStyle name="Normal 4 4 4 2 3" xfId="1286" xr:uid="{00000000-0005-0000-0000-0000BA150000}"/>
    <cellStyle name="Normal 4 4 4 2 3 2" xfId="3516" xr:uid="{00000000-0005-0000-0000-0000BB150000}"/>
    <cellStyle name="Normal 4 4 4 2 3 2 2" xfId="7739" xr:uid="{00000000-0005-0000-0000-0000BC150000}"/>
    <cellStyle name="Normal 4 4 4 2 3 2 2 2" xfId="16174" xr:uid="{46B96396-D240-4FF9-96D9-91DA6BFF1172}"/>
    <cellStyle name="Normal 4 4 4 2 3 2 3" xfId="11956" xr:uid="{BFC77777-7F19-4F46-B147-D93965C6838B}"/>
    <cellStyle name="Normal 4 4 4 2 3 3" xfId="5594" xr:uid="{00000000-0005-0000-0000-0000BD150000}"/>
    <cellStyle name="Normal 4 4 4 2 3 3 2" xfId="14029" xr:uid="{D4CF06D6-D70B-418E-B5C1-1D6CFDE75FE4}"/>
    <cellStyle name="Normal 4 4 4 2 3 4" xfId="9811" xr:uid="{1A9D64B0-E0B5-412E-A2E4-227808D8935E}"/>
    <cellStyle name="Normal 4 4 4 2 4" xfId="1699" xr:uid="{00000000-0005-0000-0000-0000BE150000}"/>
    <cellStyle name="Normal 4 4 4 2 4 2" xfId="3929" xr:uid="{00000000-0005-0000-0000-0000BF150000}"/>
    <cellStyle name="Normal 4 4 4 2 4 2 2" xfId="8152" xr:uid="{00000000-0005-0000-0000-0000C0150000}"/>
    <cellStyle name="Normal 4 4 4 2 4 2 2 2" xfId="16587" xr:uid="{A34D1914-CA98-4D11-A147-DA783AB0191A}"/>
    <cellStyle name="Normal 4 4 4 2 4 2 3" xfId="12369" xr:uid="{271F4A9F-0AEB-46D0-BB3A-A2306A9F1630}"/>
    <cellStyle name="Normal 4 4 4 2 4 3" xfId="6007" xr:uid="{00000000-0005-0000-0000-0000C1150000}"/>
    <cellStyle name="Normal 4 4 4 2 4 3 2" xfId="14442" xr:uid="{64B52CD1-B9DB-4976-B59E-90B0EC448968}"/>
    <cellStyle name="Normal 4 4 4 2 4 4" xfId="10224" xr:uid="{9245D07A-F96F-43DF-8714-85B30FA325DE}"/>
    <cellStyle name="Normal 4 4 4 2 5" xfId="2113" xr:uid="{00000000-0005-0000-0000-0000C2150000}"/>
    <cellStyle name="Normal 4 4 4 2 5 2" xfId="4342" xr:uid="{00000000-0005-0000-0000-0000C3150000}"/>
    <cellStyle name="Normal 4 4 4 2 5 2 2" xfId="8565" xr:uid="{00000000-0005-0000-0000-0000C4150000}"/>
    <cellStyle name="Normal 4 4 4 2 5 2 2 2" xfId="17000" xr:uid="{6EDEB163-7597-449B-A2A5-FC1334030118}"/>
    <cellStyle name="Normal 4 4 4 2 5 2 3" xfId="12782" xr:uid="{ECB5C783-6330-4891-99F5-F66850F42CD9}"/>
    <cellStyle name="Normal 4 4 4 2 5 3" xfId="6420" xr:uid="{00000000-0005-0000-0000-0000C5150000}"/>
    <cellStyle name="Normal 4 4 4 2 5 3 2" xfId="14855" xr:uid="{981DA858-74FF-4822-A5D4-07A8AF482D03}"/>
    <cellStyle name="Normal 4 4 4 2 5 4" xfId="10637" xr:uid="{9BB4EC05-A6DE-4B43-AE8E-152CF1A64943}"/>
    <cellStyle name="Normal 4 4 4 2 6" xfId="2549" xr:uid="{00000000-0005-0000-0000-0000C6150000}"/>
    <cellStyle name="Normal 4 4 4 2 6 2" xfId="6833" xr:uid="{00000000-0005-0000-0000-0000C7150000}"/>
    <cellStyle name="Normal 4 4 4 2 6 2 2" xfId="15268" xr:uid="{020FF7E3-09BF-422F-BC04-0AB7E221ECEC}"/>
    <cellStyle name="Normal 4 4 4 2 6 3" xfId="11050" xr:uid="{86515E4A-94B4-4CE1-B36D-989DFF673799}"/>
    <cellStyle name="Normal 4 4 4 2 7" xfId="4768" xr:uid="{00000000-0005-0000-0000-0000C8150000}"/>
    <cellStyle name="Normal 4 4 4 2 7 2" xfId="13203" xr:uid="{39D0BB4A-C9A3-494D-95A0-6E683DEBDA82}"/>
    <cellStyle name="Normal 4 4 4 2 8" xfId="8985" xr:uid="{598C9E41-65F4-47D1-8090-DB84F08322AB}"/>
    <cellStyle name="Normal 4 4 4 3" xfId="867" xr:uid="{00000000-0005-0000-0000-0000C9150000}"/>
    <cellStyle name="Normal 4 4 4 3 2" xfId="3102" xr:uid="{00000000-0005-0000-0000-0000CA150000}"/>
    <cellStyle name="Normal 4 4 4 3 2 2" xfId="7325" xr:uid="{00000000-0005-0000-0000-0000CB150000}"/>
    <cellStyle name="Normal 4 4 4 3 2 2 2" xfId="15760" xr:uid="{F6347182-2932-4132-B6C4-7C53001008E1}"/>
    <cellStyle name="Normal 4 4 4 3 2 3" xfId="11542" xr:uid="{CAA25119-6A2E-4B23-83CD-810C66371DB7}"/>
    <cellStyle name="Normal 4 4 4 3 3" xfId="5180" xr:uid="{00000000-0005-0000-0000-0000CC150000}"/>
    <cellStyle name="Normal 4 4 4 3 3 2" xfId="13615" xr:uid="{4C7A50C7-7780-45AF-86A2-D19F42ACF78A}"/>
    <cellStyle name="Normal 4 4 4 3 4" xfId="9397" xr:uid="{11855A06-0E87-484F-9506-97B65452721A}"/>
    <cellStyle name="Normal 4 4 4 4" xfId="1285" xr:uid="{00000000-0005-0000-0000-0000CD150000}"/>
    <cellStyle name="Normal 4 4 4 4 2" xfId="3515" xr:uid="{00000000-0005-0000-0000-0000CE150000}"/>
    <cellStyle name="Normal 4 4 4 4 2 2" xfId="7738" xr:uid="{00000000-0005-0000-0000-0000CF150000}"/>
    <cellStyle name="Normal 4 4 4 4 2 2 2" xfId="16173" xr:uid="{528B3F27-BEA7-4BFF-8F22-449480E574A2}"/>
    <cellStyle name="Normal 4 4 4 4 2 3" xfId="11955" xr:uid="{0ABD5F69-1565-4231-8025-FD4BBB494EDC}"/>
    <cellStyle name="Normal 4 4 4 4 3" xfId="5593" xr:uid="{00000000-0005-0000-0000-0000D0150000}"/>
    <cellStyle name="Normal 4 4 4 4 3 2" xfId="14028" xr:uid="{77F94576-78A2-46E0-8380-19C73EBBFABF}"/>
    <cellStyle name="Normal 4 4 4 4 4" xfId="9810" xr:uid="{971DFDEE-2D19-4450-83CA-5669663C85A0}"/>
    <cellStyle name="Normal 4 4 4 5" xfId="1698" xr:uid="{00000000-0005-0000-0000-0000D1150000}"/>
    <cellStyle name="Normal 4 4 4 5 2" xfId="3928" xr:uid="{00000000-0005-0000-0000-0000D2150000}"/>
    <cellStyle name="Normal 4 4 4 5 2 2" xfId="8151" xr:uid="{00000000-0005-0000-0000-0000D3150000}"/>
    <cellStyle name="Normal 4 4 4 5 2 2 2" xfId="16586" xr:uid="{F162A7F1-16AC-4C1A-9E27-2C6BB2651AE0}"/>
    <cellStyle name="Normal 4 4 4 5 2 3" xfId="12368" xr:uid="{86E6CBDD-05E5-4B31-AB47-C17DA9EE7205}"/>
    <cellStyle name="Normal 4 4 4 5 3" xfId="6006" xr:uid="{00000000-0005-0000-0000-0000D4150000}"/>
    <cellStyle name="Normal 4 4 4 5 3 2" xfId="14441" xr:uid="{C67E502D-940F-42D6-B37C-91A1E594EB43}"/>
    <cellStyle name="Normal 4 4 4 5 4" xfId="10223" xr:uid="{08B7408A-1BA0-4940-A3B2-25B28D44C3F9}"/>
    <cellStyle name="Normal 4 4 4 6" xfId="2112" xr:uid="{00000000-0005-0000-0000-0000D5150000}"/>
    <cellStyle name="Normal 4 4 4 6 2" xfId="4341" xr:uid="{00000000-0005-0000-0000-0000D6150000}"/>
    <cellStyle name="Normal 4 4 4 6 2 2" xfId="8564" xr:uid="{00000000-0005-0000-0000-0000D7150000}"/>
    <cellStyle name="Normal 4 4 4 6 2 2 2" xfId="16999" xr:uid="{5C7DB707-79B4-43C2-89DD-A242DF34404C}"/>
    <cellStyle name="Normal 4 4 4 6 2 3" xfId="12781" xr:uid="{8AED0F5A-3419-404E-81BE-0F322D6A2202}"/>
    <cellStyle name="Normal 4 4 4 6 3" xfId="6419" xr:uid="{00000000-0005-0000-0000-0000D8150000}"/>
    <cellStyle name="Normal 4 4 4 6 3 2" xfId="14854" xr:uid="{B04133E3-33C5-48FB-ADD6-B328408F9963}"/>
    <cellStyle name="Normal 4 4 4 6 4" xfId="10636" xr:uid="{7D5ED489-3F49-4174-BD0B-CBB8D6770472}"/>
    <cellStyle name="Normal 4 4 4 7" xfId="2548" xr:uid="{00000000-0005-0000-0000-0000D9150000}"/>
    <cellStyle name="Normal 4 4 4 7 2" xfId="6832" xr:uid="{00000000-0005-0000-0000-0000DA150000}"/>
    <cellStyle name="Normal 4 4 4 7 2 2" xfId="15267" xr:uid="{AA03AAC6-191A-4058-BCA2-A107AD4CCE15}"/>
    <cellStyle name="Normal 4 4 4 7 3" xfId="11049" xr:uid="{ACD149DE-D542-4224-B651-AA3B5AA8DE26}"/>
    <cellStyle name="Normal 4 4 4 8" xfId="4767" xr:uid="{00000000-0005-0000-0000-0000DB150000}"/>
    <cellStyle name="Normal 4 4 4 8 2" xfId="13202" xr:uid="{E24B323C-549A-4E93-B7AF-A60AFA746F8C}"/>
    <cellStyle name="Normal 4 4 4 9" xfId="8984" xr:uid="{3DF195C5-B66D-426D-94A0-CC243877E555}"/>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2 2 2" xfId="15762" xr:uid="{E72DA62A-2269-4458-8346-19AA81440155}"/>
    <cellStyle name="Normal 4 4 5 2 2 3" xfId="11544" xr:uid="{E85EBA78-2D56-4333-9469-6DA009A67970}"/>
    <cellStyle name="Normal 4 4 5 2 3" xfId="5182" xr:uid="{00000000-0005-0000-0000-0000E0150000}"/>
    <cellStyle name="Normal 4 4 5 2 3 2" xfId="13617" xr:uid="{0CFA249B-B78A-4FE6-9C3E-66B008A0C05D}"/>
    <cellStyle name="Normal 4 4 5 2 4" xfId="9399" xr:uid="{8AC59B8D-B627-4398-A7C6-CC3A8E6208C5}"/>
    <cellStyle name="Normal 4 4 5 3" xfId="1287" xr:uid="{00000000-0005-0000-0000-0000E1150000}"/>
    <cellStyle name="Normal 4 4 5 3 2" xfId="3517" xr:uid="{00000000-0005-0000-0000-0000E2150000}"/>
    <cellStyle name="Normal 4 4 5 3 2 2" xfId="7740" xr:uid="{00000000-0005-0000-0000-0000E3150000}"/>
    <cellStyle name="Normal 4 4 5 3 2 2 2" xfId="16175" xr:uid="{3C8C0F96-D0A6-40E1-A0BC-2715199345F1}"/>
    <cellStyle name="Normal 4 4 5 3 2 3" xfId="11957" xr:uid="{00976CBE-ECC2-4A84-A4B6-96939493D297}"/>
    <cellStyle name="Normal 4 4 5 3 3" xfId="5595" xr:uid="{00000000-0005-0000-0000-0000E4150000}"/>
    <cellStyle name="Normal 4 4 5 3 3 2" xfId="14030" xr:uid="{F49CCBC8-3084-47E6-B990-12A099094AD3}"/>
    <cellStyle name="Normal 4 4 5 3 4" xfId="9812" xr:uid="{14C08168-71C1-4778-9913-BD7888E13063}"/>
    <cellStyle name="Normal 4 4 5 4" xfId="1700" xr:uid="{00000000-0005-0000-0000-0000E5150000}"/>
    <cellStyle name="Normal 4 4 5 4 2" xfId="3930" xr:uid="{00000000-0005-0000-0000-0000E6150000}"/>
    <cellStyle name="Normal 4 4 5 4 2 2" xfId="8153" xr:uid="{00000000-0005-0000-0000-0000E7150000}"/>
    <cellStyle name="Normal 4 4 5 4 2 2 2" xfId="16588" xr:uid="{EB008DE4-6E7F-4DD0-888A-8A9E10C8C55C}"/>
    <cellStyle name="Normal 4 4 5 4 2 3" xfId="12370" xr:uid="{7E1DDE35-D9F0-437C-AD93-FC6AB82A01E2}"/>
    <cellStyle name="Normal 4 4 5 4 3" xfId="6008" xr:uid="{00000000-0005-0000-0000-0000E8150000}"/>
    <cellStyle name="Normal 4 4 5 4 3 2" xfId="14443" xr:uid="{F609DD17-ADA5-48B0-9D38-001BDC9A9BD3}"/>
    <cellStyle name="Normal 4 4 5 4 4" xfId="10225" xr:uid="{2AB5B402-F97A-4FDA-BAB6-04F4129E918D}"/>
    <cellStyle name="Normal 4 4 5 5" xfId="2114" xr:uid="{00000000-0005-0000-0000-0000E9150000}"/>
    <cellStyle name="Normal 4 4 5 5 2" xfId="4343" xr:uid="{00000000-0005-0000-0000-0000EA150000}"/>
    <cellStyle name="Normal 4 4 5 5 2 2" xfId="8566" xr:uid="{00000000-0005-0000-0000-0000EB150000}"/>
    <cellStyle name="Normal 4 4 5 5 2 2 2" xfId="17001" xr:uid="{6E8A0D9A-BD44-44FC-8AAB-ABBBB413B5E9}"/>
    <cellStyle name="Normal 4 4 5 5 2 3" xfId="12783" xr:uid="{8FB0DCB1-0607-4E4A-98CD-A54F4411B64C}"/>
    <cellStyle name="Normal 4 4 5 5 3" xfId="6421" xr:uid="{00000000-0005-0000-0000-0000EC150000}"/>
    <cellStyle name="Normal 4 4 5 5 3 2" xfId="14856" xr:uid="{D103BA75-7BE7-4176-9DA2-A19F9D3D2893}"/>
    <cellStyle name="Normal 4 4 5 5 4" xfId="10638" xr:uid="{7131041A-BD79-41CC-807E-1BE020062949}"/>
    <cellStyle name="Normal 4 4 5 6" xfId="2550" xr:uid="{00000000-0005-0000-0000-0000ED150000}"/>
    <cellStyle name="Normal 4 4 5 6 2" xfId="6834" xr:uid="{00000000-0005-0000-0000-0000EE150000}"/>
    <cellStyle name="Normal 4 4 5 6 2 2" xfId="15269" xr:uid="{04AC32F9-BEBF-4D51-B224-44CD59E5B077}"/>
    <cellStyle name="Normal 4 4 5 6 3" xfId="11051" xr:uid="{C3A5B344-9605-4EFF-B725-8DE248BFE87A}"/>
    <cellStyle name="Normal 4 4 5 7" xfId="4769" xr:uid="{00000000-0005-0000-0000-0000EF150000}"/>
    <cellStyle name="Normal 4 4 5 7 2" xfId="13204" xr:uid="{C8185320-B188-4540-8B79-D21EF7CD8348}"/>
    <cellStyle name="Normal 4 4 5 8" xfId="8986" xr:uid="{2F269F16-A153-41FD-92D6-BDC78646FD42}"/>
    <cellStyle name="Normal 4 4 6" xfId="854" xr:uid="{00000000-0005-0000-0000-0000F0150000}"/>
    <cellStyle name="Normal 4 4 6 2" xfId="3089" xr:uid="{00000000-0005-0000-0000-0000F1150000}"/>
    <cellStyle name="Normal 4 4 6 2 2" xfId="7312" xr:uid="{00000000-0005-0000-0000-0000F2150000}"/>
    <cellStyle name="Normal 4 4 6 2 2 2" xfId="15747" xr:uid="{7ED563E2-6A3B-421E-8898-6398B36C60EF}"/>
    <cellStyle name="Normal 4 4 6 2 3" xfId="11529" xr:uid="{C39B3D81-26F9-4225-B11C-F46E2CA52AA0}"/>
    <cellStyle name="Normal 4 4 6 3" xfId="5167" xr:uid="{00000000-0005-0000-0000-0000F3150000}"/>
    <cellStyle name="Normal 4 4 6 3 2" xfId="13602" xr:uid="{B112900E-B3D0-4300-AFD4-6F39DFD9874A}"/>
    <cellStyle name="Normal 4 4 6 4" xfId="9384" xr:uid="{413F332C-F2BA-45A9-8041-CEB3230486A5}"/>
    <cellStyle name="Normal 4 4 7" xfId="1272" xr:uid="{00000000-0005-0000-0000-0000F4150000}"/>
    <cellStyle name="Normal 4 4 7 2" xfId="3502" xr:uid="{00000000-0005-0000-0000-0000F5150000}"/>
    <cellStyle name="Normal 4 4 7 2 2" xfId="7725" xr:uid="{00000000-0005-0000-0000-0000F6150000}"/>
    <cellStyle name="Normal 4 4 7 2 2 2" xfId="16160" xr:uid="{55B4223D-BBBA-4C9B-82C3-7B739542454E}"/>
    <cellStyle name="Normal 4 4 7 2 3" xfId="11942" xr:uid="{A752C752-3326-422D-AD30-DC02A32F19C4}"/>
    <cellStyle name="Normal 4 4 7 3" xfId="5580" xr:uid="{00000000-0005-0000-0000-0000F7150000}"/>
    <cellStyle name="Normal 4 4 7 3 2" xfId="14015" xr:uid="{D20A540F-B353-497C-9E54-C5F38453BBA2}"/>
    <cellStyle name="Normal 4 4 7 4" xfId="9797" xr:uid="{AF9E6058-1342-463C-950F-B20849586516}"/>
    <cellStyle name="Normal 4 4 8" xfId="1685" xr:uid="{00000000-0005-0000-0000-0000F8150000}"/>
    <cellStyle name="Normal 4 4 8 2" xfId="3915" xr:uid="{00000000-0005-0000-0000-0000F9150000}"/>
    <cellStyle name="Normal 4 4 8 2 2" xfId="8138" xr:uid="{00000000-0005-0000-0000-0000FA150000}"/>
    <cellStyle name="Normal 4 4 8 2 2 2" xfId="16573" xr:uid="{819D1449-44D0-4947-AB2D-ADD944126F1F}"/>
    <cellStyle name="Normal 4 4 8 2 3" xfId="12355" xr:uid="{4A4847D2-BCED-4238-8780-BD656DB693AB}"/>
    <cellStyle name="Normal 4 4 8 3" xfId="5993" xr:uid="{00000000-0005-0000-0000-0000FB150000}"/>
    <cellStyle name="Normal 4 4 8 3 2" xfId="14428" xr:uid="{1D921AE2-25C2-48A5-8C52-461163B69C98}"/>
    <cellStyle name="Normal 4 4 8 4" xfId="10210" xr:uid="{176D46CF-82BB-426E-9DBC-A6D40E57B2C1}"/>
    <cellStyle name="Normal 4 4 9" xfId="2099" xr:uid="{00000000-0005-0000-0000-0000FC150000}"/>
    <cellStyle name="Normal 4 4 9 2" xfId="4328" xr:uid="{00000000-0005-0000-0000-0000FD150000}"/>
    <cellStyle name="Normal 4 4 9 2 2" xfId="8551" xr:uid="{00000000-0005-0000-0000-0000FE150000}"/>
    <cellStyle name="Normal 4 4 9 2 2 2" xfId="16986" xr:uid="{57228425-BE6E-4BFD-B5FD-C081A48C459B}"/>
    <cellStyle name="Normal 4 4 9 2 3" xfId="12768" xr:uid="{76E2F44D-4311-48F2-B343-E909A71AAD08}"/>
    <cellStyle name="Normal 4 4 9 3" xfId="6406" xr:uid="{00000000-0005-0000-0000-0000FF150000}"/>
    <cellStyle name="Normal 4 4 9 3 2" xfId="14841" xr:uid="{A98CB689-3ECF-4D9F-BB73-7650739B025A}"/>
    <cellStyle name="Normal 4 4 9 4" xfId="10623" xr:uid="{8659D7B4-6DC0-41E3-B745-9C1CE8387599}"/>
    <cellStyle name="Normal 4 5" xfId="394" xr:uid="{00000000-0005-0000-0000-000000160000}"/>
    <cellStyle name="Normal 4 6" xfId="395" xr:uid="{00000000-0005-0000-0000-000001160000}"/>
    <cellStyle name="Normal 4 6 10" xfId="4770" xr:uid="{00000000-0005-0000-0000-000002160000}"/>
    <cellStyle name="Normal 4 6 10 2" xfId="13205" xr:uid="{96F823B9-9989-4A3A-A7E2-7C63EC0E4656}"/>
    <cellStyle name="Normal 4 6 11" xfId="8987" xr:uid="{7254196E-B71F-4E80-A90A-632D98FE8C1E}"/>
    <cellStyle name="Normal 4 6 2" xfId="396" xr:uid="{00000000-0005-0000-0000-000003160000}"/>
    <cellStyle name="Normal 4 6 2 10" xfId="8988" xr:uid="{CE9753F2-B885-49ED-A954-02E07E6FBFAC}"/>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2 2 2" xfId="15766" xr:uid="{215ACE43-CB3E-4E50-BFCF-1DB08A3DEB9D}"/>
    <cellStyle name="Normal 4 6 2 2 2 2 2 3" xfId="11548" xr:uid="{8409205D-FFF7-4161-9567-4CC0E668F681}"/>
    <cellStyle name="Normal 4 6 2 2 2 2 3" xfId="5186" xr:uid="{00000000-0005-0000-0000-000009160000}"/>
    <cellStyle name="Normal 4 6 2 2 2 2 3 2" xfId="13621" xr:uid="{BCBD40EA-8DFB-4473-B227-6C38F47B6CB3}"/>
    <cellStyle name="Normal 4 6 2 2 2 2 4" xfId="9403" xr:uid="{6918C751-7D7B-43C4-AC30-934BC25EC78B}"/>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2 2 2" xfId="16179" xr:uid="{4435012D-EF89-4E5A-B02D-DEFC0BAB381B}"/>
    <cellStyle name="Normal 4 6 2 2 2 3 2 3" xfId="11961" xr:uid="{B0363A6D-3B5F-4138-AA88-862112ECDBBA}"/>
    <cellStyle name="Normal 4 6 2 2 2 3 3" xfId="5599" xr:uid="{00000000-0005-0000-0000-00000D160000}"/>
    <cellStyle name="Normal 4 6 2 2 2 3 3 2" xfId="14034" xr:uid="{FE6F52A5-350D-49A5-8012-410EF50E9875}"/>
    <cellStyle name="Normal 4 6 2 2 2 3 4" xfId="9816" xr:uid="{23D4CA89-CAB1-4060-8CEF-F16055800D1F}"/>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2 2 2" xfId="16592" xr:uid="{B8B24C5F-BDEE-40D5-80B3-CDE4C1D9D53A}"/>
    <cellStyle name="Normal 4 6 2 2 2 4 2 3" xfId="12374" xr:uid="{2FEE581B-9CB5-4F07-B9EE-2E26AC2C130F}"/>
    <cellStyle name="Normal 4 6 2 2 2 4 3" xfId="6012" xr:uid="{00000000-0005-0000-0000-000011160000}"/>
    <cellStyle name="Normal 4 6 2 2 2 4 3 2" xfId="14447" xr:uid="{2ADC4ACF-C465-4A33-B025-84A77D12063B}"/>
    <cellStyle name="Normal 4 6 2 2 2 4 4" xfId="10229" xr:uid="{85C30377-2EEB-4E07-B5BA-02333CD6710E}"/>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2 2 2" xfId="17005" xr:uid="{D978A1EB-DCC8-4747-ACC0-D42575700D95}"/>
    <cellStyle name="Normal 4 6 2 2 2 5 2 3" xfId="12787" xr:uid="{49C70C1C-B29D-4222-871B-F623496025F4}"/>
    <cellStyle name="Normal 4 6 2 2 2 5 3" xfId="6425" xr:uid="{00000000-0005-0000-0000-000015160000}"/>
    <cellStyle name="Normal 4 6 2 2 2 5 3 2" xfId="14860" xr:uid="{1CF5EBD1-7D13-4293-9D54-A5553BF5DCEB}"/>
    <cellStyle name="Normal 4 6 2 2 2 5 4" xfId="10642" xr:uid="{8A22497B-6D5E-4A59-8E0D-8441BBEFFD61}"/>
    <cellStyle name="Normal 4 6 2 2 2 6" xfId="2554" xr:uid="{00000000-0005-0000-0000-000016160000}"/>
    <cellStyle name="Normal 4 6 2 2 2 6 2" xfId="6838" xr:uid="{00000000-0005-0000-0000-000017160000}"/>
    <cellStyle name="Normal 4 6 2 2 2 6 2 2" xfId="15273" xr:uid="{BFA25C4F-C2B9-4280-BED8-60926B0887A3}"/>
    <cellStyle name="Normal 4 6 2 2 2 6 3" xfId="11055" xr:uid="{6F759802-9DA8-4B7A-B54F-BB809B9FDA13}"/>
    <cellStyle name="Normal 4 6 2 2 2 7" xfId="4773" xr:uid="{00000000-0005-0000-0000-000018160000}"/>
    <cellStyle name="Normal 4 6 2 2 2 7 2" xfId="13208" xr:uid="{4371C7AE-E8F0-4343-8DC0-D5965C00F3FA}"/>
    <cellStyle name="Normal 4 6 2 2 2 8" xfId="8990" xr:uid="{B15590AF-06C6-43EF-909F-1C640E234F14}"/>
    <cellStyle name="Normal 4 6 2 2 3" xfId="872" xr:uid="{00000000-0005-0000-0000-000019160000}"/>
    <cellStyle name="Normal 4 6 2 2 3 2" xfId="3107" xr:uid="{00000000-0005-0000-0000-00001A160000}"/>
    <cellStyle name="Normal 4 6 2 2 3 2 2" xfId="7330" xr:uid="{00000000-0005-0000-0000-00001B160000}"/>
    <cellStyle name="Normal 4 6 2 2 3 2 2 2" xfId="15765" xr:uid="{241CF5B8-12F1-46C2-851A-5923AC6CE97E}"/>
    <cellStyle name="Normal 4 6 2 2 3 2 3" xfId="11547" xr:uid="{BEBB178F-6060-4254-B4A8-05367F18ADBE}"/>
    <cellStyle name="Normal 4 6 2 2 3 3" xfId="5185" xr:uid="{00000000-0005-0000-0000-00001C160000}"/>
    <cellStyle name="Normal 4 6 2 2 3 3 2" xfId="13620" xr:uid="{1C16786D-A7AF-487D-84F8-8B4024A14548}"/>
    <cellStyle name="Normal 4 6 2 2 3 4" xfId="9402" xr:uid="{FE177D88-8E8B-4F2C-AF66-2D50B2DDC727}"/>
    <cellStyle name="Normal 4 6 2 2 4" xfId="1290" xr:uid="{00000000-0005-0000-0000-00001D160000}"/>
    <cellStyle name="Normal 4 6 2 2 4 2" xfId="3520" xr:uid="{00000000-0005-0000-0000-00001E160000}"/>
    <cellStyle name="Normal 4 6 2 2 4 2 2" xfId="7743" xr:uid="{00000000-0005-0000-0000-00001F160000}"/>
    <cellStyle name="Normal 4 6 2 2 4 2 2 2" xfId="16178" xr:uid="{7B4EA298-5978-429E-BC6E-DA86C4012DDD}"/>
    <cellStyle name="Normal 4 6 2 2 4 2 3" xfId="11960" xr:uid="{7A722BDA-758E-4210-A8DF-2E9C7C9A509E}"/>
    <cellStyle name="Normal 4 6 2 2 4 3" xfId="5598" xr:uid="{00000000-0005-0000-0000-000020160000}"/>
    <cellStyle name="Normal 4 6 2 2 4 3 2" xfId="14033" xr:uid="{233E1FE4-E66F-4579-B1E8-33367A8A09BE}"/>
    <cellStyle name="Normal 4 6 2 2 4 4" xfId="9815" xr:uid="{441544BE-E4D0-47C9-A64C-3B0D508F655B}"/>
    <cellStyle name="Normal 4 6 2 2 5" xfId="1703" xr:uid="{00000000-0005-0000-0000-000021160000}"/>
    <cellStyle name="Normal 4 6 2 2 5 2" xfId="3933" xr:uid="{00000000-0005-0000-0000-000022160000}"/>
    <cellStyle name="Normal 4 6 2 2 5 2 2" xfId="8156" xr:uid="{00000000-0005-0000-0000-000023160000}"/>
    <cellStyle name="Normal 4 6 2 2 5 2 2 2" xfId="16591" xr:uid="{07D35089-1777-48E6-8FBE-145A7B79121D}"/>
    <cellStyle name="Normal 4 6 2 2 5 2 3" xfId="12373" xr:uid="{4D2FF5CB-E222-400A-B52A-164C520A3776}"/>
    <cellStyle name="Normal 4 6 2 2 5 3" xfId="6011" xr:uid="{00000000-0005-0000-0000-000024160000}"/>
    <cellStyle name="Normal 4 6 2 2 5 3 2" xfId="14446" xr:uid="{A7DABEA6-5C6E-45DA-ADB7-3731801CDF16}"/>
    <cellStyle name="Normal 4 6 2 2 5 4" xfId="10228" xr:uid="{E989E63D-AA42-4622-AA3D-AFB992775547}"/>
    <cellStyle name="Normal 4 6 2 2 6" xfId="2117" xr:uid="{00000000-0005-0000-0000-000025160000}"/>
    <cellStyle name="Normal 4 6 2 2 6 2" xfId="4346" xr:uid="{00000000-0005-0000-0000-000026160000}"/>
    <cellStyle name="Normal 4 6 2 2 6 2 2" xfId="8569" xr:uid="{00000000-0005-0000-0000-000027160000}"/>
    <cellStyle name="Normal 4 6 2 2 6 2 2 2" xfId="17004" xr:uid="{4973A439-8829-4C1B-A5C4-BA2033FDA91A}"/>
    <cellStyle name="Normal 4 6 2 2 6 2 3" xfId="12786" xr:uid="{94E83BD4-CF1A-4FE5-B35F-F7812A83B376}"/>
    <cellStyle name="Normal 4 6 2 2 6 3" xfId="6424" xr:uid="{00000000-0005-0000-0000-000028160000}"/>
    <cellStyle name="Normal 4 6 2 2 6 3 2" xfId="14859" xr:uid="{3832A19B-C80A-44AB-98FF-8F1F941A9D7E}"/>
    <cellStyle name="Normal 4 6 2 2 6 4" xfId="10641" xr:uid="{4019D9D4-9276-4347-A530-38C8AC1B1C7F}"/>
    <cellStyle name="Normal 4 6 2 2 7" xfId="2553" xr:uid="{00000000-0005-0000-0000-000029160000}"/>
    <cellStyle name="Normal 4 6 2 2 7 2" xfId="6837" xr:uid="{00000000-0005-0000-0000-00002A160000}"/>
    <cellStyle name="Normal 4 6 2 2 7 2 2" xfId="15272" xr:uid="{D72FDF22-C231-43EC-B371-AD7A697F1CE4}"/>
    <cellStyle name="Normal 4 6 2 2 7 3" xfId="11054" xr:uid="{B806B454-B6E1-4964-9185-5377363C23AF}"/>
    <cellStyle name="Normal 4 6 2 2 8" xfId="4772" xr:uid="{00000000-0005-0000-0000-00002B160000}"/>
    <cellStyle name="Normal 4 6 2 2 8 2" xfId="13207" xr:uid="{F407EBEE-C62F-456E-B887-A1D5A2DE5CDA}"/>
    <cellStyle name="Normal 4 6 2 2 9" xfId="8989" xr:uid="{F734B3D5-2868-4D55-82DF-99CA3BC7BECA}"/>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2 2 2" xfId="15767" xr:uid="{35E31AC5-06EE-4AAA-9241-F444F886C421}"/>
    <cellStyle name="Normal 4 6 2 3 2 2 3" xfId="11549" xr:uid="{65CF31AC-CD91-4FFF-B268-C8EAE3E1E437}"/>
    <cellStyle name="Normal 4 6 2 3 2 3" xfId="5187" xr:uid="{00000000-0005-0000-0000-000030160000}"/>
    <cellStyle name="Normal 4 6 2 3 2 3 2" xfId="13622" xr:uid="{1C46D47E-F2B7-4EB7-AB65-221FB04EDFF7}"/>
    <cellStyle name="Normal 4 6 2 3 2 4" xfId="9404" xr:uid="{47198E76-44F6-4F6D-82DF-B6598B459B70}"/>
    <cellStyle name="Normal 4 6 2 3 3" xfId="1292" xr:uid="{00000000-0005-0000-0000-000031160000}"/>
    <cellStyle name="Normal 4 6 2 3 3 2" xfId="3522" xr:uid="{00000000-0005-0000-0000-000032160000}"/>
    <cellStyle name="Normal 4 6 2 3 3 2 2" xfId="7745" xr:uid="{00000000-0005-0000-0000-000033160000}"/>
    <cellStyle name="Normal 4 6 2 3 3 2 2 2" xfId="16180" xr:uid="{BE96FDFF-D8ED-4490-BA52-27E6051E2DD0}"/>
    <cellStyle name="Normal 4 6 2 3 3 2 3" xfId="11962" xr:uid="{B7081E2F-4398-495F-850C-E714E2A7A13A}"/>
    <cellStyle name="Normal 4 6 2 3 3 3" xfId="5600" xr:uid="{00000000-0005-0000-0000-000034160000}"/>
    <cellStyle name="Normal 4 6 2 3 3 3 2" xfId="14035" xr:uid="{3D1A68E4-9522-4909-BC22-96D9D5EF1A16}"/>
    <cellStyle name="Normal 4 6 2 3 3 4" xfId="9817" xr:uid="{9B8FDD21-9FB8-42D0-A1E4-52B831FBCDD9}"/>
    <cellStyle name="Normal 4 6 2 3 4" xfId="1705" xr:uid="{00000000-0005-0000-0000-000035160000}"/>
    <cellStyle name="Normal 4 6 2 3 4 2" xfId="3935" xr:uid="{00000000-0005-0000-0000-000036160000}"/>
    <cellStyle name="Normal 4 6 2 3 4 2 2" xfId="8158" xr:uid="{00000000-0005-0000-0000-000037160000}"/>
    <cellStyle name="Normal 4 6 2 3 4 2 2 2" xfId="16593" xr:uid="{4D4CBE70-B7AC-466F-91C8-9FFC5C342558}"/>
    <cellStyle name="Normal 4 6 2 3 4 2 3" xfId="12375" xr:uid="{79430321-9C7D-4DCE-AA1A-59FD5C01FB2E}"/>
    <cellStyle name="Normal 4 6 2 3 4 3" xfId="6013" xr:uid="{00000000-0005-0000-0000-000038160000}"/>
    <cellStyle name="Normal 4 6 2 3 4 3 2" xfId="14448" xr:uid="{A2420AD0-3B6B-4955-A666-E529C435E8FE}"/>
    <cellStyle name="Normal 4 6 2 3 4 4" xfId="10230" xr:uid="{56C2A6F1-1547-4B12-860F-0EC99B582D6C}"/>
    <cellStyle name="Normal 4 6 2 3 5" xfId="2119" xr:uid="{00000000-0005-0000-0000-000039160000}"/>
    <cellStyle name="Normal 4 6 2 3 5 2" xfId="4348" xr:uid="{00000000-0005-0000-0000-00003A160000}"/>
    <cellStyle name="Normal 4 6 2 3 5 2 2" xfId="8571" xr:uid="{00000000-0005-0000-0000-00003B160000}"/>
    <cellStyle name="Normal 4 6 2 3 5 2 2 2" xfId="17006" xr:uid="{17329BD8-A195-4144-8FF5-297BE5AB532B}"/>
    <cellStyle name="Normal 4 6 2 3 5 2 3" xfId="12788" xr:uid="{29FC85DE-DC54-4B76-A33A-C1CF237108B0}"/>
    <cellStyle name="Normal 4 6 2 3 5 3" xfId="6426" xr:uid="{00000000-0005-0000-0000-00003C160000}"/>
    <cellStyle name="Normal 4 6 2 3 5 3 2" xfId="14861" xr:uid="{04C40443-A8AE-4CE4-A8A0-591D81A026FF}"/>
    <cellStyle name="Normal 4 6 2 3 5 4" xfId="10643" xr:uid="{6FA06295-9CB5-41D6-BAB9-5AE3339ED92C}"/>
    <cellStyle name="Normal 4 6 2 3 6" xfId="2555" xr:uid="{00000000-0005-0000-0000-00003D160000}"/>
    <cellStyle name="Normal 4 6 2 3 6 2" xfId="6839" xr:uid="{00000000-0005-0000-0000-00003E160000}"/>
    <cellStyle name="Normal 4 6 2 3 6 2 2" xfId="15274" xr:uid="{A16B0659-1959-4446-8639-0622BB2FF73B}"/>
    <cellStyle name="Normal 4 6 2 3 6 3" xfId="11056" xr:uid="{84194D4F-0239-4E5B-B176-8881C4BF9A5C}"/>
    <cellStyle name="Normal 4 6 2 3 7" xfId="4774" xr:uid="{00000000-0005-0000-0000-00003F160000}"/>
    <cellStyle name="Normal 4 6 2 3 7 2" xfId="13209" xr:uid="{FC777553-5FD9-4F92-98DD-D24652D370E1}"/>
    <cellStyle name="Normal 4 6 2 3 8" xfId="8991" xr:uid="{69105468-306E-4E48-BEB6-B94B2839DAB4}"/>
    <cellStyle name="Normal 4 6 2 4" xfId="871" xr:uid="{00000000-0005-0000-0000-000040160000}"/>
    <cellStyle name="Normal 4 6 2 4 2" xfId="3106" xr:uid="{00000000-0005-0000-0000-000041160000}"/>
    <cellStyle name="Normal 4 6 2 4 2 2" xfId="7329" xr:uid="{00000000-0005-0000-0000-000042160000}"/>
    <cellStyle name="Normal 4 6 2 4 2 2 2" xfId="15764" xr:uid="{7D1D71D4-F6F5-4C05-8342-D5CE50A18C96}"/>
    <cellStyle name="Normal 4 6 2 4 2 3" xfId="11546" xr:uid="{96198E65-6998-40AE-AC33-90C60376CC26}"/>
    <cellStyle name="Normal 4 6 2 4 3" xfId="5184" xr:uid="{00000000-0005-0000-0000-000043160000}"/>
    <cellStyle name="Normal 4 6 2 4 3 2" xfId="13619" xr:uid="{DCDD8B50-DB0F-4351-A065-2D67E3386FDF}"/>
    <cellStyle name="Normal 4 6 2 4 4" xfId="9401" xr:uid="{78A64E33-B3EC-4B44-8C8A-74F5C2E30910}"/>
    <cellStyle name="Normal 4 6 2 5" xfId="1289" xr:uid="{00000000-0005-0000-0000-000044160000}"/>
    <cellStyle name="Normal 4 6 2 5 2" xfId="3519" xr:uid="{00000000-0005-0000-0000-000045160000}"/>
    <cellStyle name="Normal 4 6 2 5 2 2" xfId="7742" xr:uid="{00000000-0005-0000-0000-000046160000}"/>
    <cellStyle name="Normal 4 6 2 5 2 2 2" xfId="16177" xr:uid="{26B097FC-09DD-4AD5-8858-DE41E4C2BAA3}"/>
    <cellStyle name="Normal 4 6 2 5 2 3" xfId="11959" xr:uid="{2C5F6F2D-D747-4713-83C2-A8F518A91310}"/>
    <cellStyle name="Normal 4 6 2 5 3" xfId="5597" xr:uid="{00000000-0005-0000-0000-000047160000}"/>
    <cellStyle name="Normal 4 6 2 5 3 2" xfId="14032" xr:uid="{19CDB690-9402-4484-8733-7FA93AAF6B89}"/>
    <cellStyle name="Normal 4 6 2 5 4" xfId="9814" xr:uid="{CED31009-D796-492D-858C-578D80782424}"/>
    <cellStyle name="Normal 4 6 2 6" xfId="1702" xr:uid="{00000000-0005-0000-0000-000048160000}"/>
    <cellStyle name="Normal 4 6 2 6 2" xfId="3932" xr:uid="{00000000-0005-0000-0000-000049160000}"/>
    <cellStyle name="Normal 4 6 2 6 2 2" xfId="8155" xr:uid="{00000000-0005-0000-0000-00004A160000}"/>
    <cellStyle name="Normal 4 6 2 6 2 2 2" xfId="16590" xr:uid="{171D33B4-D8B2-46BD-BCF1-5068D46A4B4B}"/>
    <cellStyle name="Normal 4 6 2 6 2 3" xfId="12372" xr:uid="{0116AB2A-3B17-4E6B-915D-7F4E5F268BBA}"/>
    <cellStyle name="Normal 4 6 2 6 3" xfId="6010" xr:uid="{00000000-0005-0000-0000-00004B160000}"/>
    <cellStyle name="Normal 4 6 2 6 3 2" xfId="14445" xr:uid="{181394FD-A51A-4EE3-9D4A-D24D1DE07D88}"/>
    <cellStyle name="Normal 4 6 2 6 4" xfId="10227" xr:uid="{2EEBB90B-A733-4175-9D65-BCB026C1145B}"/>
    <cellStyle name="Normal 4 6 2 7" xfId="2116" xr:uid="{00000000-0005-0000-0000-00004C160000}"/>
    <cellStyle name="Normal 4 6 2 7 2" xfId="4345" xr:uid="{00000000-0005-0000-0000-00004D160000}"/>
    <cellStyle name="Normal 4 6 2 7 2 2" xfId="8568" xr:uid="{00000000-0005-0000-0000-00004E160000}"/>
    <cellStyle name="Normal 4 6 2 7 2 2 2" xfId="17003" xr:uid="{A686EF09-851E-45A3-85AC-5C6E22299E27}"/>
    <cellStyle name="Normal 4 6 2 7 2 3" xfId="12785" xr:uid="{BF0B398C-1487-4634-85FD-96A1C186B0E2}"/>
    <cellStyle name="Normal 4 6 2 7 3" xfId="6423" xr:uid="{00000000-0005-0000-0000-00004F160000}"/>
    <cellStyle name="Normal 4 6 2 7 3 2" xfId="14858" xr:uid="{D7157DE6-7FFE-4988-92D0-AC75D05C29A4}"/>
    <cellStyle name="Normal 4 6 2 7 4" xfId="10640" xr:uid="{08E32750-6495-4282-A5B6-A719C2B837AB}"/>
    <cellStyle name="Normal 4 6 2 8" xfId="2552" xr:uid="{00000000-0005-0000-0000-000050160000}"/>
    <cellStyle name="Normal 4 6 2 8 2" xfId="6836" xr:uid="{00000000-0005-0000-0000-000051160000}"/>
    <cellStyle name="Normal 4 6 2 8 2 2" xfId="15271" xr:uid="{A95F12F6-C4E1-41B9-96DD-D91F9F289ECE}"/>
    <cellStyle name="Normal 4 6 2 8 3" xfId="11053" xr:uid="{B3DB830B-17B5-4BED-8A06-3246C789A940}"/>
    <cellStyle name="Normal 4 6 2 9" xfId="4771" xr:uid="{00000000-0005-0000-0000-000052160000}"/>
    <cellStyle name="Normal 4 6 2 9 2" xfId="13206" xr:uid="{8259BB0D-224D-4368-A89F-49314D3D369E}"/>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2 2 2" xfId="15769" xr:uid="{46631969-4365-4212-8084-040566867B18}"/>
    <cellStyle name="Normal 4 6 3 2 2 2 3" xfId="11551" xr:uid="{F9CC11C1-1FAE-4DE1-8618-38CAB615F189}"/>
    <cellStyle name="Normal 4 6 3 2 2 3" xfId="5189" xr:uid="{00000000-0005-0000-0000-000058160000}"/>
    <cellStyle name="Normal 4 6 3 2 2 3 2" xfId="13624" xr:uid="{02FA4164-3F02-4BA4-A576-CF51BF637C2D}"/>
    <cellStyle name="Normal 4 6 3 2 2 4" xfId="9406" xr:uid="{5E791F4A-144D-47E1-BB9F-92AD306A25F7}"/>
    <cellStyle name="Normal 4 6 3 2 3" xfId="1294" xr:uid="{00000000-0005-0000-0000-000059160000}"/>
    <cellStyle name="Normal 4 6 3 2 3 2" xfId="3524" xr:uid="{00000000-0005-0000-0000-00005A160000}"/>
    <cellStyle name="Normal 4 6 3 2 3 2 2" xfId="7747" xr:uid="{00000000-0005-0000-0000-00005B160000}"/>
    <cellStyle name="Normal 4 6 3 2 3 2 2 2" xfId="16182" xr:uid="{38ABC256-9610-4232-A852-7AC3336BF4D6}"/>
    <cellStyle name="Normal 4 6 3 2 3 2 3" xfId="11964" xr:uid="{0D662A25-135E-48CB-A4AF-5F58BB552B64}"/>
    <cellStyle name="Normal 4 6 3 2 3 3" xfId="5602" xr:uid="{00000000-0005-0000-0000-00005C160000}"/>
    <cellStyle name="Normal 4 6 3 2 3 3 2" xfId="14037" xr:uid="{A9542B21-2BC6-4AFA-92FF-F4BD91FC8343}"/>
    <cellStyle name="Normal 4 6 3 2 3 4" xfId="9819" xr:uid="{D68552C7-9952-48A0-A7C6-C52CC7CF3ECF}"/>
    <cellStyle name="Normal 4 6 3 2 4" xfId="1707" xr:uid="{00000000-0005-0000-0000-00005D160000}"/>
    <cellStyle name="Normal 4 6 3 2 4 2" xfId="3937" xr:uid="{00000000-0005-0000-0000-00005E160000}"/>
    <cellStyle name="Normal 4 6 3 2 4 2 2" xfId="8160" xr:uid="{00000000-0005-0000-0000-00005F160000}"/>
    <cellStyle name="Normal 4 6 3 2 4 2 2 2" xfId="16595" xr:uid="{4FA5524B-B3A2-4B12-B5AC-3164C0337CA0}"/>
    <cellStyle name="Normal 4 6 3 2 4 2 3" xfId="12377" xr:uid="{637FAB2C-2406-4CC8-99ED-E5774064FD45}"/>
    <cellStyle name="Normal 4 6 3 2 4 3" xfId="6015" xr:uid="{00000000-0005-0000-0000-000060160000}"/>
    <cellStyle name="Normal 4 6 3 2 4 3 2" xfId="14450" xr:uid="{E76A0865-2DDD-46CE-8140-44524AA9FB7A}"/>
    <cellStyle name="Normal 4 6 3 2 4 4" xfId="10232" xr:uid="{7251A1F8-576C-4B53-A558-DB239EA84859}"/>
    <cellStyle name="Normal 4 6 3 2 5" xfId="2121" xr:uid="{00000000-0005-0000-0000-000061160000}"/>
    <cellStyle name="Normal 4 6 3 2 5 2" xfId="4350" xr:uid="{00000000-0005-0000-0000-000062160000}"/>
    <cellStyle name="Normal 4 6 3 2 5 2 2" xfId="8573" xr:uid="{00000000-0005-0000-0000-000063160000}"/>
    <cellStyle name="Normal 4 6 3 2 5 2 2 2" xfId="17008" xr:uid="{387B523B-11B8-4A0F-8650-AA74C370AD2E}"/>
    <cellStyle name="Normal 4 6 3 2 5 2 3" xfId="12790" xr:uid="{974D55B4-5908-4D67-87FF-147572FC3FB2}"/>
    <cellStyle name="Normal 4 6 3 2 5 3" xfId="6428" xr:uid="{00000000-0005-0000-0000-000064160000}"/>
    <cellStyle name="Normal 4 6 3 2 5 3 2" xfId="14863" xr:uid="{95B7BDFC-918E-49F3-A144-CFCB8F451070}"/>
    <cellStyle name="Normal 4 6 3 2 5 4" xfId="10645" xr:uid="{75522B28-9A50-47BC-B484-8B986A103CE4}"/>
    <cellStyle name="Normal 4 6 3 2 6" xfId="2557" xr:uid="{00000000-0005-0000-0000-000065160000}"/>
    <cellStyle name="Normal 4 6 3 2 6 2" xfId="6841" xr:uid="{00000000-0005-0000-0000-000066160000}"/>
    <cellStyle name="Normal 4 6 3 2 6 2 2" xfId="15276" xr:uid="{16E413F3-82D8-4D34-A2B5-5CFC24F2E57E}"/>
    <cellStyle name="Normal 4 6 3 2 6 3" xfId="11058" xr:uid="{12477292-D8D1-42BB-AA30-E0DF6EDE76BD}"/>
    <cellStyle name="Normal 4 6 3 2 7" xfId="4776" xr:uid="{00000000-0005-0000-0000-000067160000}"/>
    <cellStyle name="Normal 4 6 3 2 7 2" xfId="13211" xr:uid="{C526B70A-6F33-493C-AEB4-73E6E8428D77}"/>
    <cellStyle name="Normal 4 6 3 2 8" xfId="8993" xr:uid="{FB85AE52-3EE1-464F-B6EE-931343156BC5}"/>
    <cellStyle name="Normal 4 6 3 3" xfId="875" xr:uid="{00000000-0005-0000-0000-000068160000}"/>
    <cellStyle name="Normal 4 6 3 3 2" xfId="3110" xr:uid="{00000000-0005-0000-0000-000069160000}"/>
    <cellStyle name="Normal 4 6 3 3 2 2" xfId="7333" xr:uid="{00000000-0005-0000-0000-00006A160000}"/>
    <cellStyle name="Normal 4 6 3 3 2 2 2" xfId="15768" xr:uid="{B72B00AD-7FD0-4D6E-8EB6-2A576CBA9968}"/>
    <cellStyle name="Normal 4 6 3 3 2 3" xfId="11550" xr:uid="{7146C9BA-BC0E-4CBE-B81C-3CDE43AD9923}"/>
    <cellStyle name="Normal 4 6 3 3 3" xfId="5188" xr:uid="{00000000-0005-0000-0000-00006B160000}"/>
    <cellStyle name="Normal 4 6 3 3 3 2" xfId="13623" xr:uid="{2B411B34-43D0-48AB-AC67-6F90011C692F}"/>
    <cellStyle name="Normal 4 6 3 3 4" xfId="9405" xr:uid="{7B5580FC-0179-4579-9570-3E80F7C434B1}"/>
    <cellStyle name="Normal 4 6 3 4" xfId="1293" xr:uid="{00000000-0005-0000-0000-00006C160000}"/>
    <cellStyle name="Normal 4 6 3 4 2" xfId="3523" xr:uid="{00000000-0005-0000-0000-00006D160000}"/>
    <cellStyle name="Normal 4 6 3 4 2 2" xfId="7746" xr:uid="{00000000-0005-0000-0000-00006E160000}"/>
    <cellStyle name="Normal 4 6 3 4 2 2 2" xfId="16181" xr:uid="{656FC9A2-39FD-4A71-A49B-D97A61D6E856}"/>
    <cellStyle name="Normal 4 6 3 4 2 3" xfId="11963" xr:uid="{0EC76ED1-611E-44C0-A143-6681072B48AA}"/>
    <cellStyle name="Normal 4 6 3 4 3" xfId="5601" xr:uid="{00000000-0005-0000-0000-00006F160000}"/>
    <cellStyle name="Normal 4 6 3 4 3 2" xfId="14036" xr:uid="{4089C743-0ADC-4E2B-8839-9DD6DED043C5}"/>
    <cellStyle name="Normal 4 6 3 4 4" xfId="9818" xr:uid="{F705A0AB-1113-40DE-8F0C-01F4FDC42692}"/>
    <cellStyle name="Normal 4 6 3 5" xfId="1706" xr:uid="{00000000-0005-0000-0000-000070160000}"/>
    <cellStyle name="Normal 4 6 3 5 2" xfId="3936" xr:uid="{00000000-0005-0000-0000-000071160000}"/>
    <cellStyle name="Normal 4 6 3 5 2 2" xfId="8159" xr:uid="{00000000-0005-0000-0000-000072160000}"/>
    <cellStyle name="Normal 4 6 3 5 2 2 2" xfId="16594" xr:uid="{3D9F18F3-8205-4BE9-BF48-DB0117D6ADC6}"/>
    <cellStyle name="Normal 4 6 3 5 2 3" xfId="12376" xr:uid="{CEC76AC6-83BF-4C83-95C6-1333CE26D558}"/>
    <cellStyle name="Normal 4 6 3 5 3" xfId="6014" xr:uid="{00000000-0005-0000-0000-000073160000}"/>
    <cellStyle name="Normal 4 6 3 5 3 2" xfId="14449" xr:uid="{98DA61F1-63F3-4858-B710-B2036FED55D7}"/>
    <cellStyle name="Normal 4 6 3 5 4" xfId="10231" xr:uid="{EB4585BE-A27E-4F46-9032-0EA8A54C0FE4}"/>
    <cellStyle name="Normal 4 6 3 6" xfId="2120" xr:uid="{00000000-0005-0000-0000-000074160000}"/>
    <cellStyle name="Normal 4 6 3 6 2" xfId="4349" xr:uid="{00000000-0005-0000-0000-000075160000}"/>
    <cellStyle name="Normal 4 6 3 6 2 2" xfId="8572" xr:uid="{00000000-0005-0000-0000-000076160000}"/>
    <cellStyle name="Normal 4 6 3 6 2 2 2" xfId="17007" xr:uid="{58E10E33-BA0B-46DB-8930-71424403FAF2}"/>
    <cellStyle name="Normal 4 6 3 6 2 3" xfId="12789" xr:uid="{DDCCEC06-FF62-4853-8347-BFE99D26337F}"/>
    <cellStyle name="Normal 4 6 3 6 3" xfId="6427" xr:uid="{00000000-0005-0000-0000-000077160000}"/>
    <cellStyle name="Normal 4 6 3 6 3 2" xfId="14862" xr:uid="{CD88DC6E-4959-418B-B84E-09260C508C48}"/>
    <cellStyle name="Normal 4 6 3 6 4" xfId="10644" xr:uid="{133B331A-BCC8-4A63-ADEB-EC99171E8536}"/>
    <cellStyle name="Normal 4 6 3 7" xfId="2556" xr:uid="{00000000-0005-0000-0000-000078160000}"/>
    <cellStyle name="Normal 4 6 3 7 2" xfId="6840" xr:uid="{00000000-0005-0000-0000-000079160000}"/>
    <cellStyle name="Normal 4 6 3 7 2 2" xfId="15275" xr:uid="{8D39CAFE-EB8C-4F49-A2DE-A7B5CB5EBFCD}"/>
    <cellStyle name="Normal 4 6 3 7 3" xfId="11057" xr:uid="{CE1F8F06-1DF8-446D-939E-AB240E2CE588}"/>
    <cellStyle name="Normal 4 6 3 8" xfId="4775" xr:uid="{00000000-0005-0000-0000-00007A160000}"/>
    <cellStyle name="Normal 4 6 3 8 2" xfId="13210" xr:uid="{8935DF9D-16F6-4FF4-8C75-E3E2D23EE5C3}"/>
    <cellStyle name="Normal 4 6 3 9" xfId="8992" xr:uid="{A5AA387C-9F52-4176-83B0-E7210548B243}"/>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2 2 2" xfId="15770" xr:uid="{D0783033-A78F-4FF5-BFE5-406F242C0A13}"/>
    <cellStyle name="Normal 4 6 4 2 2 3" xfId="11552" xr:uid="{A82481B2-89B4-4E8D-89F6-55773C75F05E}"/>
    <cellStyle name="Normal 4 6 4 2 3" xfId="5190" xr:uid="{00000000-0005-0000-0000-00007F160000}"/>
    <cellStyle name="Normal 4 6 4 2 3 2" xfId="13625" xr:uid="{1FD32972-107E-4BC5-95DC-92E25AD2B103}"/>
    <cellStyle name="Normal 4 6 4 2 4" xfId="9407" xr:uid="{F443A3D5-8518-497A-A03B-49AD1B9D39DF}"/>
    <cellStyle name="Normal 4 6 4 3" xfId="1295" xr:uid="{00000000-0005-0000-0000-000080160000}"/>
    <cellStyle name="Normal 4 6 4 3 2" xfId="3525" xr:uid="{00000000-0005-0000-0000-000081160000}"/>
    <cellStyle name="Normal 4 6 4 3 2 2" xfId="7748" xr:uid="{00000000-0005-0000-0000-000082160000}"/>
    <cellStyle name="Normal 4 6 4 3 2 2 2" xfId="16183" xr:uid="{AFD866E8-938E-4F8D-A5ED-AA5A0F5570F3}"/>
    <cellStyle name="Normal 4 6 4 3 2 3" xfId="11965" xr:uid="{65D04406-A05B-438B-A8D8-2093FCD5070D}"/>
    <cellStyle name="Normal 4 6 4 3 3" xfId="5603" xr:uid="{00000000-0005-0000-0000-000083160000}"/>
    <cellStyle name="Normal 4 6 4 3 3 2" xfId="14038" xr:uid="{0AA65FB9-779A-40F1-B1F2-2D06F5576581}"/>
    <cellStyle name="Normal 4 6 4 3 4" xfId="9820" xr:uid="{2AE06158-DD04-4334-BC24-6046EFD31B92}"/>
    <cellStyle name="Normal 4 6 4 4" xfId="1708" xr:uid="{00000000-0005-0000-0000-000084160000}"/>
    <cellStyle name="Normal 4 6 4 4 2" xfId="3938" xr:uid="{00000000-0005-0000-0000-000085160000}"/>
    <cellStyle name="Normal 4 6 4 4 2 2" xfId="8161" xr:uid="{00000000-0005-0000-0000-000086160000}"/>
    <cellStyle name="Normal 4 6 4 4 2 2 2" xfId="16596" xr:uid="{34E56298-F193-460B-8CA6-D74DEDBA7E45}"/>
    <cellStyle name="Normal 4 6 4 4 2 3" xfId="12378" xr:uid="{C2BCBBDF-DF4A-4C66-9881-EE1E53BC4D6B}"/>
    <cellStyle name="Normal 4 6 4 4 3" xfId="6016" xr:uid="{00000000-0005-0000-0000-000087160000}"/>
    <cellStyle name="Normal 4 6 4 4 3 2" xfId="14451" xr:uid="{E7A073E0-D6ED-4764-92BD-79585E6E46D7}"/>
    <cellStyle name="Normal 4 6 4 4 4" xfId="10233" xr:uid="{13D68439-0936-4071-98E8-FEA96C45B323}"/>
    <cellStyle name="Normal 4 6 4 5" xfId="2122" xr:uid="{00000000-0005-0000-0000-000088160000}"/>
    <cellStyle name="Normal 4 6 4 5 2" xfId="4351" xr:uid="{00000000-0005-0000-0000-000089160000}"/>
    <cellStyle name="Normal 4 6 4 5 2 2" xfId="8574" xr:uid="{00000000-0005-0000-0000-00008A160000}"/>
    <cellStyle name="Normal 4 6 4 5 2 2 2" xfId="17009" xr:uid="{18E1EE2F-9821-41CF-AF00-77BA52A318B2}"/>
    <cellStyle name="Normal 4 6 4 5 2 3" xfId="12791" xr:uid="{4EC9EFEB-BCD0-4317-9D2F-8FE8C198D38D}"/>
    <cellStyle name="Normal 4 6 4 5 3" xfId="6429" xr:uid="{00000000-0005-0000-0000-00008B160000}"/>
    <cellStyle name="Normal 4 6 4 5 3 2" xfId="14864" xr:uid="{16CC3686-D6C5-4977-B284-756A4DD4829B}"/>
    <cellStyle name="Normal 4 6 4 5 4" xfId="10646" xr:uid="{ECEC67DD-12D9-4385-BD67-0F02FB6234C4}"/>
    <cellStyle name="Normal 4 6 4 6" xfId="2558" xr:uid="{00000000-0005-0000-0000-00008C160000}"/>
    <cellStyle name="Normal 4 6 4 6 2" xfId="6842" xr:uid="{00000000-0005-0000-0000-00008D160000}"/>
    <cellStyle name="Normal 4 6 4 6 2 2" xfId="15277" xr:uid="{C2134342-E8FF-4C39-8DDD-ADF4B1836553}"/>
    <cellStyle name="Normal 4 6 4 6 3" xfId="11059" xr:uid="{34603395-63D7-4D5E-8916-1DFC4BB83892}"/>
    <cellStyle name="Normal 4 6 4 7" xfId="4777" xr:uid="{00000000-0005-0000-0000-00008E160000}"/>
    <cellStyle name="Normal 4 6 4 7 2" xfId="13212" xr:uid="{88E8EEB6-B77F-4C60-84F0-8EF35F9CD5B1}"/>
    <cellStyle name="Normal 4 6 4 8" xfId="8994" xr:uid="{E710EBE0-1F91-421A-B60C-82DEC51C8856}"/>
    <cellStyle name="Normal 4 6 5" xfId="870" xr:uid="{00000000-0005-0000-0000-00008F160000}"/>
    <cellStyle name="Normal 4 6 5 2" xfId="3105" xr:uid="{00000000-0005-0000-0000-000090160000}"/>
    <cellStyle name="Normal 4 6 5 2 2" xfId="7328" xr:uid="{00000000-0005-0000-0000-000091160000}"/>
    <cellStyle name="Normal 4 6 5 2 2 2" xfId="15763" xr:uid="{9D48C731-E25D-4863-B62B-3F50843D7999}"/>
    <cellStyle name="Normal 4 6 5 2 3" xfId="11545" xr:uid="{6851F58B-002D-45E8-B259-68B7481F306F}"/>
    <cellStyle name="Normal 4 6 5 3" xfId="5183" xr:uid="{00000000-0005-0000-0000-000092160000}"/>
    <cellStyle name="Normal 4 6 5 3 2" xfId="13618" xr:uid="{723FFCAD-EB73-4725-A61D-57EA48215542}"/>
    <cellStyle name="Normal 4 6 5 4" xfId="9400" xr:uid="{C3F665FA-8846-4949-A886-48462C7B4464}"/>
    <cellStyle name="Normal 4 6 6" xfId="1288" xr:uid="{00000000-0005-0000-0000-000093160000}"/>
    <cellStyle name="Normal 4 6 6 2" xfId="3518" xr:uid="{00000000-0005-0000-0000-000094160000}"/>
    <cellStyle name="Normal 4 6 6 2 2" xfId="7741" xr:uid="{00000000-0005-0000-0000-000095160000}"/>
    <cellStyle name="Normal 4 6 6 2 2 2" xfId="16176" xr:uid="{5BBDF41C-6A4E-4353-B126-21E0363CF6FF}"/>
    <cellStyle name="Normal 4 6 6 2 3" xfId="11958" xr:uid="{AEE37B18-3112-453B-8711-416979FACE0E}"/>
    <cellStyle name="Normal 4 6 6 3" xfId="5596" xr:uid="{00000000-0005-0000-0000-000096160000}"/>
    <cellStyle name="Normal 4 6 6 3 2" xfId="14031" xr:uid="{C1D0DA95-6947-4B4F-BBA4-1E4A52AF629D}"/>
    <cellStyle name="Normal 4 6 6 4" xfId="9813" xr:uid="{EEB43260-446F-4BA8-B5C2-8A72A3B5309A}"/>
    <cellStyle name="Normal 4 6 7" xfId="1701" xr:uid="{00000000-0005-0000-0000-000097160000}"/>
    <cellStyle name="Normal 4 6 7 2" xfId="3931" xr:uid="{00000000-0005-0000-0000-000098160000}"/>
    <cellStyle name="Normal 4 6 7 2 2" xfId="8154" xr:uid="{00000000-0005-0000-0000-000099160000}"/>
    <cellStyle name="Normal 4 6 7 2 2 2" xfId="16589" xr:uid="{70768321-8C7F-46AE-919F-D0269D82994E}"/>
    <cellStyle name="Normal 4 6 7 2 3" xfId="12371" xr:uid="{B8E426F3-BF4A-4BE1-BC94-B9E7437B7B15}"/>
    <cellStyle name="Normal 4 6 7 3" xfId="6009" xr:uid="{00000000-0005-0000-0000-00009A160000}"/>
    <cellStyle name="Normal 4 6 7 3 2" xfId="14444" xr:uid="{F1A7976E-46E5-4919-B817-541C9CC91590}"/>
    <cellStyle name="Normal 4 6 7 4" xfId="10226" xr:uid="{D341C872-FC8D-439B-924D-AB12B5BF38BE}"/>
    <cellStyle name="Normal 4 6 8" xfId="2115" xr:uid="{00000000-0005-0000-0000-00009B160000}"/>
    <cellStyle name="Normal 4 6 8 2" xfId="4344" xr:uid="{00000000-0005-0000-0000-00009C160000}"/>
    <cellStyle name="Normal 4 6 8 2 2" xfId="8567" xr:uid="{00000000-0005-0000-0000-00009D160000}"/>
    <cellStyle name="Normal 4 6 8 2 2 2" xfId="17002" xr:uid="{52254E15-8F34-4E59-9AD7-6B0C26696182}"/>
    <cellStyle name="Normal 4 6 8 2 3" xfId="12784" xr:uid="{BF0544DC-672A-4309-ADA1-DA177E00BC02}"/>
    <cellStyle name="Normal 4 6 8 3" xfId="6422" xr:uid="{00000000-0005-0000-0000-00009E160000}"/>
    <cellStyle name="Normal 4 6 8 3 2" xfId="14857" xr:uid="{5DE0068D-4BD2-4DF6-8486-0F5814AF1B3B}"/>
    <cellStyle name="Normal 4 6 8 4" xfId="10639" xr:uid="{4C2C7E9A-A939-4066-A537-3580E0F9E602}"/>
    <cellStyle name="Normal 4 6 9" xfId="2551" xr:uid="{00000000-0005-0000-0000-00009F160000}"/>
    <cellStyle name="Normal 4 6 9 2" xfId="6835" xr:uid="{00000000-0005-0000-0000-0000A0160000}"/>
    <cellStyle name="Normal 4 6 9 2 2" xfId="15270" xr:uid="{19643845-16D9-48D3-BEA7-D09928ABF34D}"/>
    <cellStyle name="Normal 4 6 9 3" xfId="11052" xr:uid="{13F1209A-E2B5-479F-9818-C4EE0DFE2948}"/>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2 2 2" xfId="15772" xr:uid="{548E2EC6-F222-4538-BA24-E30949A9FDFB}"/>
    <cellStyle name="Normal 4 7 2 2 2 3" xfId="11554" xr:uid="{135E75F8-3214-4431-A885-E494043522EB}"/>
    <cellStyle name="Normal 4 7 2 2 3" xfId="5192" xr:uid="{00000000-0005-0000-0000-0000A6160000}"/>
    <cellStyle name="Normal 4 7 2 2 3 2" xfId="13627" xr:uid="{DE629283-55F2-48CE-8ABE-7A4EF721A7D3}"/>
    <cellStyle name="Normal 4 7 2 2 4" xfId="9409" xr:uid="{38D5F13F-85DD-4714-9E94-4CC87D1F4C1C}"/>
    <cellStyle name="Normal 4 7 2 3" xfId="1297" xr:uid="{00000000-0005-0000-0000-0000A7160000}"/>
    <cellStyle name="Normal 4 7 2 3 2" xfId="3527" xr:uid="{00000000-0005-0000-0000-0000A8160000}"/>
    <cellStyle name="Normal 4 7 2 3 2 2" xfId="7750" xr:uid="{00000000-0005-0000-0000-0000A9160000}"/>
    <cellStyle name="Normal 4 7 2 3 2 2 2" xfId="16185" xr:uid="{CCFCDC70-3974-4E9E-B86C-F61BC92D1568}"/>
    <cellStyle name="Normal 4 7 2 3 2 3" xfId="11967" xr:uid="{CBFE0B79-A2E9-4480-8955-B398DBBC941C}"/>
    <cellStyle name="Normal 4 7 2 3 3" xfId="5605" xr:uid="{00000000-0005-0000-0000-0000AA160000}"/>
    <cellStyle name="Normal 4 7 2 3 3 2" xfId="14040" xr:uid="{7A0BFF52-A52C-4A50-B190-F3B5BE6A3D21}"/>
    <cellStyle name="Normal 4 7 2 3 4" xfId="9822" xr:uid="{D6EBC407-C509-4861-8AA2-BAF0EEC9F3ED}"/>
    <cellStyle name="Normal 4 7 2 4" xfId="1710" xr:uid="{00000000-0005-0000-0000-0000AB160000}"/>
    <cellStyle name="Normal 4 7 2 4 2" xfId="3940" xr:uid="{00000000-0005-0000-0000-0000AC160000}"/>
    <cellStyle name="Normal 4 7 2 4 2 2" xfId="8163" xr:uid="{00000000-0005-0000-0000-0000AD160000}"/>
    <cellStyle name="Normal 4 7 2 4 2 2 2" xfId="16598" xr:uid="{C6F573E7-6F85-4D15-8861-F9A3C1B9A2F7}"/>
    <cellStyle name="Normal 4 7 2 4 2 3" xfId="12380" xr:uid="{109E2CC8-605F-4D05-828C-C21CB6F570CF}"/>
    <cellStyle name="Normal 4 7 2 4 3" xfId="6018" xr:uid="{00000000-0005-0000-0000-0000AE160000}"/>
    <cellStyle name="Normal 4 7 2 4 3 2" xfId="14453" xr:uid="{0C0BB5D1-0753-458E-8341-A9A9D48E5041}"/>
    <cellStyle name="Normal 4 7 2 4 4" xfId="10235" xr:uid="{EBA028C1-8944-4A37-B7E9-2113C3EF2E23}"/>
    <cellStyle name="Normal 4 7 2 5" xfId="2124" xr:uid="{00000000-0005-0000-0000-0000AF160000}"/>
    <cellStyle name="Normal 4 7 2 5 2" xfId="4353" xr:uid="{00000000-0005-0000-0000-0000B0160000}"/>
    <cellStyle name="Normal 4 7 2 5 2 2" xfId="8576" xr:uid="{00000000-0005-0000-0000-0000B1160000}"/>
    <cellStyle name="Normal 4 7 2 5 2 2 2" xfId="17011" xr:uid="{E75EE4B7-B755-4978-B326-2E1C7DA91436}"/>
    <cellStyle name="Normal 4 7 2 5 2 3" xfId="12793" xr:uid="{ACC0B748-9581-4FF9-A626-27611242CBCF}"/>
    <cellStyle name="Normal 4 7 2 5 3" xfId="6431" xr:uid="{00000000-0005-0000-0000-0000B2160000}"/>
    <cellStyle name="Normal 4 7 2 5 3 2" xfId="14866" xr:uid="{92C6D5D0-91A4-4965-B055-98894C204A58}"/>
    <cellStyle name="Normal 4 7 2 5 4" xfId="10648" xr:uid="{C9BC984E-4EC9-45FB-B92C-1C49D6808E5D}"/>
    <cellStyle name="Normal 4 7 2 6" xfId="2560" xr:uid="{00000000-0005-0000-0000-0000B3160000}"/>
    <cellStyle name="Normal 4 7 2 6 2" xfId="6844" xr:uid="{00000000-0005-0000-0000-0000B4160000}"/>
    <cellStyle name="Normal 4 7 2 6 2 2" xfId="15279" xr:uid="{FF72F4A6-6E92-41C0-BA78-699AF3F40364}"/>
    <cellStyle name="Normal 4 7 2 6 3" xfId="11061" xr:uid="{7B073BEC-6CB3-4980-BC3A-57962EB0343F}"/>
    <cellStyle name="Normal 4 7 2 7" xfId="4779" xr:uid="{00000000-0005-0000-0000-0000B5160000}"/>
    <cellStyle name="Normal 4 7 2 7 2" xfId="13214" xr:uid="{701A3832-C9E1-4781-96DF-EC0BEF649EE2}"/>
    <cellStyle name="Normal 4 7 2 8" xfId="8996" xr:uid="{896A6DE8-B6F4-4DA6-8983-0D883738D1A3}"/>
    <cellStyle name="Normal 4 7 3" xfId="878" xr:uid="{00000000-0005-0000-0000-0000B6160000}"/>
    <cellStyle name="Normal 4 7 3 2" xfId="3113" xr:uid="{00000000-0005-0000-0000-0000B7160000}"/>
    <cellStyle name="Normal 4 7 3 2 2" xfId="7336" xr:uid="{00000000-0005-0000-0000-0000B8160000}"/>
    <cellStyle name="Normal 4 7 3 2 2 2" xfId="15771" xr:uid="{0BB27A00-943D-483E-8B56-6D7387D10F34}"/>
    <cellStyle name="Normal 4 7 3 2 3" xfId="11553" xr:uid="{962F24F1-4EB3-45B3-BD52-0506D1E236CB}"/>
    <cellStyle name="Normal 4 7 3 3" xfId="5191" xr:uid="{00000000-0005-0000-0000-0000B9160000}"/>
    <cellStyle name="Normal 4 7 3 3 2" xfId="13626" xr:uid="{C23EFF50-CB17-462B-BE2A-76E83AED9AE7}"/>
    <cellStyle name="Normal 4 7 3 4" xfId="9408" xr:uid="{5A0DA297-B2B5-474B-A7E9-61A159A230E1}"/>
    <cellStyle name="Normal 4 7 4" xfId="1296" xr:uid="{00000000-0005-0000-0000-0000BA160000}"/>
    <cellStyle name="Normal 4 7 4 2" xfId="3526" xr:uid="{00000000-0005-0000-0000-0000BB160000}"/>
    <cellStyle name="Normal 4 7 4 2 2" xfId="7749" xr:uid="{00000000-0005-0000-0000-0000BC160000}"/>
    <cellStyle name="Normal 4 7 4 2 2 2" xfId="16184" xr:uid="{45DB591B-9CE8-4C40-8D8E-EC93B86ADF65}"/>
    <cellStyle name="Normal 4 7 4 2 3" xfId="11966" xr:uid="{0A74416E-4335-4244-AF72-FAA434C2F432}"/>
    <cellStyle name="Normal 4 7 4 3" xfId="5604" xr:uid="{00000000-0005-0000-0000-0000BD160000}"/>
    <cellStyle name="Normal 4 7 4 3 2" xfId="14039" xr:uid="{DD4DAFEC-5803-41BD-9111-308292085DB8}"/>
    <cellStyle name="Normal 4 7 4 4" xfId="9821" xr:uid="{64CD25BD-13A5-4A4E-89A1-0A013A8CBE4B}"/>
    <cellStyle name="Normal 4 7 5" xfId="1709" xr:uid="{00000000-0005-0000-0000-0000BE160000}"/>
    <cellStyle name="Normal 4 7 5 2" xfId="3939" xr:uid="{00000000-0005-0000-0000-0000BF160000}"/>
    <cellStyle name="Normal 4 7 5 2 2" xfId="8162" xr:uid="{00000000-0005-0000-0000-0000C0160000}"/>
    <cellStyle name="Normal 4 7 5 2 2 2" xfId="16597" xr:uid="{4C263BB6-C1F9-4182-B162-46FAE09CC987}"/>
    <cellStyle name="Normal 4 7 5 2 3" xfId="12379" xr:uid="{04D92C56-CF0A-48BD-B466-0440B7D3A6F5}"/>
    <cellStyle name="Normal 4 7 5 3" xfId="6017" xr:uid="{00000000-0005-0000-0000-0000C1160000}"/>
    <cellStyle name="Normal 4 7 5 3 2" xfId="14452" xr:uid="{2290A761-2176-4897-8270-7B80E5B7D60F}"/>
    <cellStyle name="Normal 4 7 5 4" xfId="10234" xr:uid="{5AB3ED0C-705D-4404-BD77-0154AAC34ED5}"/>
    <cellStyle name="Normal 4 7 6" xfId="2123" xr:uid="{00000000-0005-0000-0000-0000C2160000}"/>
    <cellStyle name="Normal 4 7 6 2" xfId="4352" xr:uid="{00000000-0005-0000-0000-0000C3160000}"/>
    <cellStyle name="Normal 4 7 6 2 2" xfId="8575" xr:uid="{00000000-0005-0000-0000-0000C4160000}"/>
    <cellStyle name="Normal 4 7 6 2 2 2" xfId="17010" xr:uid="{FE4F3528-CDEA-4290-BEB4-0D42600C29BC}"/>
    <cellStyle name="Normal 4 7 6 2 3" xfId="12792" xr:uid="{081BAC99-8665-42D6-836D-B232527FF311}"/>
    <cellStyle name="Normal 4 7 6 3" xfId="6430" xr:uid="{00000000-0005-0000-0000-0000C5160000}"/>
    <cellStyle name="Normal 4 7 6 3 2" xfId="14865" xr:uid="{4F34E427-ECF5-4FE5-A167-43EA68C85EDF}"/>
    <cellStyle name="Normal 4 7 6 4" xfId="10647" xr:uid="{66B6493A-715F-4AA6-A174-DCAF696A7ACA}"/>
    <cellStyle name="Normal 4 7 7" xfId="2559" xr:uid="{00000000-0005-0000-0000-0000C6160000}"/>
    <cellStyle name="Normal 4 7 7 2" xfId="6843" xr:uid="{00000000-0005-0000-0000-0000C7160000}"/>
    <cellStyle name="Normal 4 7 7 2 2" xfId="15278" xr:uid="{FB6CD351-717D-488F-98D1-AA38E65261A9}"/>
    <cellStyle name="Normal 4 7 7 3" xfId="11060" xr:uid="{2D9CD052-8D65-4E9E-B07A-B1F0BE670A4A}"/>
    <cellStyle name="Normal 4 7 8" xfId="4778" xr:uid="{00000000-0005-0000-0000-0000C8160000}"/>
    <cellStyle name="Normal 4 7 8 2" xfId="13213" xr:uid="{CDBBC718-DF54-4B99-A504-9D8602C619A4}"/>
    <cellStyle name="Normal 4 7 9" xfId="8995" xr:uid="{CC9B2F09-6690-4329-856B-61577CC382E6}"/>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2 2 2" xfId="15773" xr:uid="{FA8CC125-160C-4AA7-B1B3-BC0651C1DDE3}"/>
    <cellStyle name="Normal 4 8 2 2 3" xfId="11555" xr:uid="{88988C84-336F-452A-9DCC-03254482A8A5}"/>
    <cellStyle name="Normal 4 8 2 3" xfId="5193" xr:uid="{00000000-0005-0000-0000-0000CD160000}"/>
    <cellStyle name="Normal 4 8 2 3 2" xfId="13628" xr:uid="{9539FC78-C1C8-4F48-A740-10AAD37AEB85}"/>
    <cellStyle name="Normal 4 8 2 4" xfId="9410" xr:uid="{D8222ED8-3EDE-4F11-989F-DC57C5FFAF82}"/>
    <cellStyle name="Normal 4 8 3" xfId="1298" xr:uid="{00000000-0005-0000-0000-0000CE160000}"/>
    <cellStyle name="Normal 4 8 3 2" xfId="3528" xr:uid="{00000000-0005-0000-0000-0000CF160000}"/>
    <cellStyle name="Normal 4 8 3 2 2" xfId="7751" xr:uid="{00000000-0005-0000-0000-0000D0160000}"/>
    <cellStyle name="Normal 4 8 3 2 2 2" xfId="16186" xr:uid="{4FCD00D5-B52A-4BF3-B4D6-2EA74015774C}"/>
    <cellStyle name="Normal 4 8 3 2 3" xfId="11968" xr:uid="{F89E1509-A10F-4B3E-BDAF-B707BE5E1CDA}"/>
    <cellStyle name="Normal 4 8 3 3" xfId="5606" xr:uid="{00000000-0005-0000-0000-0000D1160000}"/>
    <cellStyle name="Normal 4 8 3 3 2" xfId="14041" xr:uid="{819DC7C3-4A97-468C-BADC-8F9E8E48F19E}"/>
    <cellStyle name="Normal 4 8 3 4" xfId="9823" xr:uid="{068CBEDD-65BB-4F61-8EB3-E06716404CAC}"/>
    <cellStyle name="Normal 4 8 4" xfId="1711" xr:uid="{00000000-0005-0000-0000-0000D2160000}"/>
    <cellStyle name="Normal 4 8 4 2" xfId="3941" xr:uid="{00000000-0005-0000-0000-0000D3160000}"/>
    <cellStyle name="Normal 4 8 4 2 2" xfId="8164" xr:uid="{00000000-0005-0000-0000-0000D4160000}"/>
    <cellStyle name="Normal 4 8 4 2 2 2" xfId="16599" xr:uid="{6EFE4B0E-70FF-40FE-8631-4A2593D5DF6A}"/>
    <cellStyle name="Normal 4 8 4 2 3" xfId="12381" xr:uid="{8CBB1D58-8E85-4237-A924-EDF47B7CB9C6}"/>
    <cellStyle name="Normal 4 8 4 3" xfId="6019" xr:uid="{00000000-0005-0000-0000-0000D5160000}"/>
    <cellStyle name="Normal 4 8 4 3 2" xfId="14454" xr:uid="{4F122173-39C2-488E-8C8D-DACCC7C5E132}"/>
    <cellStyle name="Normal 4 8 4 4" xfId="10236" xr:uid="{BA887994-1419-4194-8B8B-88F8BAA21E5D}"/>
    <cellStyle name="Normal 4 8 5" xfId="2125" xr:uid="{00000000-0005-0000-0000-0000D6160000}"/>
    <cellStyle name="Normal 4 8 5 2" xfId="4354" xr:uid="{00000000-0005-0000-0000-0000D7160000}"/>
    <cellStyle name="Normal 4 8 5 2 2" xfId="8577" xr:uid="{00000000-0005-0000-0000-0000D8160000}"/>
    <cellStyle name="Normal 4 8 5 2 2 2" xfId="17012" xr:uid="{32E848E3-9D1C-4D81-85A7-CF6B20BC72D2}"/>
    <cellStyle name="Normal 4 8 5 2 3" xfId="12794" xr:uid="{96BC9FFD-A744-41C8-9A68-1F131176A8B9}"/>
    <cellStyle name="Normal 4 8 5 3" xfId="6432" xr:uid="{00000000-0005-0000-0000-0000D9160000}"/>
    <cellStyle name="Normal 4 8 5 3 2" xfId="14867" xr:uid="{CBDFB683-FB4A-45E1-80AA-F3496D6DCB57}"/>
    <cellStyle name="Normal 4 8 5 4" xfId="10649" xr:uid="{7F368474-3505-4152-8C2D-FC31DAD7378A}"/>
    <cellStyle name="Normal 4 8 6" xfId="2561" xr:uid="{00000000-0005-0000-0000-0000DA160000}"/>
    <cellStyle name="Normal 4 8 6 2" xfId="6845" xr:uid="{00000000-0005-0000-0000-0000DB160000}"/>
    <cellStyle name="Normal 4 8 6 2 2" xfId="15280" xr:uid="{1EC9092D-38E9-4C91-8F2F-5ABCA740E908}"/>
    <cellStyle name="Normal 4 8 6 3" xfId="11062" xr:uid="{373052F6-57D1-4BD4-85EC-1BB0BB63B82C}"/>
    <cellStyle name="Normal 4 8 7" xfId="4780" xr:uid="{00000000-0005-0000-0000-0000DC160000}"/>
    <cellStyle name="Normal 4 8 7 2" xfId="13215" xr:uid="{E9256E43-E10B-4048-B372-F939C35DF49A}"/>
    <cellStyle name="Normal 4 8 8" xfId="8997" xr:uid="{62EB3B60-0B83-4C84-A0DD-8F08AA9237F9}"/>
    <cellStyle name="Normal 4 9" xfId="4717" xr:uid="{00000000-0005-0000-0000-0000DD160000}"/>
    <cellStyle name="Normal 4 9 2" xfId="13152" xr:uid="{4DA5E090-AB26-423C-A010-02A604EFB648}"/>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2 2 2" xfId="16600" xr:uid="{9E1888C1-7964-459F-BFBF-92619DACA19E}"/>
    <cellStyle name="Normal 5 10 2 3" xfId="12382" xr:uid="{91CD39F6-CD7A-4332-ABAD-DB06C07BE974}"/>
    <cellStyle name="Normal 5 10 3" xfId="6020" xr:uid="{00000000-0005-0000-0000-0000E2160000}"/>
    <cellStyle name="Normal 5 10 3 2" xfId="14455" xr:uid="{F060CE06-7B6A-4876-B823-770FC66CD0FA}"/>
    <cellStyle name="Normal 5 10 4" xfId="10237" xr:uid="{4E8D0334-B97D-423A-9541-3C16C44C697B}"/>
    <cellStyle name="Normal 5 11" xfId="2126" xr:uid="{00000000-0005-0000-0000-0000E3160000}"/>
    <cellStyle name="Normal 5 11 2" xfId="4355" xr:uid="{00000000-0005-0000-0000-0000E4160000}"/>
    <cellStyle name="Normal 5 11 2 2" xfId="8578" xr:uid="{00000000-0005-0000-0000-0000E5160000}"/>
    <cellStyle name="Normal 5 11 2 2 2" xfId="17013" xr:uid="{B39D9090-769F-4158-B0DA-EDC50C90D0E4}"/>
    <cellStyle name="Normal 5 11 2 3" xfId="12795" xr:uid="{80684FE2-DEEA-4708-B657-B663D8931549}"/>
    <cellStyle name="Normal 5 11 3" xfId="6433" xr:uid="{00000000-0005-0000-0000-0000E6160000}"/>
    <cellStyle name="Normal 5 11 3 2" xfId="14868" xr:uid="{EDDBAAD9-BA3D-4624-86DD-294BC9F98108}"/>
    <cellStyle name="Normal 5 11 4" xfId="10650" xr:uid="{218D9BE0-7853-4152-8CA9-96C642CA8D31}"/>
    <cellStyle name="Normal 5 12" xfId="2562" xr:uid="{00000000-0005-0000-0000-0000E7160000}"/>
    <cellStyle name="Normal 5 12 2" xfId="6846" xr:uid="{00000000-0005-0000-0000-0000E8160000}"/>
    <cellStyle name="Normal 5 12 2 2" xfId="15281" xr:uid="{013F469D-11B6-4A82-B3E1-ED160622EC0D}"/>
    <cellStyle name="Normal 5 12 3" xfId="11063" xr:uid="{E55B80ED-E748-4B90-82A6-9F484BE02069}"/>
    <cellStyle name="Normal 5 13" xfId="4781" xr:uid="{00000000-0005-0000-0000-0000E9160000}"/>
    <cellStyle name="Normal 5 13 2" xfId="13216" xr:uid="{AB5084C1-937C-4A12-8475-7EDCED2DC3C5}"/>
    <cellStyle name="Normal 5 14" xfId="8998" xr:uid="{A83B1C5F-1912-4772-AD7C-23EC938429C8}"/>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2 2 2" xfId="17014" xr:uid="{0B423CA6-C682-47DA-AE2B-D89D44C235BF}"/>
    <cellStyle name="Normal 5 2 10 2 3" xfId="12796" xr:uid="{21FC756B-FA26-4F36-8C98-C754CAFFA0F5}"/>
    <cellStyle name="Normal 5 2 10 3" xfId="6434" xr:uid="{00000000-0005-0000-0000-0000EE160000}"/>
    <cellStyle name="Normal 5 2 10 3 2" xfId="14869" xr:uid="{BC388EC5-9E5E-4D0B-9A7F-56F7C471D8A7}"/>
    <cellStyle name="Normal 5 2 10 4" xfId="10651" xr:uid="{D5B11EBA-EC4D-44D8-8AE7-AB44843FB7F9}"/>
    <cellStyle name="Normal 5 2 11" xfId="2563" xr:uid="{00000000-0005-0000-0000-0000EF160000}"/>
    <cellStyle name="Normal 5 2 11 2" xfId="6847" xr:uid="{00000000-0005-0000-0000-0000F0160000}"/>
    <cellStyle name="Normal 5 2 11 2 2" xfId="15282" xr:uid="{34B749F6-BB5D-4BCF-B2B1-C80E280BAD73}"/>
    <cellStyle name="Normal 5 2 11 3" xfId="11064" xr:uid="{67E361D7-14AA-40B3-8B4A-7730FFDDEF16}"/>
    <cellStyle name="Normal 5 2 12" xfId="4782" xr:uid="{00000000-0005-0000-0000-0000F1160000}"/>
    <cellStyle name="Normal 5 2 12 2" xfId="13217" xr:uid="{C82D0E7E-DE6F-4033-A97A-8848B3EB392F}"/>
    <cellStyle name="Normal 5 2 13" xfId="8999" xr:uid="{3414DABD-F319-4240-98DD-93F1B44CE510}"/>
    <cellStyle name="Normal 5 2 2" xfId="408" xr:uid="{00000000-0005-0000-0000-0000F2160000}"/>
    <cellStyle name="Normal 5 2 2 10" xfId="2564" xr:uid="{00000000-0005-0000-0000-0000F3160000}"/>
    <cellStyle name="Normal 5 2 2 10 2" xfId="6848" xr:uid="{00000000-0005-0000-0000-0000F4160000}"/>
    <cellStyle name="Normal 5 2 2 10 2 2" xfId="15283" xr:uid="{895E0E07-0C47-4DA2-B8E6-F1061E560EDC}"/>
    <cellStyle name="Normal 5 2 2 10 3" xfId="11065" xr:uid="{11C68D30-E825-4219-BC6C-E9276266FC3F}"/>
    <cellStyle name="Normal 5 2 2 11" xfId="4783" xr:uid="{00000000-0005-0000-0000-0000F5160000}"/>
    <cellStyle name="Normal 5 2 2 11 2" xfId="13218" xr:uid="{3390272E-E7EB-4F16-B829-5D34AF049B9C}"/>
    <cellStyle name="Normal 5 2 2 12" xfId="9000" xr:uid="{27E0A0A2-7E52-4601-B614-EEA93F237F06}"/>
    <cellStyle name="Normal 5 2 2 2" xfId="409" xr:uid="{00000000-0005-0000-0000-0000F6160000}"/>
    <cellStyle name="Normal 5 2 2 2 10" xfId="4784" xr:uid="{00000000-0005-0000-0000-0000F7160000}"/>
    <cellStyle name="Normal 5 2 2 2 10 2" xfId="13219" xr:uid="{C7056E79-8534-446B-82B5-2AE161A6F721}"/>
    <cellStyle name="Normal 5 2 2 2 11" xfId="9001" xr:uid="{685A9CB0-C656-4D97-94A5-0F51FC06099A}"/>
    <cellStyle name="Normal 5 2 2 2 2" xfId="410" xr:uid="{00000000-0005-0000-0000-0000F8160000}"/>
    <cellStyle name="Normal 5 2 2 2 2 10" xfId="9002" xr:uid="{E8B66E54-F697-4372-AA98-FD47FCDC5B7C}"/>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2 2 2" xfId="15780" xr:uid="{2974EAEE-479B-4103-A118-53E65A003D23}"/>
    <cellStyle name="Normal 5 2 2 2 2 2 2 2 2 3" xfId="11562" xr:uid="{A51D461A-2CD9-4060-B99F-E59193603345}"/>
    <cellStyle name="Normal 5 2 2 2 2 2 2 2 3" xfId="5200" xr:uid="{00000000-0005-0000-0000-0000FE160000}"/>
    <cellStyle name="Normal 5 2 2 2 2 2 2 2 3 2" xfId="13635" xr:uid="{BE356543-3BA2-458C-BBDE-01CA2DE50953}"/>
    <cellStyle name="Normal 5 2 2 2 2 2 2 2 4" xfId="9417" xr:uid="{A41C308D-445B-460B-8458-259ABEDD4889}"/>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2 2 2" xfId="16193" xr:uid="{E677EF49-6529-4BFA-84CE-B0D3D21D8B7C}"/>
    <cellStyle name="Normal 5 2 2 2 2 2 2 3 2 3" xfId="11975" xr:uid="{8E9960DB-24BE-49C8-B9F8-529C9216FB4C}"/>
    <cellStyle name="Normal 5 2 2 2 2 2 2 3 3" xfId="5613" xr:uid="{00000000-0005-0000-0000-000002170000}"/>
    <cellStyle name="Normal 5 2 2 2 2 2 2 3 3 2" xfId="14048" xr:uid="{DF84094A-DEB5-4D70-B9A2-E767647B7B54}"/>
    <cellStyle name="Normal 5 2 2 2 2 2 2 3 4" xfId="9830" xr:uid="{D4C62691-698B-4439-8389-9FEB9CE3A09A}"/>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2 2 2" xfId="16606" xr:uid="{77EFB350-E1CB-4AB5-B163-BBDEDA5C5C36}"/>
    <cellStyle name="Normal 5 2 2 2 2 2 2 4 2 3" xfId="12388" xr:uid="{A8526922-DEDE-4801-9653-627D8C3511DC}"/>
    <cellStyle name="Normal 5 2 2 2 2 2 2 4 3" xfId="6026" xr:uid="{00000000-0005-0000-0000-000006170000}"/>
    <cellStyle name="Normal 5 2 2 2 2 2 2 4 3 2" xfId="14461" xr:uid="{D832F266-94D2-47C2-9E2E-EA83BB9DA1CB}"/>
    <cellStyle name="Normal 5 2 2 2 2 2 2 4 4" xfId="10243" xr:uid="{81F5B0B8-9F0B-409C-AAE3-ABB81410811A}"/>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2 2 2" xfId="17019" xr:uid="{58A4246D-3EA1-427B-87CE-87F911DBB9E5}"/>
    <cellStyle name="Normal 5 2 2 2 2 2 2 5 2 3" xfId="12801" xr:uid="{BCAD1257-DABA-4EAD-A137-8D12C8ECF565}"/>
    <cellStyle name="Normal 5 2 2 2 2 2 2 5 3" xfId="6439" xr:uid="{00000000-0005-0000-0000-00000A170000}"/>
    <cellStyle name="Normal 5 2 2 2 2 2 2 5 3 2" xfId="14874" xr:uid="{AC6DE6B3-424C-4ED4-885A-C9B860072FE3}"/>
    <cellStyle name="Normal 5 2 2 2 2 2 2 5 4" xfId="10656" xr:uid="{8AB28CED-EB18-442F-9E78-0C7BA99ECE23}"/>
    <cellStyle name="Normal 5 2 2 2 2 2 2 6" xfId="2568" xr:uid="{00000000-0005-0000-0000-00000B170000}"/>
    <cellStyle name="Normal 5 2 2 2 2 2 2 6 2" xfId="6852" xr:uid="{00000000-0005-0000-0000-00000C170000}"/>
    <cellStyle name="Normal 5 2 2 2 2 2 2 6 2 2" xfId="15287" xr:uid="{B6BA65E9-A546-44B2-ACEF-588E9FD39CC7}"/>
    <cellStyle name="Normal 5 2 2 2 2 2 2 6 3" xfId="11069" xr:uid="{812E733D-6F81-4D62-BAB9-82C642C83654}"/>
    <cellStyle name="Normal 5 2 2 2 2 2 2 7" xfId="4787" xr:uid="{00000000-0005-0000-0000-00000D170000}"/>
    <cellStyle name="Normal 5 2 2 2 2 2 2 7 2" xfId="13222" xr:uid="{E6E29C85-64D5-43B5-84D5-B44B0C0780DD}"/>
    <cellStyle name="Normal 5 2 2 2 2 2 2 8" xfId="9004" xr:uid="{62E7F2B5-153B-40D3-BDFF-A2B69F22A29B}"/>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2 2 2" xfId="15779" xr:uid="{2B83251F-6C96-47B4-8B89-BEC958910CE0}"/>
    <cellStyle name="Normal 5 2 2 2 2 2 3 2 3" xfId="11561" xr:uid="{39A12F90-BB1E-4A90-A90E-AECA54EB58C1}"/>
    <cellStyle name="Normal 5 2 2 2 2 2 3 3" xfId="5199" xr:uid="{00000000-0005-0000-0000-000011170000}"/>
    <cellStyle name="Normal 5 2 2 2 2 2 3 3 2" xfId="13634" xr:uid="{CD738720-CF6B-483D-9F3F-C9B3A9A662BF}"/>
    <cellStyle name="Normal 5 2 2 2 2 2 3 4" xfId="9416" xr:uid="{26D2ACCC-14EC-4B4E-A0DC-655DB565204F}"/>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2 2 2" xfId="16192" xr:uid="{B3C7F199-9487-4601-B7EE-2674E786D9FF}"/>
    <cellStyle name="Normal 5 2 2 2 2 2 4 2 3" xfId="11974" xr:uid="{0B9C1FC7-D64A-4B1A-9BFC-719F344AFF90}"/>
    <cellStyle name="Normal 5 2 2 2 2 2 4 3" xfId="5612" xr:uid="{00000000-0005-0000-0000-000015170000}"/>
    <cellStyle name="Normal 5 2 2 2 2 2 4 3 2" xfId="14047" xr:uid="{49A04A55-2F40-40F0-9C0A-12941EB9790E}"/>
    <cellStyle name="Normal 5 2 2 2 2 2 4 4" xfId="9829" xr:uid="{3C7E536E-5FB6-4F79-A015-DAA6B325C00B}"/>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2 2 2" xfId="16605" xr:uid="{489BD3E7-6BE0-42DE-847D-B75BA2FAA163}"/>
    <cellStyle name="Normal 5 2 2 2 2 2 5 2 3" xfId="12387" xr:uid="{2F89CE70-5CEA-4E52-97EA-34E2E0D1D0A8}"/>
    <cellStyle name="Normal 5 2 2 2 2 2 5 3" xfId="6025" xr:uid="{00000000-0005-0000-0000-000019170000}"/>
    <cellStyle name="Normal 5 2 2 2 2 2 5 3 2" xfId="14460" xr:uid="{77E74893-E89E-4D4B-8701-2362921C3150}"/>
    <cellStyle name="Normal 5 2 2 2 2 2 5 4" xfId="10242" xr:uid="{DAB18F02-00B0-4897-A17F-A33202706D29}"/>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2 2 2" xfId="17018" xr:uid="{67EFCC1F-44CF-4303-9E53-FD4D8264D0C2}"/>
    <cellStyle name="Normal 5 2 2 2 2 2 6 2 3" xfId="12800" xr:uid="{8438442A-0707-47A7-B391-B11B15A633E5}"/>
    <cellStyle name="Normal 5 2 2 2 2 2 6 3" xfId="6438" xr:uid="{00000000-0005-0000-0000-00001D170000}"/>
    <cellStyle name="Normal 5 2 2 2 2 2 6 3 2" xfId="14873" xr:uid="{EEAE59F1-FB94-4DE6-A345-26FF95D8D56E}"/>
    <cellStyle name="Normal 5 2 2 2 2 2 6 4" xfId="10655" xr:uid="{6C77E365-D063-4072-B9EC-1280661DA5FC}"/>
    <cellStyle name="Normal 5 2 2 2 2 2 7" xfId="2567" xr:uid="{00000000-0005-0000-0000-00001E170000}"/>
    <cellStyle name="Normal 5 2 2 2 2 2 7 2" xfId="6851" xr:uid="{00000000-0005-0000-0000-00001F170000}"/>
    <cellStyle name="Normal 5 2 2 2 2 2 7 2 2" xfId="15286" xr:uid="{2A2AF4CB-0111-480A-8365-4C61EFEAF46A}"/>
    <cellStyle name="Normal 5 2 2 2 2 2 7 3" xfId="11068" xr:uid="{5CE19405-CDF2-4806-BE70-F14065948642}"/>
    <cellStyle name="Normal 5 2 2 2 2 2 8" xfId="4786" xr:uid="{00000000-0005-0000-0000-000020170000}"/>
    <cellStyle name="Normal 5 2 2 2 2 2 8 2" xfId="13221" xr:uid="{E824ECD1-A378-4886-B0B0-4738955BCA86}"/>
    <cellStyle name="Normal 5 2 2 2 2 2 9" xfId="9003" xr:uid="{86BD1F12-D155-4D9F-93FF-20769313B7CF}"/>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2 2 2" xfId="15781" xr:uid="{F8043DC9-8823-42F9-BD70-A79520B706D1}"/>
    <cellStyle name="Normal 5 2 2 2 2 3 2 2 3" xfId="11563" xr:uid="{0DFC4859-19A2-4246-B28E-B17D2CDEC3D4}"/>
    <cellStyle name="Normal 5 2 2 2 2 3 2 3" xfId="5201" xr:uid="{00000000-0005-0000-0000-000025170000}"/>
    <cellStyle name="Normal 5 2 2 2 2 3 2 3 2" xfId="13636" xr:uid="{DC961F72-2A52-4F8C-9D49-AA4E848A908C}"/>
    <cellStyle name="Normal 5 2 2 2 2 3 2 4" xfId="9418" xr:uid="{1C84BEB8-C5DE-4978-8BC1-8DD0D19E606F}"/>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2 2 2" xfId="16194" xr:uid="{A733ED3C-9421-49DA-88BB-FE9774D95F91}"/>
    <cellStyle name="Normal 5 2 2 2 2 3 3 2 3" xfId="11976" xr:uid="{20B07295-18C8-4D98-B0EB-36028583392B}"/>
    <cellStyle name="Normal 5 2 2 2 2 3 3 3" xfId="5614" xr:uid="{00000000-0005-0000-0000-000029170000}"/>
    <cellStyle name="Normal 5 2 2 2 2 3 3 3 2" xfId="14049" xr:uid="{E6E98C94-1669-4E08-98BD-D085179CDCE2}"/>
    <cellStyle name="Normal 5 2 2 2 2 3 3 4" xfId="9831" xr:uid="{C517F61A-910B-4FEF-89E7-3E9D429B6E4A}"/>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2 2 2" xfId="16607" xr:uid="{008B1B6A-9E85-4F45-B882-442C32E8D004}"/>
    <cellStyle name="Normal 5 2 2 2 2 3 4 2 3" xfId="12389" xr:uid="{E567F796-94E6-45A8-8DFA-F0DA24AE0074}"/>
    <cellStyle name="Normal 5 2 2 2 2 3 4 3" xfId="6027" xr:uid="{00000000-0005-0000-0000-00002D170000}"/>
    <cellStyle name="Normal 5 2 2 2 2 3 4 3 2" xfId="14462" xr:uid="{EFCDBDF2-B9DB-437D-BB0C-58627DCD38ED}"/>
    <cellStyle name="Normal 5 2 2 2 2 3 4 4" xfId="10244" xr:uid="{631CED0D-B0ED-4C79-8BA8-40F5B128334B}"/>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2 2 2" xfId="17020" xr:uid="{EF876707-3649-4227-A933-8E27BA8D4D55}"/>
    <cellStyle name="Normal 5 2 2 2 2 3 5 2 3" xfId="12802" xr:uid="{A92B3CC5-7804-4C3F-BE37-E40A8A01E4E3}"/>
    <cellStyle name="Normal 5 2 2 2 2 3 5 3" xfId="6440" xr:uid="{00000000-0005-0000-0000-000031170000}"/>
    <cellStyle name="Normal 5 2 2 2 2 3 5 3 2" xfId="14875" xr:uid="{BA12C1F0-C222-4989-9442-76988F8887AF}"/>
    <cellStyle name="Normal 5 2 2 2 2 3 5 4" xfId="10657" xr:uid="{EB33A9AD-63BF-4988-9B85-FE4A5A4A2C68}"/>
    <cellStyle name="Normal 5 2 2 2 2 3 6" xfId="2569" xr:uid="{00000000-0005-0000-0000-000032170000}"/>
    <cellStyle name="Normal 5 2 2 2 2 3 6 2" xfId="6853" xr:uid="{00000000-0005-0000-0000-000033170000}"/>
    <cellStyle name="Normal 5 2 2 2 2 3 6 2 2" xfId="15288" xr:uid="{6884953D-DAE7-4A25-9F15-9B5BF2207772}"/>
    <cellStyle name="Normal 5 2 2 2 2 3 6 3" xfId="11070" xr:uid="{BC92AFA4-F8CE-477D-B525-093E26A5B7D0}"/>
    <cellStyle name="Normal 5 2 2 2 2 3 7" xfId="4788" xr:uid="{00000000-0005-0000-0000-000034170000}"/>
    <cellStyle name="Normal 5 2 2 2 2 3 7 2" xfId="13223" xr:uid="{27B9A4B3-CB82-4EDF-9715-DBA2D191DDDA}"/>
    <cellStyle name="Normal 5 2 2 2 2 3 8" xfId="9005" xr:uid="{C7704883-B794-4253-97E8-E139C65A89E5}"/>
    <cellStyle name="Normal 5 2 2 2 2 4" xfId="885" xr:uid="{00000000-0005-0000-0000-000035170000}"/>
    <cellStyle name="Normal 5 2 2 2 2 4 2" xfId="3120" xr:uid="{00000000-0005-0000-0000-000036170000}"/>
    <cellStyle name="Normal 5 2 2 2 2 4 2 2" xfId="7343" xr:uid="{00000000-0005-0000-0000-000037170000}"/>
    <cellStyle name="Normal 5 2 2 2 2 4 2 2 2" xfId="15778" xr:uid="{CFB0A79F-47F0-41D9-8450-B97D96BFDBD9}"/>
    <cellStyle name="Normal 5 2 2 2 2 4 2 3" xfId="11560" xr:uid="{E44A776A-C2D3-40F1-B2B2-DD94A9986876}"/>
    <cellStyle name="Normal 5 2 2 2 2 4 3" xfId="5198" xr:uid="{00000000-0005-0000-0000-000038170000}"/>
    <cellStyle name="Normal 5 2 2 2 2 4 3 2" xfId="13633" xr:uid="{1CAB4BFE-D2C9-4E6B-A711-9697A48270BE}"/>
    <cellStyle name="Normal 5 2 2 2 2 4 4" xfId="9415" xr:uid="{3F9F4EE8-C7E4-426E-845A-B42A6DDC0912}"/>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2 2 2" xfId="16191" xr:uid="{15DDBC49-91DC-4BF3-B0F6-AE7DEE02F9B7}"/>
    <cellStyle name="Normal 5 2 2 2 2 5 2 3" xfId="11973" xr:uid="{DB8489D4-69AC-49F4-A052-8F3A24BA62B6}"/>
    <cellStyle name="Normal 5 2 2 2 2 5 3" xfId="5611" xr:uid="{00000000-0005-0000-0000-00003C170000}"/>
    <cellStyle name="Normal 5 2 2 2 2 5 3 2" xfId="14046" xr:uid="{10B454D9-88E5-4617-A6E6-4C74480A829E}"/>
    <cellStyle name="Normal 5 2 2 2 2 5 4" xfId="9828" xr:uid="{EFE3AB60-2AD6-4A54-8A74-D622E99B4D94}"/>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2 2 2" xfId="16604" xr:uid="{E06102B7-0BDD-46E7-950F-D21A759941FE}"/>
    <cellStyle name="Normal 5 2 2 2 2 6 2 3" xfId="12386" xr:uid="{FE48866F-A86D-4C34-9C3A-C3BB71336F51}"/>
    <cellStyle name="Normal 5 2 2 2 2 6 3" xfId="6024" xr:uid="{00000000-0005-0000-0000-000040170000}"/>
    <cellStyle name="Normal 5 2 2 2 2 6 3 2" xfId="14459" xr:uid="{C45693B3-3DB3-4720-9E0C-C522BF447749}"/>
    <cellStyle name="Normal 5 2 2 2 2 6 4" xfId="10241" xr:uid="{887B957E-A443-449C-86D2-B71FA33E0FBC}"/>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2 2 2" xfId="17017" xr:uid="{EBA849AC-A2DD-449C-B30A-8F477F416B8D}"/>
    <cellStyle name="Normal 5 2 2 2 2 7 2 3" xfId="12799" xr:uid="{0DC441AD-DFB6-4C27-94F4-D0BD48B459B1}"/>
    <cellStyle name="Normal 5 2 2 2 2 7 3" xfId="6437" xr:uid="{00000000-0005-0000-0000-000044170000}"/>
    <cellStyle name="Normal 5 2 2 2 2 7 3 2" xfId="14872" xr:uid="{C2CF28D1-6AD9-4CB4-864F-495F95728243}"/>
    <cellStyle name="Normal 5 2 2 2 2 7 4" xfId="10654" xr:uid="{DF5DC8D3-3496-4106-B699-A6546EA54504}"/>
    <cellStyle name="Normal 5 2 2 2 2 8" xfId="2566" xr:uid="{00000000-0005-0000-0000-000045170000}"/>
    <cellStyle name="Normal 5 2 2 2 2 8 2" xfId="6850" xr:uid="{00000000-0005-0000-0000-000046170000}"/>
    <cellStyle name="Normal 5 2 2 2 2 8 2 2" xfId="15285" xr:uid="{2320EE63-BDB3-4E52-9B8F-DE5053E42CFA}"/>
    <cellStyle name="Normal 5 2 2 2 2 8 3" xfId="11067" xr:uid="{35AB49F2-0B83-4969-A780-21359E61213B}"/>
    <cellStyle name="Normal 5 2 2 2 2 9" xfId="4785" xr:uid="{00000000-0005-0000-0000-000047170000}"/>
    <cellStyle name="Normal 5 2 2 2 2 9 2" xfId="13220" xr:uid="{DBD48DFD-004D-4E1F-B40D-F56BB0F193FA}"/>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2 2 2" xfId="15783" xr:uid="{2058C68D-7BB7-408D-BFC1-736AAC91F5EC}"/>
    <cellStyle name="Normal 5 2 2 2 3 2 2 2 3" xfId="11565" xr:uid="{60B41BF0-9EBF-45F2-8F20-828ECCC3C053}"/>
    <cellStyle name="Normal 5 2 2 2 3 2 2 3" xfId="5203" xr:uid="{00000000-0005-0000-0000-00004D170000}"/>
    <cellStyle name="Normal 5 2 2 2 3 2 2 3 2" xfId="13638" xr:uid="{6C111EA6-7979-4E3E-A275-EE0C5B453800}"/>
    <cellStyle name="Normal 5 2 2 2 3 2 2 4" xfId="9420" xr:uid="{CBE25103-0CEC-4D25-98B2-ED5A239DB452}"/>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2 2 2" xfId="16196" xr:uid="{B8301347-50D9-4471-9888-A87E8FFF47CB}"/>
    <cellStyle name="Normal 5 2 2 2 3 2 3 2 3" xfId="11978" xr:uid="{023DCC25-FCBF-46AB-A121-383BB72B4BA5}"/>
    <cellStyle name="Normal 5 2 2 2 3 2 3 3" xfId="5616" xr:uid="{00000000-0005-0000-0000-000051170000}"/>
    <cellStyle name="Normal 5 2 2 2 3 2 3 3 2" xfId="14051" xr:uid="{E861170B-C1B1-431C-8563-52A381CEDC8A}"/>
    <cellStyle name="Normal 5 2 2 2 3 2 3 4" xfId="9833" xr:uid="{9ADF8D41-88AC-4666-95A2-0BEEDE49475F}"/>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2 2 2" xfId="16609" xr:uid="{78E6A283-280A-4F91-A129-03C49382A104}"/>
    <cellStyle name="Normal 5 2 2 2 3 2 4 2 3" xfId="12391" xr:uid="{E47DF3DE-FE80-408A-9A80-88AF052E52C2}"/>
    <cellStyle name="Normal 5 2 2 2 3 2 4 3" xfId="6029" xr:uid="{00000000-0005-0000-0000-000055170000}"/>
    <cellStyle name="Normal 5 2 2 2 3 2 4 3 2" xfId="14464" xr:uid="{E7A488CF-37FB-4C9D-976C-2ED4BC60787A}"/>
    <cellStyle name="Normal 5 2 2 2 3 2 4 4" xfId="10246" xr:uid="{349F0809-1368-4879-9DD5-D1B42D65FA1F}"/>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2 2 2" xfId="17022" xr:uid="{5CAB17F0-3506-4C8D-8103-47F3B531ACAD}"/>
    <cellStyle name="Normal 5 2 2 2 3 2 5 2 3" xfId="12804" xr:uid="{002219DB-2660-49C5-9A80-1D200D3D8C4E}"/>
    <cellStyle name="Normal 5 2 2 2 3 2 5 3" xfId="6442" xr:uid="{00000000-0005-0000-0000-000059170000}"/>
    <cellStyle name="Normal 5 2 2 2 3 2 5 3 2" xfId="14877" xr:uid="{7ADD1BE1-F44B-4F24-AFAA-6E98CA5947E1}"/>
    <cellStyle name="Normal 5 2 2 2 3 2 5 4" xfId="10659" xr:uid="{30CEAB9D-890E-4DBD-B310-66AEAAD7224B}"/>
    <cellStyle name="Normal 5 2 2 2 3 2 6" xfId="2571" xr:uid="{00000000-0005-0000-0000-00005A170000}"/>
    <cellStyle name="Normal 5 2 2 2 3 2 6 2" xfId="6855" xr:uid="{00000000-0005-0000-0000-00005B170000}"/>
    <cellStyle name="Normal 5 2 2 2 3 2 6 2 2" xfId="15290" xr:uid="{301E25A4-B002-43F5-9E27-023F4361D996}"/>
    <cellStyle name="Normal 5 2 2 2 3 2 6 3" xfId="11072" xr:uid="{2285D156-F28D-4744-A219-CCA97B519701}"/>
    <cellStyle name="Normal 5 2 2 2 3 2 7" xfId="4790" xr:uid="{00000000-0005-0000-0000-00005C170000}"/>
    <cellStyle name="Normal 5 2 2 2 3 2 7 2" xfId="13225" xr:uid="{6CA7619B-DC8D-4F4F-8E5C-92FDC93650B2}"/>
    <cellStyle name="Normal 5 2 2 2 3 2 8" xfId="9007" xr:uid="{84ACDBD6-ED73-45E1-BC8B-0CF0711A248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2 2 2" xfId="15782" xr:uid="{FDD809A5-0CFC-4A3E-967F-EFBFBC13C92D}"/>
    <cellStyle name="Normal 5 2 2 2 3 3 2 3" xfId="11564" xr:uid="{8298EE74-0A5B-4F46-9652-4D9D51A48F22}"/>
    <cellStyle name="Normal 5 2 2 2 3 3 3" xfId="5202" xr:uid="{00000000-0005-0000-0000-000060170000}"/>
    <cellStyle name="Normal 5 2 2 2 3 3 3 2" xfId="13637" xr:uid="{5463A3A2-EECB-48E3-A883-D2DE45F3B21E}"/>
    <cellStyle name="Normal 5 2 2 2 3 3 4" xfId="9419" xr:uid="{3D233DF3-8228-4FCF-AFD2-2007055E2C4A}"/>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2 2 2" xfId="16195" xr:uid="{034E9E12-583D-45A0-ADB5-F67807B93E19}"/>
    <cellStyle name="Normal 5 2 2 2 3 4 2 3" xfId="11977" xr:uid="{4111C9F0-EF62-43FF-AE6B-D3492192D104}"/>
    <cellStyle name="Normal 5 2 2 2 3 4 3" xfId="5615" xr:uid="{00000000-0005-0000-0000-000064170000}"/>
    <cellStyle name="Normal 5 2 2 2 3 4 3 2" xfId="14050" xr:uid="{71F841A2-8EAF-4EFC-B9EC-435DABE0E478}"/>
    <cellStyle name="Normal 5 2 2 2 3 4 4" xfId="9832" xr:uid="{4BA9A899-923A-4D6B-A4C7-B61C1590D0E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2 2 2" xfId="16608" xr:uid="{A40C3DB0-12B6-4D5B-8048-9603F48FEF85}"/>
    <cellStyle name="Normal 5 2 2 2 3 5 2 3" xfId="12390" xr:uid="{1DD8DBD4-AE34-451D-ADEB-D20AA465205A}"/>
    <cellStyle name="Normal 5 2 2 2 3 5 3" xfId="6028" xr:uid="{00000000-0005-0000-0000-000068170000}"/>
    <cellStyle name="Normal 5 2 2 2 3 5 3 2" xfId="14463" xr:uid="{6A18B9CD-0736-425C-9B8B-DE4E0E08150F}"/>
    <cellStyle name="Normal 5 2 2 2 3 5 4" xfId="10245" xr:uid="{D400DE11-06EF-415C-A1B1-FD4E32B4C427}"/>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2 2 2" xfId="17021" xr:uid="{92B009F6-F816-4292-9C9C-08FA99BDB5C8}"/>
    <cellStyle name="Normal 5 2 2 2 3 6 2 3" xfId="12803" xr:uid="{E44065BD-B94F-4DA8-A238-8B4D7F8DB902}"/>
    <cellStyle name="Normal 5 2 2 2 3 6 3" xfId="6441" xr:uid="{00000000-0005-0000-0000-00006C170000}"/>
    <cellStyle name="Normal 5 2 2 2 3 6 3 2" xfId="14876" xr:uid="{0A23A95D-070E-4C81-86CE-F0BE42A72C97}"/>
    <cellStyle name="Normal 5 2 2 2 3 6 4" xfId="10658" xr:uid="{88DC71CF-D27A-49C2-A0EF-E7BDD78F0E97}"/>
    <cellStyle name="Normal 5 2 2 2 3 7" xfId="2570" xr:uid="{00000000-0005-0000-0000-00006D170000}"/>
    <cellStyle name="Normal 5 2 2 2 3 7 2" xfId="6854" xr:uid="{00000000-0005-0000-0000-00006E170000}"/>
    <cellStyle name="Normal 5 2 2 2 3 7 2 2" xfId="15289" xr:uid="{C33B82B6-55A5-49D1-A1E8-D5245DC56356}"/>
    <cellStyle name="Normal 5 2 2 2 3 7 3" xfId="11071" xr:uid="{DEA41C3C-EBC7-4E8A-B127-C54EBA4C3AA2}"/>
    <cellStyle name="Normal 5 2 2 2 3 8" xfId="4789" xr:uid="{00000000-0005-0000-0000-00006F170000}"/>
    <cellStyle name="Normal 5 2 2 2 3 8 2" xfId="13224" xr:uid="{053141F1-0ED3-496C-A236-21150C6B2FB3}"/>
    <cellStyle name="Normal 5 2 2 2 3 9" xfId="9006" xr:uid="{AB883A12-CB53-457E-BA3A-DC067F6EA247}"/>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2 2 2" xfId="15784" xr:uid="{AA4CF029-888B-4E91-B54F-D626473F069A}"/>
    <cellStyle name="Normal 5 2 2 2 4 2 2 3" xfId="11566" xr:uid="{C2E6E5E1-49AE-4301-8402-ED4C3A8F3370}"/>
    <cellStyle name="Normal 5 2 2 2 4 2 3" xfId="5204" xr:uid="{00000000-0005-0000-0000-000074170000}"/>
    <cellStyle name="Normal 5 2 2 2 4 2 3 2" xfId="13639" xr:uid="{8191A351-3E46-432E-BF5F-647ED7ADC717}"/>
    <cellStyle name="Normal 5 2 2 2 4 2 4" xfId="9421" xr:uid="{EAD6F4E9-693F-4DD6-93B2-24B497C7B335}"/>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2 2 2" xfId="16197" xr:uid="{40379C4F-C385-4C16-B991-C37C4FFAE312}"/>
    <cellStyle name="Normal 5 2 2 2 4 3 2 3" xfId="11979" xr:uid="{A5F3B03C-3830-43EF-BAED-B8D94DC86B02}"/>
    <cellStyle name="Normal 5 2 2 2 4 3 3" xfId="5617" xr:uid="{00000000-0005-0000-0000-000078170000}"/>
    <cellStyle name="Normal 5 2 2 2 4 3 3 2" xfId="14052" xr:uid="{1BD0E56F-7931-42EB-BBDE-E2CFE54A1638}"/>
    <cellStyle name="Normal 5 2 2 2 4 3 4" xfId="9834" xr:uid="{7B850D1F-44B1-4FFB-A3FA-495099360132}"/>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2 2 2" xfId="16610" xr:uid="{488B0772-DCE5-4BE0-9DDD-CA397386BFD2}"/>
    <cellStyle name="Normal 5 2 2 2 4 4 2 3" xfId="12392" xr:uid="{8930B984-0F93-4126-9A76-9B39E4706C9B}"/>
    <cellStyle name="Normal 5 2 2 2 4 4 3" xfId="6030" xr:uid="{00000000-0005-0000-0000-00007C170000}"/>
    <cellStyle name="Normal 5 2 2 2 4 4 3 2" xfId="14465" xr:uid="{56D085B0-BE6E-431E-8B97-D65B536FDA9E}"/>
    <cellStyle name="Normal 5 2 2 2 4 4 4" xfId="10247" xr:uid="{A2B8FB16-4B5F-4DF3-9D18-B1EABEE2114E}"/>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2 2 2" xfId="17023" xr:uid="{782D62F1-4CD4-4B1F-91BF-79F82E489921}"/>
    <cellStyle name="Normal 5 2 2 2 4 5 2 3" xfId="12805" xr:uid="{561FE452-C507-4AB9-99AD-0D885B48C914}"/>
    <cellStyle name="Normal 5 2 2 2 4 5 3" xfId="6443" xr:uid="{00000000-0005-0000-0000-000080170000}"/>
    <cellStyle name="Normal 5 2 2 2 4 5 3 2" xfId="14878" xr:uid="{A9CCECE4-0BA8-455E-97F8-99A21E985B35}"/>
    <cellStyle name="Normal 5 2 2 2 4 5 4" xfId="10660" xr:uid="{427356CE-30F2-4CC1-8533-3F802A0A6509}"/>
    <cellStyle name="Normal 5 2 2 2 4 6" xfId="2572" xr:uid="{00000000-0005-0000-0000-000081170000}"/>
    <cellStyle name="Normal 5 2 2 2 4 6 2" xfId="6856" xr:uid="{00000000-0005-0000-0000-000082170000}"/>
    <cellStyle name="Normal 5 2 2 2 4 6 2 2" xfId="15291" xr:uid="{5A7992B1-32F4-4E54-896A-F101333B3037}"/>
    <cellStyle name="Normal 5 2 2 2 4 6 3" xfId="11073" xr:uid="{7CD7A5E2-C4B3-4AE6-AB06-48E9FBF2CF59}"/>
    <cellStyle name="Normal 5 2 2 2 4 7" xfId="4791" xr:uid="{00000000-0005-0000-0000-000083170000}"/>
    <cellStyle name="Normal 5 2 2 2 4 7 2" xfId="13226" xr:uid="{FFBACB8B-C143-4663-87EA-7AC95BDAB604}"/>
    <cellStyle name="Normal 5 2 2 2 4 8" xfId="9008" xr:uid="{B80E59DC-67EC-40F7-B5D8-F555584E81DA}"/>
    <cellStyle name="Normal 5 2 2 2 5" xfId="884" xr:uid="{00000000-0005-0000-0000-000084170000}"/>
    <cellStyle name="Normal 5 2 2 2 5 2" xfId="3119" xr:uid="{00000000-0005-0000-0000-000085170000}"/>
    <cellStyle name="Normal 5 2 2 2 5 2 2" xfId="7342" xr:uid="{00000000-0005-0000-0000-000086170000}"/>
    <cellStyle name="Normal 5 2 2 2 5 2 2 2" xfId="15777" xr:uid="{880E1180-89ED-4F2E-AE1F-B8BC55B53EE5}"/>
    <cellStyle name="Normal 5 2 2 2 5 2 3" xfId="11559" xr:uid="{FF4E88A8-000F-46B2-A56A-34743947284E}"/>
    <cellStyle name="Normal 5 2 2 2 5 3" xfId="5197" xr:uid="{00000000-0005-0000-0000-000087170000}"/>
    <cellStyle name="Normal 5 2 2 2 5 3 2" xfId="13632" xr:uid="{DA2C961D-F879-4D89-AE5C-343874A47C51}"/>
    <cellStyle name="Normal 5 2 2 2 5 4" xfId="9414" xr:uid="{C745FC63-E8AC-4D0E-885C-69317B93D5C1}"/>
    <cellStyle name="Normal 5 2 2 2 6" xfId="1302" xr:uid="{00000000-0005-0000-0000-000088170000}"/>
    <cellStyle name="Normal 5 2 2 2 6 2" xfId="3532" xr:uid="{00000000-0005-0000-0000-000089170000}"/>
    <cellStyle name="Normal 5 2 2 2 6 2 2" xfId="7755" xr:uid="{00000000-0005-0000-0000-00008A170000}"/>
    <cellStyle name="Normal 5 2 2 2 6 2 2 2" xfId="16190" xr:uid="{8A18E8B3-9861-443E-BE0A-3AE119366990}"/>
    <cellStyle name="Normal 5 2 2 2 6 2 3" xfId="11972" xr:uid="{09D488AE-609B-4D98-A576-3D4529B1AE70}"/>
    <cellStyle name="Normal 5 2 2 2 6 3" xfId="5610" xr:uid="{00000000-0005-0000-0000-00008B170000}"/>
    <cellStyle name="Normal 5 2 2 2 6 3 2" xfId="14045" xr:uid="{622F073A-C557-4E02-9B10-2DBC1B4B5D69}"/>
    <cellStyle name="Normal 5 2 2 2 6 4" xfId="9827" xr:uid="{F875FEA1-2EB6-4D05-B9FD-0FFECBE591A4}"/>
    <cellStyle name="Normal 5 2 2 2 7" xfId="1715" xr:uid="{00000000-0005-0000-0000-00008C170000}"/>
    <cellStyle name="Normal 5 2 2 2 7 2" xfId="3945" xr:uid="{00000000-0005-0000-0000-00008D170000}"/>
    <cellStyle name="Normal 5 2 2 2 7 2 2" xfId="8168" xr:uid="{00000000-0005-0000-0000-00008E170000}"/>
    <cellStyle name="Normal 5 2 2 2 7 2 2 2" xfId="16603" xr:uid="{D3D4C490-3248-4060-9503-F4AE488C4B4A}"/>
    <cellStyle name="Normal 5 2 2 2 7 2 3" xfId="12385" xr:uid="{249CDA3B-68E2-4073-84CC-4A6C7493F975}"/>
    <cellStyle name="Normal 5 2 2 2 7 3" xfId="6023" xr:uid="{00000000-0005-0000-0000-00008F170000}"/>
    <cellStyle name="Normal 5 2 2 2 7 3 2" xfId="14458" xr:uid="{97625C0C-9627-4AD9-AE91-9CF7D9C03141}"/>
    <cellStyle name="Normal 5 2 2 2 7 4" xfId="10240" xr:uid="{063742CB-5F90-45B3-A625-7893837F2512}"/>
    <cellStyle name="Normal 5 2 2 2 8" xfId="2129" xr:uid="{00000000-0005-0000-0000-000090170000}"/>
    <cellStyle name="Normal 5 2 2 2 8 2" xfId="4358" xr:uid="{00000000-0005-0000-0000-000091170000}"/>
    <cellStyle name="Normal 5 2 2 2 8 2 2" xfId="8581" xr:uid="{00000000-0005-0000-0000-000092170000}"/>
    <cellStyle name="Normal 5 2 2 2 8 2 2 2" xfId="17016" xr:uid="{656BF8E6-598D-4611-B132-3636D6704334}"/>
    <cellStyle name="Normal 5 2 2 2 8 2 3" xfId="12798" xr:uid="{9BA6D574-DD3D-44F9-A7AA-169100A0DCDB}"/>
    <cellStyle name="Normal 5 2 2 2 8 3" xfId="6436" xr:uid="{00000000-0005-0000-0000-000093170000}"/>
    <cellStyle name="Normal 5 2 2 2 8 3 2" xfId="14871" xr:uid="{981798AA-AF5B-4069-ACA7-EC463771D91E}"/>
    <cellStyle name="Normal 5 2 2 2 8 4" xfId="10653" xr:uid="{33DDB47A-B418-40AA-AEFE-03A5DDFEA400}"/>
    <cellStyle name="Normal 5 2 2 2 9" xfId="2565" xr:uid="{00000000-0005-0000-0000-000094170000}"/>
    <cellStyle name="Normal 5 2 2 2 9 2" xfId="6849" xr:uid="{00000000-0005-0000-0000-000095170000}"/>
    <cellStyle name="Normal 5 2 2 2 9 2 2" xfId="15284" xr:uid="{4D59659B-7E9F-4874-9E93-434B0E3E6597}"/>
    <cellStyle name="Normal 5 2 2 2 9 3" xfId="11066" xr:uid="{E87FD0ED-0F86-4B98-AB58-12EA3944857F}"/>
    <cellStyle name="Normal 5 2 2 3" xfId="417" xr:uid="{00000000-0005-0000-0000-000096170000}"/>
    <cellStyle name="Normal 5 2 2 3 10" xfId="9009" xr:uid="{196AD051-60C8-4F6F-ACF1-8711854C5237}"/>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2 2 2" xfId="15787" xr:uid="{3D91FF5B-BD2F-48DB-ABF0-E3F772B8229C}"/>
    <cellStyle name="Normal 5 2 2 3 2 2 2 2 3" xfId="11569" xr:uid="{2D62A22B-5D10-41F8-BBD3-E55F09D59A4F}"/>
    <cellStyle name="Normal 5 2 2 3 2 2 2 3" xfId="5207" xr:uid="{00000000-0005-0000-0000-00009C170000}"/>
    <cellStyle name="Normal 5 2 2 3 2 2 2 3 2" xfId="13642" xr:uid="{6640BABF-0749-4983-8622-8957A2429EB9}"/>
    <cellStyle name="Normal 5 2 2 3 2 2 2 4" xfId="9424" xr:uid="{898D178E-1B38-47AB-AF8B-D8E45BB6F35C}"/>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2 2 2" xfId="16200" xr:uid="{CE14C4D4-0BE8-4762-88BA-59C926152406}"/>
    <cellStyle name="Normal 5 2 2 3 2 2 3 2 3" xfId="11982" xr:uid="{B60E2AC4-9BA0-4E43-BA70-7BAC072A4990}"/>
    <cellStyle name="Normal 5 2 2 3 2 2 3 3" xfId="5620" xr:uid="{00000000-0005-0000-0000-0000A0170000}"/>
    <cellStyle name="Normal 5 2 2 3 2 2 3 3 2" xfId="14055" xr:uid="{03A7A707-5DF7-4DDE-A791-B9387D622505}"/>
    <cellStyle name="Normal 5 2 2 3 2 2 3 4" xfId="9837" xr:uid="{1FC9E619-3D5A-4F6C-9F8B-6FE29FDF0E24}"/>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2 2 2" xfId="16613" xr:uid="{5CCAB0EF-9AD2-4B22-9C72-5039C6524C1D}"/>
    <cellStyle name="Normal 5 2 2 3 2 2 4 2 3" xfId="12395" xr:uid="{9989ECA6-9FA9-49EE-8486-05904CC9F418}"/>
    <cellStyle name="Normal 5 2 2 3 2 2 4 3" xfId="6033" xr:uid="{00000000-0005-0000-0000-0000A4170000}"/>
    <cellStyle name="Normal 5 2 2 3 2 2 4 3 2" xfId="14468" xr:uid="{F9D7A73F-B1D6-4E4E-9F68-753E7B3D6009}"/>
    <cellStyle name="Normal 5 2 2 3 2 2 4 4" xfId="10250" xr:uid="{2803B3B4-5C32-4B04-8F39-ACF168C20E9A}"/>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2 2 2" xfId="17026" xr:uid="{2C2E36E3-8F9B-499F-B018-99D97D6125AE}"/>
    <cellStyle name="Normal 5 2 2 3 2 2 5 2 3" xfId="12808" xr:uid="{B589331B-B4CF-4E97-8677-A98FE7CBA940}"/>
    <cellStyle name="Normal 5 2 2 3 2 2 5 3" xfId="6446" xr:uid="{00000000-0005-0000-0000-0000A8170000}"/>
    <cellStyle name="Normal 5 2 2 3 2 2 5 3 2" xfId="14881" xr:uid="{7B621F99-03EF-492E-B050-20C3B4A3258D}"/>
    <cellStyle name="Normal 5 2 2 3 2 2 5 4" xfId="10663" xr:uid="{997369FA-A183-47CE-9EB8-0F6784119CA8}"/>
    <cellStyle name="Normal 5 2 2 3 2 2 6" xfId="2575" xr:uid="{00000000-0005-0000-0000-0000A9170000}"/>
    <cellStyle name="Normal 5 2 2 3 2 2 6 2" xfId="6859" xr:uid="{00000000-0005-0000-0000-0000AA170000}"/>
    <cellStyle name="Normal 5 2 2 3 2 2 6 2 2" xfId="15294" xr:uid="{C0B9819D-E084-4ADC-93EA-7F997DDF5579}"/>
    <cellStyle name="Normal 5 2 2 3 2 2 6 3" xfId="11076" xr:uid="{0E90ACB9-B877-45E2-B1B3-5E36CF4CA57A}"/>
    <cellStyle name="Normal 5 2 2 3 2 2 7" xfId="4794" xr:uid="{00000000-0005-0000-0000-0000AB170000}"/>
    <cellStyle name="Normal 5 2 2 3 2 2 7 2" xfId="13229" xr:uid="{C2B31E0D-C788-4931-BFBA-1099517A852B}"/>
    <cellStyle name="Normal 5 2 2 3 2 2 8" xfId="9011" xr:uid="{67DA88FB-26E7-4086-919C-39D252A1280C}"/>
    <cellStyle name="Normal 5 2 2 3 2 3" xfId="893" xr:uid="{00000000-0005-0000-0000-0000AC170000}"/>
    <cellStyle name="Normal 5 2 2 3 2 3 2" xfId="3128" xr:uid="{00000000-0005-0000-0000-0000AD170000}"/>
    <cellStyle name="Normal 5 2 2 3 2 3 2 2" xfId="7351" xr:uid="{00000000-0005-0000-0000-0000AE170000}"/>
    <cellStyle name="Normal 5 2 2 3 2 3 2 2 2" xfId="15786" xr:uid="{321705A7-B13D-4A73-98F3-5F70165C4AAC}"/>
    <cellStyle name="Normal 5 2 2 3 2 3 2 3" xfId="11568" xr:uid="{75691BB9-7B53-4312-BC91-3E4679DA300B}"/>
    <cellStyle name="Normal 5 2 2 3 2 3 3" xfId="5206" xr:uid="{00000000-0005-0000-0000-0000AF170000}"/>
    <cellStyle name="Normal 5 2 2 3 2 3 3 2" xfId="13641" xr:uid="{4E3809A7-F415-4D47-94EF-BF6F7E017A6E}"/>
    <cellStyle name="Normal 5 2 2 3 2 3 4" xfId="9423" xr:uid="{2A3455F6-F839-4E64-8FBE-4D2E3D6E294C}"/>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2 2 2" xfId="16199" xr:uid="{C237EB80-79E4-4B99-AC21-23EB474950B2}"/>
    <cellStyle name="Normal 5 2 2 3 2 4 2 3" xfId="11981" xr:uid="{3DBBE60B-5F8A-4394-8774-7F9576494B8A}"/>
    <cellStyle name="Normal 5 2 2 3 2 4 3" xfId="5619" xr:uid="{00000000-0005-0000-0000-0000B3170000}"/>
    <cellStyle name="Normal 5 2 2 3 2 4 3 2" xfId="14054" xr:uid="{EBC49EED-ED06-4461-8C07-494AAD407DA0}"/>
    <cellStyle name="Normal 5 2 2 3 2 4 4" xfId="9836" xr:uid="{22364D54-5479-4499-B71D-490FAD04C138}"/>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2 2 2" xfId="16612" xr:uid="{E050BE9F-BEA3-4ACF-A611-F60CC0635710}"/>
    <cellStyle name="Normal 5 2 2 3 2 5 2 3" xfId="12394" xr:uid="{E75313E9-38A4-4F13-845C-B113389E876F}"/>
    <cellStyle name="Normal 5 2 2 3 2 5 3" xfId="6032" xr:uid="{00000000-0005-0000-0000-0000B7170000}"/>
    <cellStyle name="Normal 5 2 2 3 2 5 3 2" xfId="14467" xr:uid="{FF5C99C8-A50E-4E97-A7EF-2A43315722E1}"/>
    <cellStyle name="Normal 5 2 2 3 2 5 4" xfId="10249" xr:uid="{EA7573EC-3550-4F90-A519-D6BE38CB3242}"/>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2 2 2" xfId="17025" xr:uid="{59481E70-B9FE-464F-AA46-76FE89FFE909}"/>
    <cellStyle name="Normal 5 2 2 3 2 6 2 3" xfId="12807" xr:uid="{13DCF1CF-E55E-41C8-9CC7-DAF160655E47}"/>
    <cellStyle name="Normal 5 2 2 3 2 6 3" xfId="6445" xr:uid="{00000000-0005-0000-0000-0000BB170000}"/>
    <cellStyle name="Normal 5 2 2 3 2 6 3 2" xfId="14880" xr:uid="{C1F3996B-22B3-4A0B-8777-7A422D514EC5}"/>
    <cellStyle name="Normal 5 2 2 3 2 6 4" xfId="10662" xr:uid="{8099DAB4-2773-4BC8-928A-80166B04A87A}"/>
    <cellStyle name="Normal 5 2 2 3 2 7" xfId="2574" xr:uid="{00000000-0005-0000-0000-0000BC170000}"/>
    <cellStyle name="Normal 5 2 2 3 2 7 2" xfId="6858" xr:uid="{00000000-0005-0000-0000-0000BD170000}"/>
    <cellStyle name="Normal 5 2 2 3 2 7 2 2" xfId="15293" xr:uid="{99F538BC-787E-4F20-BA97-74F1D6F7B3B1}"/>
    <cellStyle name="Normal 5 2 2 3 2 7 3" xfId="11075" xr:uid="{71605EFA-1DE3-46B8-8EBA-E2BC200B68E4}"/>
    <cellStyle name="Normal 5 2 2 3 2 8" xfId="4793" xr:uid="{00000000-0005-0000-0000-0000BE170000}"/>
    <cellStyle name="Normal 5 2 2 3 2 8 2" xfId="13228" xr:uid="{EF70E274-59C6-4D0B-9E9E-EF4A9B2CC45A}"/>
    <cellStyle name="Normal 5 2 2 3 2 9" xfId="9010" xr:uid="{EEB776A6-6F24-4F18-A933-D186E99F0B87}"/>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2 2 2" xfId="15788" xr:uid="{C6B48840-B468-4443-80CF-F7BD2AC7E264}"/>
    <cellStyle name="Normal 5 2 2 3 3 2 2 3" xfId="11570" xr:uid="{A454CFF9-9EE2-4C7C-A040-1A74BD01A7D9}"/>
    <cellStyle name="Normal 5 2 2 3 3 2 3" xfId="5208" xr:uid="{00000000-0005-0000-0000-0000C3170000}"/>
    <cellStyle name="Normal 5 2 2 3 3 2 3 2" xfId="13643" xr:uid="{C86D858C-F897-409C-B7A3-8294C1056E58}"/>
    <cellStyle name="Normal 5 2 2 3 3 2 4" xfId="9425" xr:uid="{BD3D57B5-65E0-4D8D-AA95-0B6DCD76EC95}"/>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2 2 2" xfId="16201" xr:uid="{3DCC8EE1-5A92-4C2C-B17F-19D95A6510B2}"/>
    <cellStyle name="Normal 5 2 2 3 3 3 2 3" xfId="11983" xr:uid="{901229EF-B0BC-4652-8170-37EB1D23BE07}"/>
    <cellStyle name="Normal 5 2 2 3 3 3 3" xfId="5621" xr:uid="{00000000-0005-0000-0000-0000C7170000}"/>
    <cellStyle name="Normal 5 2 2 3 3 3 3 2" xfId="14056" xr:uid="{9888BD39-ABB7-41E2-BC90-4C870CC1608E}"/>
    <cellStyle name="Normal 5 2 2 3 3 3 4" xfId="9838" xr:uid="{A5F6ADD4-E242-49CD-8167-000AED664132}"/>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2 2 2" xfId="16614" xr:uid="{23EFCD9B-FBB1-4530-B2A5-758E253F3963}"/>
    <cellStyle name="Normal 5 2 2 3 3 4 2 3" xfId="12396" xr:uid="{FF8E6FE6-3DA0-4EC0-BCB8-93CED29DAA05}"/>
    <cellStyle name="Normal 5 2 2 3 3 4 3" xfId="6034" xr:uid="{00000000-0005-0000-0000-0000CB170000}"/>
    <cellStyle name="Normal 5 2 2 3 3 4 3 2" xfId="14469" xr:uid="{A19C5804-AF5E-4A79-A8F5-D3119141BC36}"/>
    <cellStyle name="Normal 5 2 2 3 3 4 4" xfId="10251" xr:uid="{9C748751-41D7-4C54-9777-FFACF3644591}"/>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2 2 2" xfId="17027" xr:uid="{AE365654-1D00-4F82-83EC-D67708BF5BF6}"/>
    <cellStyle name="Normal 5 2 2 3 3 5 2 3" xfId="12809" xr:uid="{CEA36F78-7925-4C68-A62B-9F5179E4E1D5}"/>
    <cellStyle name="Normal 5 2 2 3 3 5 3" xfId="6447" xr:uid="{00000000-0005-0000-0000-0000CF170000}"/>
    <cellStyle name="Normal 5 2 2 3 3 5 3 2" xfId="14882" xr:uid="{F6A1CEEA-8934-4239-90FF-D83EDF15542D}"/>
    <cellStyle name="Normal 5 2 2 3 3 5 4" xfId="10664" xr:uid="{D5D953BC-147E-4549-89BF-83959DD4D377}"/>
    <cellStyle name="Normal 5 2 2 3 3 6" xfId="2576" xr:uid="{00000000-0005-0000-0000-0000D0170000}"/>
    <cellStyle name="Normal 5 2 2 3 3 6 2" xfId="6860" xr:uid="{00000000-0005-0000-0000-0000D1170000}"/>
    <cellStyle name="Normal 5 2 2 3 3 6 2 2" xfId="15295" xr:uid="{1D98CCEE-B49D-44A2-A0BF-01D90FB17462}"/>
    <cellStyle name="Normal 5 2 2 3 3 6 3" xfId="11077" xr:uid="{C84A35EE-D552-4F58-9219-B11E9A001286}"/>
    <cellStyle name="Normal 5 2 2 3 3 7" xfId="4795" xr:uid="{00000000-0005-0000-0000-0000D2170000}"/>
    <cellStyle name="Normal 5 2 2 3 3 7 2" xfId="13230" xr:uid="{E5906DA3-A013-4BD7-AC95-5D6AEF77072B}"/>
    <cellStyle name="Normal 5 2 2 3 3 8" xfId="9012" xr:uid="{7C56E894-8CDA-4CA6-8645-CD0430D4B71B}"/>
    <cellStyle name="Normal 5 2 2 3 4" xfId="892" xr:uid="{00000000-0005-0000-0000-0000D3170000}"/>
    <cellStyle name="Normal 5 2 2 3 4 2" xfId="3127" xr:uid="{00000000-0005-0000-0000-0000D4170000}"/>
    <cellStyle name="Normal 5 2 2 3 4 2 2" xfId="7350" xr:uid="{00000000-0005-0000-0000-0000D5170000}"/>
    <cellStyle name="Normal 5 2 2 3 4 2 2 2" xfId="15785" xr:uid="{E0C176BA-135E-412F-8E9F-2AD3F199EFFB}"/>
    <cellStyle name="Normal 5 2 2 3 4 2 3" xfId="11567" xr:uid="{0C3CE62A-1C7D-4FAB-8519-6F0DB4D59D26}"/>
    <cellStyle name="Normal 5 2 2 3 4 3" xfId="5205" xr:uid="{00000000-0005-0000-0000-0000D6170000}"/>
    <cellStyle name="Normal 5 2 2 3 4 3 2" xfId="13640" xr:uid="{95BA6253-898F-4D7E-82DA-FA5E85435CB3}"/>
    <cellStyle name="Normal 5 2 2 3 4 4" xfId="9422" xr:uid="{A9BE1CAA-0583-421E-983A-1AF6CE341F4B}"/>
    <cellStyle name="Normal 5 2 2 3 5" xfId="1310" xr:uid="{00000000-0005-0000-0000-0000D7170000}"/>
    <cellStyle name="Normal 5 2 2 3 5 2" xfId="3540" xr:uid="{00000000-0005-0000-0000-0000D8170000}"/>
    <cellStyle name="Normal 5 2 2 3 5 2 2" xfId="7763" xr:uid="{00000000-0005-0000-0000-0000D9170000}"/>
    <cellStyle name="Normal 5 2 2 3 5 2 2 2" xfId="16198" xr:uid="{42D7AB0D-F00D-478C-AAF2-BF604AC88905}"/>
    <cellStyle name="Normal 5 2 2 3 5 2 3" xfId="11980" xr:uid="{BDAB9E3B-F45E-4525-AF20-2BD57C6B51F7}"/>
    <cellStyle name="Normal 5 2 2 3 5 3" xfId="5618" xr:uid="{00000000-0005-0000-0000-0000DA170000}"/>
    <cellStyle name="Normal 5 2 2 3 5 3 2" xfId="14053" xr:uid="{7F9B4CCA-3BE4-4E59-B9CB-38AFC40547F4}"/>
    <cellStyle name="Normal 5 2 2 3 5 4" xfId="9835" xr:uid="{C6ED79A7-EA05-4124-B8C2-D00A88ABC97F}"/>
    <cellStyle name="Normal 5 2 2 3 6" xfId="1723" xr:uid="{00000000-0005-0000-0000-0000DB170000}"/>
    <cellStyle name="Normal 5 2 2 3 6 2" xfId="3953" xr:uid="{00000000-0005-0000-0000-0000DC170000}"/>
    <cellStyle name="Normal 5 2 2 3 6 2 2" xfId="8176" xr:uid="{00000000-0005-0000-0000-0000DD170000}"/>
    <cellStyle name="Normal 5 2 2 3 6 2 2 2" xfId="16611" xr:uid="{79BD3442-7155-4AB3-B673-91F703A7CE78}"/>
    <cellStyle name="Normal 5 2 2 3 6 2 3" xfId="12393" xr:uid="{9BC77E8D-DC41-4CBE-AA5F-7B0E312F4B2C}"/>
    <cellStyle name="Normal 5 2 2 3 6 3" xfId="6031" xr:uid="{00000000-0005-0000-0000-0000DE170000}"/>
    <cellStyle name="Normal 5 2 2 3 6 3 2" xfId="14466" xr:uid="{78507A2D-8836-4ED3-ADB0-B0CA9674084B}"/>
    <cellStyle name="Normal 5 2 2 3 6 4" xfId="10248" xr:uid="{964DDAFC-681B-4E38-B806-6196FF362EC4}"/>
    <cellStyle name="Normal 5 2 2 3 7" xfId="2137" xr:uid="{00000000-0005-0000-0000-0000DF170000}"/>
    <cellStyle name="Normal 5 2 2 3 7 2" xfId="4366" xr:uid="{00000000-0005-0000-0000-0000E0170000}"/>
    <cellStyle name="Normal 5 2 2 3 7 2 2" xfId="8589" xr:uid="{00000000-0005-0000-0000-0000E1170000}"/>
    <cellStyle name="Normal 5 2 2 3 7 2 2 2" xfId="17024" xr:uid="{7B4B4828-A9D0-412B-A111-7D23E82F3784}"/>
    <cellStyle name="Normal 5 2 2 3 7 2 3" xfId="12806" xr:uid="{C9FC2A5D-DD12-40B9-9AEA-1F16DBB78E2E}"/>
    <cellStyle name="Normal 5 2 2 3 7 3" xfId="6444" xr:uid="{00000000-0005-0000-0000-0000E2170000}"/>
    <cellStyle name="Normal 5 2 2 3 7 3 2" xfId="14879" xr:uid="{A2836945-9B3D-42B6-A6D3-1D29A0435959}"/>
    <cellStyle name="Normal 5 2 2 3 7 4" xfId="10661" xr:uid="{8386BAB2-2891-4201-817E-082C4BDFBEF4}"/>
    <cellStyle name="Normal 5 2 2 3 8" xfId="2573" xr:uid="{00000000-0005-0000-0000-0000E3170000}"/>
    <cellStyle name="Normal 5 2 2 3 8 2" xfId="6857" xr:uid="{00000000-0005-0000-0000-0000E4170000}"/>
    <cellStyle name="Normal 5 2 2 3 8 2 2" xfId="15292" xr:uid="{104C0583-9FC9-4B27-BE67-BF211A30B46C}"/>
    <cellStyle name="Normal 5 2 2 3 8 3" xfId="11074" xr:uid="{8EDD55E1-9463-4EEB-9D5A-A61C45399362}"/>
    <cellStyle name="Normal 5 2 2 3 9" xfId="4792" xr:uid="{00000000-0005-0000-0000-0000E5170000}"/>
    <cellStyle name="Normal 5 2 2 3 9 2" xfId="13227" xr:uid="{F1725350-CE1B-4A7D-A103-52172A41ECBA}"/>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2 2 2" xfId="15790" xr:uid="{8F6C5EAA-E966-49E4-8A89-155884D0971D}"/>
    <cellStyle name="Normal 5 2 2 4 2 2 2 3" xfId="11572" xr:uid="{84304900-A2AF-4FCF-B2C3-37EA30678C85}"/>
    <cellStyle name="Normal 5 2 2 4 2 2 3" xfId="5210" xr:uid="{00000000-0005-0000-0000-0000EB170000}"/>
    <cellStyle name="Normal 5 2 2 4 2 2 3 2" xfId="13645" xr:uid="{9D815C8B-1A80-4E01-BD64-9EDF67BE7DFA}"/>
    <cellStyle name="Normal 5 2 2 4 2 2 4" xfId="9427" xr:uid="{C8E1FE29-BAE9-4854-920C-A2403A01AB9C}"/>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2 2 2" xfId="16203" xr:uid="{61E7137B-E9C9-4BF6-A9C6-8CC457CB3D71}"/>
    <cellStyle name="Normal 5 2 2 4 2 3 2 3" xfId="11985" xr:uid="{3A44E561-33FA-4A90-8ED0-3965CD778129}"/>
    <cellStyle name="Normal 5 2 2 4 2 3 3" xfId="5623" xr:uid="{00000000-0005-0000-0000-0000EF170000}"/>
    <cellStyle name="Normal 5 2 2 4 2 3 3 2" xfId="14058" xr:uid="{AD68B96F-EAA2-4104-9573-A1B626A0317F}"/>
    <cellStyle name="Normal 5 2 2 4 2 3 4" xfId="9840" xr:uid="{8A58A0A7-D30F-4E4A-8B83-C6147913B845}"/>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2 2 2" xfId="16616" xr:uid="{E75052EF-1903-4FDB-BFFF-D8560350BF1C}"/>
    <cellStyle name="Normal 5 2 2 4 2 4 2 3" xfId="12398" xr:uid="{817F43F2-DA82-48F0-8133-7299B8489F03}"/>
    <cellStyle name="Normal 5 2 2 4 2 4 3" xfId="6036" xr:uid="{00000000-0005-0000-0000-0000F3170000}"/>
    <cellStyle name="Normal 5 2 2 4 2 4 3 2" xfId="14471" xr:uid="{51D01CA7-5645-42F4-B616-F1B55039D764}"/>
    <cellStyle name="Normal 5 2 2 4 2 4 4" xfId="10253" xr:uid="{480DE5ED-6425-4CE4-81E3-17A7B0B22284}"/>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2 2 2" xfId="17029" xr:uid="{D75434AE-6DDE-4AEB-8D4A-29C65C82466F}"/>
    <cellStyle name="Normal 5 2 2 4 2 5 2 3" xfId="12811" xr:uid="{F7217540-9568-4A5D-9C2D-6325ABD1846A}"/>
    <cellStyle name="Normal 5 2 2 4 2 5 3" xfId="6449" xr:uid="{00000000-0005-0000-0000-0000F7170000}"/>
    <cellStyle name="Normal 5 2 2 4 2 5 3 2" xfId="14884" xr:uid="{070FD298-6BD1-4739-B651-59B8A815CEF0}"/>
    <cellStyle name="Normal 5 2 2 4 2 5 4" xfId="10666" xr:uid="{BB5515E4-4E3E-4CA9-A3B2-AC086EFBDDB9}"/>
    <cellStyle name="Normal 5 2 2 4 2 6" xfId="2578" xr:uid="{00000000-0005-0000-0000-0000F8170000}"/>
    <cellStyle name="Normal 5 2 2 4 2 6 2" xfId="6862" xr:uid="{00000000-0005-0000-0000-0000F9170000}"/>
    <cellStyle name="Normal 5 2 2 4 2 6 2 2" xfId="15297" xr:uid="{E4A39BAE-7DAD-4A21-8D66-7CCA5DCA0C54}"/>
    <cellStyle name="Normal 5 2 2 4 2 6 3" xfId="11079" xr:uid="{BC4677AF-4062-46F3-9EC8-4A3E3F4AFE66}"/>
    <cellStyle name="Normal 5 2 2 4 2 7" xfId="4797" xr:uid="{00000000-0005-0000-0000-0000FA170000}"/>
    <cellStyle name="Normal 5 2 2 4 2 7 2" xfId="13232" xr:uid="{04859B3D-4310-4F6A-A643-31277B59DF26}"/>
    <cellStyle name="Normal 5 2 2 4 2 8" xfId="9014" xr:uid="{465F67C8-4F26-41A9-83C9-C3F7948D3C97}"/>
    <cellStyle name="Normal 5 2 2 4 3" xfId="896" xr:uid="{00000000-0005-0000-0000-0000FB170000}"/>
    <cellStyle name="Normal 5 2 2 4 3 2" xfId="3131" xr:uid="{00000000-0005-0000-0000-0000FC170000}"/>
    <cellStyle name="Normal 5 2 2 4 3 2 2" xfId="7354" xr:uid="{00000000-0005-0000-0000-0000FD170000}"/>
    <cellStyle name="Normal 5 2 2 4 3 2 2 2" xfId="15789" xr:uid="{92DF0548-7844-472A-B52B-780B0554B31E}"/>
    <cellStyle name="Normal 5 2 2 4 3 2 3" xfId="11571" xr:uid="{C5AC77EA-0049-4A03-83D7-91A4FBE4281D}"/>
    <cellStyle name="Normal 5 2 2 4 3 3" xfId="5209" xr:uid="{00000000-0005-0000-0000-0000FE170000}"/>
    <cellStyle name="Normal 5 2 2 4 3 3 2" xfId="13644" xr:uid="{56373FF5-8526-414B-8842-A777C210F468}"/>
    <cellStyle name="Normal 5 2 2 4 3 4" xfId="9426" xr:uid="{17B73517-B9E8-4E42-8417-D91DF31A5FC4}"/>
    <cellStyle name="Normal 5 2 2 4 4" xfId="1314" xr:uid="{00000000-0005-0000-0000-0000FF170000}"/>
    <cellStyle name="Normal 5 2 2 4 4 2" xfId="3544" xr:uid="{00000000-0005-0000-0000-000000180000}"/>
    <cellStyle name="Normal 5 2 2 4 4 2 2" xfId="7767" xr:uid="{00000000-0005-0000-0000-000001180000}"/>
    <cellStyle name="Normal 5 2 2 4 4 2 2 2" xfId="16202" xr:uid="{60A9C796-8715-4E90-8534-2AB339302D7E}"/>
    <cellStyle name="Normal 5 2 2 4 4 2 3" xfId="11984" xr:uid="{0B63E8B8-B0D2-46C0-A232-B2B15B9E9C8D}"/>
    <cellStyle name="Normal 5 2 2 4 4 3" xfId="5622" xr:uid="{00000000-0005-0000-0000-000002180000}"/>
    <cellStyle name="Normal 5 2 2 4 4 3 2" xfId="14057" xr:uid="{AEE8F306-0238-47AC-BAB5-4AE6F46951C9}"/>
    <cellStyle name="Normal 5 2 2 4 4 4" xfId="9839" xr:uid="{A1FA1FD4-DFEE-4584-A918-A5F7957E9883}"/>
    <cellStyle name="Normal 5 2 2 4 5" xfId="1727" xr:uid="{00000000-0005-0000-0000-000003180000}"/>
    <cellStyle name="Normal 5 2 2 4 5 2" xfId="3957" xr:uid="{00000000-0005-0000-0000-000004180000}"/>
    <cellStyle name="Normal 5 2 2 4 5 2 2" xfId="8180" xr:uid="{00000000-0005-0000-0000-000005180000}"/>
    <cellStyle name="Normal 5 2 2 4 5 2 2 2" xfId="16615" xr:uid="{C5BF080E-DE6A-4316-83BA-AEFF941BF24A}"/>
    <cellStyle name="Normal 5 2 2 4 5 2 3" xfId="12397" xr:uid="{47A3612C-699B-4ED4-B392-204F93ED6FFD}"/>
    <cellStyle name="Normal 5 2 2 4 5 3" xfId="6035" xr:uid="{00000000-0005-0000-0000-000006180000}"/>
    <cellStyle name="Normal 5 2 2 4 5 3 2" xfId="14470" xr:uid="{CA9B908F-BA0A-47B1-B405-EF2C60169735}"/>
    <cellStyle name="Normal 5 2 2 4 5 4" xfId="10252" xr:uid="{A6043752-6109-4F75-A000-A60565227E7D}"/>
    <cellStyle name="Normal 5 2 2 4 6" xfId="2141" xr:uid="{00000000-0005-0000-0000-000007180000}"/>
    <cellStyle name="Normal 5 2 2 4 6 2" xfId="4370" xr:uid="{00000000-0005-0000-0000-000008180000}"/>
    <cellStyle name="Normal 5 2 2 4 6 2 2" xfId="8593" xr:uid="{00000000-0005-0000-0000-000009180000}"/>
    <cellStyle name="Normal 5 2 2 4 6 2 2 2" xfId="17028" xr:uid="{A790E053-B0FB-4EE6-A434-204FF08FCAD7}"/>
    <cellStyle name="Normal 5 2 2 4 6 2 3" xfId="12810" xr:uid="{661D5E40-5C69-4847-BBF3-1D5118B1586F}"/>
    <cellStyle name="Normal 5 2 2 4 6 3" xfId="6448" xr:uid="{00000000-0005-0000-0000-00000A180000}"/>
    <cellStyle name="Normal 5 2 2 4 6 3 2" xfId="14883" xr:uid="{B006148A-1F52-48C9-A651-1F01A7DBEB8D}"/>
    <cellStyle name="Normal 5 2 2 4 6 4" xfId="10665" xr:uid="{6DDB3F3E-B3AA-4FAE-B5FB-B94B9DA0B492}"/>
    <cellStyle name="Normal 5 2 2 4 7" xfId="2577" xr:uid="{00000000-0005-0000-0000-00000B180000}"/>
    <cellStyle name="Normal 5 2 2 4 7 2" xfId="6861" xr:uid="{00000000-0005-0000-0000-00000C180000}"/>
    <cellStyle name="Normal 5 2 2 4 7 2 2" xfId="15296" xr:uid="{24608684-DAB7-4FDD-887D-C42B583F04E1}"/>
    <cellStyle name="Normal 5 2 2 4 7 3" xfId="11078" xr:uid="{32A9E99A-20A6-4F30-B0DE-747AC0CE42FB}"/>
    <cellStyle name="Normal 5 2 2 4 8" xfId="4796" xr:uid="{00000000-0005-0000-0000-00000D180000}"/>
    <cellStyle name="Normal 5 2 2 4 8 2" xfId="13231" xr:uid="{FF62D575-7199-40DD-AA65-946F7232D268}"/>
    <cellStyle name="Normal 5 2 2 4 9" xfId="9013" xr:uid="{62ADFC25-CE6E-4280-96CC-D8E941BC33DB}"/>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2 2 2" xfId="15791" xr:uid="{3C53FAF1-4E3A-4AE0-8B87-A84CA7FC4061}"/>
    <cellStyle name="Normal 5 2 2 5 2 2 3" xfId="11573" xr:uid="{8DC5FBAE-038B-4EE4-BADB-2FC3BD423326}"/>
    <cellStyle name="Normal 5 2 2 5 2 3" xfId="5211" xr:uid="{00000000-0005-0000-0000-000012180000}"/>
    <cellStyle name="Normal 5 2 2 5 2 3 2" xfId="13646" xr:uid="{C83A5315-38EA-42A3-A9A2-4DB711068ED1}"/>
    <cellStyle name="Normal 5 2 2 5 2 4" xfId="9428" xr:uid="{79B1CC3F-9C8C-4A45-A0E0-14578DFA176F}"/>
    <cellStyle name="Normal 5 2 2 5 3" xfId="1316" xr:uid="{00000000-0005-0000-0000-000013180000}"/>
    <cellStyle name="Normal 5 2 2 5 3 2" xfId="3546" xr:uid="{00000000-0005-0000-0000-000014180000}"/>
    <cellStyle name="Normal 5 2 2 5 3 2 2" xfId="7769" xr:uid="{00000000-0005-0000-0000-000015180000}"/>
    <cellStyle name="Normal 5 2 2 5 3 2 2 2" xfId="16204" xr:uid="{A9D42FE8-CF10-4F57-A568-A02D27ACE025}"/>
    <cellStyle name="Normal 5 2 2 5 3 2 3" xfId="11986" xr:uid="{6BF62F97-1983-4336-BB76-108BB1C97476}"/>
    <cellStyle name="Normal 5 2 2 5 3 3" xfId="5624" xr:uid="{00000000-0005-0000-0000-000016180000}"/>
    <cellStyle name="Normal 5 2 2 5 3 3 2" xfId="14059" xr:uid="{69FB0840-14B6-46E3-AC23-B43238359525}"/>
    <cellStyle name="Normal 5 2 2 5 3 4" xfId="9841" xr:uid="{4E9FFCAF-3D99-493E-96D3-01EF14950FCB}"/>
    <cellStyle name="Normal 5 2 2 5 4" xfId="1729" xr:uid="{00000000-0005-0000-0000-000017180000}"/>
    <cellStyle name="Normal 5 2 2 5 4 2" xfId="3959" xr:uid="{00000000-0005-0000-0000-000018180000}"/>
    <cellStyle name="Normal 5 2 2 5 4 2 2" xfId="8182" xr:uid="{00000000-0005-0000-0000-000019180000}"/>
    <cellStyle name="Normal 5 2 2 5 4 2 2 2" xfId="16617" xr:uid="{8A29DF82-109B-49E9-B8F9-5D0BAA543035}"/>
    <cellStyle name="Normal 5 2 2 5 4 2 3" xfId="12399" xr:uid="{CE30446C-4128-45C5-A1F9-E6A73B19A7EE}"/>
    <cellStyle name="Normal 5 2 2 5 4 3" xfId="6037" xr:uid="{00000000-0005-0000-0000-00001A180000}"/>
    <cellStyle name="Normal 5 2 2 5 4 3 2" xfId="14472" xr:uid="{D76F4CF2-01D0-44E2-84F2-5F99BED34C47}"/>
    <cellStyle name="Normal 5 2 2 5 4 4" xfId="10254" xr:uid="{475C1C8B-D9FC-45B0-8091-98B51277965D}"/>
    <cellStyle name="Normal 5 2 2 5 5" xfId="2143" xr:uid="{00000000-0005-0000-0000-00001B180000}"/>
    <cellStyle name="Normal 5 2 2 5 5 2" xfId="4372" xr:uid="{00000000-0005-0000-0000-00001C180000}"/>
    <cellStyle name="Normal 5 2 2 5 5 2 2" xfId="8595" xr:uid="{00000000-0005-0000-0000-00001D180000}"/>
    <cellStyle name="Normal 5 2 2 5 5 2 2 2" xfId="17030" xr:uid="{CCBDD992-FADB-4642-A4AC-63187A42E702}"/>
    <cellStyle name="Normal 5 2 2 5 5 2 3" xfId="12812" xr:uid="{37CB795D-3FDD-47F2-AC33-D225607CC343}"/>
    <cellStyle name="Normal 5 2 2 5 5 3" xfId="6450" xr:uid="{00000000-0005-0000-0000-00001E180000}"/>
    <cellStyle name="Normal 5 2 2 5 5 3 2" xfId="14885" xr:uid="{8CE33D79-C456-4142-822B-86F17823200C}"/>
    <cellStyle name="Normal 5 2 2 5 5 4" xfId="10667" xr:uid="{8E437C03-B796-4639-A312-8E753D30876C}"/>
    <cellStyle name="Normal 5 2 2 5 6" xfId="2579" xr:uid="{00000000-0005-0000-0000-00001F180000}"/>
    <cellStyle name="Normal 5 2 2 5 6 2" xfId="6863" xr:uid="{00000000-0005-0000-0000-000020180000}"/>
    <cellStyle name="Normal 5 2 2 5 6 2 2" xfId="15298" xr:uid="{67F5C941-C3E5-4429-A9E5-5E37FE0D0DED}"/>
    <cellStyle name="Normal 5 2 2 5 6 3" xfId="11080" xr:uid="{6B3D5987-1ACB-4E51-A1A8-2E44754F87F9}"/>
    <cellStyle name="Normal 5 2 2 5 7" xfId="4798" xr:uid="{00000000-0005-0000-0000-000021180000}"/>
    <cellStyle name="Normal 5 2 2 5 7 2" xfId="13233" xr:uid="{AE64FDAF-11DC-4E40-A97A-D02C717E681C}"/>
    <cellStyle name="Normal 5 2 2 5 8" xfId="9015" xr:uid="{9B4C00FB-7E24-41A6-8E67-661855F6014D}"/>
    <cellStyle name="Normal 5 2 2 6" xfId="883" xr:uid="{00000000-0005-0000-0000-000022180000}"/>
    <cellStyle name="Normal 5 2 2 6 2" xfId="3118" xr:uid="{00000000-0005-0000-0000-000023180000}"/>
    <cellStyle name="Normal 5 2 2 6 2 2" xfId="7341" xr:uid="{00000000-0005-0000-0000-000024180000}"/>
    <cellStyle name="Normal 5 2 2 6 2 2 2" xfId="15776" xr:uid="{01872CC8-7BE4-408A-9F09-4B0BBDD1008F}"/>
    <cellStyle name="Normal 5 2 2 6 2 3" xfId="11558" xr:uid="{B94D3206-A86F-40EC-8CA7-2F1FE16373E8}"/>
    <cellStyle name="Normal 5 2 2 6 3" xfId="5196" xr:uid="{00000000-0005-0000-0000-000025180000}"/>
    <cellStyle name="Normal 5 2 2 6 3 2" xfId="13631" xr:uid="{B2585DFA-A749-45FA-9F63-806666C9E444}"/>
    <cellStyle name="Normal 5 2 2 6 4" xfId="9413" xr:uid="{E7F7919F-38BD-496D-9B8F-A1D5D0F0D339}"/>
    <cellStyle name="Normal 5 2 2 7" xfId="1301" xr:uid="{00000000-0005-0000-0000-000026180000}"/>
    <cellStyle name="Normal 5 2 2 7 2" xfId="3531" xr:uid="{00000000-0005-0000-0000-000027180000}"/>
    <cellStyle name="Normal 5 2 2 7 2 2" xfId="7754" xr:uid="{00000000-0005-0000-0000-000028180000}"/>
    <cellStyle name="Normal 5 2 2 7 2 2 2" xfId="16189" xr:uid="{65EC16B3-288B-44F9-A04E-1E34A38656E4}"/>
    <cellStyle name="Normal 5 2 2 7 2 3" xfId="11971" xr:uid="{C2111FDF-2E89-4087-988A-CAD088F7172A}"/>
    <cellStyle name="Normal 5 2 2 7 3" xfId="5609" xr:uid="{00000000-0005-0000-0000-000029180000}"/>
    <cellStyle name="Normal 5 2 2 7 3 2" xfId="14044" xr:uid="{B05BC499-1BB0-46E1-AFC7-446B46ABFD3B}"/>
    <cellStyle name="Normal 5 2 2 7 4" xfId="9826" xr:uid="{259C408C-A1AF-4114-B711-4F44BBDE1800}"/>
    <cellStyle name="Normal 5 2 2 8" xfId="1714" xr:uid="{00000000-0005-0000-0000-00002A180000}"/>
    <cellStyle name="Normal 5 2 2 8 2" xfId="3944" xr:uid="{00000000-0005-0000-0000-00002B180000}"/>
    <cellStyle name="Normal 5 2 2 8 2 2" xfId="8167" xr:uid="{00000000-0005-0000-0000-00002C180000}"/>
    <cellStyle name="Normal 5 2 2 8 2 2 2" xfId="16602" xr:uid="{97DFA461-167D-4C6E-ACC2-4141B40DCD37}"/>
    <cellStyle name="Normal 5 2 2 8 2 3" xfId="12384" xr:uid="{C21B5381-4D74-48CE-B6AE-B15591D9A6B7}"/>
    <cellStyle name="Normal 5 2 2 8 3" xfId="6022" xr:uid="{00000000-0005-0000-0000-00002D180000}"/>
    <cellStyle name="Normal 5 2 2 8 3 2" xfId="14457" xr:uid="{164E5A09-C667-44B4-A359-07091FADCA2A}"/>
    <cellStyle name="Normal 5 2 2 8 4" xfId="10239" xr:uid="{FE4C5718-34BC-4AF1-8400-60CC064F6D41}"/>
    <cellStyle name="Normal 5 2 2 9" xfId="2128" xr:uid="{00000000-0005-0000-0000-00002E180000}"/>
    <cellStyle name="Normal 5 2 2 9 2" xfId="4357" xr:uid="{00000000-0005-0000-0000-00002F180000}"/>
    <cellStyle name="Normal 5 2 2 9 2 2" xfId="8580" xr:uid="{00000000-0005-0000-0000-000030180000}"/>
    <cellStyle name="Normal 5 2 2 9 2 2 2" xfId="17015" xr:uid="{D3CA83EA-DEBC-475A-95F8-0F961409A608}"/>
    <cellStyle name="Normal 5 2 2 9 2 3" xfId="12797" xr:uid="{09D55E73-5832-408C-AD30-CFD0A8C3AA83}"/>
    <cellStyle name="Normal 5 2 2 9 3" xfId="6435" xr:uid="{00000000-0005-0000-0000-000031180000}"/>
    <cellStyle name="Normal 5 2 2 9 3 2" xfId="14870" xr:uid="{C83D62BF-50D1-4001-98D6-B952BB0ABA11}"/>
    <cellStyle name="Normal 5 2 2 9 4" xfId="10652" xr:uid="{58B3409D-B407-4F54-BF6D-146396E843AE}"/>
    <cellStyle name="Normal 5 2 3" xfId="424" xr:uid="{00000000-0005-0000-0000-000032180000}"/>
    <cellStyle name="Normal 5 2 3 10" xfId="4799" xr:uid="{00000000-0005-0000-0000-000033180000}"/>
    <cellStyle name="Normal 5 2 3 10 2" xfId="13234" xr:uid="{D9A6C2F2-3A74-4565-9B27-3F65F64F8E40}"/>
    <cellStyle name="Normal 5 2 3 11" xfId="9016" xr:uid="{14182407-4C2F-4CD8-86D9-024823F56F99}"/>
    <cellStyle name="Normal 5 2 3 2" xfId="425" xr:uid="{00000000-0005-0000-0000-000034180000}"/>
    <cellStyle name="Normal 5 2 3 2 10" xfId="9017" xr:uid="{3BF7BA4D-DBFE-4C33-842E-8D0951BA35E1}"/>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2 2 2" xfId="15795" xr:uid="{CEDAB036-E6EF-4419-98AD-C3E11BA81B98}"/>
    <cellStyle name="Normal 5 2 3 2 2 2 2 2 3" xfId="11577" xr:uid="{EE7DBD95-EBFE-49AE-8EDB-34DD2669C9A5}"/>
    <cellStyle name="Normal 5 2 3 2 2 2 2 3" xfId="5215" xr:uid="{00000000-0005-0000-0000-00003A180000}"/>
    <cellStyle name="Normal 5 2 3 2 2 2 2 3 2" xfId="13650" xr:uid="{8EBBA790-1248-4B08-A99F-F2D56E67ED22}"/>
    <cellStyle name="Normal 5 2 3 2 2 2 2 4" xfId="9432" xr:uid="{19B2F7EB-55C8-4F76-A19A-A691C5E719BA}"/>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2 2 2" xfId="16208" xr:uid="{1AD2495C-918B-4836-B566-FE2D581477A6}"/>
    <cellStyle name="Normal 5 2 3 2 2 2 3 2 3" xfId="11990" xr:uid="{EDBB95E0-4A11-4967-842A-3F96C7E80CAF}"/>
    <cellStyle name="Normal 5 2 3 2 2 2 3 3" xfId="5628" xr:uid="{00000000-0005-0000-0000-00003E180000}"/>
    <cellStyle name="Normal 5 2 3 2 2 2 3 3 2" xfId="14063" xr:uid="{747E5079-33FE-40B8-AFE0-F756E510E578}"/>
    <cellStyle name="Normal 5 2 3 2 2 2 3 4" xfId="9845" xr:uid="{A46EEA9E-A817-45EB-AE06-796370F679B3}"/>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2 2 2" xfId="16621" xr:uid="{6CBFB811-660E-4C84-8625-F65C33C27430}"/>
    <cellStyle name="Normal 5 2 3 2 2 2 4 2 3" xfId="12403" xr:uid="{E1BF7004-7FAF-4DCB-ABE4-8796B0DB64C0}"/>
    <cellStyle name="Normal 5 2 3 2 2 2 4 3" xfId="6041" xr:uid="{00000000-0005-0000-0000-000042180000}"/>
    <cellStyle name="Normal 5 2 3 2 2 2 4 3 2" xfId="14476" xr:uid="{68146AF2-64C0-49FD-B837-2CA156B5246F}"/>
    <cellStyle name="Normal 5 2 3 2 2 2 4 4" xfId="10258" xr:uid="{4638C0EA-B046-4D26-B6C9-46E35D9D2FD5}"/>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2 2 2" xfId="17034" xr:uid="{42FFE412-3055-47DF-BD89-8848435FE0C2}"/>
    <cellStyle name="Normal 5 2 3 2 2 2 5 2 3" xfId="12816" xr:uid="{45CCA98B-2D91-47C7-B5F5-AFEA66D38CB3}"/>
    <cellStyle name="Normal 5 2 3 2 2 2 5 3" xfId="6454" xr:uid="{00000000-0005-0000-0000-000046180000}"/>
    <cellStyle name="Normal 5 2 3 2 2 2 5 3 2" xfId="14889" xr:uid="{93CDC02C-4978-4C8A-A0F1-371D3DA8A671}"/>
    <cellStyle name="Normal 5 2 3 2 2 2 5 4" xfId="10671" xr:uid="{E90609A9-FA93-4ED0-A0C9-8A42DC2D2589}"/>
    <cellStyle name="Normal 5 2 3 2 2 2 6" xfId="2583" xr:uid="{00000000-0005-0000-0000-000047180000}"/>
    <cellStyle name="Normal 5 2 3 2 2 2 6 2" xfId="6867" xr:uid="{00000000-0005-0000-0000-000048180000}"/>
    <cellStyle name="Normal 5 2 3 2 2 2 6 2 2" xfId="15302" xr:uid="{52E40F06-C55F-4F4A-B080-0BFFF96F7F56}"/>
    <cellStyle name="Normal 5 2 3 2 2 2 6 3" xfId="11084" xr:uid="{3BFE3343-E0F0-437E-8A49-14A23C19A1E4}"/>
    <cellStyle name="Normal 5 2 3 2 2 2 7" xfId="4802" xr:uid="{00000000-0005-0000-0000-000049180000}"/>
    <cellStyle name="Normal 5 2 3 2 2 2 7 2" xfId="13237" xr:uid="{27E88EC4-559C-4916-A4EF-D8569696ABC8}"/>
    <cellStyle name="Normal 5 2 3 2 2 2 8" xfId="9019" xr:uid="{1608E818-2B4C-4BB7-BA9E-D7F1B75CA6C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2 2 2" xfId="15794" xr:uid="{1EF54D36-C0C7-4B0D-9C29-F802ADF460D7}"/>
    <cellStyle name="Normal 5 2 3 2 2 3 2 3" xfId="11576" xr:uid="{3A46CB7F-EB50-4554-90C3-A88B87FE57BB}"/>
    <cellStyle name="Normal 5 2 3 2 2 3 3" xfId="5214" xr:uid="{00000000-0005-0000-0000-00004D180000}"/>
    <cellStyle name="Normal 5 2 3 2 2 3 3 2" xfId="13649" xr:uid="{23E61B93-4649-4475-B078-74206ACD3561}"/>
    <cellStyle name="Normal 5 2 3 2 2 3 4" xfId="9431" xr:uid="{CEF29B0F-3193-46CE-B5CC-EA0D506E2391}"/>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2 2 2" xfId="16207" xr:uid="{826B0EE3-3481-489A-97A4-11585831064D}"/>
    <cellStyle name="Normal 5 2 3 2 2 4 2 3" xfId="11989" xr:uid="{58F18542-703F-453C-AC2A-A231EB5EB5AF}"/>
    <cellStyle name="Normal 5 2 3 2 2 4 3" xfId="5627" xr:uid="{00000000-0005-0000-0000-000051180000}"/>
    <cellStyle name="Normal 5 2 3 2 2 4 3 2" xfId="14062" xr:uid="{B269B614-2451-4F16-8DF1-1983CCE40FB5}"/>
    <cellStyle name="Normal 5 2 3 2 2 4 4" xfId="9844" xr:uid="{777B9D36-3186-4020-B021-E5BED488E9F9}"/>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2 2 2" xfId="16620" xr:uid="{BC49F2DF-BC2E-45A7-841A-FDAF523C3D53}"/>
    <cellStyle name="Normal 5 2 3 2 2 5 2 3" xfId="12402" xr:uid="{1D50769D-83A6-4A0E-8CFA-AE5447BB1F2F}"/>
    <cellStyle name="Normal 5 2 3 2 2 5 3" xfId="6040" xr:uid="{00000000-0005-0000-0000-000055180000}"/>
    <cellStyle name="Normal 5 2 3 2 2 5 3 2" xfId="14475" xr:uid="{25BBC114-32BA-4073-BB82-ED1E2D815368}"/>
    <cellStyle name="Normal 5 2 3 2 2 5 4" xfId="10257" xr:uid="{7A280DC0-74F7-4D0E-BEDD-F64428937EC9}"/>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2 2 2" xfId="17033" xr:uid="{A60B0126-F189-4A55-9CF2-6FB5E0DFF0F9}"/>
    <cellStyle name="Normal 5 2 3 2 2 6 2 3" xfId="12815" xr:uid="{F2DD7EBB-A29C-483A-9C71-9B6B4BE5B392}"/>
    <cellStyle name="Normal 5 2 3 2 2 6 3" xfId="6453" xr:uid="{00000000-0005-0000-0000-000059180000}"/>
    <cellStyle name="Normal 5 2 3 2 2 6 3 2" xfId="14888" xr:uid="{2097290D-AEFF-479C-BC76-8F09E292DD5F}"/>
    <cellStyle name="Normal 5 2 3 2 2 6 4" xfId="10670" xr:uid="{82A6F8EB-EFEC-48C5-9869-9EE596E3610B}"/>
    <cellStyle name="Normal 5 2 3 2 2 7" xfId="2582" xr:uid="{00000000-0005-0000-0000-00005A180000}"/>
    <cellStyle name="Normal 5 2 3 2 2 7 2" xfId="6866" xr:uid="{00000000-0005-0000-0000-00005B180000}"/>
    <cellStyle name="Normal 5 2 3 2 2 7 2 2" xfId="15301" xr:uid="{F658032C-F1D5-4C23-B2B4-8FAD9AED7FBD}"/>
    <cellStyle name="Normal 5 2 3 2 2 7 3" xfId="11083" xr:uid="{4659E694-F871-46EB-A0BA-DF4A9DCBF639}"/>
    <cellStyle name="Normal 5 2 3 2 2 8" xfId="4801" xr:uid="{00000000-0005-0000-0000-00005C180000}"/>
    <cellStyle name="Normal 5 2 3 2 2 8 2" xfId="13236" xr:uid="{59D07BA3-DCEC-409D-A75D-C5C3A7ABA9B6}"/>
    <cellStyle name="Normal 5 2 3 2 2 9" xfId="9018" xr:uid="{948C786B-AF17-40D5-8574-40D98E21E92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2 2 2" xfId="15796" xr:uid="{80639B30-106E-4495-A1FC-0A239DD44C2F}"/>
    <cellStyle name="Normal 5 2 3 2 3 2 2 3" xfId="11578" xr:uid="{F4F4828D-00AF-485C-B4F1-1340C05FA623}"/>
    <cellStyle name="Normal 5 2 3 2 3 2 3" xfId="5216" xr:uid="{00000000-0005-0000-0000-000061180000}"/>
    <cellStyle name="Normal 5 2 3 2 3 2 3 2" xfId="13651" xr:uid="{93DED275-1D5C-4515-A9B7-C20C98F07D78}"/>
    <cellStyle name="Normal 5 2 3 2 3 2 4" xfId="9433" xr:uid="{952277DA-C547-46DF-8BCA-7E5D7A9FF6C5}"/>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2 2 2" xfId="16209" xr:uid="{97A4F4EB-9BEE-4603-AADE-3D38C50CDA80}"/>
    <cellStyle name="Normal 5 2 3 2 3 3 2 3" xfId="11991" xr:uid="{861482D8-E7A4-407E-A2F8-933C2786240B}"/>
    <cellStyle name="Normal 5 2 3 2 3 3 3" xfId="5629" xr:uid="{00000000-0005-0000-0000-000065180000}"/>
    <cellStyle name="Normal 5 2 3 2 3 3 3 2" xfId="14064" xr:uid="{7B462603-537C-4988-82F6-7A478F84ACD7}"/>
    <cellStyle name="Normal 5 2 3 2 3 3 4" xfId="9846" xr:uid="{1D016D2C-CA0E-49EB-B4A5-CC1C4059DF8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2 2 2" xfId="16622" xr:uid="{4D69FDD7-6D39-467D-8A6E-D99878140FF4}"/>
    <cellStyle name="Normal 5 2 3 2 3 4 2 3" xfId="12404" xr:uid="{D0F35CB7-CEC3-4C76-9BE9-5F7D51A52C20}"/>
    <cellStyle name="Normal 5 2 3 2 3 4 3" xfId="6042" xr:uid="{00000000-0005-0000-0000-000069180000}"/>
    <cellStyle name="Normal 5 2 3 2 3 4 3 2" xfId="14477" xr:uid="{3569CA76-D199-4D88-A852-255EA07CB6BB}"/>
    <cellStyle name="Normal 5 2 3 2 3 4 4" xfId="10259" xr:uid="{300E80A4-376B-4305-9B26-F13F26B098E3}"/>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2 2 2" xfId="17035" xr:uid="{83382538-FF8C-4C63-89A6-F4738D9A27FA}"/>
    <cellStyle name="Normal 5 2 3 2 3 5 2 3" xfId="12817" xr:uid="{4563BD49-47D1-4A06-9BAD-657FA75B0F50}"/>
    <cellStyle name="Normal 5 2 3 2 3 5 3" xfId="6455" xr:uid="{00000000-0005-0000-0000-00006D180000}"/>
    <cellStyle name="Normal 5 2 3 2 3 5 3 2" xfId="14890" xr:uid="{EF76BE5B-7D75-421B-9B11-D2CCF1A83C14}"/>
    <cellStyle name="Normal 5 2 3 2 3 5 4" xfId="10672" xr:uid="{0065862F-23D4-492B-8655-7F631DE2C152}"/>
    <cellStyle name="Normal 5 2 3 2 3 6" xfId="2584" xr:uid="{00000000-0005-0000-0000-00006E180000}"/>
    <cellStyle name="Normal 5 2 3 2 3 6 2" xfId="6868" xr:uid="{00000000-0005-0000-0000-00006F180000}"/>
    <cellStyle name="Normal 5 2 3 2 3 6 2 2" xfId="15303" xr:uid="{3AC7A8CE-5D64-4034-B91A-27DD3FF8EC4E}"/>
    <cellStyle name="Normal 5 2 3 2 3 6 3" xfId="11085" xr:uid="{34EC6616-727F-496A-8A65-AA75732FE98E}"/>
    <cellStyle name="Normal 5 2 3 2 3 7" xfId="4803" xr:uid="{00000000-0005-0000-0000-000070180000}"/>
    <cellStyle name="Normal 5 2 3 2 3 7 2" xfId="13238" xr:uid="{FAACED23-BE4E-430D-A3A5-474BDABC7A1C}"/>
    <cellStyle name="Normal 5 2 3 2 3 8" xfId="9020" xr:uid="{2C601470-DC66-4317-86E3-E2920A33C4BF}"/>
    <cellStyle name="Normal 5 2 3 2 4" xfId="900" xr:uid="{00000000-0005-0000-0000-000071180000}"/>
    <cellStyle name="Normal 5 2 3 2 4 2" xfId="3135" xr:uid="{00000000-0005-0000-0000-000072180000}"/>
    <cellStyle name="Normal 5 2 3 2 4 2 2" xfId="7358" xr:uid="{00000000-0005-0000-0000-000073180000}"/>
    <cellStyle name="Normal 5 2 3 2 4 2 2 2" xfId="15793" xr:uid="{C5AADC89-5790-413D-B257-E7BCB0168ED2}"/>
    <cellStyle name="Normal 5 2 3 2 4 2 3" xfId="11575" xr:uid="{50F8B381-6802-4AFF-AF8F-272057B76E45}"/>
    <cellStyle name="Normal 5 2 3 2 4 3" xfId="5213" xr:uid="{00000000-0005-0000-0000-000074180000}"/>
    <cellStyle name="Normal 5 2 3 2 4 3 2" xfId="13648" xr:uid="{19976A19-8241-43CB-A3D6-2B4D42FFF678}"/>
    <cellStyle name="Normal 5 2 3 2 4 4" xfId="9430" xr:uid="{B0A5D6C1-AF60-4E9A-B57F-615FB9CC583D}"/>
    <cellStyle name="Normal 5 2 3 2 5" xfId="1318" xr:uid="{00000000-0005-0000-0000-000075180000}"/>
    <cellStyle name="Normal 5 2 3 2 5 2" xfId="3548" xr:uid="{00000000-0005-0000-0000-000076180000}"/>
    <cellStyle name="Normal 5 2 3 2 5 2 2" xfId="7771" xr:uid="{00000000-0005-0000-0000-000077180000}"/>
    <cellStyle name="Normal 5 2 3 2 5 2 2 2" xfId="16206" xr:uid="{73D8FADD-662F-43F1-A5BD-A6D06A651324}"/>
    <cellStyle name="Normal 5 2 3 2 5 2 3" xfId="11988" xr:uid="{F0A91593-FA44-4D9C-B194-08882CAF0383}"/>
    <cellStyle name="Normal 5 2 3 2 5 3" xfId="5626" xr:uid="{00000000-0005-0000-0000-000078180000}"/>
    <cellStyle name="Normal 5 2 3 2 5 3 2" xfId="14061" xr:uid="{AC8D0B43-E273-4998-8396-412579EFD5C7}"/>
    <cellStyle name="Normal 5 2 3 2 5 4" xfId="9843" xr:uid="{5ED16C0F-D4AA-449F-94DA-1D78EB3EC608}"/>
    <cellStyle name="Normal 5 2 3 2 6" xfId="1731" xr:uid="{00000000-0005-0000-0000-000079180000}"/>
    <cellStyle name="Normal 5 2 3 2 6 2" xfId="3961" xr:uid="{00000000-0005-0000-0000-00007A180000}"/>
    <cellStyle name="Normal 5 2 3 2 6 2 2" xfId="8184" xr:uid="{00000000-0005-0000-0000-00007B180000}"/>
    <cellStyle name="Normal 5 2 3 2 6 2 2 2" xfId="16619" xr:uid="{D1B0C54E-E885-48AE-A883-8BACD95BD237}"/>
    <cellStyle name="Normal 5 2 3 2 6 2 3" xfId="12401" xr:uid="{4E3D1A26-D9ED-4479-9912-74383D713C5F}"/>
    <cellStyle name="Normal 5 2 3 2 6 3" xfId="6039" xr:uid="{00000000-0005-0000-0000-00007C180000}"/>
    <cellStyle name="Normal 5 2 3 2 6 3 2" xfId="14474" xr:uid="{26BA845F-A3D4-4515-B835-9783EF83BC09}"/>
    <cellStyle name="Normal 5 2 3 2 6 4" xfId="10256" xr:uid="{1A3E49A6-984C-4354-9D6B-65DEBB94F150}"/>
    <cellStyle name="Normal 5 2 3 2 7" xfId="2145" xr:uid="{00000000-0005-0000-0000-00007D180000}"/>
    <cellStyle name="Normal 5 2 3 2 7 2" xfId="4374" xr:uid="{00000000-0005-0000-0000-00007E180000}"/>
    <cellStyle name="Normal 5 2 3 2 7 2 2" xfId="8597" xr:uid="{00000000-0005-0000-0000-00007F180000}"/>
    <cellStyle name="Normal 5 2 3 2 7 2 2 2" xfId="17032" xr:uid="{D3722386-A9E6-4F77-A191-2EFC5DBDC4EF}"/>
    <cellStyle name="Normal 5 2 3 2 7 2 3" xfId="12814" xr:uid="{86CD6171-F26C-40F9-AF65-11BD9449EACF}"/>
    <cellStyle name="Normal 5 2 3 2 7 3" xfId="6452" xr:uid="{00000000-0005-0000-0000-000080180000}"/>
    <cellStyle name="Normal 5 2 3 2 7 3 2" xfId="14887" xr:uid="{551B297C-C0BC-46EE-8C1D-6584A8827E17}"/>
    <cellStyle name="Normal 5 2 3 2 7 4" xfId="10669" xr:uid="{D3DCC977-A98C-43B0-9667-606DB5D8119E}"/>
    <cellStyle name="Normal 5 2 3 2 8" xfId="2581" xr:uid="{00000000-0005-0000-0000-000081180000}"/>
    <cellStyle name="Normal 5 2 3 2 8 2" xfId="6865" xr:uid="{00000000-0005-0000-0000-000082180000}"/>
    <cellStyle name="Normal 5 2 3 2 8 2 2" xfId="15300" xr:uid="{4CB116E7-8618-4087-A10B-96E757CEF3EF}"/>
    <cellStyle name="Normal 5 2 3 2 8 3" xfId="11082" xr:uid="{75FDAFB1-910C-4BEF-B094-E58A637E62FF}"/>
    <cellStyle name="Normal 5 2 3 2 9" xfId="4800" xr:uid="{00000000-0005-0000-0000-000083180000}"/>
    <cellStyle name="Normal 5 2 3 2 9 2" xfId="13235" xr:uid="{8B3DDD50-6829-4CC0-9FFA-4C8378A12D2E}"/>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2 2 2" xfId="15798" xr:uid="{6F10770F-E834-4BD3-A2FA-FB2561E4CDBA}"/>
    <cellStyle name="Normal 5 2 3 3 2 2 2 3" xfId="11580" xr:uid="{16EA2C8D-E8CC-4F70-85C2-AEBA2ADFC138}"/>
    <cellStyle name="Normal 5 2 3 3 2 2 3" xfId="5218" xr:uid="{00000000-0005-0000-0000-000089180000}"/>
    <cellStyle name="Normal 5 2 3 3 2 2 3 2" xfId="13653" xr:uid="{4AC7002A-F3B8-44DB-9957-A1232555CC68}"/>
    <cellStyle name="Normal 5 2 3 3 2 2 4" xfId="9435" xr:uid="{7C4FBD1B-D820-4E3C-8917-A27E5267F158}"/>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2 2 2" xfId="16211" xr:uid="{AAADB385-A716-493E-AD82-40A4F50E4FB3}"/>
    <cellStyle name="Normal 5 2 3 3 2 3 2 3" xfId="11993" xr:uid="{4AE8B572-1B40-42E4-8CE5-1E0B99B40A50}"/>
    <cellStyle name="Normal 5 2 3 3 2 3 3" xfId="5631" xr:uid="{00000000-0005-0000-0000-00008D180000}"/>
    <cellStyle name="Normal 5 2 3 3 2 3 3 2" xfId="14066" xr:uid="{EF22C1C5-E0C7-4628-BD2C-EA5D8F29B9D6}"/>
    <cellStyle name="Normal 5 2 3 3 2 3 4" xfId="9848" xr:uid="{4C5F2C28-3AD4-45E5-B344-947FC798E40F}"/>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2 2 2" xfId="16624" xr:uid="{F72D56DB-46A1-4A72-B289-FFB8EF7FBCD9}"/>
    <cellStyle name="Normal 5 2 3 3 2 4 2 3" xfId="12406" xr:uid="{4C7B2F31-F61E-4B19-B953-5513BA41EB35}"/>
    <cellStyle name="Normal 5 2 3 3 2 4 3" xfId="6044" xr:uid="{00000000-0005-0000-0000-000091180000}"/>
    <cellStyle name="Normal 5 2 3 3 2 4 3 2" xfId="14479" xr:uid="{9BBB7E09-4BA4-470E-BCAB-8DC0C7B37A30}"/>
    <cellStyle name="Normal 5 2 3 3 2 4 4" xfId="10261" xr:uid="{929AF3E7-F82C-49B4-BBD8-48949D184ED2}"/>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2 2 2" xfId="17037" xr:uid="{6C077701-346E-437C-92BB-FEFF6F3D2D38}"/>
    <cellStyle name="Normal 5 2 3 3 2 5 2 3" xfId="12819" xr:uid="{F104F1FF-5E9A-4814-9936-4C0EC0B1EC01}"/>
    <cellStyle name="Normal 5 2 3 3 2 5 3" xfId="6457" xr:uid="{00000000-0005-0000-0000-000095180000}"/>
    <cellStyle name="Normal 5 2 3 3 2 5 3 2" xfId="14892" xr:uid="{DEBA31D1-932C-4284-BCED-8EBFDA82CEA4}"/>
    <cellStyle name="Normal 5 2 3 3 2 5 4" xfId="10674" xr:uid="{E1D83FE6-6157-4A45-B1DF-D71BDD0CA761}"/>
    <cellStyle name="Normal 5 2 3 3 2 6" xfId="2586" xr:uid="{00000000-0005-0000-0000-000096180000}"/>
    <cellStyle name="Normal 5 2 3 3 2 6 2" xfId="6870" xr:uid="{00000000-0005-0000-0000-000097180000}"/>
    <cellStyle name="Normal 5 2 3 3 2 6 2 2" xfId="15305" xr:uid="{98EB9EF3-3039-4567-ABDE-A6136F8E3A17}"/>
    <cellStyle name="Normal 5 2 3 3 2 6 3" xfId="11087" xr:uid="{22078B8F-9744-4E29-97C7-672B3BE98273}"/>
    <cellStyle name="Normal 5 2 3 3 2 7" xfId="4805" xr:uid="{00000000-0005-0000-0000-000098180000}"/>
    <cellStyle name="Normal 5 2 3 3 2 7 2" xfId="13240" xr:uid="{958BE934-10ED-4F21-AE69-37D6080E1C25}"/>
    <cellStyle name="Normal 5 2 3 3 2 8" xfId="9022" xr:uid="{EC66C222-C621-4632-8487-2F4AF9E5C443}"/>
    <cellStyle name="Normal 5 2 3 3 3" xfId="904" xr:uid="{00000000-0005-0000-0000-000099180000}"/>
    <cellStyle name="Normal 5 2 3 3 3 2" xfId="3139" xr:uid="{00000000-0005-0000-0000-00009A180000}"/>
    <cellStyle name="Normal 5 2 3 3 3 2 2" xfId="7362" xr:uid="{00000000-0005-0000-0000-00009B180000}"/>
    <cellStyle name="Normal 5 2 3 3 3 2 2 2" xfId="15797" xr:uid="{6782AD46-7445-4B54-97E8-FFC23661CE18}"/>
    <cellStyle name="Normal 5 2 3 3 3 2 3" xfId="11579" xr:uid="{5BD1ECFE-E50C-4EC4-9106-21E4385B41D1}"/>
    <cellStyle name="Normal 5 2 3 3 3 3" xfId="5217" xr:uid="{00000000-0005-0000-0000-00009C180000}"/>
    <cellStyle name="Normal 5 2 3 3 3 3 2" xfId="13652" xr:uid="{F2ABF672-41B2-4111-9731-FCE739F44518}"/>
    <cellStyle name="Normal 5 2 3 3 3 4" xfId="9434" xr:uid="{072D89A5-B4AE-4B7F-836D-04DCD99199A8}"/>
    <cellStyle name="Normal 5 2 3 3 4" xfId="1322" xr:uid="{00000000-0005-0000-0000-00009D180000}"/>
    <cellStyle name="Normal 5 2 3 3 4 2" xfId="3552" xr:uid="{00000000-0005-0000-0000-00009E180000}"/>
    <cellStyle name="Normal 5 2 3 3 4 2 2" xfId="7775" xr:uid="{00000000-0005-0000-0000-00009F180000}"/>
    <cellStyle name="Normal 5 2 3 3 4 2 2 2" xfId="16210" xr:uid="{05F12D4B-DA3E-41D8-A153-94F54B2BBF3D}"/>
    <cellStyle name="Normal 5 2 3 3 4 2 3" xfId="11992" xr:uid="{CC5CE0BE-F4EA-410D-9015-53B8997D0DBE}"/>
    <cellStyle name="Normal 5 2 3 3 4 3" xfId="5630" xr:uid="{00000000-0005-0000-0000-0000A0180000}"/>
    <cellStyle name="Normal 5 2 3 3 4 3 2" xfId="14065" xr:uid="{2DA0A128-4C1D-4A32-AB67-651F55910546}"/>
    <cellStyle name="Normal 5 2 3 3 4 4" xfId="9847" xr:uid="{327AD6F9-57B0-4A68-A835-43B52958313B}"/>
    <cellStyle name="Normal 5 2 3 3 5" xfId="1735" xr:uid="{00000000-0005-0000-0000-0000A1180000}"/>
    <cellStyle name="Normal 5 2 3 3 5 2" xfId="3965" xr:uid="{00000000-0005-0000-0000-0000A2180000}"/>
    <cellStyle name="Normal 5 2 3 3 5 2 2" xfId="8188" xr:uid="{00000000-0005-0000-0000-0000A3180000}"/>
    <cellStyle name="Normal 5 2 3 3 5 2 2 2" xfId="16623" xr:uid="{7C5EFC4B-C182-41F5-AE5E-A6658C904B25}"/>
    <cellStyle name="Normal 5 2 3 3 5 2 3" xfId="12405" xr:uid="{7F194220-4689-4218-89DF-E22A29671AC1}"/>
    <cellStyle name="Normal 5 2 3 3 5 3" xfId="6043" xr:uid="{00000000-0005-0000-0000-0000A4180000}"/>
    <cellStyle name="Normal 5 2 3 3 5 3 2" xfId="14478" xr:uid="{DDE689AD-5862-4D0B-A294-52A79886924D}"/>
    <cellStyle name="Normal 5 2 3 3 5 4" xfId="10260" xr:uid="{0AB45F49-84A4-4311-9BFC-5375842A84E6}"/>
    <cellStyle name="Normal 5 2 3 3 6" xfId="2149" xr:uid="{00000000-0005-0000-0000-0000A5180000}"/>
    <cellStyle name="Normal 5 2 3 3 6 2" xfId="4378" xr:uid="{00000000-0005-0000-0000-0000A6180000}"/>
    <cellStyle name="Normal 5 2 3 3 6 2 2" xfId="8601" xr:uid="{00000000-0005-0000-0000-0000A7180000}"/>
    <cellStyle name="Normal 5 2 3 3 6 2 2 2" xfId="17036" xr:uid="{0A01DD50-1E3F-4479-8AB1-34EDADAE1CE9}"/>
    <cellStyle name="Normal 5 2 3 3 6 2 3" xfId="12818" xr:uid="{BA256BD4-0435-44E9-8FA5-FDA5A2DB04AD}"/>
    <cellStyle name="Normal 5 2 3 3 6 3" xfId="6456" xr:uid="{00000000-0005-0000-0000-0000A8180000}"/>
    <cellStyle name="Normal 5 2 3 3 6 3 2" xfId="14891" xr:uid="{EAE459E9-BC99-479E-89DB-7CF3DC7BB4EE}"/>
    <cellStyle name="Normal 5 2 3 3 6 4" xfId="10673" xr:uid="{45C6978E-9FEF-4A59-934F-7A44CD95CCCE}"/>
    <cellStyle name="Normal 5 2 3 3 7" xfId="2585" xr:uid="{00000000-0005-0000-0000-0000A9180000}"/>
    <cellStyle name="Normal 5 2 3 3 7 2" xfId="6869" xr:uid="{00000000-0005-0000-0000-0000AA180000}"/>
    <cellStyle name="Normal 5 2 3 3 7 2 2" xfId="15304" xr:uid="{E3C75838-08E3-45A5-9A98-FA380ED7DBCD}"/>
    <cellStyle name="Normal 5 2 3 3 7 3" xfId="11086" xr:uid="{F0A57532-F6CC-475E-A04B-C0D42E863488}"/>
    <cellStyle name="Normal 5 2 3 3 8" xfId="4804" xr:uid="{00000000-0005-0000-0000-0000AB180000}"/>
    <cellStyle name="Normal 5 2 3 3 8 2" xfId="13239" xr:uid="{3B10EF92-ABAF-4E63-BEF6-4AE8B98BAD94}"/>
    <cellStyle name="Normal 5 2 3 3 9" xfId="9021" xr:uid="{DF0D8E95-576F-46B6-8AE7-DD1C2CF5072A}"/>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2 2 2" xfId="15799" xr:uid="{39F4C322-028B-4A65-8BC9-B50335A378DD}"/>
    <cellStyle name="Normal 5 2 3 4 2 2 3" xfId="11581" xr:uid="{9641919E-E317-4BFC-994E-9A700320CCF9}"/>
    <cellStyle name="Normal 5 2 3 4 2 3" xfId="5219" xr:uid="{00000000-0005-0000-0000-0000B0180000}"/>
    <cellStyle name="Normal 5 2 3 4 2 3 2" xfId="13654" xr:uid="{20C14567-A504-4F30-A91A-C64325D57679}"/>
    <cellStyle name="Normal 5 2 3 4 2 4" xfId="9436" xr:uid="{F5AC2EC1-5118-4A03-AE1A-E5CA89A93B5C}"/>
    <cellStyle name="Normal 5 2 3 4 3" xfId="1324" xr:uid="{00000000-0005-0000-0000-0000B1180000}"/>
    <cellStyle name="Normal 5 2 3 4 3 2" xfId="3554" xr:uid="{00000000-0005-0000-0000-0000B2180000}"/>
    <cellStyle name="Normal 5 2 3 4 3 2 2" xfId="7777" xr:uid="{00000000-0005-0000-0000-0000B3180000}"/>
    <cellStyle name="Normal 5 2 3 4 3 2 2 2" xfId="16212" xr:uid="{EF1AA2A5-3DCA-4D56-BF1C-3F5FCD4525B0}"/>
    <cellStyle name="Normal 5 2 3 4 3 2 3" xfId="11994" xr:uid="{2E6A75AC-9421-492D-8591-C1DD9F409A88}"/>
    <cellStyle name="Normal 5 2 3 4 3 3" xfId="5632" xr:uid="{00000000-0005-0000-0000-0000B4180000}"/>
    <cellStyle name="Normal 5 2 3 4 3 3 2" xfId="14067" xr:uid="{307F3EC7-E554-468C-81C3-5C545FDC3348}"/>
    <cellStyle name="Normal 5 2 3 4 3 4" xfId="9849" xr:uid="{B52E133A-466F-4A6A-A0F2-6759959F7776}"/>
    <cellStyle name="Normal 5 2 3 4 4" xfId="1737" xr:uid="{00000000-0005-0000-0000-0000B5180000}"/>
    <cellStyle name="Normal 5 2 3 4 4 2" xfId="3967" xr:uid="{00000000-0005-0000-0000-0000B6180000}"/>
    <cellStyle name="Normal 5 2 3 4 4 2 2" xfId="8190" xr:uid="{00000000-0005-0000-0000-0000B7180000}"/>
    <cellStyle name="Normal 5 2 3 4 4 2 2 2" xfId="16625" xr:uid="{9E8D7F17-0B12-4116-AA23-89695158EF00}"/>
    <cellStyle name="Normal 5 2 3 4 4 2 3" xfId="12407" xr:uid="{6E92AAFD-FB14-4390-9CEF-F516736CFF74}"/>
    <cellStyle name="Normal 5 2 3 4 4 3" xfId="6045" xr:uid="{00000000-0005-0000-0000-0000B8180000}"/>
    <cellStyle name="Normal 5 2 3 4 4 3 2" xfId="14480" xr:uid="{90C6B491-77D9-4C92-B1E2-3ABBB094F9B6}"/>
    <cellStyle name="Normal 5 2 3 4 4 4" xfId="10262" xr:uid="{3AF8140B-6AF7-43BA-9D49-D5AB1056468C}"/>
    <cellStyle name="Normal 5 2 3 4 5" xfId="2151" xr:uid="{00000000-0005-0000-0000-0000B9180000}"/>
    <cellStyle name="Normal 5 2 3 4 5 2" xfId="4380" xr:uid="{00000000-0005-0000-0000-0000BA180000}"/>
    <cellStyle name="Normal 5 2 3 4 5 2 2" xfId="8603" xr:uid="{00000000-0005-0000-0000-0000BB180000}"/>
    <cellStyle name="Normal 5 2 3 4 5 2 2 2" xfId="17038" xr:uid="{7C963388-F75A-42E1-85DE-003BFEE870BE}"/>
    <cellStyle name="Normal 5 2 3 4 5 2 3" xfId="12820" xr:uid="{BE8BC06F-F6AF-45A6-A49D-A3C48F368B5C}"/>
    <cellStyle name="Normal 5 2 3 4 5 3" xfId="6458" xr:uid="{00000000-0005-0000-0000-0000BC180000}"/>
    <cellStyle name="Normal 5 2 3 4 5 3 2" xfId="14893" xr:uid="{AC2DB9D6-021B-441E-92A6-E984C1C30F18}"/>
    <cellStyle name="Normal 5 2 3 4 5 4" xfId="10675" xr:uid="{CA5C0527-23AD-48E8-BDF0-BF386EEB091B}"/>
    <cellStyle name="Normal 5 2 3 4 6" xfId="2587" xr:uid="{00000000-0005-0000-0000-0000BD180000}"/>
    <cellStyle name="Normal 5 2 3 4 6 2" xfId="6871" xr:uid="{00000000-0005-0000-0000-0000BE180000}"/>
    <cellStyle name="Normal 5 2 3 4 6 2 2" xfId="15306" xr:uid="{75403307-5C5A-4B13-B918-0F459AED01F8}"/>
    <cellStyle name="Normal 5 2 3 4 6 3" xfId="11088" xr:uid="{252B7C2D-10A3-408B-A0A7-11037C16003C}"/>
    <cellStyle name="Normal 5 2 3 4 7" xfId="4806" xr:uid="{00000000-0005-0000-0000-0000BF180000}"/>
    <cellStyle name="Normal 5 2 3 4 7 2" xfId="13241" xr:uid="{2CD401DD-CE9C-41B0-AD56-23DEBF0350EC}"/>
    <cellStyle name="Normal 5 2 3 4 8" xfId="9023" xr:uid="{10A40161-887F-4997-B80C-628A1BE8CEC4}"/>
    <cellStyle name="Normal 5 2 3 5" xfId="899" xr:uid="{00000000-0005-0000-0000-0000C0180000}"/>
    <cellStyle name="Normal 5 2 3 5 2" xfId="3134" xr:uid="{00000000-0005-0000-0000-0000C1180000}"/>
    <cellStyle name="Normal 5 2 3 5 2 2" xfId="7357" xr:uid="{00000000-0005-0000-0000-0000C2180000}"/>
    <cellStyle name="Normal 5 2 3 5 2 2 2" xfId="15792" xr:uid="{F49DBB90-09F9-4F30-83AE-1CD4A7999CB7}"/>
    <cellStyle name="Normal 5 2 3 5 2 3" xfId="11574" xr:uid="{9C0E1BF5-B3E4-4C6C-9E6B-8989D7F97716}"/>
    <cellStyle name="Normal 5 2 3 5 3" xfId="5212" xr:uid="{00000000-0005-0000-0000-0000C3180000}"/>
    <cellStyle name="Normal 5 2 3 5 3 2" xfId="13647" xr:uid="{F717E4EF-5D97-423A-8694-8DF112EC2CDD}"/>
    <cellStyle name="Normal 5 2 3 5 4" xfId="9429" xr:uid="{30733AE2-3309-4D04-B8F3-A070E10E5B1D}"/>
    <cellStyle name="Normal 5 2 3 6" xfId="1317" xr:uid="{00000000-0005-0000-0000-0000C4180000}"/>
    <cellStyle name="Normal 5 2 3 6 2" xfId="3547" xr:uid="{00000000-0005-0000-0000-0000C5180000}"/>
    <cellStyle name="Normal 5 2 3 6 2 2" xfId="7770" xr:uid="{00000000-0005-0000-0000-0000C6180000}"/>
    <cellStyle name="Normal 5 2 3 6 2 2 2" xfId="16205" xr:uid="{4A6E6259-1723-44E1-A68D-C1C8318D400F}"/>
    <cellStyle name="Normal 5 2 3 6 2 3" xfId="11987" xr:uid="{DABBCFBA-11BD-4EC5-B8BD-63515962BADF}"/>
    <cellStyle name="Normal 5 2 3 6 3" xfId="5625" xr:uid="{00000000-0005-0000-0000-0000C7180000}"/>
    <cellStyle name="Normal 5 2 3 6 3 2" xfId="14060" xr:uid="{CED4FBD4-44D7-4AEB-862F-63A214FB7A9D}"/>
    <cellStyle name="Normal 5 2 3 6 4" xfId="9842" xr:uid="{8909750A-7262-41E0-BAF9-E71C53488FF0}"/>
    <cellStyle name="Normal 5 2 3 7" xfId="1730" xr:uid="{00000000-0005-0000-0000-0000C8180000}"/>
    <cellStyle name="Normal 5 2 3 7 2" xfId="3960" xr:uid="{00000000-0005-0000-0000-0000C9180000}"/>
    <cellStyle name="Normal 5 2 3 7 2 2" xfId="8183" xr:uid="{00000000-0005-0000-0000-0000CA180000}"/>
    <cellStyle name="Normal 5 2 3 7 2 2 2" xfId="16618" xr:uid="{DC0DB2EA-AA76-40B6-9D45-AB6E956B6625}"/>
    <cellStyle name="Normal 5 2 3 7 2 3" xfId="12400" xr:uid="{A59727CB-9941-444D-BA91-4E08808B3B4D}"/>
    <cellStyle name="Normal 5 2 3 7 3" xfId="6038" xr:uid="{00000000-0005-0000-0000-0000CB180000}"/>
    <cellStyle name="Normal 5 2 3 7 3 2" xfId="14473" xr:uid="{F16EE04D-0465-46CE-9CBA-BD19630FFA26}"/>
    <cellStyle name="Normal 5 2 3 7 4" xfId="10255" xr:uid="{BF942F11-187E-44EA-9ED6-6570AF283D65}"/>
    <cellStyle name="Normal 5 2 3 8" xfId="2144" xr:uid="{00000000-0005-0000-0000-0000CC180000}"/>
    <cellStyle name="Normal 5 2 3 8 2" xfId="4373" xr:uid="{00000000-0005-0000-0000-0000CD180000}"/>
    <cellStyle name="Normal 5 2 3 8 2 2" xfId="8596" xr:uid="{00000000-0005-0000-0000-0000CE180000}"/>
    <cellStyle name="Normal 5 2 3 8 2 2 2" xfId="17031" xr:uid="{B3CA40C9-4D19-4C27-A1CD-221D78ED5D48}"/>
    <cellStyle name="Normal 5 2 3 8 2 3" xfId="12813" xr:uid="{A0046300-4840-4B49-807D-6A8C951A74F6}"/>
    <cellStyle name="Normal 5 2 3 8 3" xfId="6451" xr:uid="{00000000-0005-0000-0000-0000CF180000}"/>
    <cellStyle name="Normal 5 2 3 8 3 2" xfId="14886" xr:uid="{8FAE4C61-C5E5-4821-AAA8-B1EAFD12CDA1}"/>
    <cellStyle name="Normal 5 2 3 8 4" xfId="10668" xr:uid="{6740BF00-91F8-4400-8FC4-BBEA8F12B2B9}"/>
    <cellStyle name="Normal 5 2 3 9" xfId="2580" xr:uid="{00000000-0005-0000-0000-0000D0180000}"/>
    <cellStyle name="Normal 5 2 3 9 2" xfId="6864" xr:uid="{00000000-0005-0000-0000-0000D1180000}"/>
    <cellStyle name="Normal 5 2 3 9 2 2" xfId="15299" xr:uid="{A00D1AC7-7008-4448-ABEA-F43ED67B9352}"/>
    <cellStyle name="Normal 5 2 3 9 3" xfId="11081" xr:uid="{33BD8031-8580-41F8-967A-AB2FC7C41C73}"/>
    <cellStyle name="Normal 5 2 4" xfId="432" xr:uid="{00000000-0005-0000-0000-0000D2180000}"/>
    <cellStyle name="Normal 5 2 4 10" xfId="9024" xr:uid="{B2C06801-4DED-4B8B-8CCD-4C058F0FC9EE}"/>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2 2 2" xfId="15802" xr:uid="{454B6C1F-5368-4720-8B9A-C2B83AACD0E4}"/>
    <cellStyle name="Normal 5 2 4 2 2 2 2 3" xfId="11584" xr:uid="{02AD8B62-B348-4E3F-B75E-2737316233DF}"/>
    <cellStyle name="Normal 5 2 4 2 2 2 3" xfId="5222" xr:uid="{00000000-0005-0000-0000-0000D8180000}"/>
    <cellStyle name="Normal 5 2 4 2 2 2 3 2" xfId="13657" xr:uid="{410643F8-2771-4BB2-842A-32B53AB9305E}"/>
    <cellStyle name="Normal 5 2 4 2 2 2 4" xfId="9439" xr:uid="{4DE5D9B0-343E-4333-ACEB-452E5258CB09}"/>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2 2 2" xfId="16215" xr:uid="{EC611BB3-F736-4CAD-86C1-7756C8AA1026}"/>
    <cellStyle name="Normal 5 2 4 2 2 3 2 3" xfId="11997" xr:uid="{F2221C64-B972-4619-8A77-94B772768B3C}"/>
    <cellStyle name="Normal 5 2 4 2 2 3 3" xfId="5635" xr:uid="{00000000-0005-0000-0000-0000DC180000}"/>
    <cellStyle name="Normal 5 2 4 2 2 3 3 2" xfId="14070" xr:uid="{19E9B213-6CED-44DF-8F44-8614DDE0BF7A}"/>
    <cellStyle name="Normal 5 2 4 2 2 3 4" xfId="9852" xr:uid="{DD4B0AA7-EE80-4106-A684-431F91E6A90C}"/>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2 2 2" xfId="16628" xr:uid="{D716DC5F-5DD5-4F86-8AEF-70F99AA8013A}"/>
    <cellStyle name="Normal 5 2 4 2 2 4 2 3" xfId="12410" xr:uid="{DCE89058-A972-4DEE-AFDA-529C067AEB99}"/>
    <cellStyle name="Normal 5 2 4 2 2 4 3" xfId="6048" xr:uid="{00000000-0005-0000-0000-0000E0180000}"/>
    <cellStyle name="Normal 5 2 4 2 2 4 3 2" xfId="14483" xr:uid="{FD15FA5A-2F3A-4463-AC21-A362276B7A7C}"/>
    <cellStyle name="Normal 5 2 4 2 2 4 4" xfId="10265" xr:uid="{97B8B887-79E2-4609-B4DB-668873012D6D}"/>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2 2 2" xfId="17041" xr:uid="{9ED44FCB-11E3-4533-BB1A-BE811F2570ED}"/>
    <cellStyle name="Normal 5 2 4 2 2 5 2 3" xfId="12823" xr:uid="{9FE8B7C1-7B03-498B-86DC-74EB18831AD6}"/>
    <cellStyle name="Normal 5 2 4 2 2 5 3" xfId="6461" xr:uid="{00000000-0005-0000-0000-0000E4180000}"/>
    <cellStyle name="Normal 5 2 4 2 2 5 3 2" xfId="14896" xr:uid="{72EEF1E8-67BF-4704-A2EC-FC1F5CA6369E}"/>
    <cellStyle name="Normal 5 2 4 2 2 5 4" xfId="10678" xr:uid="{F8A2C4C1-FA41-4776-AB33-4597E5B3BB19}"/>
    <cellStyle name="Normal 5 2 4 2 2 6" xfId="2590" xr:uid="{00000000-0005-0000-0000-0000E5180000}"/>
    <cellStyle name="Normal 5 2 4 2 2 6 2" xfId="6874" xr:uid="{00000000-0005-0000-0000-0000E6180000}"/>
    <cellStyle name="Normal 5 2 4 2 2 6 2 2" xfId="15309" xr:uid="{D9A3B07B-74F4-414A-952F-E007FEC1883F}"/>
    <cellStyle name="Normal 5 2 4 2 2 6 3" xfId="11091" xr:uid="{27D87161-6E66-41F8-8146-2A30119AFFC4}"/>
    <cellStyle name="Normal 5 2 4 2 2 7" xfId="4809" xr:uid="{00000000-0005-0000-0000-0000E7180000}"/>
    <cellStyle name="Normal 5 2 4 2 2 7 2" xfId="13244" xr:uid="{FED0BB8F-A2FC-4D65-A96A-4208CBC53993}"/>
    <cellStyle name="Normal 5 2 4 2 2 8" xfId="9026" xr:uid="{B9783B9B-84AC-4456-B378-39947E455548}"/>
    <cellStyle name="Normal 5 2 4 2 3" xfId="908" xr:uid="{00000000-0005-0000-0000-0000E8180000}"/>
    <cellStyle name="Normal 5 2 4 2 3 2" xfId="3143" xr:uid="{00000000-0005-0000-0000-0000E9180000}"/>
    <cellStyle name="Normal 5 2 4 2 3 2 2" xfId="7366" xr:uid="{00000000-0005-0000-0000-0000EA180000}"/>
    <cellStyle name="Normal 5 2 4 2 3 2 2 2" xfId="15801" xr:uid="{CC799B9E-F84C-401A-AD53-57166EA8C812}"/>
    <cellStyle name="Normal 5 2 4 2 3 2 3" xfId="11583" xr:uid="{4A306BAC-27C9-4ECE-827A-607D42E370BF}"/>
    <cellStyle name="Normal 5 2 4 2 3 3" xfId="5221" xr:uid="{00000000-0005-0000-0000-0000EB180000}"/>
    <cellStyle name="Normal 5 2 4 2 3 3 2" xfId="13656" xr:uid="{5EC1F875-3B97-45E5-AEC4-7A1870BE65F9}"/>
    <cellStyle name="Normal 5 2 4 2 3 4" xfId="9438" xr:uid="{4AC485AA-080B-494F-A1C0-290A2782BA24}"/>
    <cellStyle name="Normal 5 2 4 2 4" xfId="1326" xr:uid="{00000000-0005-0000-0000-0000EC180000}"/>
    <cellStyle name="Normal 5 2 4 2 4 2" xfId="3556" xr:uid="{00000000-0005-0000-0000-0000ED180000}"/>
    <cellStyle name="Normal 5 2 4 2 4 2 2" xfId="7779" xr:uid="{00000000-0005-0000-0000-0000EE180000}"/>
    <cellStyle name="Normal 5 2 4 2 4 2 2 2" xfId="16214" xr:uid="{CA0EEB44-D6FE-409F-BB78-922DF55924C6}"/>
    <cellStyle name="Normal 5 2 4 2 4 2 3" xfId="11996" xr:uid="{EF8CDDC2-F2E2-4E37-82B0-58729001EBD8}"/>
    <cellStyle name="Normal 5 2 4 2 4 3" xfId="5634" xr:uid="{00000000-0005-0000-0000-0000EF180000}"/>
    <cellStyle name="Normal 5 2 4 2 4 3 2" xfId="14069" xr:uid="{C5C1F8A1-C2EA-431E-8704-48992E3EB564}"/>
    <cellStyle name="Normal 5 2 4 2 4 4" xfId="9851" xr:uid="{D3F7EE2B-76D7-4A1F-996C-6F7D23A811BF}"/>
    <cellStyle name="Normal 5 2 4 2 5" xfId="1739" xr:uid="{00000000-0005-0000-0000-0000F0180000}"/>
    <cellStyle name="Normal 5 2 4 2 5 2" xfId="3969" xr:uid="{00000000-0005-0000-0000-0000F1180000}"/>
    <cellStyle name="Normal 5 2 4 2 5 2 2" xfId="8192" xr:uid="{00000000-0005-0000-0000-0000F2180000}"/>
    <cellStyle name="Normal 5 2 4 2 5 2 2 2" xfId="16627" xr:uid="{56C96662-D858-44D7-B5D7-9B4E5BE1F907}"/>
    <cellStyle name="Normal 5 2 4 2 5 2 3" xfId="12409" xr:uid="{7C1DA995-E2CB-47D4-8FB5-069BF6FAE297}"/>
    <cellStyle name="Normal 5 2 4 2 5 3" xfId="6047" xr:uid="{00000000-0005-0000-0000-0000F3180000}"/>
    <cellStyle name="Normal 5 2 4 2 5 3 2" xfId="14482" xr:uid="{376A59E5-0266-467F-9669-1FA617B2164C}"/>
    <cellStyle name="Normal 5 2 4 2 5 4" xfId="10264" xr:uid="{875B820F-F1D3-4260-A671-ACBF45D120A2}"/>
    <cellStyle name="Normal 5 2 4 2 6" xfId="2153" xr:uid="{00000000-0005-0000-0000-0000F4180000}"/>
    <cellStyle name="Normal 5 2 4 2 6 2" xfId="4382" xr:uid="{00000000-0005-0000-0000-0000F5180000}"/>
    <cellStyle name="Normal 5 2 4 2 6 2 2" xfId="8605" xr:uid="{00000000-0005-0000-0000-0000F6180000}"/>
    <cellStyle name="Normal 5 2 4 2 6 2 2 2" xfId="17040" xr:uid="{2BB9EB48-1F93-4297-977D-B3167F416E83}"/>
    <cellStyle name="Normal 5 2 4 2 6 2 3" xfId="12822" xr:uid="{A17EEBBA-E9BC-4608-90D8-64C843FA5069}"/>
    <cellStyle name="Normal 5 2 4 2 6 3" xfId="6460" xr:uid="{00000000-0005-0000-0000-0000F7180000}"/>
    <cellStyle name="Normal 5 2 4 2 6 3 2" xfId="14895" xr:uid="{E2210D7D-1DFA-4D9B-803D-4B9C586E17E9}"/>
    <cellStyle name="Normal 5 2 4 2 6 4" xfId="10677" xr:uid="{C2DBE1D9-C74F-48AD-98D3-09720FD3F9E5}"/>
    <cellStyle name="Normal 5 2 4 2 7" xfId="2589" xr:uid="{00000000-0005-0000-0000-0000F8180000}"/>
    <cellStyle name="Normal 5 2 4 2 7 2" xfId="6873" xr:uid="{00000000-0005-0000-0000-0000F9180000}"/>
    <cellStyle name="Normal 5 2 4 2 7 2 2" xfId="15308" xr:uid="{58B2B6E5-57A6-4E86-A04C-E1D987A7EABA}"/>
    <cellStyle name="Normal 5 2 4 2 7 3" xfId="11090" xr:uid="{8ED62965-351F-41BB-A506-D56F630746B3}"/>
    <cellStyle name="Normal 5 2 4 2 8" xfId="4808" xr:uid="{00000000-0005-0000-0000-0000FA180000}"/>
    <cellStyle name="Normal 5 2 4 2 8 2" xfId="13243" xr:uid="{4F3DA1AC-E389-4177-B0C1-2D65E7903652}"/>
    <cellStyle name="Normal 5 2 4 2 9" xfId="9025" xr:uid="{5BB4A989-D926-4831-A455-3474A454463D}"/>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2 2 2" xfId="15803" xr:uid="{D3FB9299-9479-45A8-8CB2-7FDD94DDAA9A}"/>
    <cellStyle name="Normal 5 2 4 3 2 2 3" xfId="11585" xr:uid="{7CC3BE25-E71C-444C-AF23-1C1A9237C517}"/>
    <cellStyle name="Normal 5 2 4 3 2 3" xfId="5223" xr:uid="{00000000-0005-0000-0000-0000FF180000}"/>
    <cellStyle name="Normal 5 2 4 3 2 3 2" xfId="13658" xr:uid="{CD9415FB-20F7-454E-88CE-B332AD980EEF}"/>
    <cellStyle name="Normal 5 2 4 3 2 4" xfId="9440" xr:uid="{FDF95580-8CCF-4F71-869B-EEBB4C9E18A8}"/>
    <cellStyle name="Normal 5 2 4 3 3" xfId="1328" xr:uid="{00000000-0005-0000-0000-000000190000}"/>
    <cellStyle name="Normal 5 2 4 3 3 2" xfId="3558" xr:uid="{00000000-0005-0000-0000-000001190000}"/>
    <cellStyle name="Normal 5 2 4 3 3 2 2" xfId="7781" xr:uid="{00000000-0005-0000-0000-000002190000}"/>
    <cellStyle name="Normal 5 2 4 3 3 2 2 2" xfId="16216" xr:uid="{6EEC4C2C-6DF9-4387-BD68-999BECA150D9}"/>
    <cellStyle name="Normal 5 2 4 3 3 2 3" xfId="11998" xr:uid="{3360C1D5-3D2B-45DC-81EA-D5740FBB664A}"/>
    <cellStyle name="Normal 5 2 4 3 3 3" xfId="5636" xr:uid="{00000000-0005-0000-0000-000003190000}"/>
    <cellStyle name="Normal 5 2 4 3 3 3 2" xfId="14071" xr:uid="{2D3AF4A2-C65D-430F-8E46-8CC756285921}"/>
    <cellStyle name="Normal 5 2 4 3 3 4" xfId="9853" xr:uid="{75FDD64C-0CFA-48C9-8170-EEFBC044B155}"/>
    <cellStyle name="Normal 5 2 4 3 4" xfId="1741" xr:uid="{00000000-0005-0000-0000-000004190000}"/>
    <cellStyle name="Normal 5 2 4 3 4 2" xfId="3971" xr:uid="{00000000-0005-0000-0000-000005190000}"/>
    <cellStyle name="Normal 5 2 4 3 4 2 2" xfId="8194" xr:uid="{00000000-0005-0000-0000-000006190000}"/>
    <cellStyle name="Normal 5 2 4 3 4 2 2 2" xfId="16629" xr:uid="{62642AF3-98BF-4EB4-83E0-AC30F6C319CB}"/>
    <cellStyle name="Normal 5 2 4 3 4 2 3" xfId="12411" xr:uid="{A5880E8A-5B1F-4AD2-B166-0D81675C1690}"/>
    <cellStyle name="Normal 5 2 4 3 4 3" xfId="6049" xr:uid="{00000000-0005-0000-0000-000007190000}"/>
    <cellStyle name="Normal 5 2 4 3 4 3 2" xfId="14484" xr:uid="{6A9F173B-D222-4442-9B5B-B41A64D4A172}"/>
    <cellStyle name="Normal 5 2 4 3 4 4" xfId="10266" xr:uid="{8C3C04BD-EC13-48CD-894C-3156F280448A}"/>
    <cellStyle name="Normal 5 2 4 3 5" xfId="2155" xr:uid="{00000000-0005-0000-0000-000008190000}"/>
    <cellStyle name="Normal 5 2 4 3 5 2" xfId="4384" xr:uid="{00000000-0005-0000-0000-000009190000}"/>
    <cellStyle name="Normal 5 2 4 3 5 2 2" xfId="8607" xr:uid="{00000000-0005-0000-0000-00000A190000}"/>
    <cellStyle name="Normal 5 2 4 3 5 2 2 2" xfId="17042" xr:uid="{DB173A8F-C8EF-45FF-A2ED-2FD5666F3DAA}"/>
    <cellStyle name="Normal 5 2 4 3 5 2 3" xfId="12824" xr:uid="{8FB9F1D9-1889-4100-91DC-2D78D676C2F6}"/>
    <cellStyle name="Normal 5 2 4 3 5 3" xfId="6462" xr:uid="{00000000-0005-0000-0000-00000B190000}"/>
    <cellStyle name="Normal 5 2 4 3 5 3 2" xfId="14897" xr:uid="{DA9C1CB6-9ABC-4AD7-9AC8-C9B9DF2FCB9F}"/>
    <cellStyle name="Normal 5 2 4 3 5 4" xfId="10679" xr:uid="{73CD9C0B-5A0A-49AA-9DBA-F299D3B000E4}"/>
    <cellStyle name="Normal 5 2 4 3 6" xfId="2591" xr:uid="{00000000-0005-0000-0000-00000C190000}"/>
    <cellStyle name="Normal 5 2 4 3 6 2" xfId="6875" xr:uid="{00000000-0005-0000-0000-00000D190000}"/>
    <cellStyle name="Normal 5 2 4 3 6 2 2" xfId="15310" xr:uid="{D54F5D10-21F7-498E-BDF9-EF18FAA43713}"/>
    <cellStyle name="Normal 5 2 4 3 6 3" xfId="11092" xr:uid="{A212E2BE-FA26-4C84-838E-8DF021BF66E3}"/>
    <cellStyle name="Normal 5 2 4 3 7" xfId="4810" xr:uid="{00000000-0005-0000-0000-00000E190000}"/>
    <cellStyle name="Normal 5 2 4 3 7 2" xfId="13245" xr:uid="{BC91BF57-393A-4927-BD8E-F46763937306}"/>
    <cellStyle name="Normal 5 2 4 3 8" xfId="9027" xr:uid="{CBC9DC9E-92B4-4BBD-BD47-24AD90A30361}"/>
    <cellStyle name="Normal 5 2 4 4" xfId="907" xr:uid="{00000000-0005-0000-0000-00000F190000}"/>
    <cellStyle name="Normal 5 2 4 4 2" xfId="3142" xr:uid="{00000000-0005-0000-0000-000010190000}"/>
    <cellStyle name="Normal 5 2 4 4 2 2" xfId="7365" xr:uid="{00000000-0005-0000-0000-000011190000}"/>
    <cellStyle name="Normal 5 2 4 4 2 2 2" xfId="15800" xr:uid="{D1F4A2A0-B036-4959-AC68-68A92B1B6D31}"/>
    <cellStyle name="Normal 5 2 4 4 2 3" xfId="11582" xr:uid="{0C191794-49EB-4EED-BE73-8A9D6AB31995}"/>
    <cellStyle name="Normal 5 2 4 4 3" xfId="5220" xr:uid="{00000000-0005-0000-0000-000012190000}"/>
    <cellStyle name="Normal 5 2 4 4 3 2" xfId="13655" xr:uid="{B3BCC19B-E537-4953-A32E-0DAF886B7216}"/>
    <cellStyle name="Normal 5 2 4 4 4" xfId="9437" xr:uid="{9CEDC8C2-C2F3-4DB1-8DB0-8F26DF174777}"/>
    <cellStyle name="Normal 5 2 4 5" xfId="1325" xr:uid="{00000000-0005-0000-0000-000013190000}"/>
    <cellStyle name="Normal 5 2 4 5 2" xfId="3555" xr:uid="{00000000-0005-0000-0000-000014190000}"/>
    <cellStyle name="Normal 5 2 4 5 2 2" xfId="7778" xr:uid="{00000000-0005-0000-0000-000015190000}"/>
    <cellStyle name="Normal 5 2 4 5 2 2 2" xfId="16213" xr:uid="{B0D290B1-CFF7-408C-97AC-10FB74DB5FAD}"/>
    <cellStyle name="Normal 5 2 4 5 2 3" xfId="11995" xr:uid="{34E0520C-5612-45AC-81F1-A3F5B72F7D27}"/>
    <cellStyle name="Normal 5 2 4 5 3" xfId="5633" xr:uid="{00000000-0005-0000-0000-000016190000}"/>
    <cellStyle name="Normal 5 2 4 5 3 2" xfId="14068" xr:uid="{E4229F5E-56C9-49C2-B360-93F4502DF65B}"/>
    <cellStyle name="Normal 5 2 4 5 4" xfId="9850" xr:uid="{A6E53D51-70C3-4234-BA69-87B6D254F0A6}"/>
    <cellStyle name="Normal 5 2 4 6" xfId="1738" xr:uid="{00000000-0005-0000-0000-000017190000}"/>
    <cellStyle name="Normal 5 2 4 6 2" xfId="3968" xr:uid="{00000000-0005-0000-0000-000018190000}"/>
    <cellStyle name="Normal 5 2 4 6 2 2" xfId="8191" xr:uid="{00000000-0005-0000-0000-000019190000}"/>
    <cellStyle name="Normal 5 2 4 6 2 2 2" xfId="16626" xr:uid="{31B9D3B7-48D9-49D1-B957-852C323028E8}"/>
    <cellStyle name="Normal 5 2 4 6 2 3" xfId="12408" xr:uid="{FF1B97DF-8C16-4C80-B6FC-D1E3E9D82CE0}"/>
    <cellStyle name="Normal 5 2 4 6 3" xfId="6046" xr:uid="{00000000-0005-0000-0000-00001A190000}"/>
    <cellStyle name="Normal 5 2 4 6 3 2" xfId="14481" xr:uid="{EC7474AD-A2C5-4FFF-BDCA-0F059CC7BFFA}"/>
    <cellStyle name="Normal 5 2 4 6 4" xfId="10263" xr:uid="{1C6A97EC-B56C-41FE-88A9-B51EDA72B14A}"/>
    <cellStyle name="Normal 5 2 4 7" xfId="2152" xr:uid="{00000000-0005-0000-0000-00001B190000}"/>
    <cellStyle name="Normal 5 2 4 7 2" xfId="4381" xr:uid="{00000000-0005-0000-0000-00001C190000}"/>
    <cellStyle name="Normal 5 2 4 7 2 2" xfId="8604" xr:uid="{00000000-0005-0000-0000-00001D190000}"/>
    <cellStyle name="Normal 5 2 4 7 2 2 2" xfId="17039" xr:uid="{120B74DF-82AA-4A52-B113-55631EA25856}"/>
    <cellStyle name="Normal 5 2 4 7 2 3" xfId="12821" xr:uid="{8E294FE1-F9EC-4BA3-AAE2-CDCB2661AE95}"/>
    <cellStyle name="Normal 5 2 4 7 3" xfId="6459" xr:uid="{00000000-0005-0000-0000-00001E190000}"/>
    <cellStyle name="Normal 5 2 4 7 3 2" xfId="14894" xr:uid="{4A8A3AC0-7AA6-4047-8EEF-1ECC532EF929}"/>
    <cellStyle name="Normal 5 2 4 7 4" xfId="10676" xr:uid="{F60B6013-A55C-4472-87C8-F533105C1301}"/>
    <cellStyle name="Normal 5 2 4 8" xfId="2588" xr:uid="{00000000-0005-0000-0000-00001F190000}"/>
    <cellStyle name="Normal 5 2 4 8 2" xfId="6872" xr:uid="{00000000-0005-0000-0000-000020190000}"/>
    <cellStyle name="Normal 5 2 4 8 2 2" xfId="15307" xr:uid="{73C5172E-FF4E-4416-A5C6-A7D7107E0D55}"/>
    <cellStyle name="Normal 5 2 4 8 3" xfId="11089" xr:uid="{E4CBF555-1981-47BA-ABE7-B1C5B52999D2}"/>
    <cellStyle name="Normal 5 2 4 9" xfId="4807" xr:uid="{00000000-0005-0000-0000-000021190000}"/>
    <cellStyle name="Normal 5 2 4 9 2" xfId="13242" xr:uid="{337961D2-E346-43F3-A37A-2C993FADD4C6}"/>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2 2 2" xfId="15805" xr:uid="{E8DCDD9F-3813-4CA8-B1EC-B6031582624F}"/>
    <cellStyle name="Normal 5 2 5 2 2 2 3" xfId="11587" xr:uid="{B65CA0F0-D573-41F5-A635-DB2433944AF5}"/>
    <cellStyle name="Normal 5 2 5 2 2 3" xfId="5225" xr:uid="{00000000-0005-0000-0000-000027190000}"/>
    <cellStyle name="Normal 5 2 5 2 2 3 2" xfId="13660" xr:uid="{D4F38A39-7909-489B-81EC-09602889B2D2}"/>
    <cellStyle name="Normal 5 2 5 2 2 4" xfId="9442" xr:uid="{4E09432E-DC24-4673-B7D4-C0D24DC8A48D}"/>
    <cellStyle name="Normal 5 2 5 2 3" xfId="1330" xr:uid="{00000000-0005-0000-0000-000028190000}"/>
    <cellStyle name="Normal 5 2 5 2 3 2" xfId="3560" xr:uid="{00000000-0005-0000-0000-000029190000}"/>
    <cellStyle name="Normal 5 2 5 2 3 2 2" xfId="7783" xr:uid="{00000000-0005-0000-0000-00002A190000}"/>
    <cellStyle name="Normal 5 2 5 2 3 2 2 2" xfId="16218" xr:uid="{792D9548-7D82-4E64-AF75-4B2C1D828F52}"/>
    <cellStyle name="Normal 5 2 5 2 3 2 3" xfId="12000" xr:uid="{FBFD6B2A-169F-4738-A1C5-CFE2F2C7A3D9}"/>
    <cellStyle name="Normal 5 2 5 2 3 3" xfId="5638" xr:uid="{00000000-0005-0000-0000-00002B190000}"/>
    <cellStyle name="Normal 5 2 5 2 3 3 2" xfId="14073" xr:uid="{F15E8C0F-EACF-42AA-9702-0914C4B025AA}"/>
    <cellStyle name="Normal 5 2 5 2 3 4" xfId="9855" xr:uid="{3147DB43-3FEF-4D54-A2DA-48F33F8FAB22}"/>
    <cellStyle name="Normal 5 2 5 2 4" xfId="1743" xr:uid="{00000000-0005-0000-0000-00002C190000}"/>
    <cellStyle name="Normal 5 2 5 2 4 2" xfId="3973" xr:uid="{00000000-0005-0000-0000-00002D190000}"/>
    <cellStyle name="Normal 5 2 5 2 4 2 2" xfId="8196" xr:uid="{00000000-0005-0000-0000-00002E190000}"/>
    <cellStyle name="Normal 5 2 5 2 4 2 2 2" xfId="16631" xr:uid="{4AE51B3D-2C73-476E-8FC1-4B547A672912}"/>
    <cellStyle name="Normal 5 2 5 2 4 2 3" xfId="12413" xr:uid="{BE085730-7805-4B80-A7B3-8FCBC33A0A9F}"/>
    <cellStyle name="Normal 5 2 5 2 4 3" xfId="6051" xr:uid="{00000000-0005-0000-0000-00002F190000}"/>
    <cellStyle name="Normal 5 2 5 2 4 3 2" xfId="14486" xr:uid="{CB6595B0-F78F-498E-81B1-C5182943FD4C}"/>
    <cellStyle name="Normal 5 2 5 2 4 4" xfId="10268" xr:uid="{6CF4D2EB-1B52-4917-9C10-5DD8ACB8E559}"/>
    <cellStyle name="Normal 5 2 5 2 5" xfId="2157" xr:uid="{00000000-0005-0000-0000-000030190000}"/>
    <cellStyle name="Normal 5 2 5 2 5 2" xfId="4386" xr:uid="{00000000-0005-0000-0000-000031190000}"/>
    <cellStyle name="Normal 5 2 5 2 5 2 2" xfId="8609" xr:uid="{00000000-0005-0000-0000-000032190000}"/>
    <cellStyle name="Normal 5 2 5 2 5 2 2 2" xfId="17044" xr:uid="{08B2807F-7A11-4804-A8E3-F8E9CB0E7425}"/>
    <cellStyle name="Normal 5 2 5 2 5 2 3" xfId="12826" xr:uid="{47733956-F72B-430F-B2F2-F233DFA3E5B9}"/>
    <cellStyle name="Normal 5 2 5 2 5 3" xfId="6464" xr:uid="{00000000-0005-0000-0000-000033190000}"/>
    <cellStyle name="Normal 5 2 5 2 5 3 2" xfId="14899" xr:uid="{2D870404-9730-4EAE-BF8D-C2DC99263609}"/>
    <cellStyle name="Normal 5 2 5 2 5 4" xfId="10681" xr:uid="{5215C822-8864-4B61-9A31-7C0A9DB58C90}"/>
    <cellStyle name="Normal 5 2 5 2 6" xfId="2593" xr:uid="{00000000-0005-0000-0000-000034190000}"/>
    <cellStyle name="Normal 5 2 5 2 6 2" xfId="6877" xr:uid="{00000000-0005-0000-0000-000035190000}"/>
    <cellStyle name="Normal 5 2 5 2 6 2 2" xfId="15312" xr:uid="{D046A02C-F417-4942-B8AB-EF84510421E6}"/>
    <cellStyle name="Normal 5 2 5 2 6 3" xfId="11094" xr:uid="{02FFF576-799B-468A-9E49-BF63AAC12A17}"/>
    <cellStyle name="Normal 5 2 5 2 7" xfId="4812" xr:uid="{00000000-0005-0000-0000-000036190000}"/>
    <cellStyle name="Normal 5 2 5 2 7 2" xfId="13247" xr:uid="{20742E55-7D00-43E9-B6BA-4DB99C81567A}"/>
    <cellStyle name="Normal 5 2 5 2 8" xfId="9029" xr:uid="{413D25E0-3A6E-4DEC-833A-CEC2692D5CD9}"/>
    <cellStyle name="Normal 5 2 5 3" xfId="911" xr:uid="{00000000-0005-0000-0000-000037190000}"/>
    <cellStyle name="Normal 5 2 5 3 2" xfId="3146" xr:uid="{00000000-0005-0000-0000-000038190000}"/>
    <cellStyle name="Normal 5 2 5 3 2 2" xfId="7369" xr:uid="{00000000-0005-0000-0000-000039190000}"/>
    <cellStyle name="Normal 5 2 5 3 2 2 2" xfId="15804" xr:uid="{94DBBE2E-5246-4D7B-98CB-46985E435C2C}"/>
    <cellStyle name="Normal 5 2 5 3 2 3" xfId="11586" xr:uid="{B7F32E25-E9C3-4473-A90E-0498EB9F0EE8}"/>
    <cellStyle name="Normal 5 2 5 3 3" xfId="5224" xr:uid="{00000000-0005-0000-0000-00003A190000}"/>
    <cellStyle name="Normal 5 2 5 3 3 2" xfId="13659" xr:uid="{41C3E3E1-0117-446D-BB08-FB767C7D4188}"/>
    <cellStyle name="Normal 5 2 5 3 4" xfId="9441" xr:uid="{C69F5FC9-C05F-4E11-BB94-0856DEBDB837}"/>
    <cellStyle name="Normal 5 2 5 4" xfId="1329" xr:uid="{00000000-0005-0000-0000-00003B190000}"/>
    <cellStyle name="Normal 5 2 5 4 2" xfId="3559" xr:uid="{00000000-0005-0000-0000-00003C190000}"/>
    <cellStyle name="Normal 5 2 5 4 2 2" xfId="7782" xr:uid="{00000000-0005-0000-0000-00003D190000}"/>
    <cellStyle name="Normal 5 2 5 4 2 2 2" xfId="16217" xr:uid="{CCC4C57D-DC2F-419D-B026-F5A0077582B0}"/>
    <cellStyle name="Normal 5 2 5 4 2 3" xfId="11999" xr:uid="{E5DBA65B-450E-4AB0-9D98-65240B3BF50F}"/>
    <cellStyle name="Normal 5 2 5 4 3" xfId="5637" xr:uid="{00000000-0005-0000-0000-00003E190000}"/>
    <cellStyle name="Normal 5 2 5 4 3 2" xfId="14072" xr:uid="{E31F9D40-FCDD-4327-AF02-4B90BE186308}"/>
    <cellStyle name="Normal 5 2 5 4 4" xfId="9854" xr:uid="{58D4F132-A3FF-4DC3-BF84-C9138E867F65}"/>
    <cellStyle name="Normal 5 2 5 5" xfId="1742" xr:uid="{00000000-0005-0000-0000-00003F190000}"/>
    <cellStyle name="Normal 5 2 5 5 2" xfId="3972" xr:uid="{00000000-0005-0000-0000-000040190000}"/>
    <cellStyle name="Normal 5 2 5 5 2 2" xfId="8195" xr:uid="{00000000-0005-0000-0000-000041190000}"/>
    <cellStyle name="Normal 5 2 5 5 2 2 2" xfId="16630" xr:uid="{19A1C486-4863-47AB-BB73-86D885C54C5F}"/>
    <cellStyle name="Normal 5 2 5 5 2 3" xfId="12412" xr:uid="{5C294B7B-C611-4021-9ECC-883F5FC89FD7}"/>
    <cellStyle name="Normal 5 2 5 5 3" xfId="6050" xr:uid="{00000000-0005-0000-0000-000042190000}"/>
    <cellStyle name="Normal 5 2 5 5 3 2" xfId="14485" xr:uid="{82FDA852-5102-4CAF-A4AE-00317FBF006F}"/>
    <cellStyle name="Normal 5 2 5 5 4" xfId="10267" xr:uid="{00E5D67B-CDDC-491F-9A2A-F89AF945D794}"/>
    <cellStyle name="Normal 5 2 5 6" xfId="2156" xr:uid="{00000000-0005-0000-0000-000043190000}"/>
    <cellStyle name="Normal 5 2 5 6 2" xfId="4385" xr:uid="{00000000-0005-0000-0000-000044190000}"/>
    <cellStyle name="Normal 5 2 5 6 2 2" xfId="8608" xr:uid="{00000000-0005-0000-0000-000045190000}"/>
    <cellStyle name="Normal 5 2 5 6 2 2 2" xfId="17043" xr:uid="{5B45945D-717D-47DB-A5F2-7FC7ADDB2158}"/>
    <cellStyle name="Normal 5 2 5 6 2 3" xfId="12825" xr:uid="{9B764F57-2F0C-43AD-8F48-ECE6666A1E9B}"/>
    <cellStyle name="Normal 5 2 5 6 3" xfId="6463" xr:uid="{00000000-0005-0000-0000-000046190000}"/>
    <cellStyle name="Normal 5 2 5 6 3 2" xfId="14898" xr:uid="{887A28EC-7266-453A-86B0-910997F2EA62}"/>
    <cellStyle name="Normal 5 2 5 6 4" xfId="10680" xr:uid="{1E405859-E7A7-4F25-BD41-A09C5A4C70B3}"/>
    <cellStyle name="Normal 5 2 5 7" xfId="2592" xr:uid="{00000000-0005-0000-0000-000047190000}"/>
    <cellStyle name="Normal 5 2 5 7 2" xfId="6876" xr:uid="{00000000-0005-0000-0000-000048190000}"/>
    <cellStyle name="Normal 5 2 5 7 2 2" xfId="15311" xr:uid="{CAC134AE-A45C-49CB-82F5-708A036D7263}"/>
    <cellStyle name="Normal 5 2 5 7 3" xfId="11093" xr:uid="{04C7594F-E8A0-43F7-8E70-235F0B016B40}"/>
    <cellStyle name="Normal 5 2 5 8" xfId="4811" xr:uid="{00000000-0005-0000-0000-000049190000}"/>
    <cellStyle name="Normal 5 2 5 8 2" xfId="13246" xr:uid="{69E06237-28C8-4B6E-AD23-2A5EBEDFE644}"/>
    <cellStyle name="Normal 5 2 5 9" xfId="9028" xr:uid="{5D7FAFF0-4844-45AA-961B-A3BA20CA4BEE}"/>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2 2 2" xfId="15806" xr:uid="{9AFD07E6-E027-447E-8B65-32C424800B86}"/>
    <cellStyle name="Normal 5 2 6 2 2 3" xfId="11588" xr:uid="{F5F88332-85D2-42D1-87DA-EAE01D601072}"/>
    <cellStyle name="Normal 5 2 6 2 3" xfId="5226" xr:uid="{00000000-0005-0000-0000-00004E190000}"/>
    <cellStyle name="Normal 5 2 6 2 3 2" xfId="13661" xr:uid="{B80708C0-6953-4560-8ABA-A4761B0E9D83}"/>
    <cellStyle name="Normal 5 2 6 2 4" xfId="9443" xr:uid="{B9782468-E0EE-4430-B84E-276E4EE70144}"/>
    <cellStyle name="Normal 5 2 6 3" xfId="1331" xr:uid="{00000000-0005-0000-0000-00004F190000}"/>
    <cellStyle name="Normal 5 2 6 3 2" xfId="3561" xr:uid="{00000000-0005-0000-0000-000050190000}"/>
    <cellStyle name="Normal 5 2 6 3 2 2" xfId="7784" xr:uid="{00000000-0005-0000-0000-000051190000}"/>
    <cellStyle name="Normal 5 2 6 3 2 2 2" xfId="16219" xr:uid="{60F998B1-5FDE-436D-B64C-1D81C1C8D489}"/>
    <cellStyle name="Normal 5 2 6 3 2 3" xfId="12001" xr:uid="{D82FDA33-FD65-4D0B-90BD-977E82F112FF}"/>
    <cellStyle name="Normal 5 2 6 3 3" xfId="5639" xr:uid="{00000000-0005-0000-0000-000052190000}"/>
    <cellStyle name="Normal 5 2 6 3 3 2" xfId="14074" xr:uid="{8DF0EF22-52A0-4AB1-82F3-41112364856B}"/>
    <cellStyle name="Normal 5 2 6 3 4" xfId="9856" xr:uid="{8850EC9F-840D-4F91-8B13-7EF0341CCE2E}"/>
    <cellStyle name="Normal 5 2 6 4" xfId="1744" xr:uid="{00000000-0005-0000-0000-000053190000}"/>
    <cellStyle name="Normal 5 2 6 4 2" xfId="3974" xr:uid="{00000000-0005-0000-0000-000054190000}"/>
    <cellStyle name="Normal 5 2 6 4 2 2" xfId="8197" xr:uid="{00000000-0005-0000-0000-000055190000}"/>
    <cellStyle name="Normal 5 2 6 4 2 2 2" xfId="16632" xr:uid="{AE2DEF0D-054C-4A8E-87F4-3B5892DA3E12}"/>
    <cellStyle name="Normal 5 2 6 4 2 3" xfId="12414" xr:uid="{0AA16D32-9835-4F07-9B0B-DDB003BA5DC3}"/>
    <cellStyle name="Normal 5 2 6 4 3" xfId="6052" xr:uid="{00000000-0005-0000-0000-000056190000}"/>
    <cellStyle name="Normal 5 2 6 4 3 2" xfId="14487" xr:uid="{F511B039-B6E1-4270-92FF-491FF9CEF1D8}"/>
    <cellStyle name="Normal 5 2 6 4 4" xfId="10269" xr:uid="{3AC29274-3FED-4AB4-B061-3102113F5C5A}"/>
    <cellStyle name="Normal 5 2 6 5" xfId="2158" xr:uid="{00000000-0005-0000-0000-000057190000}"/>
    <cellStyle name="Normal 5 2 6 5 2" xfId="4387" xr:uid="{00000000-0005-0000-0000-000058190000}"/>
    <cellStyle name="Normal 5 2 6 5 2 2" xfId="8610" xr:uid="{00000000-0005-0000-0000-000059190000}"/>
    <cellStyle name="Normal 5 2 6 5 2 2 2" xfId="17045" xr:uid="{E856CBB4-2495-4D2B-96E1-991B9BAFEDF0}"/>
    <cellStyle name="Normal 5 2 6 5 2 3" xfId="12827" xr:uid="{201F3E6E-CDAB-4A82-ABDA-E2098A4C62A5}"/>
    <cellStyle name="Normal 5 2 6 5 3" xfId="6465" xr:uid="{00000000-0005-0000-0000-00005A190000}"/>
    <cellStyle name="Normal 5 2 6 5 3 2" xfId="14900" xr:uid="{67128299-B619-4F29-9B94-2AAF7FD37922}"/>
    <cellStyle name="Normal 5 2 6 5 4" xfId="10682" xr:uid="{D475FBE7-161E-4E11-BD98-61887BAAB066}"/>
    <cellStyle name="Normal 5 2 6 6" xfId="2594" xr:uid="{00000000-0005-0000-0000-00005B190000}"/>
    <cellStyle name="Normal 5 2 6 6 2" xfId="6878" xr:uid="{00000000-0005-0000-0000-00005C190000}"/>
    <cellStyle name="Normal 5 2 6 6 2 2" xfId="15313" xr:uid="{AF2DA274-DD94-46FD-9E22-BD9479459ECF}"/>
    <cellStyle name="Normal 5 2 6 6 3" xfId="11095" xr:uid="{8C4F4EFF-DC7B-4548-8C8A-53FFD81DB40E}"/>
    <cellStyle name="Normal 5 2 6 7" xfId="4813" xr:uid="{00000000-0005-0000-0000-00005D190000}"/>
    <cellStyle name="Normal 5 2 6 7 2" xfId="13248" xr:uid="{A61DDFC7-BAF4-4163-B138-7CCC76AAD272}"/>
    <cellStyle name="Normal 5 2 6 8" xfId="9030" xr:uid="{50B085E2-5079-4AA1-A52D-56536DABC8AD}"/>
    <cellStyle name="Normal 5 2 7" xfId="882" xr:uid="{00000000-0005-0000-0000-00005E190000}"/>
    <cellStyle name="Normal 5 2 7 2" xfId="3117" xr:uid="{00000000-0005-0000-0000-00005F190000}"/>
    <cellStyle name="Normal 5 2 7 2 2" xfId="7340" xr:uid="{00000000-0005-0000-0000-000060190000}"/>
    <cellStyle name="Normal 5 2 7 2 2 2" xfId="15775" xr:uid="{AF6A4D59-091F-446F-8BB0-96F5FC091AA9}"/>
    <cellStyle name="Normal 5 2 7 2 3" xfId="11557" xr:uid="{0BD79C7D-F1F4-4466-A94A-A76CCDB31063}"/>
    <cellStyle name="Normal 5 2 7 3" xfId="5195" xr:uid="{00000000-0005-0000-0000-000061190000}"/>
    <cellStyle name="Normal 5 2 7 3 2" xfId="13630" xr:uid="{906022EC-7DA9-492D-8FBC-EB782B2B45D6}"/>
    <cellStyle name="Normal 5 2 7 4" xfId="9412" xr:uid="{D3331DF8-50DD-4D4B-9A8E-F55B3F3AC1A0}"/>
    <cellStyle name="Normal 5 2 8" xfId="1300" xr:uid="{00000000-0005-0000-0000-000062190000}"/>
    <cellStyle name="Normal 5 2 8 2" xfId="3530" xr:uid="{00000000-0005-0000-0000-000063190000}"/>
    <cellStyle name="Normal 5 2 8 2 2" xfId="7753" xr:uid="{00000000-0005-0000-0000-000064190000}"/>
    <cellStyle name="Normal 5 2 8 2 2 2" xfId="16188" xr:uid="{4480EAA7-BDE1-448B-B27F-DEC29F3D894A}"/>
    <cellStyle name="Normal 5 2 8 2 3" xfId="11970" xr:uid="{26A35816-9CD4-46A2-A3B4-6CFB172141C7}"/>
    <cellStyle name="Normal 5 2 8 3" xfId="5608" xr:uid="{00000000-0005-0000-0000-000065190000}"/>
    <cellStyle name="Normal 5 2 8 3 2" xfId="14043" xr:uid="{9CC66739-64F9-4D26-9A33-8A930E3F7433}"/>
    <cellStyle name="Normal 5 2 8 4" xfId="9825" xr:uid="{4A3FE86A-C081-479E-9731-9DC4D28F9E73}"/>
    <cellStyle name="Normal 5 2 9" xfId="1713" xr:uid="{00000000-0005-0000-0000-000066190000}"/>
    <cellStyle name="Normal 5 2 9 2" xfId="3943" xr:uid="{00000000-0005-0000-0000-000067190000}"/>
    <cellStyle name="Normal 5 2 9 2 2" xfId="8166" xr:uid="{00000000-0005-0000-0000-000068190000}"/>
    <cellStyle name="Normal 5 2 9 2 2 2" xfId="16601" xr:uid="{CB0AB80A-7069-44B9-A1D3-54F943A2FE65}"/>
    <cellStyle name="Normal 5 2 9 2 3" xfId="12383" xr:uid="{0B1894B3-6CA6-4C89-AD97-00E9736D6461}"/>
    <cellStyle name="Normal 5 2 9 3" xfId="6021" xr:uid="{00000000-0005-0000-0000-000069190000}"/>
    <cellStyle name="Normal 5 2 9 3 2" xfId="14456" xr:uid="{EF547CC4-E0AB-4585-8F29-0F73C0889639}"/>
    <cellStyle name="Normal 5 2 9 4" xfId="10238" xr:uid="{E06EE49C-D2A4-4DD6-937A-471C87B3C3C3}"/>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2 2 2" xfId="17046" xr:uid="{79185D55-201F-4D5E-8213-D075423B6AC1}"/>
    <cellStyle name="Normal 5 3 10 2 3" xfId="12828" xr:uid="{83AD1A8D-9200-4DDD-B3B7-095A922DEA1C}"/>
    <cellStyle name="Normal 5 3 10 3" xfId="6466" xr:uid="{00000000-0005-0000-0000-00006E190000}"/>
    <cellStyle name="Normal 5 3 10 3 2" xfId="14901" xr:uid="{14F8BCED-B020-47DE-9116-FE69785DF0C5}"/>
    <cellStyle name="Normal 5 3 10 4" xfId="10683" xr:uid="{78A173FC-E40D-4B77-92D0-2607DD032BCC}"/>
    <cellStyle name="Normal 5 3 11" xfId="2595" xr:uid="{00000000-0005-0000-0000-00006F190000}"/>
    <cellStyle name="Normal 5 3 11 2" xfId="6879" xr:uid="{00000000-0005-0000-0000-000070190000}"/>
    <cellStyle name="Normal 5 3 11 2 2" xfId="15314" xr:uid="{BE559840-D6A6-4368-A6D6-8E7408309A6D}"/>
    <cellStyle name="Normal 5 3 11 3" xfId="11096" xr:uid="{89ADC32F-0AEE-4D73-9D9A-BC915DE009DD}"/>
    <cellStyle name="Normal 5 3 12" xfId="4814" xr:uid="{00000000-0005-0000-0000-000071190000}"/>
    <cellStyle name="Normal 5 3 12 2" xfId="13249" xr:uid="{36309D64-C643-4D3B-98F4-FC8BB341D0E7}"/>
    <cellStyle name="Normal 5 3 13" xfId="9031" xr:uid="{2825E391-08A4-4070-9465-45B198564151}"/>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10 2" xfId="13250" xr:uid="{442E6980-1F77-44F7-B117-926D313686F5}"/>
    <cellStyle name="Normal 5 3 3 11" xfId="9032" xr:uid="{848271C7-A2C5-4DEE-82EE-91C66F64190F}"/>
    <cellStyle name="Normal 5 3 3 2" xfId="442" xr:uid="{00000000-0005-0000-0000-000076190000}"/>
    <cellStyle name="Normal 5 3 3 2 10" xfId="9033" xr:uid="{6CBD4979-B7AE-410B-8BB0-B2D10E69D0F4}"/>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2 2 2" xfId="15811" xr:uid="{2F1C6409-C0E8-4F97-985A-19E6CD60654B}"/>
    <cellStyle name="Normal 5 3 3 2 2 2 2 2 3" xfId="11593" xr:uid="{AAA37FAA-6E7C-4F92-98D4-9BC61538DC7A}"/>
    <cellStyle name="Normal 5 3 3 2 2 2 2 3" xfId="5231" xr:uid="{00000000-0005-0000-0000-00007C190000}"/>
    <cellStyle name="Normal 5 3 3 2 2 2 2 3 2" xfId="13666" xr:uid="{FB0BAA0C-2B45-4171-9A03-D2791FC305D2}"/>
    <cellStyle name="Normal 5 3 3 2 2 2 2 4" xfId="9448" xr:uid="{6E8BEA5A-535A-4D3F-BB4D-83E9470F9105}"/>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2 2 2" xfId="16224" xr:uid="{AC405F45-0F1C-4BA7-8E9C-3C8B4CEC63FB}"/>
    <cellStyle name="Normal 5 3 3 2 2 2 3 2 3" xfId="12006" xr:uid="{0004F09B-981A-4458-8946-80B0771B9785}"/>
    <cellStyle name="Normal 5 3 3 2 2 2 3 3" xfId="5644" xr:uid="{00000000-0005-0000-0000-000080190000}"/>
    <cellStyle name="Normal 5 3 3 2 2 2 3 3 2" xfId="14079" xr:uid="{23B58BE5-C99B-4DF6-93B6-5DDEA88FF942}"/>
    <cellStyle name="Normal 5 3 3 2 2 2 3 4" xfId="9861" xr:uid="{F4582FB6-8740-4E7C-8CC0-CCDA4C9D94B6}"/>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2 2 2" xfId="16637" xr:uid="{D1C7568E-9F9D-467C-B66D-2ACBF541182F}"/>
    <cellStyle name="Normal 5 3 3 2 2 2 4 2 3" xfId="12419" xr:uid="{6385E0AA-D006-439D-88B2-06EC05BAB57E}"/>
    <cellStyle name="Normal 5 3 3 2 2 2 4 3" xfId="6057" xr:uid="{00000000-0005-0000-0000-000084190000}"/>
    <cellStyle name="Normal 5 3 3 2 2 2 4 3 2" xfId="14492" xr:uid="{19DF2C9B-08E0-4E56-8EDA-B5AACE1903B3}"/>
    <cellStyle name="Normal 5 3 3 2 2 2 4 4" xfId="10274" xr:uid="{ADFCD03D-372A-47C7-97DA-F5CF685FCEC6}"/>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2 2 2" xfId="17050" xr:uid="{4BF8C29E-2F82-4A05-8E8C-B82C8883E0A0}"/>
    <cellStyle name="Normal 5 3 3 2 2 2 5 2 3" xfId="12832" xr:uid="{7206CE47-9A25-4834-9096-2FF017A6C481}"/>
    <cellStyle name="Normal 5 3 3 2 2 2 5 3" xfId="6470" xr:uid="{00000000-0005-0000-0000-000088190000}"/>
    <cellStyle name="Normal 5 3 3 2 2 2 5 3 2" xfId="14905" xr:uid="{F0DC6C38-25A9-4235-9692-3D10D739564E}"/>
    <cellStyle name="Normal 5 3 3 2 2 2 5 4" xfId="10687" xr:uid="{C2BAD303-95D6-4FDB-B8B7-8F75ED6BF848}"/>
    <cellStyle name="Normal 5 3 3 2 2 2 6" xfId="2599" xr:uid="{00000000-0005-0000-0000-000089190000}"/>
    <cellStyle name="Normal 5 3 3 2 2 2 6 2" xfId="6883" xr:uid="{00000000-0005-0000-0000-00008A190000}"/>
    <cellStyle name="Normal 5 3 3 2 2 2 6 2 2" xfId="15318" xr:uid="{453287E6-3C47-4B78-A0F8-94A748193567}"/>
    <cellStyle name="Normal 5 3 3 2 2 2 6 3" xfId="11100" xr:uid="{1241FC0E-8052-467F-A27A-1F82322A6592}"/>
    <cellStyle name="Normal 5 3 3 2 2 2 7" xfId="4818" xr:uid="{00000000-0005-0000-0000-00008B190000}"/>
    <cellStyle name="Normal 5 3 3 2 2 2 7 2" xfId="13253" xr:uid="{B090EFDD-7A22-4FE6-8BE2-3C785BBC5169}"/>
    <cellStyle name="Normal 5 3 3 2 2 2 8" xfId="9035" xr:uid="{01807D46-07BF-4F80-AE3B-AC7375B48C5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2 2 2" xfId="15810" xr:uid="{0862AB4C-801C-45E6-828A-8B6DEC4E9FBF}"/>
    <cellStyle name="Normal 5 3 3 2 2 3 2 3" xfId="11592" xr:uid="{43BA3DCE-DB5A-4251-8545-359CB972DB1A}"/>
    <cellStyle name="Normal 5 3 3 2 2 3 3" xfId="5230" xr:uid="{00000000-0005-0000-0000-00008F190000}"/>
    <cellStyle name="Normal 5 3 3 2 2 3 3 2" xfId="13665" xr:uid="{FBFAA90D-27A3-4AEB-AEFD-17E8C9561BE7}"/>
    <cellStyle name="Normal 5 3 3 2 2 3 4" xfId="9447" xr:uid="{D23DE503-2CBB-4845-8E3B-705E517BF497}"/>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2 2 2" xfId="16223" xr:uid="{D3D2A09E-8DF5-4B06-828D-3BA1FDA71005}"/>
    <cellStyle name="Normal 5 3 3 2 2 4 2 3" xfId="12005" xr:uid="{A4817DAD-D447-455C-88F7-B4D3302B7196}"/>
    <cellStyle name="Normal 5 3 3 2 2 4 3" xfId="5643" xr:uid="{00000000-0005-0000-0000-000093190000}"/>
    <cellStyle name="Normal 5 3 3 2 2 4 3 2" xfId="14078" xr:uid="{31F0E848-5115-4FD6-8D19-D088C77C107D}"/>
    <cellStyle name="Normal 5 3 3 2 2 4 4" xfId="9860" xr:uid="{36E911D4-E803-48C6-9035-84A6E9600928}"/>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2 2 2" xfId="16636" xr:uid="{A66F4DD4-8177-4CEB-BAEA-10788C0A0E98}"/>
    <cellStyle name="Normal 5 3 3 2 2 5 2 3" xfId="12418" xr:uid="{2EDC0AFF-9E13-413A-A161-D55F2554E3FC}"/>
    <cellStyle name="Normal 5 3 3 2 2 5 3" xfId="6056" xr:uid="{00000000-0005-0000-0000-000097190000}"/>
    <cellStyle name="Normal 5 3 3 2 2 5 3 2" xfId="14491" xr:uid="{F80CE4C6-C265-4C8C-A8AA-B813EBD4FE03}"/>
    <cellStyle name="Normal 5 3 3 2 2 5 4" xfId="10273" xr:uid="{99D28E74-AECD-4844-A7FA-75C1AE64256E}"/>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2 2 2" xfId="17049" xr:uid="{6DE7F9AA-69F5-4F21-925C-42A73A368A47}"/>
    <cellStyle name="Normal 5 3 3 2 2 6 2 3" xfId="12831" xr:uid="{F573B821-B3E2-4209-84A6-BC414F14E787}"/>
    <cellStyle name="Normal 5 3 3 2 2 6 3" xfId="6469" xr:uid="{00000000-0005-0000-0000-00009B190000}"/>
    <cellStyle name="Normal 5 3 3 2 2 6 3 2" xfId="14904" xr:uid="{20BC7EDB-FD7C-4BB8-B1F1-6DBA7C58ECD1}"/>
    <cellStyle name="Normal 5 3 3 2 2 6 4" xfId="10686" xr:uid="{D9242884-ECF5-4F47-B1FA-841283C475C4}"/>
    <cellStyle name="Normal 5 3 3 2 2 7" xfId="2598" xr:uid="{00000000-0005-0000-0000-00009C190000}"/>
    <cellStyle name="Normal 5 3 3 2 2 7 2" xfId="6882" xr:uid="{00000000-0005-0000-0000-00009D190000}"/>
    <cellStyle name="Normal 5 3 3 2 2 7 2 2" xfId="15317" xr:uid="{225CE6FC-6ECE-4123-BA65-03374D17A923}"/>
    <cellStyle name="Normal 5 3 3 2 2 7 3" xfId="11099" xr:uid="{FD4BC791-CA4B-490B-B0F5-F079FB08101F}"/>
    <cellStyle name="Normal 5 3 3 2 2 8" xfId="4817" xr:uid="{00000000-0005-0000-0000-00009E190000}"/>
    <cellStyle name="Normal 5 3 3 2 2 8 2" xfId="13252" xr:uid="{8B0A166C-0800-4CDD-A336-A837872A036F}"/>
    <cellStyle name="Normal 5 3 3 2 2 9" xfId="9034" xr:uid="{70DA04C1-52E7-4A55-A531-6180DA85A28E}"/>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2 2 2" xfId="15812" xr:uid="{1D1AEDC5-2671-4A00-A5F9-9C9983F7A23B}"/>
    <cellStyle name="Normal 5 3 3 2 3 2 2 3" xfId="11594" xr:uid="{74A6AA15-8E7D-465F-A759-5C75DCA7C582}"/>
    <cellStyle name="Normal 5 3 3 2 3 2 3" xfId="5232" xr:uid="{00000000-0005-0000-0000-0000A3190000}"/>
    <cellStyle name="Normal 5 3 3 2 3 2 3 2" xfId="13667" xr:uid="{BF15D7F2-9BE0-4E25-ACB0-6E9AF2D3818B}"/>
    <cellStyle name="Normal 5 3 3 2 3 2 4" xfId="9449" xr:uid="{E1098554-29F5-4F78-88C6-128F8778F009}"/>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2 2 2" xfId="16225" xr:uid="{E0DBF8D7-74B2-4CE0-9256-3296E2A1E0C8}"/>
    <cellStyle name="Normal 5 3 3 2 3 3 2 3" xfId="12007" xr:uid="{B9A75C8B-66F4-4904-B405-30C360A3C8CA}"/>
    <cellStyle name="Normal 5 3 3 2 3 3 3" xfId="5645" xr:uid="{00000000-0005-0000-0000-0000A7190000}"/>
    <cellStyle name="Normal 5 3 3 2 3 3 3 2" xfId="14080" xr:uid="{8227DBA2-5F37-4ADE-939C-6FA7C258D352}"/>
    <cellStyle name="Normal 5 3 3 2 3 3 4" xfId="9862" xr:uid="{8C07F4F9-3820-41A7-8165-BA2E439C855F}"/>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2 2 2" xfId="16638" xr:uid="{0E011AB9-E4F3-4C50-AF29-139071D940CB}"/>
    <cellStyle name="Normal 5 3 3 2 3 4 2 3" xfId="12420" xr:uid="{B86CA3C2-71AF-4BA4-839A-824F90A35319}"/>
    <cellStyle name="Normal 5 3 3 2 3 4 3" xfId="6058" xr:uid="{00000000-0005-0000-0000-0000AB190000}"/>
    <cellStyle name="Normal 5 3 3 2 3 4 3 2" xfId="14493" xr:uid="{7FA17789-5FBF-4613-9036-33C9E6962A00}"/>
    <cellStyle name="Normal 5 3 3 2 3 4 4" xfId="10275" xr:uid="{40B3FAB3-AFBE-48FF-9466-34D9D768ACAC}"/>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2 2 2" xfId="17051" xr:uid="{FC7E13B1-46CB-4120-B570-F6C2DAEC4693}"/>
    <cellStyle name="Normal 5 3 3 2 3 5 2 3" xfId="12833" xr:uid="{3A6B856E-1B67-4A05-88FC-3D37B94C05C3}"/>
    <cellStyle name="Normal 5 3 3 2 3 5 3" xfId="6471" xr:uid="{00000000-0005-0000-0000-0000AF190000}"/>
    <cellStyle name="Normal 5 3 3 2 3 5 3 2" xfId="14906" xr:uid="{8742A59E-5565-452A-A869-4B1BD5D2387F}"/>
    <cellStyle name="Normal 5 3 3 2 3 5 4" xfId="10688" xr:uid="{ECC732A9-AE4D-4A41-91A8-A0A1B97584D8}"/>
    <cellStyle name="Normal 5 3 3 2 3 6" xfId="2600" xr:uid="{00000000-0005-0000-0000-0000B0190000}"/>
    <cellStyle name="Normal 5 3 3 2 3 6 2" xfId="6884" xr:uid="{00000000-0005-0000-0000-0000B1190000}"/>
    <cellStyle name="Normal 5 3 3 2 3 6 2 2" xfId="15319" xr:uid="{2D26E1FA-A4FF-44DC-B4D9-14012B5312E0}"/>
    <cellStyle name="Normal 5 3 3 2 3 6 3" xfId="11101" xr:uid="{6D0CEB00-6B07-4933-AEA4-BCBA2F39DD3F}"/>
    <cellStyle name="Normal 5 3 3 2 3 7" xfId="4819" xr:uid="{00000000-0005-0000-0000-0000B2190000}"/>
    <cellStyle name="Normal 5 3 3 2 3 7 2" xfId="13254" xr:uid="{BDCD1654-AC5D-499A-8E6C-A187053DC9F7}"/>
    <cellStyle name="Normal 5 3 3 2 3 8" xfId="9036" xr:uid="{D6FB0648-C98B-4E0B-B5D3-21E5A9049D46}"/>
    <cellStyle name="Normal 5 3 3 2 4" xfId="917" xr:uid="{00000000-0005-0000-0000-0000B3190000}"/>
    <cellStyle name="Normal 5 3 3 2 4 2" xfId="3151" xr:uid="{00000000-0005-0000-0000-0000B4190000}"/>
    <cellStyle name="Normal 5 3 3 2 4 2 2" xfId="7374" xr:uid="{00000000-0005-0000-0000-0000B5190000}"/>
    <cellStyle name="Normal 5 3 3 2 4 2 2 2" xfId="15809" xr:uid="{B32050A1-0B1A-411B-A504-277ED503B49E}"/>
    <cellStyle name="Normal 5 3 3 2 4 2 3" xfId="11591" xr:uid="{E9D32BAF-C577-4E86-9AE1-68F4AB8B1E90}"/>
    <cellStyle name="Normal 5 3 3 2 4 3" xfId="5229" xr:uid="{00000000-0005-0000-0000-0000B6190000}"/>
    <cellStyle name="Normal 5 3 3 2 4 3 2" xfId="13664" xr:uid="{84ACCE60-7304-44DD-90C1-D6749B41C6BE}"/>
    <cellStyle name="Normal 5 3 3 2 4 4" xfId="9446" xr:uid="{6840FD7E-D95D-44EA-BB55-6DA9CC5B80C5}"/>
    <cellStyle name="Normal 5 3 3 2 5" xfId="1334" xr:uid="{00000000-0005-0000-0000-0000B7190000}"/>
    <cellStyle name="Normal 5 3 3 2 5 2" xfId="3564" xr:uid="{00000000-0005-0000-0000-0000B8190000}"/>
    <cellStyle name="Normal 5 3 3 2 5 2 2" xfId="7787" xr:uid="{00000000-0005-0000-0000-0000B9190000}"/>
    <cellStyle name="Normal 5 3 3 2 5 2 2 2" xfId="16222" xr:uid="{E3C0DD47-B66D-4A7A-97B9-93A41C132D61}"/>
    <cellStyle name="Normal 5 3 3 2 5 2 3" xfId="12004" xr:uid="{C04194A1-8CF2-4B97-B0AA-3BDA346CAA8F}"/>
    <cellStyle name="Normal 5 3 3 2 5 3" xfId="5642" xr:uid="{00000000-0005-0000-0000-0000BA190000}"/>
    <cellStyle name="Normal 5 3 3 2 5 3 2" xfId="14077" xr:uid="{467BCBF5-ADCE-403E-9CCD-17098C2EC75C}"/>
    <cellStyle name="Normal 5 3 3 2 5 4" xfId="9859" xr:uid="{913720ED-DA79-4315-A9D8-EDD7E30BFADC}"/>
    <cellStyle name="Normal 5 3 3 2 6" xfId="1747" xr:uid="{00000000-0005-0000-0000-0000BB190000}"/>
    <cellStyle name="Normal 5 3 3 2 6 2" xfId="3977" xr:uid="{00000000-0005-0000-0000-0000BC190000}"/>
    <cellStyle name="Normal 5 3 3 2 6 2 2" xfId="8200" xr:uid="{00000000-0005-0000-0000-0000BD190000}"/>
    <cellStyle name="Normal 5 3 3 2 6 2 2 2" xfId="16635" xr:uid="{A1F12988-7D4B-4A09-8B4E-1DD7A02C6764}"/>
    <cellStyle name="Normal 5 3 3 2 6 2 3" xfId="12417" xr:uid="{21C09451-4AF9-4A16-B267-9D6417F720B3}"/>
    <cellStyle name="Normal 5 3 3 2 6 3" xfId="6055" xr:uid="{00000000-0005-0000-0000-0000BE190000}"/>
    <cellStyle name="Normal 5 3 3 2 6 3 2" xfId="14490" xr:uid="{50F66D52-BCD2-46A1-B5FE-41DBAFED57D2}"/>
    <cellStyle name="Normal 5 3 3 2 6 4" xfId="10272" xr:uid="{EA641672-8153-49B5-8A59-B38028AC53EF}"/>
    <cellStyle name="Normal 5 3 3 2 7" xfId="2161" xr:uid="{00000000-0005-0000-0000-0000BF190000}"/>
    <cellStyle name="Normal 5 3 3 2 7 2" xfId="4390" xr:uid="{00000000-0005-0000-0000-0000C0190000}"/>
    <cellStyle name="Normal 5 3 3 2 7 2 2" xfId="8613" xr:uid="{00000000-0005-0000-0000-0000C1190000}"/>
    <cellStyle name="Normal 5 3 3 2 7 2 2 2" xfId="17048" xr:uid="{F7054878-00DE-4A25-BE90-9CF72A19EF79}"/>
    <cellStyle name="Normal 5 3 3 2 7 2 3" xfId="12830" xr:uid="{BEE89083-3D78-46B7-A9E8-94F267C195C2}"/>
    <cellStyle name="Normal 5 3 3 2 7 3" xfId="6468" xr:uid="{00000000-0005-0000-0000-0000C2190000}"/>
    <cellStyle name="Normal 5 3 3 2 7 3 2" xfId="14903" xr:uid="{C103BEC0-9A59-4B9F-BB8B-0F4A87DC9A57}"/>
    <cellStyle name="Normal 5 3 3 2 7 4" xfId="10685" xr:uid="{915DB608-4B3B-44CC-99AC-A982DB2D12D9}"/>
    <cellStyle name="Normal 5 3 3 2 8" xfId="2597" xr:uid="{00000000-0005-0000-0000-0000C3190000}"/>
    <cellStyle name="Normal 5 3 3 2 8 2" xfId="6881" xr:uid="{00000000-0005-0000-0000-0000C4190000}"/>
    <cellStyle name="Normal 5 3 3 2 8 2 2" xfId="15316" xr:uid="{875CE276-A712-4048-A0EF-98D5CABE65DD}"/>
    <cellStyle name="Normal 5 3 3 2 8 3" xfId="11098" xr:uid="{386181C6-5348-4E46-B181-9226204097B2}"/>
    <cellStyle name="Normal 5 3 3 2 9" xfId="4816" xr:uid="{00000000-0005-0000-0000-0000C5190000}"/>
    <cellStyle name="Normal 5 3 3 2 9 2" xfId="13251" xr:uid="{8DFD80FC-230C-4091-A0C6-A3F3ABD9E3A8}"/>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2 2 2" xfId="15814" xr:uid="{EF694481-708E-46B7-963B-18389951487D}"/>
    <cellStyle name="Normal 5 3 3 3 2 2 2 3" xfId="11596" xr:uid="{5EEB917A-A1DC-425E-B387-666224B37624}"/>
    <cellStyle name="Normal 5 3 3 3 2 2 3" xfId="5234" xr:uid="{00000000-0005-0000-0000-0000CB190000}"/>
    <cellStyle name="Normal 5 3 3 3 2 2 3 2" xfId="13669" xr:uid="{9BAD962A-033A-4845-9624-99707012B85B}"/>
    <cellStyle name="Normal 5 3 3 3 2 2 4" xfId="9451" xr:uid="{76EF9CE7-45E1-4D94-AFFA-17981D6BA84A}"/>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2 2 2" xfId="16227" xr:uid="{5790CE6B-0978-4483-BFBD-77254C49B824}"/>
    <cellStyle name="Normal 5 3 3 3 2 3 2 3" xfId="12009" xr:uid="{C7358363-AAC3-4CF6-87C8-D2531C928875}"/>
    <cellStyle name="Normal 5 3 3 3 2 3 3" xfId="5647" xr:uid="{00000000-0005-0000-0000-0000CF190000}"/>
    <cellStyle name="Normal 5 3 3 3 2 3 3 2" xfId="14082" xr:uid="{D8B8AE2D-4646-4D66-9252-D1A50430247D}"/>
    <cellStyle name="Normal 5 3 3 3 2 3 4" xfId="9864" xr:uid="{F5E355AF-61F1-4E66-9004-13A660A65066}"/>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2 2 2" xfId="16640" xr:uid="{5A8FE187-F3C8-4988-A3DD-92F177B19D60}"/>
    <cellStyle name="Normal 5 3 3 3 2 4 2 3" xfId="12422" xr:uid="{7BAAD820-A328-4953-8BA7-83873D516933}"/>
    <cellStyle name="Normal 5 3 3 3 2 4 3" xfId="6060" xr:uid="{00000000-0005-0000-0000-0000D3190000}"/>
    <cellStyle name="Normal 5 3 3 3 2 4 3 2" xfId="14495" xr:uid="{CDB2D3CC-36DA-46A0-9651-D5D543A2555E}"/>
    <cellStyle name="Normal 5 3 3 3 2 4 4" xfId="10277" xr:uid="{C08B66AF-47C5-4E16-A8A3-3CC8FFC5563E}"/>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2 2 2" xfId="17053" xr:uid="{C9EB7580-BC29-442C-88B6-2CA4370AFEE4}"/>
    <cellStyle name="Normal 5 3 3 3 2 5 2 3" xfId="12835" xr:uid="{44F19FAE-DDAE-436D-8364-73B0C1AB4062}"/>
    <cellStyle name="Normal 5 3 3 3 2 5 3" xfId="6473" xr:uid="{00000000-0005-0000-0000-0000D7190000}"/>
    <cellStyle name="Normal 5 3 3 3 2 5 3 2" xfId="14908" xr:uid="{2962EE14-10E8-48D4-8DDD-21237AE22ED0}"/>
    <cellStyle name="Normal 5 3 3 3 2 5 4" xfId="10690" xr:uid="{B17D235E-7E35-460D-BEB4-36321B9E52A1}"/>
    <cellStyle name="Normal 5 3 3 3 2 6" xfId="2602" xr:uid="{00000000-0005-0000-0000-0000D8190000}"/>
    <cellStyle name="Normal 5 3 3 3 2 6 2" xfId="6886" xr:uid="{00000000-0005-0000-0000-0000D9190000}"/>
    <cellStyle name="Normal 5 3 3 3 2 6 2 2" xfId="15321" xr:uid="{B06724F2-85E3-4CB8-A874-0CECC205FD66}"/>
    <cellStyle name="Normal 5 3 3 3 2 6 3" xfId="11103" xr:uid="{A95A4A1A-13FA-470A-9CD6-3E6A593F439A}"/>
    <cellStyle name="Normal 5 3 3 3 2 7" xfId="4821" xr:uid="{00000000-0005-0000-0000-0000DA190000}"/>
    <cellStyle name="Normal 5 3 3 3 2 7 2" xfId="13256" xr:uid="{14A7863A-5C52-460D-B888-7652810711AD}"/>
    <cellStyle name="Normal 5 3 3 3 2 8" xfId="9038" xr:uid="{AE01BF8F-7046-477D-AA1A-A2E2A2CBCA01}"/>
    <cellStyle name="Normal 5 3 3 3 3" xfId="921" xr:uid="{00000000-0005-0000-0000-0000DB190000}"/>
    <cellStyle name="Normal 5 3 3 3 3 2" xfId="3155" xr:uid="{00000000-0005-0000-0000-0000DC190000}"/>
    <cellStyle name="Normal 5 3 3 3 3 2 2" xfId="7378" xr:uid="{00000000-0005-0000-0000-0000DD190000}"/>
    <cellStyle name="Normal 5 3 3 3 3 2 2 2" xfId="15813" xr:uid="{C85E782B-559A-4D89-9534-3D680607D57C}"/>
    <cellStyle name="Normal 5 3 3 3 3 2 3" xfId="11595" xr:uid="{379C3E56-8D3E-444F-84BF-FE0739A45407}"/>
    <cellStyle name="Normal 5 3 3 3 3 3" xfId="5233" xr:uid="{00000000-0005-0000-0000-0000DE190000}"/>
    <cellStyle name="Normal 5 3 3 3 3 3 2" xfId="13668" xr:uid="{A02C3C76-74BD-4E34-BD02-1B9155B8F869}"/>
    <cellStyle name="Normal 5 3 3 3 3 4" xfId="9450" xr:uid="{FA2CE23C-0292-406F-B6D8-57CA6D91B191}"/>
    <cellStyle name="Normal 5 3 3 3 4" xfId="1338" xr:uid="{00000000-0005-0000-0000-0000DF190000}"/>
    <cellStyle name="Normal 5 3 3 3 4 2" xfId="3568" xr:uid="{00000000-0005-0000-0000-0000E0190000}"/>
    <cellStyle name="Normal 5 3 3 3 4 2 2" xfId="7791" xr:uid="{00000000-0005-0000-0000-0000E1190000}"/>
    <cellStyle name="Normal 5 3 3 3 4 2 2 2" xfId="16226" xr:uid="{C2C13FBB-566A-41B7-892A-C07761308667}"/>
    <cellStyle name="Normal 5 3 3 3 4 2 3" xfId="12008" xr:uid="{F60B1953-2455-427E-B756-D7E161AFDD33}"/>
    <cellStyle name="Normal 5 3 3 3 4 3" xfId="5646" xr:uid="{00000000-0005-0000-0000-0000E2190000}"/>
    <cellStyle name="Normal 5 3 3 3 4 3 2" xfId="14081" xr:uid="{49768B51-7380-4FF7-B61C-B56C0721E1F1}"/>
    <cellStyle name="Normal 5 3 3 3 4 4" xfId="9863" xr:uid="{20FA120F-A07C-404D-80C2-4532D793F7A5}"/>
    <cellStyle name="Normal 5 3 3 3 5" xfId="1751" xr:uid="{00000000-0005-0000-0000-0000E3190000}"/>
    <cellStyle name="Normal 5 3 3 3 5 2" xfId="3981" xr:uid="{00000000-0005-0000-0000-0000E4190000}"/>
    <cellStyle name="Normal 5 3 3 3 5 2 2" xfId="8204" xr:uid="{00000000-0005-0000-0000-0000E5190000}"/>
    <cellStyle name="Normal 5 3 3 3 5 2 2 2" xfId="16639" xr:uid="{C5541C73-D8FB-45F4-A7CC-79CC06A1E5E9}"/>
    <cellStyle name="Normal 5 3 3 3 5 2 3" xfId="12421" xr:uid="{44BD60CB-A54B-46B3-87CC-4F4FD5EAB852}"/>
    <cellStyle name="Normal 5 3 3 3 5 3" xfId="6059" xr:uid="{00000000-0005-0000-0000-0000E6190000}"/>
    <cellStyle name="Normal 5 3 3 3 5 3 2" xfId="14494" xr:uid="{844C9BDC-AA57-4FB3-B48F-16759940980C}"/>
    <cellStyle name="Normal 5 3 3 3 5 4" xfId="10276" xr:uid="{ED7386EC-4766-4596-8074-38DDF094AF64}"/>
    <cellStyle name="Normal 5 3 3 3 6" xfId="2165" xr:uid="{00000000-0005-0000-0000-0000E7190000}"/>
    <cellStyle name="Normal 5 3 3 3 6 2" xfId="4394" xr:uid="{00000000-0005-0000-0000-0000E8190000}"/>
    <cellStyle name="Normal 5 3 3 3 6 2 2" xfId="8617" xr:uid="{00000000-0005-0000-0000-0000E9190000}"/>
    <cellStyle name="Normal 5 3 3 3 6 2 2 2" xfId="17052" xr:uid="{709C4CD1-9D3E-43AE-87BC-5BA92778A097}"/>
    <cellStyle name="Normal 5 3 3 3 6 2 3" xfId="12834" xr:uid="{6AAA4450-2DEF-4493-8883-794DC4741194}"/>
    <cellStyle name="Normal 5 3 3 3 6 3" xfId="6472" xr:uid="{00000000-0005-0000-0000-0000EA190000}"/>
    <cellStyle name="Normal 5 3 3 3 6 3 2" xfId="14907" xr:uid="{C66EA92E-9190-4BAD-832E-392A0179BDB4}"/>
    <cellStyle name="Normal 5 3 3 3 6 4" xfId="10689" xr:uid="{0041E732-15A0-4008-9E2A-515E51D8FDCE}"/>
    <cellStyle name="Normal 5 3 3 3 7" xfId="2601" xr:uid="{00000000-0005-0000-0000-0000EB190000}"/>
    <cellStyle name="Normal 5 3 3 3 7 2" xfId="6885" xr:uid="{00000000-0005-0000-0000-0000EC190000}"/>
    <cellStyle name="Normal 5 3 3 3 7 2 2" xfId="15320" xr:uid="{CC03AB38-5EC8-4F3C-BC52-1927FEDF9373}"/>
    <cellStyle name="Normal 5 3 3 3 7 3" xfId="11102" xr:uid="{96C6358B-99BC-420F-B0A0-564DFE9B5F21}"/>
    <cellStyle name="Normal 5 3 3 3 8" xfId="4820" xr:uid="{00000000-0005-0000-0000-0000ED190000}"/>
    <cellStyle name="Normal 5 3 3 3 8 2" xfId="13255" xr:uid="{AFCC9AAB-7F68-44C0-AA67-5E6AF36D0059}"/>
    <cellStyle name="Normal 5 3 3 3 9" xfId="9037" xr:uid="{636DD845-2655-45D2-8B9D-AF5152A15E2A}"/>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2 2 2" xfId="15815" xr:uid="{87FF063E-C664-417E-BE1E-8FF85FF8CC90}"/>
    <cellStyle name="Normal 5 3 3 4 2 2 3" xfId="11597" xr:uid="{968FF539-2A9E-4557-BB1B-74143F07FD05}"/>
    <cellStyle name="Normal 5 3 3 4 2 3" xfId="5235" xr:uid="{00000000-0005-0000-0000-0000F2190000}"/>
    <cellStyle name="Normal 5 3 3 4 2 3 2" xfId="13670" xr:uid="{8EB78D00-1C54-43E9-BE1F-B20173998892}"/>
    <cellStyle name="Normal 5 3 3 4 2 4" xfId="9452" xr:uid="{5E94ADCA-A24C-4C13-80BD-DAB7BB4818F0}"/>
    <cellStyle name="Normal 5 3 3 4 3" xfId="1340" xr:uid="{00000000-0005-0000-0000-0000F3190000}"/>
    <cellStyle name="Normal 5 3 3 4 3 2" xfId="3570" xr:uid="{00000000-0005-0000-0000-0000F4190000}"/>
    <cellStyle name="Normal 5 3 3 4 3 2 2" xfId="7793" xr:uid="{00000000-0005-0000-0000-0000F5190000}"/>
    <cellStyle name="Normal 5 3 3 4 3 2 2 2" xfId="16228" xr:uid="{1D3ED3A6-383D-403F-BA07-6C560F8D1110}"/>
    <cellStyle name="Normal 5 3 3 4 3 2 3" xfId="12010" xr:uid="{C2FB850A-13CB-43CB-99D8-C3FBDD7523BD}"/>
    <cellStyle name="Normal 5 3 3 4 3 3" xfId="5648" xr:uid="{00000000-0005-0000-0000-0000F6190000}"/>
    <cellStyle name="Normal 5 3 3 4 3 3 2" xfId="14083" xr:uid="{EE80537E-BAB8-4508-AD48-8CC00D2DDF09}"/>
    <cellStyle name="Normal 5 3 3 4 3 4" xfId="9865" xr:uid="{D909E311-09D5-4501-B547-F5AFDF0542E4}"/>
    <cellStyle name="Normal 5 3 3 4 4" xfId="1753" xr:uid="{00000000-0005-0000-0000-0000F7190000}"/>
    <cellStyle name="Normal 5 3 3 4 4 2" xfId="3983" xr:uid="{00000000-0005-0000-0000-0000F8190000}"/>
    <cellStyle name="Normal 5 3 3 4 4 2 2" xfId="8206" xr:uid="{00000000-0005-0000-0000-0000F9190000}"/>
    <cellStyle name="Normal 5 3 3 4 4 2 2 2" xfId="16641" xr:uid="{D67CC287-F138-4A77-A7C0-DD8E80B87003}"/>
    <cellStyle name="Normal 5 3 3 4 4 2 3" xfId="12423" xr:uid="{8825BF80-87F7-4F54-9026-5E446E356075}"/>
    <cellStyle name="Normal 5 3 3 4 4 3" xfId="6061" xr:uid="{00000000-0005-0000-0000-0000FA190000}"/>
    <cellStyle name="Normal 5 3 3 4 4 3 2" xfId="14496" xr:uid="{DD15CEF7-DE39-4AFA-8094-BB67D0920821}"/>
    <cellStyle name="Normal 5 3 3 4 4 4" xfId="10278" xr:uid="{EB8F401F-82F3-44B4-A8C4-F6F148B3992F}"/>
    <cellStyle name="Normal 5 3 3 4 5" xfId="2167" xr:uid="{00000000-0005-0000-0000-0000FB190000}"/>
    <cellStyle name="Normal 5 3 3 4 5 2" xfId="4396" xr:uid="{00000000-0005-0000-0000-0000FC190000}"/>
    <cellStyle name="Normal 5 3 3 4 5 2 2" xfId="8619" xr:uid="{00000000-0005-0000-0000-0000FD190000}"/>
    <cellStyle name="Normal 5 3 3 4 5 2 2 2" xfId="17054" xr:uid="{9EE94F1C-8C26-4A10-9580-0D35603E741B}"/>
    <cellStyle name="Normal 5 3 3 4 5 2 3" xfId="12836" xr:uid="{365908FE-AA1F-4BA4-BA97-5EDB91F1FAED}"/>
    <cellStyle name="Normal 5 3 3 4 5 3" xfId="6474" xr:uid="{00000000-0005-0000-0000-0000FE190000}"/>
    <cellStyle name="Normal 5 3 3 4 5 3 2" xfId="14909" xr:uid="{1382D509-7584-4A3E-8042-D8DAA8869526}"/>
    <cellStyle name="Normal 5 3 3 4 5 4" xfId="10691" xr:uid="{2DCBE53F-E0B7-4EBC-AC82-539BB13395CC}"/>
    <cellStyle name="Normal 5 3 3 4 6" xfId="2603" xr:uid="{00000000-0005-0000-0000-0000FF190000}"/>
    <cellStyle name="Normal 5 3 3 4 6 2" xfId="6887" xr:uid="{00000000-0005-0000-0000-0000001A0000}"/>
    <cellStyle name="Normal 5 3 3 4 6 2 2" xfId="15322" xr:uid="{B46C342E-95CC-454B-A1F4-ACB05F41C7B0}"/>
    <cellStyle name="Normal 5 3 3 4 6 3" xfId="11104" xr:uid="{1109C195-7C92-4BB5-B9F6-A53905BDACB5}"/>
    <cellStyle name="Normal 5 3 3 4 7" xfId="4822" xr:uid="{00000000-0005-0000-0000-0000011A0000}"/>
    <cellStyle name="Normal 5 3 3 4 7 2" xfId="13257" xr:uid="{3791F39D-A0CA-472B-ADD3-3025EA72E755}"/>
    <cellStyle name="Normal 5 3 3 4 8" xfId="9039" xr:uid="{F7F66970-7A25-437D-AC69-E5A8678303CB}"/>
    <cellStyle name="Normal 5 3 3 5" xfId="916" xr:uid="{00000000-0005-0000-0000-0000021A0000}"/>
    <cellStyle name="Normal 5 3 3 5 2" xfId="3150" xr:uid="{00000000-0005-0000-0000-0000031A0000}"/>
    <cellStyle name="Normal 5 3 3 5 2 2" xfId="7373" xr:uid="{00000000-0005-0000-0000-0000041A0000}"/>
    <cellStyle name="Normal 5 3 3 5 2 2 2" xfId="15808" xr:uid="{FA744D91-0E47-4554-A95B-EA28E75C98CD}"/>
    <cellStyle name="Normal 5 3 3 5 2 3" xfId="11590" xr:uid="{59B063F2-D7CB-4180-8E99-61A7C711C463}"/>
    <cellStyle name="Normal 5 3 3 5 3" xfId="5228" xr:uid="{00000000-0005-0000-0000-0000051A0000}"/>
    <cellStyle name="Normal 5 3 3 5 3 2" xfId="13663" xr:uid="{58D72DC9-2F03-42C4-83A7-233B6863B1B0}"/>
    <cellStyle name="Normal 5 3 3 5 4" xfId="9445" xr:uid="{0C4DF9C5-C1D2-42B0-B950-87201FFBFF19}"/>
    <cellStyle name="Normal 5 3 3 6" xfId="1333" xr:uid="{00000000-0005-0000-0000-0000061A0000}"/>
    <cellStyle name="Normal 5 3 3 6 2" xfId="3563" xr:uid="{00000000-0005-0000-0000-0000071A0000}"/>
    <cellStyle name="Normal 5 3 3 6 2 2" xfId="7786" xr:uid="{00000000-0005-0000-0000-0000081A0000}"/>
    <cellStyle name="Normal 5 3 3 6 2 2 2" xfId="16221" xr:uid="{2AD14EAF-A7F8-4802-99FC-F3605FC13D33}"/>
    <cellStyle name="Normal 5 3 3 6 2 3" xfId="12003" xr:uid="{C9F7C40E-D794-4EDA-B2F0-483618D79BEB}"/>
    <cellStyle name="Normal 5 3 3 6 3" xfId="5641" xr:uid="{00000000-0005-0000-0000-0000091A0000}"/>
    <cellStyle name="Normal 5 3 3 6 3 2" xfId="14076" xr:uid="{7A611722-1314-4A84-9B50-D94517B4B40E}"/>
    <cellStyle name="Normal 5 3 3 6 4" xfId="9858" xr:uid="{5BD6C785-6421-4D82-AD16-6B2DCE5EA38F}"/>
    <cellStyle name="Normal 5 3 3 7" xfId="1746" xr:uid="{00000000-0005-0000-0000-00000A1A0000}"/>
    <cellStyle name="Normal 5 3 3 7 2" xfId="3976" xr:uid="{00000000-0005-0000-0000-00000B1A0000}"/>
    <cellStyle name="Normal 5 3 3 7 2 2" xfId="8199" xr:uid="{00000000-0005-0000-0000-00000C1A0000}"/>
    <cellStyle name="Normal 5 3 3 7 2 2 2" xfId="16634" xr:uid="{93B21829-C43B-4622-B4B5-66415E785C0D}"/>
    <cellStyle name="Normal 5 3 3 7 2 3" xfId="12416" xr:uid="{84455A54-3C2A-449F-99C7-6A3603EF12F7}"/>
    <cellStyle name="Normal 5 3 3 7 3" xfId="6054" xr:uid="{00000000-0005-0000-0000-00000D1A0000}"/>
    <cellStyle name="Normal 5 3 3 7 3 2" xfId="14489" xr:uid="{A401E229-21FB-4840-AA79-97AE70084CD9}"/>
    <cellStyle name="Normal 5 3 3 7 4" xfId="10271" xr:uid="{B49000A5-8293-4180-A7DE-366890A82754}"/>
    <cellStyle name="Normal 5 3 3 8" xfId="2160" xr:uid="{00000000-0005-0000-0000-00000E1A0000}"/>
    <cellStyle name="Normal 5 3 3 8 2" xfId="4389" xr:uid="{00000000-0005-0000-0000-00000F1A0000}"/>
    <cellStyle name="Normal 5 3 3 8 2 2" xfId="8612" xr:uid="{00000000-0005-0000-0000-0000101A0000}"/>
    <cellStyle name="Normal 5 3 3 8 2 2 2" xfId="17047" xr:uid="{B77235E5-C4A4-4476-886F-9A96C14DEB36}"/>
    <cellStyle name="Normal 5 3 3 8 2 3" xfId="12829" xr:uid="{8CC57492-CE06-4FA2-8E5C-0A2F4EE783D3}"/>
    <cellStyle name="Normal 5 3 3 8 3" xfId="6467" xr:uid="{00000000-0005-0000-0000-0000111A0000}"/>
    <cellStyle name="Normal 5 3 3 8 3 2" xfId="14902" xr:uid="{136029D3-C1FB-4925-91A0-D0207DA2E066}"/>
    <cellStyle name="Normal 5 3 3 8 4" xfId="10684" xr:uid="{7ED69D40-1016-4A22-8455-DE40A70E0EDC}"/>
    <cellStyle name="Normal 5 3 3 9" xfId="2596" xr:uid="{00000000-0005-0000-0000-0000121A0000}"/>
    <cellStyle name="Normal 5 3 3 9 2" xfId="6880" xr:uid="{00000000-0005-0000-0000-0000131A0000}"/>
    <cellStyle name="Normal 5 3 3 9 2 2" xfId="15315" xr:uid="{6B2810F3-7C5B-447F-8953-FDF23F650B33}"/>
    <cellStyle name="Normal 5 3 3 9 3" xfId="11097" xr:uid="{A0EA6EE6-7E85-4ABB-9C97-6842A7A358D2}"/>
    <cellStyle name="Normal 5 3 4" xfId="449" xr:uid="{00000000-0005-0000-0000-0000141A0000}"/>
    <cellStyle name="Normal 5 3 4 10" xfId="9040" xr:uid="{6D77ED3A-2C81-4104-B305-27CAED56545F}"/>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2 2 2" xfId="15818" xr:uid="{C15746ED-93B3-4609-B33E-1CCC9CF8AE63}"/>
    <cellStyle name="Normal 5 3 4 2 2 2 2 3" xfId="11600" xr:uid="{AD2E7798-AB34-48B0-BD58-52BAD2067542}"/>
    <cellStyle name="Normal 5 3 4 2 2 2 3" xfId="5238" xr:uid="{00000000-0005-0000-0000-00001A1A0000}"/>
    <cellStyle name="Normal 5 3 4 2 2 2 3 2" xfId="13673" xr:uid="{837E9C86-96DE-424B-95FB-36D78F070C14}"/>
    <cellStyle name="Normal 5 3 4 2 2 2 4" xfId="9455" xr:uid="{5D4EF5BA-21FB-4B2A-9ACD-DA0A478EC31E}"/>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2 2 2" xfId="16231" xr:uid="{F1D058E2-831D-4DE6-8DB0-71D7C60FDB0E}"/>
    <cellStyle name="Normal 5 3 4 2 2 3 2 3" xfId="12013" xr:uid="{228AB61B-81EC-4FDA-9594-96B32D5B31E5}"/>
    <cellStyle name="Normal 5 3 4 2 2 3 3" xfId="5651" xr:uid="{00000000-0005-0000-0000-00001E1A0000}"/>
    <cellStyle name="Normal 5 3 4 2 2 3 3 2" xfId="14086" xr:uid="{DA0DAACF-EE1E-467B-AB96-1694E1CE73BE}"/>
    <cellStyle name="Normal 5 3 4 2 2 3 4" xfId="9868" xr:uid="{940BF1FA-5045-4B81-966E-B5B5DE1EF494}"/>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2 2 2" xfId="16644" xr:uid="{55423F17-AA70-4AC9-AF8C-755459E24F64}"/>
    <cellStyle name="Normal 5 3 4 2 2 4 2 3" xfId="12426" xr:uid="{E4BC65B1-B3FF-4458-917A-9F2E816DEE2A}"/>
    <cellStyle name="Normal 5 3 4 2 2 4 3" xfId="6064" xr:uid="{00000000-0005-0000-0000-0000221A0000}"/>
    <cellStyle name="Normal 5 3 4 2 2 4 3 2" xfId="14499" xr:uid="{799CC9D2-720B-4CF4-A144-F5587970CE98}"/>
    <cellStyle name="Normal 5 3 4 2 2 4 4" xfId="10281" xr:uid="{0A28F1C0-4DD3-4491-BDC5-C24A6A141FD8}"/>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2 2 2" xfId="17057" xr:uid="{D064E414-7346-4BF5-8115-00C3FFE81C79}"/>
    <cellStyle name="Normal 5 3 4 2 2 5 2 3" xfId="12839" xr:uid="{A80D53F4-D41F-4EEB-AF40-4F8D280088CE}"/>
    <cellStyle name="Normal 5 3 4 2 2 5 3" xfId="6477" xr:uid="{00000000-0005-0000-0000-0000261A0000}"/>
    <cellStyle name="Normal 5 3 4 2 2 5 3 2" xfId="14912" xr:uid="{F62459DB-FB7E-4E4A-AAF0-755A9955E1A1}"/>
    <cellStyle name="Normal 5 3 4 2 2 5 4" xfId="10694" xr:uid="{65BC4CB3-49D5-4CAD-927A-E108F7611536}"/>
    <cellStyle name="Normal 5 3 4 2 2 6" xfId="2606" xr:uid="{00000000-0005-0000-0000-0000271A0000}"/>
    <cellStyle name="Normal 5 3 4 2 2 6 2" xfId="6890" xr:uid="{00000000-0005-0000-0000-0000281A0000}"/>
    <cellStyle name="Normal 5 3 4 2 2 6 2 2" xfId="15325" xr:uid="{9BA6141C-9DEA-44A1-A918-EF2E5C1B3125}"/>
    <cellStyle name="Normal 5 3 4 2 2 6 3" xfId="11107" xr:uid="{F0CDE844-598D-4B55-9315-157C77560AA8}"/>
    <cellStyle name="Normal 5 3 4 2 2 7" xfId="4825" xr:uid="{00000000-0005-0000-0000-0000291A0000}"/>
    <cellStyle name="Normal 5 3 4 2 2 7 2" xfId="13260" xr:uid="{A522F908-A24B-40B5-8BD4-AB68EA504F85}"/>
    <cellStyle name="Normal 5 3 4 2 2 8" xfId="9042" xr:uid="{5040FA19-8346-4123-9F75-BE05A0E24AC4}"/>
    <cellStyle name="Normal 5 3 4 2 3" xfId="925" xr:uid="{00000000-0005-0000-0000-00002A1A0000}"/>
    <cellStyle name="Normal 5 3 4 2 3 2" xfId="3159" xr:uid="{00000000-0005-0000-0000-00002B1A0000}"/>
    <cellStyle name="Normal 5 3 4 2 3 2 2" xfId="7382" xr:uid="{00000000-0005-0000-0000-00002C1A0000}"/>
    <cellStyle name="Normal 5 3 4 2 3 2 2 2" xfId="15817" xr:uid="{640A0563-E12A-4AD6-896C-47F4645765BA}"/>
    <cellStyle name="Normal 5 3 4 2 3 2 3" xfId="11599" xr:uid="{6F0068E2-D19D-49CD-A3DB-9742E3FF6354}"/>
    <cellStyle name="Normal 5 3 4 2 3 3" xfId="5237" xr:uid="{00000000-0005-0000-0000-00002D1A0000}"/>
    <cellStyle name="Normal 5 3 4 2 3 3 2" xfId="13672" xr:uid="{AE209F1D-ADB0-4222-9B4B-9AA7BB29435D}"/>
    <cellStyle name="Normal 5 3 4 2 3 4" xfId="9454" xr:uid="{00825053-3E4A-48A5-875D-76E1D3CED744}"/>
    <cellStyle name="Normal 5 3 4 2 4" xfId="1342" xr:uid="{00000000-0005-0000-0000-00002E1A0000}"/>
    <cellStyle name="Normal 5 3 4 2 4 2" xfId="3572" xr:uid="{00000000-0005-0000-0000-00002F1A0000}"/>
    <cellStyle name="Normal 5 3 4 2 4 2 2" xfId="7795" xr:uid="{00000000-0005-0000-0000-0000301A0000}"/>
    <cellStyle name="Normal 5 3 4 2 4 2 2 2" xfId="16230" xr:uid="{A02F6B5B-9EE2-4DCA-97FC-ECB7795C990E}"/>
    <cellStyle name="Normal 5 3 4 2 4 2 3" xfId="12012" xr:uid="{2092C07D-BEE7-4C48-B6B2-B11A35C3F138}"/>
    <cellStyle name="Normal 5 3 4 2 4 3" xfId="5650" xr:uid="{00000000-0005-0000-0000-0000311A0000}"/>
    <cellStyle name="Normal 5 3 4 2 4 3 2" xfId="14085" xr:uid="{2E192883-16BC-4E70-BA72-366540B79300}"/>
    <cellStyle name="Normal 5 3 4 2 4 4" xfId="9867" xr:uid="{7FFBCB8B-73BD-41E9-A46F-F19582B95BAD}"/>
    <cellStyle name="Normal 5 3 4 2 5" xfId="1755" xr:uid="{00000000-0005-0000-0000-0000321A0000}"/>
    <cellStyle name="Normal 5 3 4 2 5 2" xfId="3985" xr:uid="{00000000-0005-0000-0000-0000331A0000}"/>
    <cellStyle name="Normal 5 3 4 2 5 2 2" xfId="8208" xr:uid="{00000000-0005-0000-0000-0000341A0000}"/>
    <cellStyle name="Normal 5 3 4 2 5 2 2 2" xfId="16643" xr:uid="{BA03B819-B3AA-46A9-A650-659E722BEAF1}"/>
    <cellStyle name="Normal 5 3 4 2 5 2 3" xfId="12425" xr:uid="{9FC7D612-9EC2-4A01-A5C6-EEA7DF77FC82}"/>
    <cellStyle name="Normal 5 3 4 2 5 3" xfId="6063" xr:uid="{00000000-0005-0000-0000-0000351A0000}"/>
    <cellStyle name="Normal 5 3 4 2 5 3 2" xfId="14498" xr:uid="{C148AB6F-C859-4CD7-91A3-2FF7F6D20C3E}"/>
    <cellStyle name="Normal 5 3 4 2 5 4" xfId="10280" xr:uid="{12AA374F-185E-49CB-8FC4-F6D0DC51ADE5}"/>
    <cellStyle name="Normal 5 3 4 2 6" xfId="2169" xr:uid="{00000000-0005-0000-0000-0000361A0000}"/>
    <cellStyle name="Normal 5 3 4 2 6 2" xfId="4398" xr:uid="{00000000-0005-0000-0000-0000371A0000}"/>
    <cellStyle name="Normal 5 3 4 2 6 2 2" xfId="8621" xr:uid="{00000000-0005-0000-0000-0000381A0000}"/>
    <cellStyle name="Normal 5 3 4 2 6 2 2 2" xfId="17056" xr:uid="{A9660E3D-7F5C-4418-9E75-CD2C093C58B0}"/>
    <cellStyle name="Normal 5 3 4 2 6 2 3" xfId="12838" xr:uid="{481803BF-EAD3-4538-8546-3DFDFDA0BF26}"/>
    <cellStyle name="Normal 5 3 4 2 6 3" xfId="6476" xr:uid="{00000000-0005-0000-0000-0000391A0000}"/>
    <cellStyle name="Normal 5 3 4 2 6 3 2" xfId="14911" xr:uid="{E4B26DAA-6FF4-498E-9565-7385B12073B2}"/>
    <cellStyle name="Normal 5 3 4 2 6 4" xfId="10693" xr:uid="{169E7C42-E897-40E4-93DA-F7B97C9FFFA0}"/>
    <cellStyle name="Normal 5 3 4 2 7" xfId="2605" xr:uid="{00000000-0005-0000-0000-00003A1A0000}"/>
    <cellStyle name="Normal 5 3 4 2 7 2" xfId="6889" xr:uid="{00000000-0005-0000-0000-00003B1A0000}"/>
    <cellStyle name="Normal 5 3 4 2 7 2 2" xfId="15324" xr:uid="{091C9E2D-2025-4B68-A808-1B82535C8D7F}"/>
    <cellStyle name="Normal 5 3 4 2 7 3" xfId="11106" xr:uid="{BD44F1D7-9565-4656-AE00-52D893964434}"/>
    <cellStyle name="Normal 5 3 4 2 8" xfId="4824" xr:uid="{00000000-0005-0000-0000-00003C1A0000}"/>
    <cellStyle name="Normal 5 3 4 2 8 2" xfId="13259" xr:uid="{5F1F93D7-D495-4DC5-966C-D79344B39C93}"/>
    <cellStyle name="Normal 5 3 4 2 9" xfId="9041" xr:uid="{C8B99185-AD0B-4BAC-8766-3790730A12E8}"/>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2 2 2" xfId="15819" xr:uid="{D9BFDEB2-B116-4DF7-AF91-FFCFC22F3964}"/>
    <cellStyle name="Normal 5 3 4 3 2 2 3" xfId="11601" xr:uid="{1765BFA4-A1E4-4B01-990C-C0C7FF593CC8}"/>
    <cellStyle name="Normal 5 3 4 3 2 3" xfId="5239" xr:uid="{00000000-0005-0000-0000-0000411A0000}"/>
    <cellStyle name="Normal 5 3 4 3 2 3 2" xfId="13674" xr:uid="{5DA0DB44-EC20-4430-92D7-6D4E838DD227}"/>
    <cellStyle name="Normal 5 3 4 3 2 4" xfId="9456" xr:uid="{D5B55D1D-19D7-446E-A17F-502EB1A4BB6F}"/>
    <cellStyle name="Normal 5 3 4 3 3" xfId="1344" xr:uid="{00000000-0005-0000-0000-0000421A0000}"/>
    <cellStyle name="Normal 5 3 4 3 3 2" xfId="3574" xr:uid="{00000000-0005-0000-0000-0000431A0000}"/>
    <cellStyle name="Normal 5 3 4 3 3 2 2" xfId="7797" xr:uid="{00000000-0005-0000-0000-0000441A0000}"/>
    <cellStyle name="Normal 5 3 4 3 3 2 2 2" xfId="16232" xr:uid="{5D43F99E-EA69-4656-B7B4-09528A8DF428}"/>
    <cellStyle name="Normal 5 3 4 3 3 2 3" xfId="12014" xr:uid="{8206FBC0-9B61-4460-8F4B-795F69DE8CF2}"/>
    <cellStyle name="Normal 5 3 4 3 3 3" xfId="5652" xr:uid="{00000000-0005-0000-0000-0000451A0000}"/>
    <cellStyle name="Normal 5 3 4 3 3 3 2" xfId="14087" xr:uid="{E3350A7D-20A0-43C8-9E08-89805FAE3A55}"/>
    <cellStyle name="Normal 5 3 4 3 3 4" xfId="9869" xr:uid="{F0728AD5-EBC7-4724-8151-1F0D4E838140}"/>
    <cellStyle name="Normal 5 3 4 3 4" xfId="1757" xr:uid="{00000000-0005-0000-0000-0000461A0000}"/>
    <cellStyle name="Normal 5 3 4 3 4 2" xfId="3987" xr:uid="{00000000-0005-0000-0000-0000471A0000}"/>
    <cellStyle name="Normal 5 3 4 3 4 2 2" xfId="8210" xr:uid="{00000000-0005-0000-0000-0000481A0000}"/>
    <cellStyle name="Normal 5 3 4 3 4 2 2 2" xfId="16645" xr:uid="{6925DAF8-17AE-4965-AC74-DA623B361853}"/>
    <cellStyle name="Normal 5 3 4 3 4 2 3" xfId="12427" xr:uid="{D6487996-961F-4C6B-B6F7-3D2A75463941}"/>
    <cellStyle name="Normal 5 3 4 3 4 3" xfId="6065" xr:uid="{00000000-0005-0000-0000-0000491A0000}"/>
    <cellStyle name="Normal 5 3 4 3 4 3 2" xfId="14500" xr:uid="{0CA39055-8582-46CF-A640-E0AC125AE367}"/>
    <cellStyle name="Normal 5 3 4 3 4 4" xfId="10282" xr:uid="{470F89DD-67DC-4487-BFEE-EABB422C74B2}"/>
    <cellStyle name="Normal 5 3 4 3 5" xfId="2171" xr:uid="{00000000-0005-0000-0000-00004A1A0000}"/>
    <cellStyle name="Normal 5 3 4 3 5 2" xfId="4400" xr:uid="{00000000-0005-0000-0000-00004B1A0000}"/>
    <cellStyle name="Normal 5 3 4 3 5 2 2" xfId="8623" xr:uid="{00000000-0005-0000-0000-00004C1A0000}"/>
    <cellStyle name="Normal 5 3 4 3 5 2 2 2" xfId="17058" xr:uid="{8841B5EA-1E60-4B28-922F-59D88E5C9612}"/>
    <cellStyle name="Normal 5 3 4 3 5 2 3" xfId="12840" xr:uid="{AC96CBDE-86CC-4C57-8A45-3B0985CABED4}"/>
    <cellStyle name="Normal 5 3 4 3 5 3" xfId="6478" xr:uid="{00000000-0005-0000-0000-00004D1A0000}"/>
    <cellStyle name="Normal 5 3 4 3 5 3 2" xfId="14913" xr:uid="{AA07F737-E89F-4A05-87CA-01A53287DE61}"/>
    <cellStyle name="Normal 5 3 4 3 5 4" xfId="10695" xr:uid="{CD68677C-1375-43A7-AA15-966114713033}"/>
    <cellStyle name="Normal 5 3 4 3 6" xfId="2607" xr:uid="{00000000-0005-0000-0000-00004E1A0000}"/>
    <cellStyle name="Normal 5 3 4 3 6 2" xfId="6891" xr:uid="{00000000-0005-0000-0000-00004F1A0000}"/>
    <cellStyle name="Normal 5 3 4 3 6 2 2" xfId="15326" xr:uid="{A90753B8-D3F1-4E8D-9C2C-2B445E3B43C0}"/>
    <cellStyle name="Normal 5 3 4 3 6 3" xfId="11108" xr:uid="{49F84B89-154B-47C6-A6EC-D24385FB5C28}"/>
    <cellStyle name="Normal 5 3 4 3 7" xfId="4826" xr:uid="{00000000-0005-0000-0000-0000501A0000}"/>
    <cellStyle name="Normal 5 3 4 3 7 2" xfId="13261" xr:uid="{FFBE7FB3-2440-4BB1-A319-94E1C46592B7}"/>
    <cellStyle name="Normal 5 3 4 3 8" xfId="9043" xr:uid="{5AF264E4-9C0A-4EF0-A597-1EDB2EE03E1D}"/>
    <cellStyle name="Normal 5 3 4 4" xfId="924" xr:uid="{00000000-0005-0000-0000-0000511A0000}"/>
    <cellStyle name="Normal 5 3 4 4 2" xfId="3158" xr:uid="{00000000-0005-0000-0000-0000521A0000}"/>
    <cellStyle name="Normal 5 3 4 4 2 2" xfId="7381" xr:uid="{00000000-0005-0000-0000-0000531A0000}"/>
    <cellStyle name="Normal 5 3 4 4 2 2 2" xfId="15816" xr:uid="{77BBB3D6-FCC7-46E8-A70C-B55CC39312D6}"/>
    <cellStyle name="Normal 5 3 4 4 2 3" xfId="11598" xr:uid="{00AD61AD-6395-4649-8953-946C6BCEEFCE}"/>
    <cellStyle name="Normal 5 3 4 4 3" xfId="5236" xr:uid="{00000000-0005-0000-0000-0000541A0000}"/>
    <cellStyle name="Normal 5 3 4 4 3 2" xfId="13671" xr:uid="{9E6C7124-8B3D-4022-A67A-850E8560829F}"/>
    <cellStyle name="Normal 5 3 4 4 4" xfId="9453" xr:uid="{0166C450-9EF5-4703-8E92-916AA0FBFE9C}"/>
    <cellStyle name="Normal 5 3 4 5" xfId="1341" xr:uid="{00000000-0005-0000-0000-0000551A0000}"/>
    <cellStyle name="Normal 5 3 4 5 2" xfId="3571" xr:uid="{00000000-0005-0000-0000-0000561A0000}"/>
    <cellStyle name="Normal 5 3 4 5 2 2" xfId="7794" xr:uid="{00000000-0005-0000-0000-0000571A0000}"/>
    <cellStyle name="Normal 5 3 4 5 2 2 2" xfId="16229" xr:uid="{7097499D-11CA-40D4-B365-D1D17882EEEB}"/>
    <cellStyle name="Normal 5 3 4 5 2 3" xfId="12011" xr:uid="{4D7A1DCD-589D-47E9-BC41-04B7132BEB5C}"/>
    <cellStyle name="Normal 5 3 4 5 3" xfId="5649" xr:uid="{00000000-0005-0000-0000-0000581A0000}"/>
    <cellStyle name="Normal 5 3 4 5 3 2" xfId="14084" xr:uid="{40F87BEC-8ADE-46C3-9D45-BF3208B76E84}"/>
    <cellStyle name="Normal 5 3 4 5 4" xfId="9866" xr:uid="{817251CC-3D00-4F6E-836F-385F1A7699DB}"/>
    <cellStyle name="Normal 5 3 4 6" xfId="1754" xr:uid="{00000000-0005-0000-0000-0000591A0000}"/>
    <cellStyle name="Normal 5 3 4 6 2" xfId="3984" xr:uid="{00000000-0005-0000-0000-00005A1A0000}"/>
    <cellStyle name="Normal 5 3 4 6 2 2" xfId="8207" xr:uid="{00000000-0005-0000-0000-00005B1A0000}"/>
    <cellStyle name="Normal 5 3 4 6 2 2 2" xfId="16642" xr:uid="{D2E16444-DDE0-46FF-ABE0-D672B80F38BF}"/>
    <cellStyle name="Normal 5 3 4 6 2 3" xfId="12424" xr:uid="{42924DD0-1892-48BA-A863-40A015270196}"/>
    <cellStyle name="Normal 5 3 4 6 3" xfId="6062" xr:uid="{00000000-0005-0000-0000-00005C1A0000}"/>
    <cellStyle name="Normal 5 3 4 6 3 2" xfId="14497" xr:uid="{3C44BADB-B057-44CB-89B5-68EFD6E84F80}"/>
    <cellStyle name="Normal 5 3 4 6 4" xfId="10279" xr:uid="{99E83EE7-1EF3-4C61-8742-4300778C1F41}"/>
    <cellStyle name="Normal 5 3 4 7" xfId="2168" xr:uid="{00000000-0005-0000-0000-00005D1A0000}"/>
    <cellStyle name="Normal 5 3 4 7 2" xfId="4397" xr:uid="{00000000-0005-0000-0000-00005E1A0000}"/>
    <cellStyle name="Normal 5 3 4 7 2 2" xfId="8620" xr:uid="{00000000-0005-0000-0000-00005F1A0000}"/>
    <cellStyle name="Normal 5 3 4 7 2 2 2" xfId="17055" xr:uid="{CE4D39E2-5204-490D-BE08-761452F10D7E}"/>
    <cellStyle name="Normal 5 3 4 7 2 3" xfId="12837" xr:uid="{975993C1-1E72-4C1F-AAFA-FB07F3E8C690}"/>
    <cellStyle name="Normal 5 3 4 7 3" xfId="6475" xr:uid="{00000000-0005-0000-0000-0000601A0000}"/>
    <cellStyle name="Normal 5 3 4 7 3 2" xfId="14910" xr:uid="{4E656D0C-B7F9-476B-A088-80E4611B9B8B}"/>
    <cellStyle name="Normal 5 3 4 7 4" xfId="10692" xr:uid="{741D8150-FBA9-4253-B5EA-D14F076F1082}"/>
    <cellStyle name="Normal 5 3 4 8" xfId="2604" xr:uid="{00000000-0005-0000-0000-0000611A0000}"/>
    <cellStyle name="Normal 5 3 4 8 2" xfId="6888" xr:uid="{00000000-0005-0000-0000-0000621A0000}"/>
    <cellStyle name="Normal 5 3 4 8 2 2" xfId="15323" xr:uid="{E53CE63F-CDD6-4F66-904A-DFCBEC64CBA2}"/>
    <cellStyle name="Normal 5 3 4 8 3" xfId="11105" xr:uid="{F4AA92F6-6074-4E87-B882-029042A6287C}"/>
    <cellStyle name="Normal 5 3 4 9" xfId="4823" xr:uid="{00000000-0005-0000-0000-0000631A0000}"/>
    <cellStyle name="Normal 5 3 4 9 2" xfId="13258" xr:uid="{46295B50-C43A-47C9-8559-E433E99B7DA5}"/>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2 2 2" xfId="15821" xr:uid="{7734BE30-E0A8-4EA8-8F62-7AE1A1AFD466}"/>
    <cellStyle name="Normal 5 3 5 2 2 2 3" xfId="11603" xr:uid="{8B9ED275-671A-4C19-94E2-3D42C4A7A2D0}"/>
    <cellStyle name="Normal 5 3 5 2 2 3" xfId="5241" xr:uid="{00000000-0005-0000-0000-0000691A0000}"/>
    <cellStyle name="Normal 5 3 5 2 2 3 2" xfId="13676" xr:uid="{3F01AA8A-78E9-4ECE-99EB-18B48A542AEE}"/>
    <cellStyle name="Normal 5 3 5 2 2 4" xfId="9458" xr:uid="{03E8B580-798D-4D05-B4CE-17C07EE44BE6}"/>
    <cellStyle name="Normal 5 3 5 2 3" xfId="1346" xr:uid="{00000000-0005-0000-0000-00006A1A0000}"/>
    <cellStyle name="Normal 5 3 5 2 3 2" xfId="3576" xr:uid="{00000000-0005-0000-0000-00006B1A0000}"/>
    <cellStyle name="Normal 5 3 5 2 3 2 2" xfId="7799" xr:uid="{00000000-0005-0000-0000-00006C1A0000}"/>
    <cellStyle name="Normal 5 3 5 2 3 2 2 2" xfId="16234" xr:uid="{44F9C3E4-EC88-4813-85D7-CA23D01B9441}"/>
    <cellStyle name="Normal 5 3 5 2 3 2 3" xfId="12016" xr:uid="{65811772-56C7-4A9B-821E-82F7C4809E2A}"/>
    <cellStyle name="Normal 5 3 5 2 3 3" xfId="5654" xr:uid="{00000000-0005-0000-0000-00006D1A0000}"/>
    <cellStyle name="Normal 5 3 5 2 3 3 2" xfId="14089" xr:uid="{AC34A9E8-42D8-45AD-A75C-AC591DB492EC}"/>
    <cellStyle name="Normal 5 3 5 2 3 4" xfId="9871" xr:uid="{922294B9-1F54-41F4-AA81-63439C37BF87}"/>
    <cellStyle name="Normal 5 3 5 2 4" xfId="1759" xr:uid="{00000000-0005-0000-0000-00006E1A0000}"/>
    <cellStyle name="Normal 5 3 5 2 4 2" xfId="3989" xr:uid="{00000000-0005-0000-0000-00006F1A0000}"/>
    <cellStyle name="Normal 5 3 5 2 4 2 2" xfId="8212" xr:uid="{00000000-0005-0000-0000-0000701A0000}"/>
    <cellStyle name="Normal 5 3 5 2 4 2 2 2" xfId="16647" xr:uid="{1CA81D6E-26BF-4D8C-96F7-A3DC785769CD}"/>
    <cellStyle name="Normal 5 3 5 2 4 2 3" xfId="12429" xr:uid="{A0D9A67A-B576-483D-AFA3-3B4CB36F3282}"/>
    <cellStyle name="Normal 5 3 5 2 4 3" xfId="6067" xr:uid="{00000000-0005-0000-0000-0000711A0000}"/>
    <cellStyle name="Normal 5 3 5 2 4 3 2" xfId="14502" xr:uid="{33D33F8D-EC85-470F-B124-2594B7B11AA5}"/>
    <cellStyle name="Normal 5 3 5 2 4 4" xfId="10284" xr:uid="{D784C09E-EE17-45DF-B934-559A15317BE1}"/>
    <cellStyle name="Normal 5 3 5 2 5" xfId="2173" xr:uid="{00000000-0005-0000-0000-0000721A0000}"/>
    <cellStyle name="Normal 5 3 5 2 5 2" xfId="4402" xr:uid="{00000000-0005-0000-0000-0000731A0000}"/>
    <cellStyle name="Normal 5 3 5 2 5 2 2" xfId="8625" xr:uid="{00000000-0005-0000-0000-0000741A0000}"/>
    <cellStyle name="Normal 5 3 5 2 5 2 2 2" xfId="17060" xr:uid="{0A21A5EA-5FA3-46E2-9A8E-88A6BB618D02}"/>
    <cellStyle name="Normal 5 3 5 2 5 2 3" xfId="12842" xr:uid="{0394FCCC-62D8-43EF-9CD2-5B38DC7E018F}"/>
    <cellStyle name="Normal 5 3 5 2 5 3" xfId="6480" xr:uid="{00000000-0005-0000-0000-0000751A0000}"/>
    <cellStyle name="Normal 5 3 5 2 5 3 2" xfId="14915" xr:uid="{074F59DD-8F39-4842-8F5E-1481D7D7D5EE}"/>
    <cellStyle name="Normal 5 3 5 2 5 4" xfId="10697" xr:uid="{5F0F15DB-BF05-46E6-AB72-646007D89A24}"/>
    <cellStyle name="Normal 5 3 5 2 6" xfId="2609" xr:uid="{00000000-0005-0000-0000-0000761A0000}"/>
    <cellStyle name="Normal 5 3 5 2 6 2" xfId="6893" xr:uid="{00000000-0005-0000-0000-0000771A0000}"/>
    <cellStyle name="Normal 5 3 5 2 6 2 2" xfId="15328" xr:uid="{1045884B-51E2-4D59-8F13-DE3222DE3FAB}"/>
    <cellStyle name="Normal 5 3 5 2 6 3" xfId="11110" xr:uid="{9A7BDB8D-6124-4DD2-A84D-DB1FB8FA689E}"/>
    <cellStyle name="Normal 5 3 5 2 7" xfId="4828" xr:uid="{00000000-0005-0000-0000-0000781A0000}"/>
    <cellStyle name="Normal 5 3 5 2 7 2" xfId="13263" xr:uid="{F8395BAE-0694-4BC2-BA95-1C94777CD105}"/>
    <cellStyle name="Normal 5 3 5 2 8" xfId="9045" xr:uid="{93D520D9-A57E-4C8C-AEDD-964EFAF8017A}"/>
    <cellStyle name="Normal 5 3 5 3" xfId="928" xr:uid="{00000000-0005-0000-0000-0000791A0000}"/>
    <cellStyle name="Normal 5 3 5 3 2" xfId="3162" xr:uid="{00000000-0005-0000-0000-00007A1A0000}"/>
    <cellStyle name="Normal 5 3 5 3 2 2" xfId="7385" xr:uid="{00000000-0005-0000-0000-00007B1A0000}"/>
    <cellStyle name="Normal 5 3 5 3 2 2 2" xfId="15820" xr:uid="{38D94BDA-E573-49F5-8BA0-DF8FFB56274F}"/>
    <cellStyle name="Normal 5 3 5 3 2 3" xfId="11602" xr:uid="{EC337D05-F91C-4959-9267-2B0861F4D5B4}"/>
    <cellStyle name="Normal 5 3 5 3 3" xfId="5240" xr:uid="{00000000-0005-0000-0000-00007C1A0000}"/>
    <cellStyle name="Normal 5 3 5 3 3 2" xfId="13675" xr:uid="{5242B7B9-1969-46FA-96D9-9AF04B53C505}"/>
    <cellStyle name="Normal 5 3 5 3 4" xfId="9457" xr:uid="{56FDF2AB-4CF0-436C-8D82-5E8AF3BE2EE0}"/>
    <cellStyle name="Normal 5 3 5 4" xfId="1345" xr:uid="{00000000-0005-0000-0000-00007D1A0000}"/>
    <cellStyle name="Normal 5 3 5 4 2" xfId="3575" xr:uid="{00000000-0005-0000-0000-00007E1A0000}"/>
    <cellStyle name="Normal 5 3 5 4 2 2" xfId="7798" xr:uid="{00000000-0005-0000-0000-00007F1A0000}"/>
    <cellStyle name="Normal 5 3 5 4 2 2 2" xfId="16233" xr:uid="{BD90B025-E28E-46B5-8FE1-97F1B4033428}"/>
    <cellStyle name="Normal 5 3 5 4 2 3" xfId="12015" xr:uid="{5484BB5B-28F2-48D1-BE32-F470D5AE22C6}"/>
    <cellStyle name="Normal 5 3 5 4 3" xfId="5653" xr:uid="{00000000-0005-0000-0000-0000801A0000}"/>
    <cellStyle name="Normal 5 3 5 4 3 2" xfId="14088" xr:uid="{67031EE3-CEAA-48A2-AF87-635B010EABA7}"/>
    <cellStyle name="Normal 5 3 5 4 4" xfId="9870" xr:uid="{820E6D8E-59E9-4979-AFCF-8B0AA552C1FE}"/>
    <cellStyle name="Normal 5 3 5 5" xfId="1758" xr:uid="{00000000-0005-0000-0000-0000811A0000}"/>
    <cellStyle name="Normal 5 3 5 5 2" xfId="3988" xr:uid="{00000000-0005-0000-0000-0000821A0000}"/>
    <cellStyle name="Normal 5 3 5 5 2 2" xfId="8211" xr:uid="{00000000-0005-0000-0000-0000831A0000}"/>
    <cellStyle name="Normal 5 3 5 5 2 2 2" xfId="16646" xr:uid="{9146C354-EA6B-435F-9009-997E22A0175E}"/>
    <cellStyle name="Normal 5 3 5 5 2 3" xfId="12428" xr:uid="{A5DFC1D7-4742-4706-B1E0-101ACB325637}"/>
    <cellStyle name="Normal 5 3 5 5 3" xfId="6066" xr:uid="{00000000-0005-0000-0000-0000841A0000}"/>
    <cellStyle name="Normal 5 3 5 5 3 2" xfId="14501" xr:uid="{CA969FCC-206C-4AC1-AF2C-299AE9E0D3B5}"/>
    <cellStyle name="Normal 5 3 5 5 4" xfId="10283" xr:uid="{C86EDAAC-5854-4B1E-9A7D-F2FE63FAF5FD}"/>
    <cellStyle name="Normal 5 3 5 6" xfId="2172" xr:uid="{00000000-0005-0000-0000-0000851A0000}"/>
    <cellStyle name="Normal 5 3 5 6 2" xfId="4401" xr:uid="{00000000-0005-0000-0000-0000861A0000}"/>
    <cellStyle name="Normal 5 3 5 6 2 2" xfId="8624" xr:uid="{00000000-0005-0000-0000-0000871A0000}"/>
    <cellStyle name="Normal 5 3 5 6 2 2 2" xfId="17059" xr:uid="{12B10AEA-9174-4B00-8C9C-D6BF881222C4}"/>
    <cellStyle name="Normal 5 3 5 6 2 3" xfId="12841" xr:uid="{7E907D1F-45CE-4B7F-AD65-18A83AE7A1E9}"/>
    <cellStyle name="Normal 5 3 5 6 3" xfId="6479" xr:uid="{00000000-0005-0000-0000-0000881A0000}"/>
    <cellStyle name="Normal 5 3 5 6 3 2" xfId="14914" xr:uid="{886051F2-2666-4410-9A13-ABA5616D7404}"/>
    <cellStyle name="Normal 5 3 5 6 4" xfId="10696" xr:uid="{89B699EA-047F-4BEB-A549-3A875D001023}"/>
    <cellStyle name="Normal 5 3 5 7" xfId="2608" xr:uid="{00000000-0005-0000-0000-0000891A0000}"/>
    <cellStyle name="Normal 5 3 5 7 2" xfId="6892" xr:uid="{00000000-0005-0000-0000-00008A1A0000}"/>
    <cellStyle name="Normal 5 3 5 7 2 2" xfId="15327" xr:uid="{D3CAC33D-9B64-41A6-B63C-4CDE1F28C682}"/>
    <cellStyle name="Normal 5 3 5 7 3" xfId="11109" xr:uid="{113D9819-C648-45E5-A01B-FA665E351D6C}"/>
    <cellStyle name="Normal 5 3 5 8" xfId="4827" xr:uid="{00000000-0005-0000-0000-00008B1A0000}"/>
    <cellStyle name="Normal 5 3 5 8 2" xfId="13262" xr:uid="{AEBF688D-FAB3-4236-933A-E3C6DC80A3D2}"/>
    <cellStyle name="Normal 5 3 5 9" xfId="9044" xr:uid="{321C860A-5D04-4C2F-9D50-4E9A5058328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2 2 2" xfId="15822" xr:uid="{2DE0036F-9574-4D25-B193-6AA7C2C80608}"/>
    <cellStyle name="Normal 5 3 6 2 2 3" xfId="11604" xr:uid="{384B7101-EDA0-4297-9146-F9AC49F6D947}"/>
    <cellStyle name="Normal 5 3 6 2 3" xfId="5242" xr:uid="{00000000-0005-0000-0000-0000901A0000}"/>
    <cellStyle name="Normal 5 3 6 2 3 2" xfId="13677" xr:uid="{55A4C57C-87A4-4918-9240-D9F3A6E41929}"/>
    <cellStyle name="Normal 5 3 6 2 4" xfId="9459" xr:uid="{C855AB88-6284-405C-B90A-F15D1CDD08D8}"/>
    <cellStyle name="Normal 5 3 6 3" xfId="1347" xr:uid="{00000000-0005-0000-0000-0000911A0000}"/>
    <cellStyle name="Normal 5 3 6 3 2" xfId="3577" xr:uid="{00000000-0005-0000-0000-0000921A0000}"/>
    <cellStyle name="Normal 5 3 6 3 2 2" xfId="7800" xr:uid="{00000000-0005-0000-0000-0000931A0000}"/>
    <cellStyle name="Normal 5 3 6 3 2 2 2" xfId="16235" xr:uid="{D4A92E34-5511-4AB5-9E82-1EE1E3234749}"/>
    <cellStyle name="Normal 5 3 6 3 2 3" xfId="12017" xr:uid="{017B914F-9042-49C9-9540-D37789EA212B}"/>
    <cellStyle name="Normal 5 3 6 3 3" xfId="5655" xr:uid="{00000000-0005-0000-0000-0000941A0000}"/>
    <cellStyle name="Normal 5 3 6 3 3 2" xfId="14090" xr:uid="{93AA61F4-AB45-4C2D-B268-1B8E7F37AA24}"/>
    <cellStyle name="Normal 5 3 6 3 4" xfId="9872" xr:uid="{E6DA3A22-AD7E-4BF6-A792-4D8E5489A674}"/>
    <cellStyle name="Normal 5 3 6 4" xfId="1760" xr:uid="{00000000-0005-0000-0000-0000951A0000}"/>
    <cellStyle name="Normal 5 3 6 4 2" xfId="3990" xr:uid="{00000000-0005-0000-0000-0000961A0000}"/>
    <cellStyle name="Normal 5 3 6 4 2 2" xfId="8213" xr:uid="{00000000-0005-0000-0000-0000971A0000}"/>
    <cellStyle name="Normal 5 3 6 4 2 2 2" xfId="16648" xr:uid="{1F28FF2C-8CBA-4366-9E55-78AB4895B5B3}"/>
    <cellStyle name="Normal 5 3 6 4 2 3" xfId="12430" xr:uid="{47710EBF-BD0F-40BB-BB9B-DC65B1C4DCAE}"/>
    <cellStyle name="Normal 5 3 6 4 3" xfId="6068" xr:uid="{00000000-0005-0000-0000-0000981A0000}"/>
    <cellStyle name="Normal 5 3 6 4 3 2" xfId="14503" xr:uid="{6EECA9C0-ECD4-40F5-840D-6CB258F4F089}"/>
    <cellStyle name="Normal 5 3 6 4 4" xfId="10285" xr:uid="{3C56C543-C587-4136-8ECD-B412931D3814}"/>
    <cellStyle name="Normal 5 3 6 5" xfId="2174" xr:uid="{00000000-0005-0000-0000-0000991A0000}"/>
    <cellStyle name="Normal 5 3 6 5 2" xfId="4403" xr:uid="{00000000-0005-0000-0000-00009A1A0000}"/>
    <cellStyle name="Normal 5 3 6 5 2 2" xfId="8626" xr:uid="{00000000-0005-0000-0000-00009B1A0000}"/>
    <cellStyle name="Normal 5 3 6 5 2 2 2" xfId="17061" xr:uid="{1E7E0F24-AF83-41D9-A6DC-CB8483D5B638}"/>
    <cellStyle name="Normal 5 3 6 5 2 3" xfId="12843" xr:uid="{A033CA7C-F2A8-45CF-9249-3771D84FCAB6}"/>
    <cellStyle name="Normal 5 3 6 5 3" xfId="6481" xr:uid="{00000000-0005-0000-0000-00009C1A0000}"/>
    <cellStyle name="Normal 5 3 6 5 3 2" xfId="14916" xr:uid="{5240CD00-8342-471B-8B63-33DC29F257BA}"/>
    <cellStyle name="Normal 5 3 6 5 4" xfId="10698" xr:uid="{73970205-8128-4CFF-AFCD-32D30C3C2CF7}"/>
    <cellStyle name="Normal 5 3 6 6" xfId="2610" xr:uid="{00000000-0005-0000-0000-00009D1A0000}"/>
    <cellStyle name="Normal 5 3 6 6 2" xfId="6894" xr:uid="{00000000-0005-0000-0000-00009E1A0000}"/>
    <cellStyle name="Normal 5 3 6 6 2 2" xfId="15329" xr:uid="{97A5AAF6-921E-4A53-BEEE-F35510801A84}"/>
    <cellStyle name="Normal 5 3 6 6 3" xfId="11111" xr:uid="{1DB6C1E8-E5A0-45EA-A6EE-233DCBD40EDF}"/>
    <cellStyle name="Normal 5 3 6 7" xfId="4829" xr:uid="{00000000-0005-0000-0000-00009F1A0000}"/>
    <cellStyle name="Normal 5 3 6 7 2" xfId="13264" xr:uid="{693AEFCE-3BA8-4D2C-AD39-6EB2B56A47F8}"/>
    <cellStyle name="Normal 5 3 6 8" xfId="9046" xr:uid="{C3400DBB-AD67-43E7-829A-21510CCA3F5F}"/>
    <cellStyle name="Normal 5 3 7" xfId="914" xr:uid="{00000000-0005-0000-0000-0000A01A0000}"/>
    <cellStyle name="Normal 5 3 7 2" xfId="3149" xr:uid="{00000000-0005-0000-0000-0000A11A0000}"/>
    <cellStyle name="Normal 5 3 7 2 2" xfId="7372" xr:uid="{00000000-0005-0000-0000-0000A21A0000}"/>
    <cellStyle name="Normal 5 3 7 2 2 2" xfId="15807" xr:uid="{E32FA683-5541-4725-9A39-BDEA05D2FEF2}"/>
    <cellStyle name="Normal 5 3 7 2 3" xfId="11589" xr:uid="{7F3AB5CD-1E6A-4C94-8488-654DC9FC9331}"/>
    <cellStyle name="Normal 5 3 7 3" xfId="5227" xr:uid="{00000000-0005-0000-0000-0000A31A0000}"/>
    <cellStyle name="Normal 5 3 7 3 2" xfId="13662" xr:uid="{5C873E08-140B-4934-9918-5F5E152C49CC}"/>
    <cellStyle name="Normal 5 3 7 4" xfId="9444" xr:uid="{A064650F-E14C-4AD8-B6D2-E0321288C283}"/>
    <cellStyle name="Normal 5 3 8" xfId="1332" xr:uid="{00000000-0005-0000-0000-0000A41A0000}"/>
    <cellStyle name="Normal 5 3 8 2" xfId="3562" xr:uid="{00000000-0005-0000-0000-0000A51A0000}"/>
    <cellStyle name="Normal 5 3 8 2 2" xfId="7785" xr:uid="{00000000-0005-0000-0000-0000A61A0000}"/>
    <cellStyle name="Normal 5 3 8 2 2 2" xfId="16220" xr:uid="{79EF7699-E2A1-4A80-ADF9-3544304E96A0}"/>
    <cellStyle name="Normal 5 3 8 2 3" xfId="12002" xr:uid="{B14563B1-CEA6-417E-86B0-2ADE909D4CD8}"/>
    <cellStyle name="Normal 5 3 8 3" xfId="5640" xr:uid="{00000000-0005-0000-0000-0000A71A0000}"/>
    <cellStyle name="Normal 5 3 8 3 2" xfId="14075" xr:uid="{EA854248-E12A-4303-BB76-31876D64E29A}"/>
    <cellStyle name="Normal 5 3 8 4" xfId="9857" xr:uid="{3FEB6FD0-2220-467B-80B3-10365618D72E}"/>
    <cellStyle name="Normal 5 3 9" xfId="1745" xr:uid="{00000000-0005-0000-0000-0000A81A0000}"/>
    <cellStyle name="Normal 5 3 9 2" xfId="3975" xr:uid="{00000000-0005-0000-0000-0000A91A0000}"/>
    <cellStyle name="Normal 5 3 9 2 2" xfId="8198" xr:uid="{00000000-0005-0000-0000-0000AA1A0000}"/>
    <cellStyle name="Normal 5 3 9 2 2 2" xfId="16633" xr:uid="{32558904-B171-4ABF-9ED4-CE1179ADF0AC}"/>
    <cellStyle name="Normal 5 3 9 2 3" xfId="12415" xr:uid="{4EBD98E7-ADBE-4760-A092-955A7A21CFE0}"/>
    <cellStyle name="Normal 5 3 9 3" xfId="6053" xr:uid="{00000000-0005-0000-0000-0000AB1A0000}"/>
    <cellStyle name="Normal 5 3 9 3 2" xfId="14488" xr:uid="{92FF6D49-2829-45DB-B8D7-7D28ABA71CE3}"/>
    <cellStyle name="Normal 5 3 9 4" xfId="10270" xr:uid="{C541049D-4CA9-4383-BD38-D20E3AA1435C}"/>
    <cellStyle name="Normal 5 4" xfId="456" xr:uid="{00000000-0005-0000-0000-0000AC1A0000}"/>
    <cellStyle name="Normal 5 4 10" xfId="4830" xr:uid="{00000000-0005-0000-0000-0000AD1A0000}"/>
    <cellStyle name="Normal 5 4 10 2" xfId="13265" xr:uid="{8B77502C-DFAF-45AF-9B65-73B4FF71A095}"/>
    <cellStyle name="Normal 5 4 11" xfId="9047" xr:uid="{16856E38-AA5E-47FD-81D2-368F2F040C15}"/>
    <cellStyle name="Normal 5 4 2" xfId="457" xr:uid="{00000000-0005-0000-0000-0000AE1A0000}"/>
    <cellStyle name="Normal 5 4 2 10" xfId="9048" xr:uid="{78B8A7F6-5F71-46B4-A890-FA1DCE7625A1}"/>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2 2 2" xfId="15826" xr:uid="{8D39E68D-4D9B-44B3-AB84-2B7165E39339}"/>
    <cellStyle name="Normal 5 4 2 2 2 2 2 3" xfId="11608" xr:uid="{2E4168D6-3A7E-4C0D-901F-99FD7EAB87D3}"/>
    <cellStyle name="Normal 5 4 2 2 2 2 3" xfId="5246" xr:uid="{00000000-0005-0000-0000-0000B41A0000}"/>
    <cellStyle name="Normal 5 4 2 2 2 2 3 2" xfId="13681" xr:uid="{17677EE6-A5E2-4482-A93B-3B7D690D7990}"/>
    <cellStyle name="Normal 5 4 2 2 2 2 4" xfId="9463" xr:uid="{CED45C6A-E014-4428-9F5E-3482D3052CA8}"/>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2 2 2" xfId="16239" xr:uid="{5F733E94-885B-47FC-80D5-3DAF71B97C17}"/>
    <cellStyle name="Normal 5 4 2 2 2 3 2 3" xfId="12021" xr:uid="{8851A13D-9D1E-4D6A-8D13-3602A5716225}"/>
    <cellStyle name="Normal 5 4 2 2 2 3 3" xfId="5659" xr:uid="{00000000-0005-0000-0000-0000B81A0000}"/>
    <cellStyle name="Normal 5 4 2 2 2 3 3 2" xfId="14094" xr:uid="{04EC0393-4921-454A-A7DD-CE5A4052E798}"/>
    <cellStyle name="Normal 5 4 2 2 2 3 4" xfId="9876" xr:uid="{DA447477-5341-4465-AF69-6674E548FE85}"/>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2 2 2" xfId="16652" xr:uid="{46F22890-49DC-46F2-8FDD-FAA450C6EA3D}"/>
    <cellStyle name="Normal 5 4 2 2 2 4 2 3" xfId="12434" xr:uid="{6C01B09F-59BA-4801-9CE2-0ED7D5BE4054}"/>
    <cellStyle name="Normal 5 4 2 2 2 4 3" xfId="6072" xr:uid="{00000000-0005-0000-0000-0000BC1A0000}"/>
    <cellStyle name="Normal 5 4 2 2 2 4 3 2" xfId="14507" xr:uid="{F26860F5-3C42-4579-A7BC-B99FB8D85C77}"/>
    <cellStyle name="Normal 5 4 2 2 2 4 4" xfId="10289" xr:uid="{A326CA76-8F71-4900-8B5B-769FD9782407}"/>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2 2 2" xfId="17065" xr:uid="{09703FFE-70D0-4F8F-878E-376F351CF083}"/>
    <cellStyle name="Normal 5 4 2 2 2 5 2 3" xfId="12847" xr:uid="{93DAC320-AD81-47A7-817B-04826041DB42}"/>
    <cellStyle name="Normal 5 4 2 2 2 5 3" xfId="6485" xr:uid="{00000000-0005-0000-0000-0000C01A0000}"/>
    <cellStyle name="Normal 5 4 2 2 2 5 3 2" xfId="14920" xr:uid="{F4C57F09-B051-43F8-8FA1-C86DA6C76BCF}"/>
    <cellStyle name="Normal 5 4 2 2 2 5 4" xfId="10702" xr:uid="{92BD6999-7E17-49B7-8D1E-255025841F06}"/>
    <cellStyle name="Normal 5 4 2 2 2 6" xfId="2614" xr:uid="{00000000-0005-0000-0000-0000C11A0000}"/>
    <cellStyle name="Normal 5 4 2 2 2 6 2" xfId="6898" xr:uid="{00000000-0005-0000-0000-0000C21A0000}"/>
    <cellStyle name="Normal 5 4 2 2 2 6 2 2" xfId="15333" xr:uid="{1C2CA721-4C35-4722-9E9C-3A6DA9452A02}"/>
    <cellStyle name="Normal 5 4 2 2 2 6 3" xfId="11115" xr:uid="{DE2962B0-7040-44BC-B06E-9F30DB019EEC}"/>
    <cellStyle name="Normal 5 4 2 2 2 7" xfId="4833" xr:uid="{00000000-0005-0000-0000-0000C31A0000}"/>
    <cellStyle name="Normal 5 4 2 2 2 7 2" xfId="13268" xr:uid="{16AE37DD-47EB-41AB-9A42-A066BEDD77FC}"/>
    <cellStyle name="Normal 5 4 2 2 2 8" xfId="9050" xr:uid="{35074365-FF87-4D30-9FCD-68C6C58B04E3}"/>
    <cellStyle name="Normal 5 4 2 2 3" xfId="933" xr:uid="{00000000-0005-0000-0000-0000C41A0000}"/>
    <cellStyle name="Normal 5 4 2 2 3 2" xfId="3167" xr:uid="{00000000-0005-0000-0000-0000C51A0000}"/>
    <cellStyle name="Normal 5 4 2 2 3 2 2" xfId="7390" xr:uid="{00000000-0005-0000-0000-0000C61A0000}"/>
    <cellStyle name="Normal 5 4 2 2 3 2 2 2" xfId="15825" xr:uid="{224372A3-A271-47E0-98E6-18297D3C4CF0}"/>
    <cellStyle name="Normal 5 4 2 2 3 2 3" xfId="11607" xr:uid="{5EAEC5DE-ECBE-4977-B0F0-D8A70B95735D}"/>
    <cellStyle name="Normal 5 4 2 2 3 3" xfId="5245" xr:uid="{00000000-0005-0000-0000-0000C71A0000}"/>
    <cellStyle name="Normal 5 4 2 2 3 3 2" xfId="13680" xr:uid="{A2C57DC0-9B80-4D3C-A68C-0AE54D52969E}"/>
    <cellStyle name="Normal 5 4 2 2 3 4" xfId="9462" xr:uid="{951BC212-BA03-488B-B0FE-C20A53A0B61A}"/>
    <cellStyle name="Normal 5 4 2 2 4" xfId="1350" xr:uid="{00000000-0005-0000-0000-0000C81A0000}"/>
    <cellStyle name="Normal 5 4 2 2 4 2" xfId="3580" xr:uid="{00000000-0005-0000-0000-0000C91A0000}"/>
    <cellStyle name="Normal 5 4 2 2 4 2 2" xfId="7803" xr:uid="{00000000-0005-0000-0000-0000CA1A0000}"/>
    <cellStyle name="Normal 5 4 2 2 4 2 2 2" xfId="16238" xr:uid="{724B6092-DB41-4EFD-8CD8-E7E6B4600F4D}"/>
    <cellStyle name="Normal 5 4 2 2 4 2 3" xfId="12020" xr:uid="{FF29930D-B6E7-4BEC-9174-35AF678C2921}"/>
    <cellStyle name="Normal 5 4 2 2 4 3" xfId="5658" xr:uid="{00000000-0005-0000-0000-0000CB1A0000}"/>
    <cellStyle name="Normal 5 4 2 2 4 3 2" xfId="14093" xr:uid="{ACFCE526-0689-465D-AF27-D5E99BDCDC0B}"/>
    <cellStyle name="Normal 5 4 2 2 4 4" xfId="9875" xr:uid="{B3EC7EC5-D237-4DDE-8AEE-FC0D3C428345}"/>
    <cellStyle name="Normal 5 4 2 2 5" xfId="1763" xr:uid="{00000000-0005-0000-0000-0000CC1A0000}"/>
    <cellStyle name="Normal 5 4 2 2 5 2" xfId="3993" xr:uid="{00000000-0005-0000-0000-0000CD1A0000}"/>
    <cellStyle name="Normal 5 4 2 2 5 2 2" xfId="8216" xr:uid="{00000000-0005-0000-0000-0000CE1A0000}"/>
    <cellStyle name="Normal 5 4 2 2 5 2 2 2" xfId="16651" xr:uid="{FDACB048-627C-4FC7-8ADD-B6AA299A9783}"/>
    <cellStyle name="Normal 5 4 2 2 5 2 3" xfId="12433" xr:uid="{D5C891AD-C5AE-444C-A4CF-D412A988CCBE}"/>
    <cellStyle name="Normal 5 4 2 2 5 3" xfId="6071" xr:uid="{00000000-0005-0000-0000-0000CF1A0000}"/>
    <cellStyle name="Normal 5 4 2 2 5 3 2" xfId="14506" xr:uid="{BB5A0C2A-6061-4304-99A4-7C53D1BA84C7}"/>
    <cellStyle name="Normal 5 4 2 2 5 4" xfId="10288" xr:uid="{3AC56DCC-B9CC-4059-A45E-100EF6EE1559}"/>
    <cellStyle name="Normal 5 4 2 2 6" xfId="2177" xr:uid="{00000000-0005-0000-0000-0000D01A0000}"/>
    <cellStyle name="Normal 5 4 2 2 6 2" xfId="4406" xr:uid="{00000000-0005-0000-0000-0000D11A0000}"/>
    <cellStyle name="Normal 5 4 2 2 6 2 2" xfId="8629" xr:uid="{00000000-0005-0000-0000-0000D21A0000}"/>
    <cellStyle name="Normal 5 4 2 2 6 2 2 2" xfId="17064" xr:uid="{2FD4A2F1-B01B-4CB3-92BA-EE2AAB9D8DD8}"/>
    <cellStyle name="Normal 5 4 2 2 6 2 3" xfId="12846" xr:uid="{1188017F-3141-4911-8AFE-9805A4667DAF}"/>
    <cellStyle name="Normal 5 4 2 2 6 3" xfId="6484" xr:uid="{00000000-0005-0000-0000-0000D31A0000}"/>
    <cellStyle name="Normal 5 4 2 2 6 3 2" xfId="14919" xr:uid="{F56A93E4-E2EC-41E9-AB9F-83EEE471B713}"/>
    <cellStyle name="Normal 5 4 2 2 6 4" xfId="10701" xr:uid="{86B784D4-7E6A-4ED7-93D8-BF60BDCC6641}"/>
    <cellStyle name="Normal 5 4 2 2 7" xfId="2613" xr:uid="{00000000-0005-0000-0000-0000D41A0000}"/>
    <cellStyle name="Normal 5 4 2 2 7 2" xfId="6897" xr:uid="{00000000-0005-0000-0000-0000D51A0000}"/>
    <cellStyle name="Normal 5 4 2 2 7 2 2" xfId="15332" xr:uid="{CFBC687C-0C71-48DA-903A-5A818F26093A}"/>
    <cellStyle name="Normal 5 4 2 2 7 3" xfId="11114" xr:uid="{FE451F44-80CC-472F-8651-07C9D617DBD6}"/>
    <cellStyle name="Normal 5 4 2 2 8" xfId="4832" xr:uid="{00000000-0005-0000-0000-0000D61A0000}"/>
    <cellStyle name="Normal 5 4 2 2 8 2" xfId="13267" xr:uid="{8AD1DB22-7733-4E96-9542-CC87A63ED3A7}"/>
    <cellStyle name="Normal 5 4 2 2 9" xfId="9049" xr:uid="{CC1AD781-A967-43A6-A01E-BEAA379CBBD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2 2 2" xfId="15827" xr:uid="{3FD34937-CCE9-45BE-A357-6756E22F40FD}"/>
    <cellStyle name="Normal 5 4 2 3 2 2 3" xfId="11609" xr:uid="{19530939-8D3C-4348-91BC-A656DC128785}"/>
    <cellStyle name="Normal 5 4 2 3 2 3" xfId="5247" xr:uid="{00000000-0005-0000-0000-0000DB1A0000}"/>
    <cellStyle name="Normal 5 4 2 3 2 3 2" xfId="13682" xr:uid="{4F311881-20EF-4185-B79D-7F981E35948E}"/>
    <cellStyle name="Normal 5 4 2 3 2 4" xfId="9464" xr:uid="{C17A15E5-B24F-453E-93B2-AFFEE0582CCD}"/>
    <cellStyle name="Normal 5 4 2 3 3" xfId="1352" xr:uid="{00000000-0005-0000-0000-0000DC1A0000}"/>
    <cellStyle name="Normal 5 4 2 3 3 2" xfId="3582" xr:uid="{00000000-0005-0000-0000-0000DD1A0000}"/>
    <cellStyle name="Normal 5 4 2 3 3 2 2" xfId="7805" xr:uid="{00000000-0005-0000-0000-0000DE1A0000}"/>
    <cellStyle name="Normal 5 4 2 3 3 2 2 2" xfId="16240" xr:uid="{0FF11AB2-7082-4CE3-AF66-0A6E7E806E17}"/>
    <cellStyle name="Normal 5 4 2 3 3 2 3" xfId="12022" xr:uid="{EB9F5A8F-6D60-4E1C-895D-37CCE21CB2BA}"/>
    <cellStyle name="Normal 5 4 2 3 3 3" xfId="5660" xr:uid="{00000000-0005-0000-0000-0000DF1A0000}"/>
    <cellStyle name="Normal 5 4 2 3 3 3 2" xfId="14095" xr:uid="{B9681715-C7DC-4C82-81F3-A1474697E2D2}"/>
    <cellStyle name="Normal 5 4 2 3 3 4" xfId="9877" xr:uid="{25AE743A-F4EE-4F4F-965B-F6153F176E72}"/>
    <cellStyle name="Normal 5 4 2 3 4" xfId="1765" xr:uid="{00000000-0005-0000-0000-0000E01A0000}"/>
    <cellStyle name="Normal 5 4 2 3 4 2" xfId="3995" xr:uid="{00000000-0005-0000-0000-0000E11A0000}"/>
    <cellStyle name="Normal 5 4 2 3 4 2 2" xfId="8218" xr:uid="{00000000-0005-0000-0000-0000E21A0000}"/>
    <cellStyle name="Normal 5 4 2 3 4 2 2 2" xfId="16653" xr:uid="{EC104A0B-4CE6-45CE-A826-4D9DCC9ED533}"/>
    <cellStyle name="Normal 5 4 2 3 4 2 3" xfId="12435" xr:uid="{EEDF8662-6216-421E-9488-8050423B57A0}"/>
    <cellStyle name="Normal 5 4 2 3 4 3" xfId="6073" xr:uid="{00000000-0005-0000-0000-0000E31A0000}"/>
    <cellStyle name="Normal 5 4 2 3 4 3 2" xfId="14508" xr:uid="{C2D216F3-CD1A-4E9B-AE16-B1DBAFB96180}"/>
    <cellStyle name="Normal 5 4 2 3 4 4" xfId="10290" xr:uid="{7D2E3E38-0560-404A-9421-5528A2650F2A}"/>
    <cellStyle name="Normal 5 4 2 3 5" xfId="2179" xr:uid="{00000000-0005-0000-0000-0000E41A0000}"/>
    <cellStyle name="Normal 5 4 2 3 5 2" xfId="4408" xr:uid="{00000000-0005-0000-0000-0000E51A0000}"/>
    <cellStyle name="Normal 5 4 2 3 5 2 2" xfId="8631" xr:uid="{00000000-0005-0000-0000-0000E61A0000}"/>
    <cellStyle name="Normal 5 4 2 3 5 2 2 2" xfId="17066" xr:uid="{AF7C9D2F-3048-436F-811A-C7B25C77D556}"/>
    <cellStyle name="Normal 5 4 2 3 5 2 3" xfId="12848" xr:uid="{5808CFD2-E9B5-4D84-A78E-01EF119F2D75}"/>
    <cellStyle name="Normal 5 4 2 3 5 3" xfId="6486" xr:uid="{00000000-0005-0000-0000-0000E71A0000}"/>
    <cellStyle name="Normal 5 4 2 3 5 3 2" xfId="14921" xr:uid="{735E16E2-57A3-4AD9-85AA-56F1B754745D}"/>
    <cellStyle name="Normal 5 4 2 3 5 4" xfId="10703" xr:uid="{8A7DB508-3A17-468C-92EE-B9B4B6519751}"/>
    <cellStyle name="Normal 5 4 2 3 6" xfId="2615" xr:uid="{00000000-0005-0000-0000-0000E81A0000}"/>
    <cellStyle name="Normal 5 4 2 3 6 2" xfId="6899" xr:uid="{00000000-0005-0000-0000-0000E91A0000}"/>
    <cellStyle name="Normal 5 4 2 3 6 2 2" xfId="15334" xr:uid="{3DB6592B-93EF-4AC1-970F-FBBACBBA2217}"/>
    <cellStyle name="Normal 5 4 2 3 6 3" xfId="11116" xr:uid="{E65C1507-1F72-459A-B80B-47FB61354346}"/>
    <cellStyle name="Normal 5 4 2 3 7" xfId="4834" xr:uid="{00000000-0005-0000-0000-0000EA1A0000}"/>
    <cellStyle name="Normal 5 4 2 3 7 2" xfId="13269" xr:uid="{347F8844-411B-4343-8782-75ACCF6DB620}"/>
    <cellStyle name="Normal 5 4 2 3 8" xfId="9051" xr:uid="{58A1DCE3-02A7-48C7-B148-6FC06C34D747}"/>
    <cellStyle name="Normal 5 4 2 4" xfId="932" xr:uid="{00000000-0005-0000-0000-0000EB1A0000}"/>
    <cellStyle name="Normal 5 4 2 4 2" xfId="3166" xr:uid="{00000000-0005-0000-0000-0000EC1A0000}"/>
    <cellStyle name="Normal 5 4 2 4 2 2" xfId="7389" xr:uid="{00000000-0005-0000-0000-0000ED1A0000}"/>
    <cellStyle name="Normal 5 4 2 4 2 2 2" xfId="15824" xr:uid="{A083A0E1-A61B-4794-AE4B-48A9E32B47E3}"/>
    <cellStyle name="Normal 5 4 2 4 2 3" xfId="11606" xr:uid="{C52FD57C-A8BD-4E6C-952E-C39662AB50CD}"/>
    <cellStyle name="Normal 5 4 2 4 3" xfId="5244" xr:uid="{00000000-0005-0000-0000-0000EE1A0000}"/>
    <cellStyle name="Normal 5 4 2 4 3 2" xfId="13679" xr:uid="{240AC4CF-9075-407C-98D6-945B35CE4F16}"/>
    <cellStyle name="Normal 5 4 2 4 4" xfId="9461" xr:uid="{AB6E5D51-385B-4487-AA4B-25579ECF6C23}"/>
    <cellStyle name="Normal 5 4 2 5" xfId="1349" xr:uid="{00000000-0005-0000-0000-0000EF1A0000}"/>
    <cellStyle name="Normal 5 4 2 5 2" xfId="3579" xr:uid="{00000000-0005-0000-0000-0000F01A0000}"/>
    <cellStyle name="Normal 5 4 2 5 2 2" xfId="7802" xr:uid="{00000000-0005-0000-0000-0000F11A0000}"/>
    <cellStyle name="Normal 5 4 2 5 2 2 2" xfId="16237" xr:uid="{476502F3-CAFD-4BD0-87DC-C9B0803C4F3D}"/>
    <cellStyle name="Normal 5 4 2 5 2 3" xfId="12019" xr:uid="{F156B57E-B1FD-4BCB-9E36-B4C4D7CB11D8}"/>
    <cellStyle name="Normal 5 4 2 5 3" xfId="5657" xr:uid="{00000000-0005-0000-0000-0000F21A0000}"/>
    <cellStyle name="Normal 5 4 2 5 3 2" xfId="14092" xr:uid="{EBA1CC7E-CB9B-4789-BB63-0EBCA6DE426B}"/>
    <cellStyle name="Normal 5 4 2 5 4" xfId="9874" xr:uid="{C8D7F66A-8615-4E83-91DE-61B4FCBA1448}"/>
    <cellStyle name="Normal 5 4 2 6" xfId="1762" xr:uid="{00000000-0005-0000-0000-0000F31A0000}"/>
    <cellStyle name="Normal 5 4 2 6 2" xfId="3992" xr:uid="{00000000-0005-0000-0000-0000F41A0000}"/>
    <cellStyle name="Normal 5 4 2 6 2 2" xfId="8215" xr:uid="{00000000-0005-0000-0000-0000F51A0000}"/>
    <cellStyle name="Normal 5 4 2 6 2 2 2" xfId="16650" xr:uid="{92F09E0B-B508-4EAB-A4B5-5F14206CB3DF}"/>
    <cellStyle name="Normal 5 4 2 6 2 3" xfId="12432" xr:uid="{1D47D93F-53A9-4F02-82D9-F114B13468FE}"/>
    <cellStyle name="Normal 5 4 2 6 3" xfId="6070" xr:uid="{00000000-0005-0000-0000-0000F61A0000}"/>
    <cellStyle name="Normal 5 4 2 6 3 2" xfId="14505" xr:uid="{B9ED3AC3-E91F-409A-9854-BB897864981F}"/>
    <cellStyle name="Normal 5 4 2 6 4" xfId="10287" xr:uid="{33C7FF1F-72F7-4CC1-916B-2B0CC50A31F4}"/>
    <cellStyle name="Normal 5 4 2 7" xfId="2176" xr:uid="{00000000-0005-0000-0000-0000F71A0000}"/>
    <cellStyle name="Normal 5 4 2 7 2" xfId="4405" xr:uid="{00000000-0005-0000-0000-0000F81A0000}"/>
    <cellStyle name="Normal 5 4 2 7 2 2" xfId="8628" xr:uid="{00000000-0005-0000-0000-0000F91A0000}"/>
    <cellStyle name="Normal 5 4 2 7 2 2 2" xfId="17063" xr:uid="{B0DD98F8-690A-43F1-8F57-9E3C759499CC}"/>
    <cellStyle name="Normal 5 4 2 7 2 3" xfId="12845" xr:uid="{170542EB-A192-49F3-96F3-C93744AFCC65}"/>
    <cellStyle name="Normal 5 4 2 7 3" xfId="6483" xr:uid="{00000000-0005-0000-0000-0000FA1A0000}"/>
    <cellStyle name="Normal 5 4 2 7 3 2" xfId="14918" xr:uid="{3C0D24FB-DEF2-4C03-9B3C-F1289DE8C1C7}"/>
    <cellStyle name="Normal 5 4 2 7 4" xfId="10700" xr:uid="{6DCB6E29-6022-4FC3-B6FF-95677A73C94A}"/>
    <cellStyle name="Normal 5 4 2 8" xfId="2612" xr:uid="{00000000-0005-0000-0000-0000FB1A0000}"/>
    <cellStyle name="Normal 5 4 2 8 2" xfId="6896" xr:uid="{00000000-0005-0000-0000-0000FC1A0000}"/>
    <cellStyle name="Normal 5 4 2 8 2 2" xfId="15331" xr:uid="{E6D4C7B2-581B-4D2F-A957-FD57C5CBBDEA}"/>
    <cellStyle name="Normal 5 4 2 8 3" xfId="11113" xr:uid="{A5861A81-49A3-4C23-AC1D-6DF62FFB8849}"/>
    <cellStyle name="Normal 5 4 2 9" xfId="4831" xr:uid="{00000000-0005-0000-0000-0000FD1A0000}"/>
    <cellStyle name="Normal 5 4 2 9 2" xfId="13266" xr:uid="{45A76434-E71F-4573-9B86-673FA4B34F1C}"/>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2 2 2" xfId="15829" xr:uid="{ED004F77-3551-4B96-8E5F-79084C74D5B3}"/>
    <cellStyle name="Normal 5 4 3 2 2 2 3" xfId="11611" xr:uid="{4F40D93B-107A-4318-BD4E-6C91C4BE3CFD}"/>
    <cellStyle name="Normal 5 4 3 2 2 3" xfId="5249" xr:uid="{00000000-0005-0000-0000-0000031B0000}"/>
    <cellStyle name="Normal 5 4 3 2 2 3 2" xfId="13684" xr:uid="{EFB6E497-02AF-41C6-9920-DCE4DC395E2A}"/>
    <cellStyle name="Normal 5 4 3 2 2 4" xfId="9466" xr:uid="{1723A6E6-29A1-42C9-A923-43ED919CFFED}"/>
    <cellStyle name="Normal 5 4 3 2 3" xfId="1354" xr:uid="{00000000-0005-0000-0000-0000041B0000}"/>
    <cellStyle name="Normal 5 4 3 2 3 2" xfId="3584" xr:uid="{00000000-0005-0000-0000-0000051B0000}"/>
    <cellStyle name="Normal 5 4 3 2 3 2 2" xfId="7807" xr:uid="{00000000-0005-0000-0000-0000061B0000}"/>
    <cellStyle name="Normal 5 4 3 2 3 2 2 2" xfId="16242" xr:uid="{9C31FFE8-5D88-4426-A782-9D04D0CA95EF}"/>
    <cellStyle name="Normal 5 4 3 2 3 2 3" xfId="12024" xr:uid="{29E214BB-FBE0-4661-A233-1A4BC59CEB1F}"/>
    <cellStyle name="Normal 5 4 3 2 3 3" xfId="5662" xr:uid="{00000000-0005-0000-0000-0000071B0000}"/>
    <cellStyle name="Normal 5 4 3 2 3 3 2" xfId="14097" xr:uid="{2A24D766-1A3C-4CBF-B2B2-2806723D14EB}"/>
    <cellStyle name="Normal 5 4 3 2 3 4" xfId="9879" xr:uid="{84661E55-F4AB-42A1-9FF3-568D0DADD2E7}"/>
    <cellStyle name="Normal 5 4 3 2 4" xfId="1767" xr:uid="{00000000-0005-0000-0000-0000081B0000}"/>
    <cellStyle name="Normal 5 4 3 2 4 2" xfId="3997" xr:uid="{00000000-0005-0000-0000-0000091B0000}"/>
    <cellStyle name="Normal 5 4 3 2 4 2 2" xfId="8220" xr:uid="{00000000-0005-0000-0000-00000A1B0000}"/>
    <cellStyle name="Normal 5 4 3 2 4 2 2 2" xfId="16655" xr:uid="{735ADC9F-0130-4B2A-866E-4E644F0CF8A3}"/>
    <cellStyle name="Normal 5 4 3 2 4 2 3" xfId="12437" xr:uid="{BDE2A73D-059B-4C10-BA01-8AB246758801}"/>
    <cellStyle name="Normal 5 4 3 2 4 3" xfId="6075" xr:uid="{00000000-0005-0000-0000-00000B1B0000}"/>
    <cellStyle name="Normal 5 4 3 2 4 3 2" xfId="14510" xr:uid="{6FDA7795-3FBF-4699-B664-D08DE0433BDC}"/>
    <cellStyle name="Normal 5 4 3 2 4 4" xfId="10292" xr:uid="{8A012FF4-6586-4855-B4EF-BDD2E1ABB9A8}"/>
    <cellStyle name="Normal 5 4 3 2 5" xfId="2181" xr:uid="{00000000-0005-0000-0000-00000C1B0000}"/>
    <cellStyle name="Normal 5 4 3 2 5 2" xfId="4410" xr:uid="{00000000-0005-0000-0000-00000D1B0000}"/>
    <cellStyle name="Normal 5 4 3 2 5 2 2" xfId="8633" xr:uid="{00000000-0005-0000-0000-00000E1B0000}"/>
    <cellStyle name="Normal 5 4 3 2 5 2 2 2" xfId="17068" xr:uid="{F719E7EF-D213-4B9D-A003-441564D4C58D}"/>
    <cellStyle name="Normal 5 4 3 2 5 2 3" xfId="12850" xr:uid="{BE948926-B53F-42E7-9157-B1FC34EAB2FE}"/>
    <cellStyle name="Normal 5 4 3 2 5 3" xfId="6488" xr:uid="{00000000-0005-0000-0000-00000F1B0000}"/>
    <cellStyle name="Normal 5 4 3 2 5 3 2" xfId="14923" xr:uid="{7784F55A-2243-479F-8520-6939096967DC}"/>
    <cellStyle name="Normal 5 4 3 2 5 4" xfId="10705" xr:uid="{EC47D7A3-69DC-4C96-BA2D-476DE9A33C90}"/>
    <cellStyle name="Normal 5 4 3 2 6" xfId="2617" xr:uid="{00000000-0005-0000-0000-0000101B0000}"/>
    <cellStyle name="Normal 5 4 3 2 6 2" xfId="6901" xr:uid="{00000000-0005-0000-0000-0000111B0000}"/>
    <cellStyle name="Normal 5 4 3 2 6 2 2" xfId="15336" xr:uid="{6B269BB5-77F7-4B12-9837-0C657D36F27C}"/>
    <cellStyle name="Normal 5 4 3 2 6 3" xfId="11118" xr:uid="{B3148477-047E-4CD7-B0F3-5A06FDADADCB}"/>
    <cellStyle name="Normal 5 4 3 2 7" xfId="4836" xr:uid="{00000000-0005-0000-0000-0000121B0000}"/>
    <cellStyle name="Normal 5 4 3 2 7 2" xfId="13271" xr:uid="{A1F520F2-6FE5-4B7B-A285-918AFAFA5FC0}"/>
    <cellStyle name="Normal 5 4 3 2 8" xfId="9053" xr:uid="{4ED83C35-E46D-4CAF-AEDD-3BE5FB687832}"/>
    <cellStyle name="Normal 5 4 3 3" xfId="936" xr:uid="{00000000-0005-0000-0000-0000131B0000}"/>
    <cellStyle name="Normal 5 4 3 3 2" xfId="3170" xr:uid="{00000000-0005-0000-0000-0000141B0000}"/>
    <cellStyle name="Normal 5 4 3 3 2 2" xfId="7393" xr:uid="{00000000-0005-0000-0000-0000151B0000}"/>
    <cellStyle name="Normal 5 4 3 3 2 2 2" xfId="15828" xr:uid="{C5DAEA12-05B5-4F5B-8CAF-037383560717}"/>
    <cellStyle name="Normal 5 4 3 3 2 3" xfId="11610" xr:uid="{5FA65E51-E372-49C2-A28F-159CFB410450}"/>
    <cellStyle name="Normal 5 4 3 3 3" xfId="5248" xr:uid="{00000000-0005-0000-0000-0000161B0000}"/>
    <cellStyle name="Normal 5 4 3 3 3 2" xfId="13683" xr:uid="{533B059B-17E3-41AE-9799-4CC40062865E}"/>
    <cellStyle name="Normal 5 4 3 3 4" xfId="9465" xr:uid="{5A8336A3-44FB-4650-A4A8-9337A14D6E43}"/>
    <cellStyle name="Normal 5 4 3 4" xfId="1353" xr:uid="{00000000-0005-0000-0000-0000171B0000}"/>
    <cellStyle name="Normal 5 4 3 4 2" xfId="3583" xr:uid="{00000000-0005-0000-0000-0000181B0000}"/>
    <cellStyle name="Normal 5 4 3 4 2 2" xfId="7806" xr:uid="{00000000-0005-0000-0000-0000191B0000}"/>
    <cellStyle name="Normal 5 4 3 4 2 2 2" xfId="16241" xr:uid="{E2C090C5-8D71-423F-8F5D-AC82810BF194}"/>
    <cellStyle name="Normal 5 4 3 4 2 3" xfId="12023" xr:uid="{4FE2BF04-69B8-48C9-BDCE-510E0FACB72D}"/>
    <cellStyle name="Normal 5 4 3 4 3" xfId="5661" xr:uid="{00000000-0005-0000-0000-00001A1B0000}"/>
    <cellStyle name="Normal 5 4 3 4 3 2" xfId="14096" xr:uid="{02340706-330C-4D73-8B18-C79DD49FB945}"/>
    <cellStyle name="Normal 5 4 3 4 4" xfId="9878" xr:uid="{AD7EB111-081B-4119-A452-723E14D25B45}"/>
    <cellStyle name="Normal 5 4 3 5" xfId="1766" xr:uid="{00000000-0005-0000-0000-00001B1B0000}"/>
    <cellStyle name="Normal 5 4 3 5 2" xfId="3996" xr:uid="{00000000-0005-0000-0000-00001C1B0000}"/>
    <cellStyle name="Normal 5 4 3 5 2 2" xfId="8219" xr:uid="{00000000-0005-0000-0000-00001D1B0000}"/>
    <cellStyle name="Normal 5 4 3 5 2 2 2" xfId="16654" xr:uid="{A098AC09-3228-4DA6-AD3F-0F0090CDBEE8}"/>
    <cellStyle name="Normal 5 4 3 5 2 3" xfId="12436" xr:uid="{7A20FEF0-95F5-4447-809C-7AFBEC231720}"/>
    <cellStyle name="Normal 5 4 3 5 3" xfId="6074" xr:uid="{00000000-0005-0000-0000-00001E1B0000}"/>
    <cellStyle name="Normal 5 4 3 5 3 2" xfId="14509" xr:uid="{301BB24F-F077-4340-BB55-01D74B761352}"/>
    <cellStyle name="Normal 5 4 3 5 4" xfId="10291" xr:uid="{79437A80-F9A0-4CD6-85EB-AA51150FE4AC}"/>
    <cellStyle name="Normal 5 4 3 6" xfId="2180" xr:uid="{00000000-0005-0000-0000-00001F1B0000}"/>
    <cellStyle name="Normal 5 4 3 6 2" xfId="4409" xr:uid="{00000000-0005-0000-0000-0000201B0000}"/>
    <cellStyle name="Normal 5 4 3 6 2 2" xfId="8632" xr:uid="{00000000-0005-0000-0000-0000211B0000}"/>
    <cellStyle name="Normal 5 4 3 6 2 2 2" xfId="17067" xr:uid="{F6187665-BA94-4E38-9014-6AC94A6AE283}"/>
    <cellStyle name="Normal 5 4 3 6 2 3" xfId="12849" xr:uid="{524D53D8-1BC6-4366-A31F-2B878B89CD9C}"/>
    <cellStyle name="Normal 5 4 3 6 3" xfId="6487" xr:uid="{00000000-0005-0000-0000-0000221B0000}"/>
    <cellStyle name="Normal 5 4 3 6 3 2" xfId="14922" xr:uid="{35846D7E-B1F6-45F5-B8D0-FC8364F15B19}"/>
    <cellStyle name="Normal 5 4 3 6 4" xfId="10704" xr:uid="{534736EB-FE02-4952-A352-028CD0AB7C00}"/>
    <cellStyle name="Normal 5 4 3 7" xfId="2616" xr:uid="{00000000-0005-0000-0000-0000231B0000}"/>
    <cellStyle name="Normal 5 4 3 7 2" xfId="6900" xr:uid="{00000000-0005-0000-0000-0000241B0000}"/>
    <cellStyle name="Normal 5 4 3 7 2 2" xfId="15335" xr:uid="{42B84951-C8F4-449C-A064-2C12AE10AD15}"/>
    <cellStyle name="Normal 5 4 3 7 3" xfId="11117" xr:uid="{DF454805-D060-40F9-8A48-2F5415CA1E95}"/>
    <cellStyle name="Normal 5 4 3 8" xfId="4835" xr:uid="{00000000-0005-0000-0000-0000251B0000}"/>
    <cellStyle name="Normal 5 4 3 8 2" xfId="13270" xr:uid="{D03F61D0-D00A-403D-96FF-C50409C1B74E}"/>
    <cellStyle name="Normal 5 4 3 9" xfId="9052" xr:uid="{B8955FB3-BFA2-4413-8106-34AD598EAD98}"/>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2 2 2" xfId="15830" xr:uid="{E2C50F01-0D5C-444A-B7F9-764393CC6080}"/>
    <cellStyle name="Normal 5 4 4 2 2 3" xfId="11612" xr:uid="{D78BDBFF-A94D-49AE-9BAB-62E85D13D524}"/>
    <cellStyle name="Normal 5 4 4 2 3" xfId="5250" xr:uid="{00000000-0005-0000-0000-00002A1B0000}"/>
    <cellStyle name="Normal 5 4 4 2 3 2" xfId="13685" xr:uid="{2398C45D-406A-4BFA-ADD4-95144A5AB8E6}"/>
    <cellStyle name="Normal 5 4 4 2 4" xfId="9467" xr:uid="{4AF4E7B7-659E-4F68-819A-AFFEC92AA8E0}"/>
    <cellStyle name="Normal 5 4 4 3" xfId="1355" xr:uid="{00000000-0005-0000-0000-00002B1B0000}"/>
    <cellStyle name="Normal 5 4 4 3 2" xfId="3585" xr:uid="{00000000-0005-0000-0000-00002C1B0000}"/>
    <cellStyle name="Normal 5 4 4 3 2 2" xfId="7808" xr:uid="{00000000-0005-0000-0000-00002D1B0000}"/>
    <cellStyle name="Normal 5 4 4 3 2 2 2" xfId="16243" xr:uid="{073DBA23-EFF8-4B7E-9568-007B94FED027}"/>
    <cellStyle name="Normal 5 4 4 3 2 3" xfId="12025" xr:uid="{2D88F271-579A-459A-8D3D-B44ED6F3CBF5}"/>
    <cellStyle name="Normal 5 4 4 3 3" xfId="5663" xr:uid="{00000000-0005-0000-0000-00002E1B0000}"/>
    <cellStyle name="Normal 5 4 4 3 3 2" xfId="14098" xr:uid="{9A1BA4D5-B333-4217-A33A-54E4B6423270}"/>
    <cellStyle name="Normal 5 4 4 3 4" xfId="9880" xr:uid="{014C9652-DE6F-40EF-8C08-1D6B0BC8405A}"/>
    <cellStyle name="Normal 5 4 4 4" xfId="1768" xr:uid="{00000000-0005-0000-0000-00002F1B0000}"/>
    <cellStyle name="Normal 5 4 4 4 2" xfId="3998" xr:uid="{00000000-0005-0000-0000-0000301B0000}"/>
    <cellStyle name="Normal 5 4 4 4 2 2" xfId="8221" xr:uid="{00000000-0005-0000-0000-0000311B0000}"/>
    <cellStyle name="Normal 5 4 4 4 2 2 2" xfId="16656" xr:uid="{1F6856B9-04FA-4A63-970D-08483321241C}"/>
    <cellStyle name="Normal 5 4 4 4 2 3" xfId="12438" xr:uid="{39BFCF49-6D56-41DD-984B-08F0E3AE2056}"/>
    <cellStyle name="Normal 5 4 4 4 3" xfId="6076" xr:uid="{00000000-0005-0000-0000-0000321B0000}"/>
    <cellStyle name="Normal 5 4 4 4 3 2" xfId="14511" xr:uid="{32C1B525-5453-4F89-BB6C-C39A1BF297B1}"/>
    <cellStyle name="Normal 5 4 4 4 4" xfId="10293" xr:uid="{311542E3-CD7D-4C37-A14A-1FCC25B8265F}"/>
    <cellStyle name="Normal 5 4 4 5" xfId="2182" xr:uid="{00000000-0005-0000-0000-0000331B0000}"/>
    <cellStyle name="Normal 5 4 4 5 2" xfId="4411" xr:uid="{00000000-0005-0000-0000-0000341B0000}"/>
    <cellStyle name="Normal 5 4 4 5 2 2" xfId="8634" xr:uid="{00000000-0005-0000-0000-0000351B0000}"/>
    <cellStyle name="Normal 5 4 4 5 2 2 2" xfId="17069" xr:uid="{CF96443E-6328-4B46-8598-42663AB69AE0}"/>
    <cellStyle name="Normal 5 4 4 5 2 3" xfId="12851" xr:uid="{E7BF01CC-6CAF-4148-975C-5D3C669E2191}"/>
    <cellStyle name="Normal 5 4 4 5 3" xfId="6489" xr:uid="{00000000-0005-0000-0000-0000361B0000}"/>
    <cellStyle name="Normal 5 4 4 5 3 2" xfId="14924" xr:uid="{C0FB8FF3-3AF4-42C2-8A39-9D770F05D2F0}"/>
    <cellStyle name="Normal 5 4 4 5 4" xfId="10706" xr:uid="{4E0AA1D9-17E6-4119-944C-91DA600B779A}"/>
    <cellStyle name="Normal 5 4 4 6" xfId="2618" xr:uid="{00000000-0005-0000-0000-0000371B0000}"/>
    <cellStyle name="Normal 5 4 4 6 2" xfId="6902" xr:uid="{00000000-0005-0000-0000-0000381B0000}"/>
    <cellStyle name="Normal 5 4 4 6 2 2" xfId="15337" xr:uid="{096B95BB-C1A7-47E3-86DC-F1091B7D762A}"/>
    <cellStyle name="Normal 5 4 4 6 3" xfId="11119" xr:uid="{D0849D1C-0298-4043-BED6-939FE5C4383B}"/>
    <cellStyle name="Normal 5 4 4 7" xfId="4837" xr:uid="{00000000-0005-0000-0000-0000391B0000}"/>
    <cellStyle name="Normal 5 4 4 7 2" xfId="13272" xr:uid="{C6E746EE-A738-4AC1-9721-4E624A5CA270}"/>
    <cellStyle name="Normal 5 4 4 8" xfId="9054" xr:uid="{2750005E-C482-4A7B-8E5C-5392BA3D439E}"/>
    <cellStyle name="Normal 5 4 5" xfId="931" xr:uid="{00000000-0005-0000-0000-00003A1B0000}"/>
    <cellStyle name="Normal 5 4 5 2" xfId="3165" xr:uid="{00000000-0005-0000-0000-00003B1B0000}"/>
    <cellStyle name="Normal 5 4 5 2 2" xfId="7388" xr:uid="{00000000-0005-0000-0000-00003C1B0000}"/>
    <cellStyle name="Normal 5 4 5 2 2 2" xfId="15823" xr:uid="{9143635E-87DB-4AA5-81D0-B5596D573075}"/>
    <cellStyle name="Normal 5 4 5 2 3" xfId="11605" xr:uid="{06D2F52D-8186-4207-9142-557E9CAD8978}"/>
    <cellStyle name="Normal 5 4 5 3" xfId="5243" xr:uid="{00000000-0005-0000-0000-00003D1B0000}"/>
    <cellStyle name="Normal 5 4 5 3 2" xfId="13678" xr:uid="{604E8213-6E70-482B-A119-077E2A9C4B18}"/>
    <cellStyle name="Normal 5 4 5 4" xfId="9460" xr:uid="{B74CD7F6-5E83-4A91-9EDF-EC2B0A7673EA}"/>
    <cellStyle name="Normal 5 4 6" xfId="1348" xr:uid="{00000000-0005-0000-0000-00003E1B0000}"/>
    <cellStyle name="Normal 5 4 6 2" xfId="3578" xr:uid="{00000000-0005-0000-0000-00003F1B0000}"/>
    <cellStyle name="Normal 5 4 6 2 2" xfId="7801" xr:uid="{00000000-0005-0000-0000-0000401B0000}"/>
    <cellStyle name="Normal 5 4 6 2 2 2" xfId="16236" xr:uid="{E1873697-314B-4E55-8B88-102413D2B81D}"/>
    <cellStyle name="Normal 5 4 6 2 3" xfId="12018" xr:uid="{A1B6830A-3727-4D75-9295-18F4729F53DF}"/>
    <cellStyle name="Normal 5 4 6 3" xfId="5656" xr:uid="{00000000-0005-0000-0000-0000411B0000}"/>
    <cellStyle name="Normal 5 4 6 3 2" xfId="14091" xr:uid="{B17CC8AD-854B-4B05-B602-4A7593FC6858}"/>
    <cellStyle name="Normal 5 4 6 4" xfId="9873" xr:uid="{9022CC15-0CF3-4A91-A106-63470BE650A8}"/>
    <cellStyle name="Normal 5 4 7" xfId="1761" xr:uid="{00000000-0005-0000-0000-0000421B0000}"/>
    <cellStyle name="Normal 5 4 7 2" xfId="3991" xr:uid="{00000000-0005-0000-0000-0000431B0000}"/>
    <cellStyle name="Normal 5 4 7 2 2" xfId="8214" xr:uid="{00000000-0005-0000-0000-0000441B0000}"/>
    <cellStyle name="Normal 5 4 7 2 2 2" xfId="16649" xr:uid="{D676DE8A-F39D-4ADB-8EA8-69624727E766}"/>
    <cellStyle name="Normal 5 4 7 2 3" xfId="12431" xr:uid="{9B0538E5-957B-42ED-9E66-2435E6EBE2BB}"/>
    <cellStyle name="Normal 5 4 7 3" xfId="6069" xr:uid="{00000000-0005-0000-0000-0000451B0000}"/>
    <cellStyle name="Normal 5 4 7 3 2" xfId="14504" xr:uid="{8D3A8620-12E5-4D6A-B211-2028C75D8F5E}"/>
    <cellStyle name="Normal 5 4 7 4" xfId="10286" xr:uid="{686C321A-1FAD-4AD0-871F-1CC5B9ABC1C8}"/>
    <cellStyle name="Normal 5 4 8" xfId="2175" xr:uid="{00000000-0005-0000-0000-0000461B0000}"/>
    <cellStyle name="Normal 5 4 8 2" xfId="4404" xr:uid="{00000000-0005-0000-0000-0000471B0000}"/>
    <cellStyle name="Normal 5 4 8 2 2" xfId="8627" xr:uid="{00000000-0005-0000-0000-0000481B0000}"/>
    <cellStyle name="Normal 5 4 8 2 2 2" xfId="17062" xr:uid="{C188A0C3-FA35-4E87-BD31-0EC8A4AF3CBD}"/>
    <cellStyle name="Normal 5 4 8 2 3" xfId="12844" xr:uid="{8ADA3946-C30D-462C-A3E2-0476E170AD3A}"/>
    <cellStyle name="Normal 5 4 8 3" xfId="6482" xr:uid="{00000000-0005-0000-0000-0000491B0000}"/>
    <cellStyle name="Normal 5 4 8 3 2" xfId="14917" xr:uid="{C9403DDF-1D77-45AA-A88D-E7985865DC33}"/>
    <cellStyle name="Normal 5 4 8 4" xfId="10699" xr:uid="{02992AEE-9BBC-42ED-BB56-E3616EA4A165}"/>
    <cellStyle name="Normal 5 4 9" xfId="2611" xr:uid="{00000000-0005-0000-0000-00004A1B0000}"/>
    <cellStyle name="Normal 5 4 9 2" xfId="6895" xr:uid="{00000000-0005-0000-0000-00004B1B0000}"/>
    <cellStyle name="Normal 5 4 9 2 2" xfId="15330" xr:uid="{93D60AA4-D31E-4FAD-84AD-F5A9CA538735}"/>
    <cellStyle name="Normal 5 4 9 3" xfId="11112" xr:uid="{5C649D42-E140-425E-B85F-A07E0B0C4F5A}"/>
    <cellStyle name="Normal 5 5" xfId="464" xr:uid="{00000000-0005-0000-0000-00004C1B0000}"/>
    <cellStyle name="Normal 5 5 10" xfId="9055" xr:uid="{1415D4E6-044C-4505-9D7A-B8B61CE0B421}"/>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2 2 2" xfId="15833" xr:uid="{90B6412B-EBE0-4A73-BF91-588442FC56A3}"/>
    <cellStyle name="Normal 5 5 2 2 2 2 3" xfId="11615" xr:uid="{A8087BC8-9292-484A-BCC2-30C7BABE9AB1}"/>
    <cellStyle name="Normal 5 5 2 2 2 3" xfId="5253" xr:uid="{00000000-0005-0000-0000-0000521B0000}"/>
    <cellStyle name="Normal 5 5 2 2 2 3 2" xfId="13688" xr:uid="{B0562865-E2FE-4CD6-85AF-001DAC6AE890}"/>
    <cellStyle name="Normal 5 5 2 2 2 4" xfId="9470" xr:uid="{C47A8B78-25C5-490D-9D42-2C4A41BF2DF4}"/>
    <cellStyle name="Normal 5 5 2 2 3" xfId="1358" xr:uid="{00000000-0005-0000-0000-0000531B0000}"/>
    <cellStyle name="Normal 5 5 2 2 3 2" xfId="3588" xr:uid="{00000000-0005-0000-0000-0000541B0000}"/>
    <cellStyle name="Normal 5 5 2 2 3 2 2" xfId="7811" xr:uid="{00000000-0005-0000-0000-0000551B0000}"/>
    <cellStyle name="Normal 5 5 2 2 3 2 2 2" xfId="16246" xr:uid="{2F463C17-1F05-46CB-A50A-BA40F7A41DFA}"/>
    <cellStyle name="Normal 5 5 2 2 3 2 3" xfId="12028" xr:uid="{D6CE61A4-E57E-47B6-96F5-DD9E3EC0ECCB}"/>
    <cellStyle name="Normal 5 5 2 2 3 3" xfId="5666" xr:uid="{00000000-0005-0000-0000-0000561B0000}"/>
    <cellStyle name="Normal 5 5 2 2 3 3 2" xfId="14101" xr:uid="{3DF423C8-B9DE-4FAF-9CDB-2ADDF8EC9934}"/>
    <cellStyle name="Normal 5 5 2 2 3 4" xfId="9883" xr:uid="{83F440B6-BC0A-404E-8C6D-567E5B4356E7}"/>
    <cellStyle name="Normal 5 5 2 2 4" xfId="1771" xr:uid="{00000000-0005-0000-0000-0000571B0000}"/>
    <cellStyle name="Normal 5 5 2 2 4 2" xfId="4001" xr:uid="{00000000-0005-0000-0000-0000581B0000}"/>
    <cellStyle name="Normal 5 5 2 2 4 2 2" xfId="8224" xr:uid="{00000000-0005-0000-0000-0000591B0000}"/>
    <cellStyle name="Normal 5 5 2 2 4 2 2 2" xfId="16659" xr:uid="{93451E0B-FD27-47BB-8B34-04D7225C5A6F}"/>
    <cellStyle name="Normal 5 5 2 2 4 2 3" xfId="12441" xr:uid="{2CB138BC-4BBE-418D-A21F-E5792964448F}"/>
    <cellStyle name="Normal 5 5 2 2 4 3" xfId="6079" xr:uid="{00000000-0005-0000-0000-00005A1B0000}"/>
    <cellStyle name="Normal 5 5 2 2 4 3 2" xfId="14514" xr:uid="{D0C5C7E0-1C64-4E91-A36A-442E56E9D1CE}"/>
    <cellStyle name="Normal 5 5 2 2 4 4" xfId="10296" xr:uid="{6B100B88-E706-4828-8D15-4C64A20F9911}"/>
    <cellStyle name="Normal 5 5 2 2 5" xfId="2185" xr:uid="{00000000-0005-0000-0000-00005B1B0000}"/>
    <cellStyle name="Normal 5 5 2 2 5 2" xfId="4414" xr:uid="{00000000-0005-0000-0000-00005C1B0000}"/>
    <cellStyle name="Normal 5 5 2 2 5 2 2" xfId="8637" xr:uid="{00000000-0005-0000-0000-00005D1B0000}"/>
    <cellStyle name="Normal 5 5 2 2 5 2 2 2" xfId="17072" xr:uid="{6483BF24-DDD9-48BA-B6AF-AF6B2EF2B82F}"/>
    <cellStyle name="Normal 5 5 2 2 5 2 3" xfId="12854" xr:uid="{3734B671-B714-41F2-B26F-62CEA3DE22C2}"/>
    <cellStyle name="Normal 5 5 2 2 5 3" xfId="6492" xr:uid="{00000000-0005-0000-0000-00005E1B0000}"/>
    <cellStyle name="Normal 5 5 2 2 5 3 2" xfId="14927" xr:uid="{71A03F13-6FD2-4F2A-9414-97284A02C946}"/>
    <cellStyle name="Normal 5 5 2 2 5 4" xfId="10709" xr:uid="{8A2E9A9D-4566-4F76-BA20-A85F33FB1DFA}"/>
    <cellStyle name="Normal 5 5 2 2 6" xfId="2621" xr:uid="{00000000-0005-0000-0000-00005F1B0000}"/>
    <cellStyle name="Normal 5 5 2 2 6 2" xfId="6905" xr:uid="{00000000-0005-0000-0000-0000601B0000}"/>
    <cellStyle name="Normal 5 5 2 2 6 2 2" xfId="15340" xr:uid="{46F75AEB-EDDB-4C05-A155-ED8EF3D5351D}"/>
    <cellStyle name="Normal 5 5 2 2 6 3" xfId="11122" xr:uid="{C6FCC3D0-2D60-4655-9A5F-D353CA7B6508}"/>
    <cellStyle name="Normal 5 5 2 2 7" xfId="4840" xr:uid="{00000000-0005-0000-0000-0000611B0000}"/>
    <cellStyle name="Normal 5 5 2 2 7 2" xfId="13275" xr:uid="{A160D865-FD94-42F8-95FF-328A7992AA65}"/>
    <cellStyle name="Normal 5 5 2 2 8" xfId="9057" xr:uid="{E902292B-B732-4B18-BEDA-8076835C17A7}"/>
    <cellStyle name="Normal 5 5 2 3" xfId="940" xr:uid="{00000000-0005-0000-0000-0000621B0000}"/>
    <cellStyle name="Normal 5 5 2 3 2" xfId="3174" xr:uid="{00000000-0005-0000-0000-0000631B0000}"/>
    <cellStyle name="Normal 5 5 2 3 2 2" xfId="7397" xr:uid="{00000000-0005-0000-0000-0000641B0000}"/>
    <cellStyle name="Normal 5 5 2 3 2 2 2" xfId="15832" xr:uid="{C81C453B-EECD-4255-B5C3-1A437328BDC3}"/>
    <cellStyle name="Normal 5 5 2 3 2 3" xfId="11614" xr:uid="{5428F5BF-2377-4146-88A7-F09FEBA7088E}"/>
    <cellStyle name="Normal 5 5 2 3 3" xfId="5252" xr:uid="{00000000-0005-0000-0000-0000651B0000}"/>
    <cellStyle name="Normal 5 5 2 3 3 2" xfId="13687" xr:uid="{D62C0120-A180-451E-83DE-EAA6DEA11114}"/>
    <cellStyle name="Normal 5 5 2 3 4" xfId="9469" xr:uid="{567EBC1F-01CA-4507-A20B-19D2F4614576}"/>
    <cellStyle name="Normal 5 5 2 4" xfId="1357" xr:uid="{00000000-0005-0000-0000-0000661B0000}"/>
    <cellStyle name="Normal 5 5 2 4 2" xfId="3587" xr:uid="{00000000-0005-0000-0000-0000671B0000}"/>
    <cellStyle name="Normal 5 5 2 4 2 2" xfId="7810" xr:uid="{00000000-0005-0000-0000-0000681B0000}"/>
    <cellStyle name="Normal 5 5 2 4 2 2 2" xfId="16245" xr:uid="{1410AD3D-07AA-481F-A952-DE81D4B2876B}"/>
    <cellStyle name="Normal 5 5 2 4 2 3" xfId="12027" xr:uid="{E51AFB7C-AA71-4109-9E9D-6BEBA95E53C4}"/>
    <cellStyle name="Normal 5 5 2 4 3" xfId="5665" xr:uid="{00000000-0005-0000-0000-0000691B0000}"/>
    <cellStyle name="Normal 5 5 2 4 3 2" xfId="14100" xr:uid="{C1C41141-766E-42A6-849C-B5F677FA4727}"/>
    <cellStyle name="Normal 5 5 2 4 4" xfId="9882" xr:uid="{CA02735F-454F-4408-B983-CD0EA3028321}"/>
    <cellStyle name="Normal 5 5 2 5" xfId="1770" xr:uid="{00000000-0005-0000-0000-00006A1B0000}"/>
    <cellStyle name="Normal 5 5 2 5 2" xfId="4000" xr:uid="{00000000-0005-0000-0000-00006B1B0000}"/>
    <cellStyle name="Normal 5 5 2 5 2 2" xfId="8223" xr:uid="{00000000-0005-0000-0000-00006C1B0000}"/>
    <cellStyle name="Normal 5 5 2 5 2 2 2" xfId="16658" xr:uid="{A38A3011-EE7B-4A42-967A-B191510DAA0C}"/>
    <cellStyle name="Normal 5 5 2 5 2 3" xfId="12440" xr:uid="{67118B17-EC4A-4281-B34F-5C683EB96473}"/>
    <cellStyle name="Normal 5 5 2 5 3" xfId="6078" xr:uid="{00000000-0005-0000-0000-00006D1B0000}"/>
    <cellStyle name="Normal 5 5 2 5 3 2" xfId="14513" xr:uid="{86DB5DA2-10B2-43F2-B5A7-D28C49C0C682}"/>
    <cellStyle name="Normal 5 5 2 5 4" xfId="10295" xr:uid="{DE2CF61A-F5B3-4845-BFC3-FE5B158932AB}"/>
    <cellStyle name="Normal 5 5 2 6" xfId="2184" xr:uid="{00000000-0005-0000-0000-00006E1B0000}"/>
    <cellStyle name="Normal 5 5 2 6 2" xfId="4413" xr:uid="{00000000-0005-0000-0000-00006F1B0000}"/>
    <cellStyle name="Normal 5 5 2 6 2 2" xfId="8636" xr:uid="{00000000-0005-0000-0000-0000701B0000}"/>
    <cellStyle name="Normal 5 5 2 6 2 2 2" xfId="17071" xr:uid="{EC248AAC-89B6-4E0C-BFFC-C914279FE8C0}"/>
    <cellStyle name="Normal 5 5 2 6 2 3" xfId="12853" xr:uid="{19B690D0-2228-4111-842A-F8780BB51909}"/>
    <cellStyle name="Normal 5 5 2 6 3" xfId="6491" xr:uid="{00000000-0005-0000-0000-0000711B0000}"/>
    <cellStyle name="Normal 5 5 2 6 3 2" xfId="14926" xr:uid="{4410AB7A-6D03-4A3F-851D-0BE4FECFBC48}"/>
    <cellStyle name="Normal 5 5 2 6 4" xfId="10708" xr:uid="{9D924465-B2A5-4B65-9D73-504CEA0C6B47}"/>
    <cellStyle name="Normal 5 5 2 7" xfId="2620" xr:uid="{00000000-0005-0000-0000-0000721B0000}"/>
    <cellStyle name="Normal 5 5 2 7 2" xfId="6904" xr:uid="{00000000-0005-0000-0000-0000731B0000}"/>
    <cellStyle name="Normal 5 5 2 7 2 2" xfId="15339" xr:uid="{9D7282A0-4BC2-415B-A142-86DDA3570894}"/>
    <cellStyle name="Normal 5 5 2 7 3" xfId="11121" xr:uid="{CAF3ABF2-ACFC-4192-BE77-A4474BBEFAB9}"/>
    <cellStyle name="Normal 5 5 2 8" xfId="4839" xr:uid="{00000000-0005-0000-0000-0000741B0000}"/>
    <cellStyle name="Normal 5 5 2 8 2" xfId="13274" xr:uid="{EC98C495-5FBB-44BB-BACB-6E1DB62C43BD}"/>
    <cellStyle name="Normal 5 5 2 9" xfId="9056" xr:uid="{AB8216D7-97F5-4DBC-8F34-F0F84234B5D3}"/>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2 2 2" xfId="15834" xr:uid="{8D3F0AAF-693E-45A0-8E64-5639BD39ECD2}"/>
    <cellStyle name="Normal 5 5 3 2 2 3" xfId="11616" xr:uid="{3BC68A77-55BA-4DE7-BFEE-8F08D30E1532}"/>
    <cellStyle name="Normal 5 5 3 2 3" xfId="5254" xr:uid="{00000000-0005-0000-0000-0000791B0000}"/>
    <cellStyle name="Normal 5 5 3 2 3 2" xfId="13689" xr:uid="{C5A221CD-084F-4F76-86D0-5224402E80D2}"/>
    <cellStyle name="Normal 5 5 3 2 4" xfId="9471" xr:uid="{34D7BDD3-DB56-4860-A14C-4B7D38ADB4B3}"/>
    <cellStyle name="Normal 5 5 3 3" xfId="1359" xr:uid="{00000000-0005-0000-0000-00007A1B0000}"/>
    <cellStyle name="Normal 5 5 3 3 2" xfId="3589" xr:uid="{00000000-0005-0000-0000-00007B1B0000}"/>
    <cellStyle name="Normal 5 5 3 3 2 2" xfId="7812" xr:uid="{00000000-0005-0000-0000-00007C1B0000}"/>
    <cellStyle name="Normal 5 5 3 3 2 2 2" xfId="16247" xr:uid="{2E7A487E-0D3F-4D11-8A14-0D63F3E1C30E}"/>
    <cellStyle name="Normal 5 5 3 3 2 3" xfId="12029" xr:uid="{E6BBFDB9-6D56-443C-825F-60A9953F282B}"/>
    <cellStyle name="Normal 5 5 3 3 3" xfId="5667" xr:uid="{00000000-0005-0000-0000-00007D1B0000}"/>
    <cellStyle name="Normal 5 5 3 3 3 2" xfId="14102" xr:uid="{9D70635D-2480-4A8F-BCEF-F08D16B43E6F}"/>
    <cellStyle name="Normal 5 5 3 3 4" xfId="9884" xr:uid="{A37A51D4-5C9E-4C95-BACA-B4F597D1D72E}"/>
    <cellStyle name="Normal 5 5 3 4" xfId="1772" xr:uid="{00000000-0005-0000-0000-00007E1B0000}"/>
    <cellStyle name="Normal 5 5 3 4 2" xfId="4002" xr:uid="{00000000-0005-0000-0000-00007F1B0000}"/>
    <cellStyle name="Normal 5 5 3 4 2 2" xfId="8225" xr:uid="{00000000-0005-0000-0000-0000801B0000}"/>
    <cellStyle name="Normal 5 5 3 4 2 2 2" xfId="16660" xr:uid="{8AE4F6CF-50BA-480F-8B89-840B7CBC313B}"/>
    <cellStyle name="Normal 5 5 3 4 2 3" xfId="12442" xr:uid="{A6AF0FD3-332F-4A92-8621-77F796B7C66A}"/>
    <cellStyle name="Normal 5 5 3 4 3" xfId="6080" xr:uid="{00000000-0005-0000-0000-0000811B0000}"/>
    <cellStyle name="Normal 5 5 3 4 3 2" xfId="14515" xr:uid="{71BC36A3-8CD5-4A20-9007-41337E59649B}"/>
    <cellStyle name="Normal 5 5 3 4 4" xfId="10297" xr:uid="{E7BD3178-6DFA-4E27-A857-2C51281E97FA}"/>
    <cellStyle name="Normal 5 5 3 5" xfId="2186" xr:uid="{00000000-0005-0000-0000-0000821B0000}"/>
    <cellStyle name="Normal 5 5 3 5 2" xfId="4415" xr:uid="{00000000-0005-0000-0000-0000831B0000}"/>
    <cellStyle name="Normal 5 5 3 5 2 2" xfId="8638" xr:uid="{00000000-0005-0000-0000-0000841B0000}"/>
    <cellStyle name="Normal 5 5 3 5 2 2 2" xfId="17073" xr:uid="{BDDBF338-3460-4336-A0D1-37CD4A76C733}"/>
    <cellStyle name="Normal 5 5 3 5 2 3" xfId="12855" xr:uid="{FD542460-32B2-460B-A3BD-14A36CC0A64F}"/>
    <cellStyle name="Normal 5 5 3 5 3" xfId="6493" xr:uid="{00000000-0005-0000-0000-0000851B0000}"/>
    <cellStyle name="Normal 5 5 3 5 3 2" xfId="14928" xr:uid="{5B5AE364-30C1-41AE-A9D1-8203306614EA}"/>
    <cellStyle name="Normal 5 5 3 5 4" xfId="10710" xr:uid="{6E490A05-C8AE-40BD-8A34-DE46EA6DB35F}"/>
    <cellStyle name="Normal 5 5 3 6" xfId="2622" xr:uid="{00000000-0005-0000-0000-0000861B0000}"/>
    <cellStyle name="Normal 5 5 3 6 2" xfId="6906" xr:uid="{00000000-0005-0000-0000-0000871B0000}"/>
    <cellStyle name="Normal 5 5 3 6 2 2" xfId="15341" xr:uid="{BED4DB54-6199-4770-BE62-B78FC8D7DF30}"/>
    <cellStyle name="Normal 5 5 3 6 3" xfId="11123" xr:uid="{DED85255-4BAB-4047-B30E-24D39F0FEBDA}"/>
    <cellStyle name="Normal 5 5 3 7" xfId="4841" xr:uid="{00000000-0005-0000-0000-0000881B0000}"/>
    <cellStyle name="Normal 5 5 3 7 2" xfId="13276" xr:uid="{A147E556-F176-4BBA-8B2C-2E46C5D77B67}"/>
    <cellStyle name="Normal 5 5 3 8" xfId="9058" xr:uid="{922ED8EC-6EE9-468F-A4C5-2E1FA5103906}"/>
    <cellStyle name="Normal 5 5 4" xfId="939" xr:uid="{00000000-0005-0000-0000-0000891B0000}"/>
    <cellStyle name="Normal 5 5 4 2" xfId="3173" xr:uid="{00000000-0005-0000-0000-00008A1B0000}"/>
    <cellStyle name="Normal 5 5 4 2 2" xfId="7396" xr:uid="{00000000-0005-0000-0000-00008B1B0000}"/>
    <cellStyle name="Normal 5 5 4 2 2 2" xfId="15831" xr:uid="{331E6F0A-1F5B-40A4-B6C0-1A42722CEB93}"/>
    <cellStyle name="Normal 5 5 4 2 3" xfId="11613" xr:uid="{31EC9F8C-EF73-4926-BDF9-EF3919ABF975}"/>
    <cellStyle name="Normal 5 5 4 3" xfId="5251" xr:uid="{00000000-0005-0000-0000-00008C1B0000}"/>
    <cellStyle name="Normal 5 5 4 3 2" xfId="13686" xr:uid="{C9F5FA3B-3EA2-435A-9D83-F5AAE66E2134}"/>
    <cellStyle name="Normal 5 5 4 4" xfId="9468" xr:uid="{D367258C-49F5-454A-8A76-84F736E9815C}"/>
    <cellStyle name="Normal 5 5 5" xfId="1356" xr:uid="{00000000-0005-0000-0000-00008D1B0000}"/>
    <cellStyle name="Normal 5 5 5 2" xfId="3586" xr:uid="{00000000-0005-0000-0000-00008E1B0000}"/>
    <cellStyle name="Normal 5 5 5 2 2" xfId="7809" xr:uid="{00000000-0005-0000-0000-00008F1B0000}"/>
    <cellStyle name="Normal 5 5 5 2 2 2" xfId="16244" xr:uid="{6256CC37-7278-4E97-99A5-2F074AFD06C5}"/>
    <cellStyle name="Normal 5 5 5 2 3" xfId="12026" xr:uid="{2D2EC6EB-289F-4196-8854-F6A1059C61DC}"/>
    <cellStyle name="Normal 5 5 5 3" xfId="5664" xr:uid="{00000000-0005-0000-0000-0000901B0000}"/>
    <cellStyle name="Normal 5 5 5 3 2" xfId="14099" xr:uid="{48A6B332-8BB1-4632-9A06-53EE17AA5AB0}"/>
    <cellStyle name="Normal 5 5 5 4" xfId="9881" xr:uid="{E2C0AAAA-BACA-430D-AE72-6080AFFF47C9}"/>
    <cellStyle name="Normal 5 5 6" xfId="1769" xr:uid="{00000000-0005-0000-0000-0000911B0000}"/>
    <cellStyle name="Normal 5 5 6 2" xfId="3999" xr:uid="{00000000-0005-0000-0000-0000921B0000}"/>
    <cellStyle name="Normal 5 5 6 2 2" xfId="8222" xr:uid="{00000000-0005-0000-0000-0000931B0000}"/>
    <cellStyle name="Normal 5 5 6 2 2 2" xfId="16657" xr:uid="{191F9BF9-FB50-433E-B558-EDCC823B57F9}"/>
    <cellStyle name="Normal 5 5 6 2 3" xfId="12439" xr:uid="{9C639D71-8C74-4627-884B-D13C983CD531}"/>
    <cellStyle name="Normal 5 5 6 3" xfId="6077" xr:uid="{00000000-0005-0000-0000-0000941B0000}"/>
    <cellStyle name="Normal 5 5 6 3 2" xfId="14512" xr:uid="{9973A681-1C55-45A5-B72A-A75C7FB5E88C}"/>
    <cellStyle name="Normal 5 5 6 4" xfId="10294" xr:uid="{E8412BCC-242A-4B1C-BCC9-4A5A5507C8F3}"/>
    <cellStyle name="Normal 5 5 7" xfId="2183" xr:uid="{00000000-0005-0000-0000-0000951B0000}"/>
    <cellStyle name="Normal 5 5 7 2" xfId="4412" xr:uid="{00000000-0005-0000-0000-0000961B0000}"/>
    <cellStyle name="Normal 5 5 7 2 2" xfId="8635" xr:uid="{00000000-0005-0000-0000-0000971B0000}"/>
    <cellStyle name="Normal 5 5 7 2 2 2" xfId="17070" xr:uid="{1D380C94-295B-4F3C-AAE8-87865135DB45}"/>
    <cellStyle name="Normal 5 5 7 2 3" xfId="12852" xr:uid="{6AC53079-007E-4D2B-8A55-FD37E52A6727}"/>
    <cellStyle name="Normal 5 5 7 3" xfId="6490" xr:uid="{00000000-0005-0000-0000-0000981B0000}"/>
    <cellStyle name="Normal 5 5 7 3 2" xfId="14925" xr:uid="{6A9B6903-2B48-483F-B6A3-33725420AD5C}"/>
    <cellStyle name="Normal 5 5 7 4" xfId="10707" xr:uid="{3D65961C-C435-46F7-9355-DDAFFA45389E}"/>
    <cellStyle name="Normal 5 5 8" xfId="2619" xr:uid="{00000000-0005-0000-0000-0000991B0000}"/>
    <cellStyle name="Normal 5 5 8 2" xfId="6903" xr:uid="{00000000-0005-0000-0000-00009A1B0000}"/>
    <cellStyle name="Normal 5 5 8 2 2" xfId="15338" xr:uid="{9D1007B5-E10D-4855-9169-390A25C29437}"/>
    <cellStyle name="Normal 5 5 8 3" xfId="11120" xr:uid="{97F6F9CC-51D4-47DB-B67B-3014572B28FA}"/>
    <cellStyle name="Normal 5 5 9" xfId="4838" xr:uid="{00000000-0005-0000-0000-00009B1B0000}"/>
    <cellStyle name="Normal 5 5 9 2" xfId="13273" xr:uid="{68BDE37F-FDAC-4C6C-94F3-B3AAD12A067A}"/>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2 2 2" xfId="15836" xr:uid="{A1A9C819-5449-4CEF-BC9B-A328041BD258}"/>
    <cellStyle name="Normal 5 6 2 2 2 3" xfId="11618" xr:uid="{913983E1-8DAA-461E-BA9B-CC83D9273C67}"/>
    <cellStyle name="Normal 5 6 2 2 3" xfId="5256" xr:uid="{00000000-0005-0000-0000-0000A11B0000}"/>
    <cellStyle name="Normal 5 6 2 2 3 2" xfId="13691" xr:uid="{A176A2DC-A0EF-4904-8962-B2E1B56B1143}"/>
    <cellStyle name="Normal 5 6 2 2 4" xfId="9473" xr:uid="{B7DE0B1A-2044-428D-B79D-180891CF2774}"/>
    <cellStyle name="Normal 5 6 2 3" xfId="1361" xr:uid="{00000000-0005-0000-0000-0000A21B0000}"/>
    <cellStyle name="Normal 5 6 2 3 2" xfId="3591" xr:uid="{00000000-0005-0000-0000-0000A31B0000}"/>
    <cellStyle name="Normal 5 6 2 3 2 2" xfId="7814" xr:uid="{00000000-0005-0000-0000-0000A41B0000}"/>
    <cellStyle name="Normal 5 6 2 3 2 2 2" xfId="16249" xr:uid="{92651C69-8549-4394-A629-79CDA31D6C89}"/>
    <cellStyle name="Normal 5 6 2 3 2 3" xfId="12031" xr:uid="{81FFC2C4-17A4-4A25-8933-B3926821CA05}"/>
    <cellStyle name="Normal 5 6 2 3 3" xfId="5669" xr:uid="{00000000-0005-0000-0000-0000A51B0000}"/>
    <cellStyle name="Normal 5 6 2 3 3 2" xfId="14104" xr:uid="{17F73719-622E-4B0C-80CC-F7D37F86A3CD}"/>
    <cellStyle name="Normal 5 6 2 3 4" xfId="9886" xr:uid="{428789C1-E453-42EF-B973-26A310BD3378}"/>
    <cellStyle name="Normal 5 6 2 4" xfId="1774" xr:uid="{00000000-0005-0000-0000-0000A61B0000}"/>
    <cellStyle name="Normal 5 6 2 4 2" xfId="4004" xr:uid="{00000000-0005-0000-0000-0000A71B0000}"/>
    <cellStyle name="Normal 5 6 2 4 2 2" xfId="8227" xr:uid="{00000000-0005-0000-0000-0000A81B0000}"/>
    <cellStyle name="Normal 5 6 2 4 2 2 2" xfId="16662" xr:uid="{98BF4CF1-E0D6-4A7E-A403-B09DBFAA7E77}"/>
    <cellStyle name="Normal 5 6 2 4 2 3" xfId="12444" xr:uid="{9E8E5220-BD8B-4556-9890-BE703A1F169C}"/>
    <cellStyle name="Normal 5 6 2 4 3" xfId="6082" xr:uid="{00000000-0005-0000-0000-0000A91B0000}"/>
    <cellStyle name="Normal 5 6 2 4 3 2" xfId="14517" xr:uid="{476CCF56-A3A3-49D3-A4F9-0D33E60E8AF6}"/>
    <cellStyle name="Normal 5 6 2 4 4" xfId="10299" xr:uid="{0DC7FD6D-81B3-4EA0-91D5-C6935E41A2E8}"/>
    <cellStyle name="Normal 5 6 2 5" xfId="2188" xr:uid="{00000000-0005-0000-0000-0000AA1B0000}"/>
    <cellStyle name="Normal 5 6 2 5 2" xfId="4417" xr:uid="{00000000-0005-0000-0000-0000AB1B0000}"/>
    <cellStyle name="Normal 5 6 2 5 2 2" xfId="8640" xr:uid="{00000000-0005-0000-0000-0000AC1B0000}"/>
    <cellStyle name="Normal 5 6 2 5 2 2 2" xfId="17075" xr:uid="{E08C4285-2299-4012-98B1-FC8710B0478D}"/>
    <cellStyle name="Normal 5 6 2 5 2 3" xfId="12857" xr:uid="{668F6572-C1F1-4792-88A9-15AB2A9638CA}"/>
    <cellStyle name="Normal 5 6 2 5 3" xfId="6495" xr:uid="{00000000-0005-0000-0000-0000AD1B0000}"/>
    <cellStyle name="Normal 5 6 2 5 3 2" xfId="14930" xr:uid="{365594E9-1B78-4FBE-ACF7-E6C7D24C2264}"/>
    <cellStyle name="Normal 5 6 2 5 4" xfId="10712" xr:uid="{993DC8BB-9F93-40EF-A61B-CE04188C19C5}"/>
    <cellStyle name="Normal 5 6 2 6" xfId="2624" xr:uid="{00000000-0005-0000-0000-0000AE1B0000}"/>
    <cellStyle name="Normal 5 6 2 6 2" xfId="6908" xr:uid="{00000000-0005-0000-0000-0000AF1B0000}"/>
    <cellStyle name="Normal 5 6 2 6 2 2" xfId="15343" xr:uid="{DA2C955F-163F-49A0-96B7-C92ED57C72B4}"/>
    <cellStyle name="Normal 5 6 2 6 3" xfId="11125" xr:uid="{9DE67FF2-405B-48BA-9B91-32EF6DA15018}"/>
    <cellStyle name="Normal 5 6 2 7" xfId="4843" xr:uid="{00000000-0005-0000-0000-0000B01B0000}"/>
    <cellStyle name="Normal 5 6 2 7 2" xfId="13278" xr:uid="{7A7DD2A4-D837-46F3-A188-E00E8859DA3F}"/>
    <cellStyle name="Normal 5 6 2 8" xfId="9060" xr:uid="{D4F16CE5-34EC-443A-9712-86CA1A69C01D}"/>
    <cellStyle name="Normal 5 6 3" xfId="943" xr:uid="{00000000-0005-0000-0000-0000B11B0000}"/>
    <cellStyle name="Normal 5 6 3 2" xfId="3177" xr:uid="{00000000-0005-0000-0000-0000B21B0000}"/>
    <cellStyle name="Normal 5 6 3 2 2" xfId="7400" xr:uid="{00000000-0005-0000-0000-0000B31B0000}"/>
    <cellStyle name="Normal 5 6 3 2 2 2" xfId="15835" xr:uid="{8A819A17-0D37-46A5-9BB4-C948829ECB58}"/>
    <cellStyle name="Normal 5 6 3 2 3" xfId="11617" xr:uid="{D4A4E793-4832-49B6-95D7-9F26A34874FC}"/>
    <cellStyle name="Normal 5 6 3 3" xfId="5255" xr:uid="{00000000-0005-0000-0000-0000B41B0000}"/>
    <cellStyle name="Normal 5 6 3 3 2" xfId="13690" xr:uid="{DA2CDD59-1382-4374-92EB-57CE4F41FF95}"/>
    <cellStyle name="Normal 5 6 3 4" xfId="9472" xr:uid="{BC6F0F73-153E-4454-B365-0C3E06203F5E}"/>
    <cellStyle name="Normal 5 6 4" xfId="1360" xr:uid="{00000000-0005-0000-0000-0000B51B0000}"/>
    <cellStyle name="Normal 5 6 4 2" xfId="3590" xr:uid="{00000000-0005-0000-0000-0000B61B0000}"/>
    <cellStyle name="Normal 5 6 4 2 2" xfId="7813" xr:uid="{00000000-0005-0000-0000-0000B71B0000}"/>
    <cellStyle name="Normal 5 6 4 2 2 2" xfId="16248" xr:uid="{F16A5BA0-7428-4C57-9000-2A883500C1F7}"/>
    <cellStyle name="Normal 5 6 4 2 3" xfId="12030" xr:uid="{957A438B-F2EF-4EFB-A0A1-5AF52D3C5226}"/>
    <cellStyle name="Normal 5 6 4 3" xfId="5668" xr:uid="{00000000-0005-0000-0000-0000B81B0000}"/>
    <cellStyle name="Normal 5 6 4 3 2" xfId="14103" xr:uid="{701D7FA9-EFEE-4DF1-8E96-8194EAB18680}"/>
    <cellStyle name="Normal 5 6 4 4" xfId="9885" xr:uid="{5187FD86-BD07-44A1-BB68-CBB71B3B1806}"/>
    <cellStyle name="Normal 5 6 5" xfId="1773" xr:uid="{00000000-0005-0000-0000-0000B91B0000}"/>
    <cellStyle name="Normal 5 6 5 2" xfId="4003" xr:uid="{00000000-0005-0000-0000-0000BA1B0000}"/>
    <cellStyle name="Normal 5 6 5 2 2" xfId="8226" xr:uid="{00000000-0005-0000-0000-0000BB1B0000}"/>
    <cellStyle name="Normal 5 6 5 2 2 2" xfId="16661" xr:uid="{224F32F5-A26B-4033-9098-85503B06E131}"/>
    <cellStyle name="Normal 5 6 5 2 3" xfId="12443" xr:uid="{7E125236-6344-4B2E-89D4-5C1817C42C7F}"/>
    <cellStyle name="Normal 5 6 5 3" xfId="6081" xr:uid="{00000000-0005-0000-0000-0000BC1B0000}"/>
    <cellStyle name="Normal 5 6 5 3 2" xfId="14516" xr:uid="{406C9BF4-B587-49F7-8D2B-82B11B987100}"/>
    <cellStyle name="Normal 5 6 5 4" xfId="10298" xr:uid="{279560C0-CE92-429C-87D6-1E2DBAFA3A95}"/>
    <cellStyle name="Normal 5 6 6" xfId="2187" xr:uid="{00000000-0005-0000-0000-0000BD1B0000}"/>
    <cellStyle name="Normal 5 6 6 2" xfId="4416" xr:uid="{00000000-0005-0000-0000-0000BE1B0000}"/>
    <cellStyle name="Normal 5 6 6 2 2" xfId="8639" xr:uid="{00000000-0005-0000-0000-0000BF1B0000}"/>
    <cellStyle name="Normal 5 6 6 2 2 2" xfId="17074" xr:uid="{ACAB52F6-58D6-41D5-AA6C-7E34A3D73FD8}"/>
    <cellStyle name="Normal 5 6 6 2 3" xfId="12856" xr:uid="{5AE5DF7B-3EE8-4BA0-9558-9B64E7F98FC0}"/>
    <cellStyle name="Normal 5 6 6 3" xfId="6494" xr:uid="{00000000-0005-0000-0000-0000C01B0000}"/>
    <cellStyle name="Normal 5 6 6 3 2" xfId="14929" xr:uid="{43EC495E-C0B3-40FB-B9B8-AE83CFD3DF79}"/>
    <cellStyle name="Normal 5 6 6 4" xfId="10711" xr:uid="{BE935BC7-1C89-4F7D-9ECC-8ECD1302C4DB}"/>
    <cellStyle name="Normal 5 6 7" xfId="2623" xr:uid="{00000000-0005-0000-0000-0000C11B0000}"/>
    <cellStyle name="Normal 5 6 7 2" xfId="6907" xr:uid="{00000000-0005-0000-0000-0000C21B0000}"/>
    <cellStyle name="Normal 5 6 7 2 2" xfId="15342" xr:uid="{DA6B8CDD-8D0B-4E64-A04C-4B46ACC8662A}"/>
    <cellStyle name="Normal 5 6 7 3" xfId="11124" xr:uid="{EECA4AAB-B3B6-4C9A-BC26-8D54BA72FFEE}"/>
    <cellStyle name="Normal 5 6 8" xfId="4842" xr:uid="{00000000-0005-0000-0000-0000C31B0000}"/>
    <cellStyle name="Normal 5 6 8 2" xfId="13277" xr:uid="{11636B44-E879-42CF-A51A-8B8CA8800C1C}"/>
    <cellStyle name="Normal 5 6 9" xfId="9059" xr:uid="{558E94CA-1276-49A6-826A-03F812754E1B}"/>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2 2 2" xfId="15837" xr:uid="{7F0A5BC9-87D9-4DB6-B826-980E987F57BA}"/>
    <cellStyle name="Normal 5 7 2 2 3" xfId="11619" xr:uid="{7EA06348-9918-4AEF-A811-9443334CBC9C}"/>
    <cellStyle name="Normal 5 7 2 3" xfId="5257" xr:uid="{00000000-0005-0000-0000-0000C81B0000}"/>
    <cellStyle name="Normal 5 7 2 3 2" xfId="13692" xr:uid="{D852DEC2-0FC2-448E-B9BF-31B3243AC708}"/>
    <cellStyle name="Normal 5 7 2 4" xfId="9474" xr:uid="{CBC903CB-36B9-4B99-BF55-2BF35EBFA6AB}"/>
    <cellStyle name="Normal 5 7 3" xfId="1362" xr:uid="{00000000-0005-0000-0000-0000C91B0000}"/>
    <cellStyle name="Normal 5 7 3 2" xfId="3592" xr:uid="{00000000-0005-0000-0000-0000CA1B0000}"/>
    <cellStyle name="Normal 5 7 3 2 2" xfId="7815" xr:uid="{00000000-0005-0000-0000-0000CB1B0000}"/>
    <cellStyle name="Normal 5 7 3 2 2 2" xfId="16250" xr:uid="{0FE0C0DC-72A1-41F9-8368-30D69E32E176}"/>
    <cellStyle name="Normal 5 7 3 2 3" xfId="12032" xr:uid="{0EFA09F2-E183-404B-A646-7E0E1DAE1026}"/>
    <cellStyle name="Normal 5 7 3 3" xfId="5670" xr:uid="{00000000-0005-0000-0000-0000CC1B0000}"/>
    <cellStyle name="Normal 5 7 3 3 2" xfId="14105" xr:uid="{9287654B-3ECF-4C4D-8DE5-4B56AE2FD867}"/>
    <cellStyle name="Normal 5 7 3 4" xfId="9887" xr:uid="{ED0EDB25-BED4-4C92-B431-A3262DC992DD}"/>
    <cellStyle name="Normal 5 7 4" xfId="1775" xr:uid="{00000000-0005-0000-0000-0000CD1B0000}"/>
    <cellStyle name="Normal 5 7 4 2" xfId="4005" xr:uid="{00000000-0005-0000-0000-0000CE1B0000}"/>
    <cellStyle name="Normal 5 7 4 2 2" xfId="8228" xr:uid="{00000000-0005-0000-0000-0000CF1B0000}"/>
    <cellStyle name="Normal 5 7 4 2 2 2" xfId="16663" xr:uid="{12F3F409-9EDF-4052-8C97-0A6DC3583CB1}"/>
    <cellStyle name="Normal 5 7 4 2 3" xfId="12445" xr:uid="{E7C8374B-A487-4E23-9969-B83C2C796F9C}"/>
    <cellStyle name="Normal 5 7 4 3" xfId="6083" xr:uid="{00000000-0005-0000-0000-0000D01B0000}"/>
    <cellStyle name="Normal 5 7 4 3 2" xfId="14518" xr:uid="{6760EACB-D96A-44A7-A7CB-E8089ACC1010}"/>
    <cellStyle name="Normal 5 7 4 4" xfId="10300" xr:uid="{721EED45-05BB-44E0-8E49-6775F9629624}"/>
    <cellStyle name="Normal 5 7 5" xfId="2189" xr:uid="{00000000-0005-0000-0000-0000D11B0000}"/>
    <cellStyle name="Normal 5 7 5 2" xfId="4418" xr:uid="{00000000-0005-0000-0000-0000D21B0000}"/>
    <cellStyle name="Normal 5 7 5 2 2" xfId="8641" xr:uid="{00000000-0005-0000-0000-0000D31B0000}"/>
    <cellStyle name="Normal 5 7 5 2 2 2" xfId="17076" xr:uid="{CC882C97-19E7-46D4-8187-EB5896C5C3EA}"/>
    <cellStyle name="Normal 5 7 5 2 3" xfId="12858" xr:uid="{ECA7BD28-8101-4969-9D5B-9E7D8468026E}"/>
    <cellStyle name="Normal 5 7 5 3" xfId="6496" xr:uid="{00000000-0005-0000-0000-0000D41B0000}"/>
    <cellStyle name="Normal 5 7 5 3 2" xfId="14931" xr:uid="{C6461A0F-95A1-4A57-A474-9CFA990494DB}"/>
    <cellStyle name="Normal 5 7 5 4" xfId="10713" xr:uid="{A691A3E9-3947-421D-90E7-DEB90CC0FCD4}"/>
    <cellStyle name="Normal 5 7 6" xfId="2625" xr:uid="{00000000-0005-0000-0000-0000D51B0000}"/>
    <cellStyle name="Normal 5 7 6 2" xfId="6909" xr:uid="{00000000-0005-0000-0000-0000D61B0000}"/>
    <cellStyle name="Normal 5 7 6 2 2" xfId="15344" xr:uid="{763263B7-22B7-47B5-8932-E9BEF9F0FB28}"/>
    <cellStyle name="Normal 5 7 6 3" xfId="11126" xr:uid="{76265D38-9C0D-4344-B800-3F146D610353}"/>
    <cellStyle name="Normal 5 7 7" xfId="4844" xr:uid="{00000000-0005-0000-0000-0000D71B0000}"/>
    <cellStyle name="Normal 5 7 7 2" xfId="13279" xr:uid="{E34BDEFA-4CD1-4AD8-821C-F4D14D4CB4F8}"/>
    <cellStyle name="Normal 5 7 8" xfId="9061" xr:uid="{C15F3D89-5D60-442E-9993-632CB0F5DCCD}"/>
    <cellStyle name="Normal 5 8" xfId="881" xr:uid="{00000000-0005-0000-0000-0000D81B0000}"/>
    <cellStyle name="Normal 5 8 2" xfId="3116" xr:uid="{00000000-0005-0000-0000-0000D91B0000}"/>
    <cellStyle name="Normal 5 8 2 2" xfId="7339" xr:uid="{00000000-0005-0000-0000-0000DA1B0000}"/>
    <cellStyle name="Normal 5 8 2 2 2" xfId="15774" xr:uid="{A7543618-6F96-4B65-9CCA-3251ABDAE2A8}"/>
    <cellStyle name="Normal 5 8 2 3" xfId="11556" xr:uid="{2FE48A77-8168-4EE0-BA98-C3B7270B98B7}"/>
    <cellStyle name="Normal 5 8 3" xfId="5194" xr:uid="{00000000-0005-0000-0000-0000DB1B0000}"/>
    <cellStyle name="Normal 5 8 3 2" xfId="13629" xr:uid="{F7ACE5CA-2C77-447A-8602-0F000B27711E}"/>
    <cellStyle name="Normal 5 8 4" xfId="9411" xr:uid="{9FA0FA90-9A78-47B1-AB26-2D876612C4DD}"/>
    <cellStyle name="Normal 5 9" xfId="1299" xr:uid="{00000000-0005-0000-0000-0000DC1B0000}"/>
    <cellStyle name="Normal 5 9 2" xfId="3529" xr:uid="{00000000-0005-0000-0000-0000DD1B0000}"/>
    <cellStyle name="Normal 5 9 2 2" xfId="7752" xr:uid="{00000000-0005-0000-0000-0000DE1B0000}"/>
    <cellStyle name="Normal 5 9 2 2 2" xfId="16187" xr:uid="{A7A311F6-5EA9-4D79-970F-287874A95382}"/>
    <cellStyle name="Normal 5 9 2 3" xfId="11969" xr:uid="{2683060B-5DFC-4D19-AE90-B3271CCAD3FC}"/>
    <cellStyle name="Normal 5 9 3" xfId="5607" xr:uid="{00000000-0005-0000-0000-0000DF1B0000}"/>
    <cellStyle name="Normal 5 9 3 2" xfId="14042" xr:uid="{6C1E6414-F1E5-4087-B0FD-ACDE8C49CE0E}"/>
    <cellStyle name="Normal 5 9 4" xfId="9824" xr:uid="{D9F27166-E9DD-4319-892E-7F0A560436AD}"/>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2 2 2" xfId="17077" xr:uid="{37BB71AA-3787-44D2-8B7D-BB60B4C7AE7E}"/>
    <cellStyle name="Normal 8 10 2 3" xfId="12859" xr:uid="{728E66C1-78F6-4756-AFB1-BE858D784510}"/>
    <cellStyle name="Normal 8 10 3" xfId="6497" xr:uid="{00000000-0005-0000-0000-0000EB1B0000}"/>
    <cellStyle name="Normal 8 10 3 2" xfId="14932" xr:uid="{26885EEB-7684-4652-A83D-32AB44D9041A}"/>
    <cellStyle name="Normal 8 10 4" xfId="10714" xr:uid="{C7C88777-F312-4B04-97BE-4915916F309A}"/>
    <cellStyle name="Normal 8 11" xfId="2626" xr:uid="{00000000-0005-0000-0000-0000EC1B0000}"/>
    <cellStyle name="Normal 8 11 2" xfId="6910" xr:uid="{00000000-0005-0000-0000-0000ED1B0000}"/>
    <cellStyle name="Normal 8 11 2 2" xfId="15345" xr:uid="{C5070472-56DE-4C5F-B814-FFAABA7318BA}"/>
    <cellStyle name="Normal 8 11 3" xfId="11127" xr:uid="{CCDFEAB9-E287-4F19-B8B0-B6903D1447F8}"/>
    <cellStyle name="Normal 8 12" xfId="4845" xr:uid="{00000000-0005-0000-0000-0000EE1B0000}"/>
    <cellStyle name="Normal 8 12 2" xfId="13280" xr:uid="{236CE137-27DE-4D67-81F5-518E3F870F2D}"/>
    <cellStyle name="Normal 8 13" xfId="9062" xr:uid="{A0A91E3F-73AD-4C59-8DEC-2CB86545B477}"/>
    <cellStyle name="Normal 8 2" xfId="479" xr:uid="{00000000-0005-0000-0000-0000EF1B0000}"/>
    <cellStyle name="Normal 8 2 10" xfId="2627" xr:uid="{00000000-0005-0000-0000-0000F01B0000}"/>
    <cellStyle name="Normal 8 2 10 2" xfId="6911" xr:uid="{00000000-0005-0000-0000-0000F11B0000}"/>
    <cellStyle name="Normal 8 2 10 2 2" xfId="15346" xr:uid="{B687F38E-7BA8-4428-A5A9-7081E8F5AAB7}"/>
    <cellStyle name="Normal 8 2 10 3" xfId="11128" xr:uid="{1E75C49C-FC29-43B9-986A-5E23ADB8C27B}"/>
    <cellStyle name="Normal 8 2 11" xfId="4846" xr:uid="{00000000-0005-0000-0000-0000F21B0000}"/>
    <cellStyle name="Normal 8 2 11 2" xfId="13281" xr:uid="{2EB9D45A-4DC8-4F6B-B30F-712F2F701E0A}"/>
    <cellStyle name="Normal 8 2 12" xfId="9063" xr:uid="{BAF1624D-D044-473B-8C77-1858C5649B99}"/>
    <cellStyle name="Normal 8 2 2" xfId="480" xr:uid="{00000000-0005-0000-0000-0000F31B0000}"/>
    <cellStyle name="Normal 8 2 2 10" xfId="4847" xr:uid="{00000000-0005-0000-0000-0000F41B0000}"/>
    <cellStyle name="Normal 8 2 2 10 2" xfId="13282" xr:uid="{DF7E41E1-4544-4175-92B3-2EC9EA85A61D}"/>
    <cellStyle name="Normal 8 2 2 11" xfId="9064" xr:uid="{5AF842D6-17E9-4DFF-A0A4-2BD39D135398}"/>
    <cellStyle name="Normal 8 2 2 2" xfId="481" xr:uid="{00000000-0005-0000-0000-0000F51B0000}"/>
    <cellStyle name="Normal 8 2 2 2 10" xfId="9065" xr:uid="{DB1B270F-A4B9-445D-B654-8A3D07CD851A}"/>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2 2 2" xfId="15843" xr:uid="{A42B2869-638F-4680-9ABE-DBAE9C63DF25}"/>
    <cellStyle name="Normal 8 2 2 2 2 2 2 2 3" xfId="11625" xr:uid="{07598865-4AA3-48C8-8B12-F320558F39A9}"/>
    <cellStyle name="Normal 8 2 2 2 2 2 2 3" xfId="5263" xr:uid="{00000000-0005-0000-0000-0000FB1B0000}"/>
    <cellStyle name="Normal 8 2 2 2 2 2 2 3 2" xfId="13698" xr:uid="{53F46355-DE3F-4AD2-9FE0-39A508F5F0B5}"/>
    <cellStyle name="Normal 8 2 2 2 2 2 2 4" xfId="9480" xr:uid="{0C7529F8-629F-46F3-885D-F6830FE1F6EE}"/>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2 2 2" xfId="16256" xr:uid="{C9B96B33-06E4-4B99-A23E-9E8F460E9501}"/>
    <cellStyle name="Normal 8 2 2 2 2 2 3 2 3" xfId="12038" xr:uid="{A3D9C7B1-B911-41E8-9B97-8E8FE3D020B1}"/>
    <cellStyle name="Normal 8 2 2 2 2 2 3 3" xfId="5676" xr:uid="{00000000-0005-0000-0000-0000FF1B0000}"/>
    <cellStyle name="Normal 8 2 2 2 2 2 3 3 2" xfId="14111" xr:uid="{A444B404-7B1A-4ACB-9A5E-5AA8E84E19A4}"/>
    <cellStyle name="Normal 8 2 2 2 2 2 3 4" xfId="9893" xr:uid="{4642813A-BD99-4FA5-891F-280C1EDDA7D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2 2 2" xfId="16669" xr:uid="{369DCD0C-BA0B-4E7C-BA97-9D7FD3827371}"/>
    <cellStyle name="Normal 8 2 2 2 2 2 4 2 3" xfId="12451" xr:uid="{ACB32E40-FB93-47A3-90F1-82D043ED853C}"/>
    <cellStyle name="Normal 8 2 2 2 2 2 4 3" xfId="6089" xr:uid="{00000000-0005-0000-0000-0000031C0000}"/>
    <cellStyle name="Normal 8 2 2 2 2 2 4 3 2" xfId="14524" xr:uid="{3C41BDE8-F781-4C31-93BA-0367CBE1BC2E}"/>
    <cellStyle name="Normal 8 2 2 2 2 2 4 4" xfId="10306" xr:uid="{A5BF2CCF-F4E3-464A-9D9F-6EA422BCF1E9}"/>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2 2 2" xfId="17082" xr:uid="{C40C6D67-4575-4D12-99A6-2D5B56201E0F}"/>
    <cellStyle name="Normal 8 2 2 2 2 2 5 2 3" xfId="12864" xr:uid="{EC74C4A2-51D8-4FF3-8923-C4C32E1383BA}"/>
    <cellStyle name="Normal 8 2 2 2 2 2 5 3" xfId="6502" xr:uid="{00000000-0005-0000-0000-0000071C0000}"/>
    <cellStyle name="Normal 8 2 2 2 2 2 5 3 2" xfId="14937" xr:uid="{63C5E7B8-2ED2-44EB-A00F-5B987186F710}"/>
    <cellStyle name="Normal 8 2 2 2 2 2 5 4" xfId="10719" xr:uid="{1A708896-22D7-491C-8E7A-90175515BD65}"/>
    <cellStyle name="Normal 8 2 2 2 2 2 6" xfId="2631" xr:uid="{00000000-0005-0000-0000-0000081C0000}"/>
    <cellStyle name="Normal 8 2 2 2 2 2 6 2" xfId="6915" xr:uid="{00000000-0005-0000-0000-0000091C0000}"/>
    <cellStyle name="Normal 8 2 2 2 2 2 6 2 2" xfId="15350" xr:uid="{3291D26F-AA8A-4802-BEE6-A6A6C21AEAEE}"/>
    <cellStyle name="Normal 8 2 2 2 2 2 6 3" xfId="11132" xr:uid="{AC20848A-CC2B-4A89-A937-7382F984E3B2}"/>
    <cellStyle name="Normal 8 2 2 2 2 2 7" xfId="4850" xr:uid="{00000000-0005-0000-0000-00000A1C0000}"/>
    <cellStyle name="Normal 8 2 2 2 2 2 7 2" xfId="13285" xr:uid="{A271E1FB-B7A7-4CB8-A567-3B0B9ABBFD79}"/>
    <cellStyle name="Normal 8 2 2 2 2 2 8" xfId="9067" xr:uid="{4EC8AAA8-9569-4DFD-8A4D-A30FFB063F1D}"/>
    <cellStyle name="Normal 8 2 2 2 2 3" xfId="950" xr:uid="{00000000-0005-0000-0000-00000B1C0000}"/>
    <cellStyle name="Normal 8 2 2 2 2 3 2" xfId="3184" xr:uid="{00000000-0005-0000-0000-00000C1C0000}"/>
    <cellStyle name="Normal 8 2 2 2 2 3 2 2" xfId="7407" xr:uid="{00000000-0005-0000-0000-00000D1C0000}"/>
    <cellStyle name="Normal 8 2 2 2 2 3 2 2 2" xfId="15842" xr:uid="{67062351-B8D1-44D1-A286-B11835A80AFC}"/>
    <cellStyle name="Normal 8 2 2 2 2 3 2 3" xfId="11624" xr:uid="{3D4BD412-C502-43D1-8059-2D730F12075E}"/>
    <cellStyle name="Normal 8 2 2 2 2 3 3" xfId="5262" xr:uid="{00000000-0005-0000-0000-00000E1C0000}"/>
    <cellStyle name="Normal 8 2 2 2 2 3 3 2" xfId="13697" xr:uid="{9B0AA7C8-6212-4A86-A875-60B7DADBF0E6}"/>
    <cellStyle name="Normal 8 2 2 2 2 3 4" xfId="9479" xr:uid="{E98802D3-B7A3-41BF-9C93-A9592178CBD9}"/>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2 2 2" xfId="16255" xr:uid="{F7585372-924E-491E-A11E-E387B3047391}"/>
    <cellStyle name="Normal 8 2 2 2 2 4 2 3" xfId="12037" xr:uid="{A4879E09-CAEE-457D-9856-5CFD2CBB3978}"/>
    <cellStyle name="Normal 8 2 2 2 2 4 3" xfId="5675" xr:uid="{00000000-0005-0000-0000-0000121C0000}"/>
    <cellStyle name="Normal 8 2 2 2 2 4 3 2" xfId="14110" xr:uid="{76C72290-54C0-409F-A4BA-143734A60AE1}"/>
    <cellStyle name="Normal 8 2 2 2 2 4 4" xfId="9892" xr:uid="{8A80C04D-5D86-47B6-8C2C-F85F273D335B}"/>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2 2 2" xfId="16668" xr:uid="{BBFC201F-C1DB-4D14-8574-57FE534C01E1}"/>
    <cellStyle name="Normal 8 2 2 2 2 5 2 3" xfId="12450" xr:uid="{A7B25FF3-D026-43CC-8A4C-2D227FBD71B1}"/>
    <cellStyle name="Normal 8 2 2 2 2 5 3" xfId="6088" xr:uid="{00000000-0005-0000-0000-0000161C0000}"/>
    <cellStyle name="Normal 8 2 2 2 2 5 3 2" xfId="14523" xr:uid="{4FE221BE-3802-4D0F-8C2D-102DCEDF6093}"/>
    <cellStyle name="Normal 8 2 2 2 2 5 4" xfId="10305" xr:uid="{D62DEF25-B229-44FF-A7FD-78C1AFCA3597}"/>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2 2 2" xfId="17081" xr:uid="{8E66389E-4339-4D43-A226-6E48A5812F34}"/>
    <cellStyle name="Normal 8 2 2 2 2 6 2 3" xfId="12863" xr:uid="{B501FC6E-30CD-4F16-814C-EE85E254CC50}"/>
    <cellStyle name="Normal 8 2 2 2 2 6 3" xfId="6501" xr:uid="{00000000-0005-0000-0000-00001A1C0000}"/>
    <cellStyle name="Normal 8 2 2 2 2 6 3 2" xfId="14936" xr:uid="{DEE0B2CC-90C9-4C72-8555-AA3BD41C28DA}"/>
    <cellStyle name="Normal 8 2 2 2 2 6 4" xfId="10718" xr:uid="{9B7DF4A8-D48E-42CD-933E-4E679FEF0408}"/>
    <cellStyle name="Normal 8 2 2 2 2 7" xfId="2630" xr:uid="{00000000-0005-0000-0000-00001B1C0000}"/>
    <cellStyle name="Normal 8 2 2 2 2 7 2" xfId="6914" xr:uid="{00000000-0005-0000-0000-00001C1C0000}"/>
    <cellStyle name="Normal 8 2 2 2 2 7 2 2" xfId="15349" xr:uid="{D9916DB5-3A71-4A59-848E-4F47BAA92F9A}"/>
    <cellStyle name="Normal 8 2 2 2 2 7 3" xfId="11131" xr:uid="{8C1F22B7-85B2-47A9-9020-0270DEECA612}"/>
    <cellStyle name="Normal 8 2 2 2 2 8" xfId="4849" xr:uid="{00000000-0005-0000-0000-00001D1C0000}"/>
    <cellStyle name="Normal 8 2 2 2 2 8 2" xfId="13284" xr:uid="{909CDE7E-FA1B-4705-BF91-B730357E1F6E}"/>
    <cellStyle name="Normal 8 2 2 2 2 9" xfId="9066" xr:uid="{E0906FD7-7B93-4E6F-B03B-802ABE5A93C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2 2 2" xfId="15844" xr:uid="{66D4E976-3A86-4CA9-AADF-45F1E72EA148}"/>
    <cellStyle name="Normal 8 2 2 2 3 2 2 3" xfId="11626" xr:uid="{E8FB078F-D653-4330-A807-E58BD61A06F7}"/>
    <cellStyle name="Normal 8 2 2 2 3 2 3" xfId="5264" xr:uid="{00000000-0005-0000-0000-0000221C0000}"/>
    <cellStyle name="Normal 8 2 2 2 3 2 3 2" xfId="13699" xr:uid="{D654C1E5-E5D0-4179-97C2-69FCAB3E989F}"/>
    <cellStyle name="Normal 8 2 2 2 3 2 4" xfId="9481" xr:uid="{A3211BD6-4707-4EF9-B332-BFE541D181E2}"/>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2 2 2" xfId="16257" xr:uid="{01867B2D-DC96-4BF2-A7F3-7B757828193A}"/>
    <cellStyle name="Normal 8 2 2 2 3 3 2 3" xfId="12039" xr:uid="{EE2DF19F-C20D-4902-9BCE-8F2F3D0130FC}"/>
    <cellStyle name="Normal 8 2 2 2 3 3 3" xfId="5677" xr:uid="{00000000-0005-0000-0000-0000261C0000}"/>
    <cellStyle name="Normal 8 2 2 2 3 3 3 2" xfId="14112" xr:uid="{E8CCB5BC-3F2D-4B16-A5CE-57BDDFB2E5DF}"/>
    <cellStyle name="Normal 8 2 2 2 3 3 4" xfId="9894" xr:uid="{CF231BCF-9E04-4A08-A9B3-0AB541DB3BFA}"/>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2 2 2" xfId="16670" xr:uid="{DCCD67D2-B9A9-44B3-9173-525480967560}"/>
    <cellStyle name="Normal 8 2 2 2 3 4 2 3" xfId="12452" xr:uid="{9E3A4093-BF88-4B56-8F15-905E43A17490}"/>
    <cellStyle name="Normal 8 2 2 2 3 4 3" xfId="6090" xr:uid="{00000000-0005-0000-0000-00002A1C0000}"/>
    <cellStyle name="Normal 8 2 2 2 3 4 3 2" xfId="14525" xr:uid="{714B0EF6-3B71-4CE3-8700-9402548AEB1B}"/>
    <cellStyle name="Normal 8 2 2 2 3 4 4" xfId="10307" xr:uid="{90140D4D-1311-49A0-A31B-8015294C97CB}"/>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2 2 2" xfId="17083" xr:uid="{1AA851F0-48DA-4772-88D0-C18333A96982}"/>
    <cellStyle name="Normal 8 2 2 2 3 5 2 3" xfId="12865" xr:uid="{E2FCEF57-A7F4-4A5E-A41A-F0FDF7BD5203}"/>
    <cellStyle name="Normal 8 2 2 2 3 5 3" xfId="6503" xr:uid="{00000000-0005-0000-0000-00002E1C0000}"/>
    <cellStyle name="Normal 8 2 2 2 3 5 3 2" xfId="14938" xr:uid="{117FE77D-8954-4C11-B2A0-4A9110E3D471}"/>
    <cellStyle name="Normal 8 2 2 2 3 5 4" xfId="10720" xr:uid="{763CC6CE-608A-4D0B-9131-B56982FA72AC}"/>
    <cellStyle name="Normal 8 2 2 2 3 6" xfId="2632" xr:uid="{00000000-0005-0000-0000-00002F1C0000}"/>
    <cellStyle name="Normal 8 2 2 2 3 6 2" xfId="6916" xr:uid="{00000000-0005-0000-0000-0000301C0000}"/>
    <cellStyle name="Normal 8 2 2 2 3 6 2 2" xfId="15351" xr:uid="{DA751218-78DC-407A-A534-27A3F1398EE6}"/>
    <cellStyle name="Normal 8 2 2 2 3 6 3" xfId="11133" xr:uid="{CB3ABE3E-498B-4E34-A48E-C1C51188D6CD}"/>
    <cellStyle name="Normal 8 2 2 2 3 7" xfId="4851" xr:uid="{00000000-0005-0000-0000-0000311C0000}"/>
    <cellStyle name="Normal 8 2 2 2 3 7 2" xfId="13286" xr:uid="{F0EE5187-7816-41D4-9349-FAC7D0AD2BB4}"/>
    <cellStyle name="Normal 8 2 2 2 3 8" xfId="9068" xr:uid="{F80CA3B6-75CA-4355-8F8C-538915D583FF}"/>
    <cellStyle name="Normal 8 2 2 2 4" xfId="949" xr:uid="{00000000-0005-0000-0000-0000321C0000}"/>
    <cellStyle name="Normal 8 2 2 2 4 2" xfId="3183" xr:uid="{00000000-0005-0000-0000-0000331C0000}"/>
    <cellStyle name="Normal 8 2 2 2 4 2 2" xfId="7406" xr:uid="{00000000-0005-0000-0000-0000341C0000}"/>
    <cellStyle name="Normal 8 2 2 2 4 2 2 2" xfId="15841" xr:uid="{F1944D47-CCF6-4BE4-80F4-55EE80AA9DE4}"/>
    <cellStyle name="Normal 8 2 2 2 4 2 3" xfId="11623" xr:uid="{19612049-CBC0-412B-8C67-BDBD2176097E}"/>
    <cellStyle name="Normal 8 2 2 2 4 3" xfId="5261" xr:uid="{00000000-0005-0000-0000-0000351C0000}"/>
    <cellStyle name="Normal 8 2 2 2 4 3 2" xfId="13696" xr:uid="{6793ADE2-0695-4CC9-89B5-ECD6BF3390FB}"/>
    <cellStyle name="Normal 8 2 2 2 4 4" xfId="9478" xr:uid="{5F9FD4CE-E59C-4E55-9AD0-A16CE03C3657}"/>
    <cellStyle name="Normal 8 2 2 2 5" xfId="1366" xr:uid="{00000000-0005-0000-0000-0000361C0000}"/>
    <cellStyle name="Normal 8 2 2 2 5 2" xfId="3596" xr:uid="{00000000-0005-0000-0000-0000371C0000}"/>
    <cellStyle name="Normal 8 2 2 2 5 2 2" xfId="7819" xr:uid="{00000000-0005-0000-0000-0000381C0000}"/>
    <cellStyle name="Normal 8 2 2 2 5 2 2 2" xfId="16254" xr:uid="{6F24F5FC-5049-49E9-92AF-6942A646848D}"/>
    <cellStyle name="Normal 8 2 2 2 5 2 3" xfId="12036" xr:uid="{5D318221-1C75-4BAB-B299-133AC95D6F90}"/>
    <cellStyle name="Normal 8 2 2 2 5 3" xfId="5674" xr:uid="{00000000-0005-0000-0000-0000391C0000}"/>
    <cellStyle name="Normal 8 2 2 2 5 3 2" xfId="14109" xr:uid="{59CC9286-8D7B-48B6-83AD-A9BEED122FE6}"/>
    <cellStyle name="Normal 8 2 2 2 5 4" xfId="9891" xr:uid="{3069C683-9C31-4BFC-AACD-699BF8EE2519}"/>
    <cellStyle name="Normal 8 2 2 2 6" xfId="1779" xr:uid="{00000000-0005-0000-0000-00003A1C0000}"/>
    <cellStyle name="Normal 8 2 2 2 6 2" xfId="4009" xr:uid="{00000000-0005-0000-0000-00003B1C0000}"/>
    <cellStyle name="Normal 8 2 2 2 6 2 2" xfId="8232" xr:uid="{00000000-0005-0000-0000-00003C1C0000}"/>
    <cellStyle name="Normal 8 2 2 2 6 2 2 2" xfId="16667" xr:uid="{E69E9575-F962-40DC-8DC1-AF7E79FB0F5A}"/>
    <cellStyle name="Normal 8 2 2 2 6 2 3" xfId="12449" xr:uid="{A384AE18-F8CA-426D-A36C-BB27CE77CD2E}"/>
    <cellStyle name="Normal 8 2 2 2 6 3" xfId="6087" xr:uid="{00000000-0005-0000-0000-00003D1C0000}"/>
    <cellStyle name="Normal 8 2 2 2 6 3 2" xfId="14522" xr:uid="{758EE146-5633-479E-8C24-B5742525941C}"/>
    <cellStyle name="Normal 8 2 2 2 6 4" xfId="10304" xr:uid="{EF91EE3D-B51D-46A1-A28E-91F8F60F36D8}"/>
    <cellStyle name="Normal 8 2 2 2 7" xfId="2193" xr:uid="{00000000-0005-0000-0000-00003E1C0000}"/>
    <cellStyle name="Normal 8 2 2 2 7 2" xfId="4422" xr:uid="{00000000-0005-0000-0000-00003F1C0000}"/>
    <cellStyle name="Normal 8 2 2 2 7 2 2" xfId="8645" xr:uid="{00000000-0005-0000-0000-0000401C0000}"/>
    <cellStyle name="Normal 8 2 2 2 7 2 2 2" xfId="17080" xr:uid="{680FFE8F-7548-443A-A1D0-8A8AADCC95D6}"/>
    <cellStyle name="Normal 8 2 2 2 7 2 3" xfId="12862" xr:uid="{6D389550-ABFA-4899-9FB3-C9BB4B4786ED}"/>
    <cellStyle name="Normal 8 2 2 2 7 3" xfId="6500" xr:uid="{00000000-0005-0000-0000-0000411C0000}"/>
    <cellStyle name="Normal 8 2 2 2 7 3 2" xfId="14935" xr:uid="{F5A46405-919C-4206-85C9-2024FBC64D1A}"/>
    <cellStyle name="Normal 8 2 2 2 7 4" xfId="10717" xr:uid="{835D3525-1EEC-410A-A398-6AC4233BC5A0}"/>
    <cellStyle name="Normal 8 2 2 2 8" xfId="2629" xr:uid="{00000000-0005-0000-0000-0000421C0000}"/>
    <cellStyle name="Normal 8 2 2 2 8 2" xfId="6913" xr:uid="{00000000-0005-0000-0000-0000431C0000}"/>
    <cellStyle name="Normal 8 2 2 2 8 2 2" xfId="15348" xr:uid="{522E2D17-058A-4B60-A5BF-FB7E047FCEDD}"/>
    <cellStyle name="Normal 8 2 2 2 8 3" xfId="11130" xr:uid="{CBDBB237-11B4-4C88-B385-D89FB3A4DFA2}"/>
    <cellStyle name="Normal 8 2 2 2 9" xfId="4848" xr:uid="{00000000-0005-0000-0000-0000441C0000}"/>
    <cellStyle name="Normal 8 2 2 2 9 2" xfId="13283" xr:uid="{CDED8B04-9389-484E-AF6A-95BA18BF4814}"/>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2 2 2" xfId="15846" xr:uid="{105CEE86-D373-4D89-8D56-A5454CEFB0D3}"/>
    <cellStyle name="Normal 8 2 2 3 2 2 2 3" xfId="11628" xr:uid="{47C7AE89-08C0-4BA5-A08C-352C73ACD1DE}"/>
    <cellStyle name="Normal 8 2 2 3 2 2 3" xfId="5266" xr:uid="{00000000-0005-0000-0000-00004A1C0000}"/>
    <cellStyle name="Normal 8 2 2 3 2 2 3 2" xfId="13701" xr:uid="{AD6E357E-47C2-4E6D-AF20-0350F28656C5}"/>
    <cellStyle name="Normal 8 2 2 3 2 2 4" xfId="9483" xr:uid="{5078B833-0C95-439F-A383-E8667FA2DC15}"/>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2 2 2" xfId="16259" xr:uid="{618A445A-7476-4E38-B324-71369D553322}"/>
    <cellStyle name="Normal 8 2 2 3 2 3 2 3" xfId="12041" xr:uid="{6EB7EF0D-0570-4C57-BB0E-4690779F359C}"/>
    <cellStyle name="Normal 8 2 2 3 2 3 3" xfId="5679" xr:uid="{00000000-0005-0000-0000-00004E1C0000}"/>
    <cellStyle name="Normal 8 2 2 3 2 3 3 2" xfId="14114" xr:uid="{70F2B4C1-7320-4ECF-9ADB-9803E0D4AD1B}"/>
    <cellStyle name="Normal 8 2 2 3 2 3 4" xfId="9896" xr:uid="{159BF307-F7C8-47C1-901E-1D21D32B8F32}"/>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2 2 2" xfId="16672" xr:uid="{D1092EF3-B868-4CA6-B8C8-F28EE2F6F739}"/>
    <cellStyle name="Normal 8 2 2 3 2 4 2 3" xfId="12454" xr:uid="{4376BE7D-B6DD-45F3-95B3-2C807F0C4FEF}"/>
    <cellStyle name="Normal 8 2 2 3 2 4 3" xfId="6092" xr:uid="{00000000-0005-0000-0000-0000521C0000}"/>
    <cellStyle name="Normal 8 2 2 3 2 4 3 2" xfId="14527" xr:uid="{9191BDFF-541C-4B45-BC84-D7539D923A6C}"/>
    <cellStyle name="Normal 8 2 2 3 2 4 4" xfId="10309" xr:uid="{9223C0EC-A804-44D5-B65B-F7DFBB9C10ED}"/>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2 2 2" xfId="17085" xr:uid="{1106F721-D101-4A13-8740-A1A749BA6CB2}"/>
    <cellStyle name="Normal 8 2 2 3 2 5 2 3" xfId="12867" xr:uid="{601586CA-DC25-438E-AE1F-4C583C66404C}"/>
    <cellStyle name="Normal 8 2 2 3 2 5 3" xfId="6505" xr:uid="{00000000-0005-0000-0000-0000561C0000}"/>
    <cellStyle name="Normal 8 2 2 3 2 5 3 2" xfId="14940" xr:uid="{C49A636B-0B40-409D-9EA7-949A69F91703}"/>
    <cellStyle name="Normal 8 2 2 3 2 5 4" xfId="10722" xr:uid="{B69A4835-3422-4889-8F74-70FA3F879A49}"/>
    <cellStyle name="Normal 8 2 2 3 2 6" xfId="2634" xr:uid="{00000000-0005-0000-0000-0000571C0000}"/>
    <cellStyle name="Normal 8 2 2 3 2 6 2" xfId="6918" xr:uid="{00000000-0005-0000-0000-0000581C0000}"/>
    <cellStyle name="Normal 8 2 2 3 2 6 2 2" xfId="15353" xr:uid="{D4B5F7EB-8FD7-4D34-AEA8-996A3743CC32}"/>
    <cellStyle name="Normal 8 2 2 3 2 6 3" xfId="11135" xr:uid="{C0889DAB-004B-476F-BE5D-87F421E6B3DD}"/>
    <cellStyle name="Normal 8 2 2 3 2 7" xfId="4853" xr:uid="{00000000-0005-0000-0000-0000591C0000}"/>
    <cellStyle name="Normal 8 2 2 3 2 7 2" xfId="13288" xr:uid="{00FB3C9B-77AB-4240-91DF-0123429346E7}"/>
    <cellStyle name="Normal 8 2 2 3 2 8" xfId="9070" xr:uid="{BB92DCEF-DF79-4A6C-AAAA-7EF638D70274}"/>
    <cellStyle name="Normal 8 2 2 3 3" xfId="953" xr:uid="{00000000-0005-0000-0000-00005A1C0000}"/>
    <cellStyle name="Normal 8 2 2 3 3 2" xfId="3187" xr:uid="{00000000-0005-0000-0000-00005B1C0000}"/>
    <cellStyle name="Normal 8 2 2 3 3 2 2" xfId="7410" xr:uid="{00000000-0005-0000-0000-00005C1C0000}"/>
    <cellStyle name="Normal 8 2 2 3 3 2 2 2" xfId="15845" xr:uid="{D8C12B8E-DA57-4B51-BAE5-9D8668BCFA13}"/>
    <cellStyle name="Normal 8 2 2 3 3 2 3" xfId="11627" xr:uid="{291D93A7-7D36-42B9-838E-10E0E106594D}"/>
    <cellStyle name="Normal 8 2 2 3 3 3" xfId="5265" xr:uid="{00000000-0005-0000-0000-00005D1C0000}"/>
    <cellStyle name="Normal 8 2 2 3 3 3 2" xfId="13700" xr:uid="{3F0BD9B5-C48E-4FD3-BF14-965688C1AFE6}"/>
    <cellStyle name="Normal 8 2 2 3 3 4" xfId="9482" xr:uid="{92B42DC8-A2E2-4919-A153-28B57F2E54D1}"/>
    <cellStyle name="Normal 8 2 2 3 4" xfId="1370" xr:uid="{00000000-0005-0000-0000-00005E1C0000}"/>
    <cellStyle name="Normal 8 2 2 3 4 2" xfId="3600" xr:uid="{00000000-0005-0000-0000-00005F1C0000}"/>
    <cellStyle name="Normal 8 2 2 3 4 2 2" xfId="7823" xr:uid="{00000000-0005-0000-0000-0000601C0000}"/>
    <cellStyle name="Normal 8 2 2 3 4 2 2 2" xfId="16258" xr:uid="{708BF527-3B79-4256-9BC1-ABDB175464EF}"/>
    <cellStyle name="Normal 8 2 2 3 4 2 3" xfId="12040" xr:uid="{DAF147CB-0C04-4BAB-840A-AB5ED5897582}"/>
    <cellStyle name="Normal 8 2 2 3 4 3" xfId="5678" xr:uid="{00000000-0005-0000-0000-0000611C0000}"/>
    <cellStyle name="Normal 8 2 2 3 4 3 2" xfId="14113" xr:uid="{0C0B1A21-1CDF-4A51-8178-7FF1092C00A2}"/>
    <cellStyle name="Normal 8 2 2 3 4 4" xfId="9895" xr:uid="{22FDE23C-21BC-446D-ACB4-D11115068B48}"/>
    <cellStyle name="Normal 8 2 2 3 5" xfId="1783" xr:uid="{00000000-0005-0000-0000-0000621C0000}"/>
    <cellStyle name="Normal 8 2 2 3 5 2" xfId="4013" xr:uid="{00000000-0005-0000-0000-0000631C0000}"/>
    <cellStyle name="Normal 8 2 2 3 5 2 2" xfId="8236" xr:uid="{00000000-0005-0000-0000-0000641C0000}"/>
    <cellStyle name="Normal 8 2 2 3 5 2 2 2" xfId="16671" xr:uid="{371FDA71-5E9C-4A52-AA15-8B80C42EFB5A}"/>
    <cellStyle name="Normal 8 2 2 3 5 2 3" xfId="12453" xr:uid="{D4578807-8A7A-400E-BBD7-8720F88E7979}"/>
    <cellStyle name="Normal 8 2 2 3 5 3" xfId="6091" xr:uid="{00000000-0005-0000-0000-0000651C0000}"/>
    <cellStyle name="Normal 8 2 2 3 5 3 2" xfId="14526" xr:uid="{1F8ADE0E-5CF5-444A-AA3A-1C6848EC8950}"/>
    <cellStyle name="Normal 8 2 2 3 5 4" xfId="10308" xr:uid="{12D09948-CF5B-4CF4-A25D-50E798A35074}"/>
    <cellStyle name="Normal 8 2 2 3 6" xfId="2197" xr:uid="{00000000-0005-0000-0000-0000661C0000}"/>
    <cellStyle name="Normal 8 2 2 3 6 2" xfId="4426" xr:uid="{00000000-0005-0000-0000-0000671C0000}"/>
    <cellStyle name="Normal 8 2 2 3 6 2 2" xfId="8649" xr:uid="{00000000-0005-0000-0000-0000681C0000}"/>
    <cellStyle name="Normal 8 2 2 3 6 2 2 2" xfId="17084" xr:uid="{BDB21B25-A792-425D-B972-9861827A2215}"/>
    <cellStyle name="Normal 8 2 2 3 6 2 3" xfId="12866" xr:uid="{4B9303B5-32C3-4B29-AC32-F7B85A6FB3B3}"/>
    <cellStyle name="Normal 8 2 2 3 6 3" xfId="6504" xr:uid="{00000000-0005-0000-0000-0000691C0000}"/>
    <cellStyle name="Normal 8 2 2 3 6 3 2" xfId="14939" xr:uid="{FFBA6ED8-14BE-4630-AEB1-5888183BEA64}"/>
    <cellStyle name="Normal 8 2 2 3 6 4" xfId="10721" xr:uid="{90ED028D-9414-46F2-AC8A-DA6D66DB08DB}"/>
    <cellStyle name="Normal 8 2 2 3 7" xfId="2633" xr:uid="{00000000-0005-0000-0000-00006A1C0000}"/>
    <cellStyle name="Normal 8 2 2 3 7 2" xfId="6917" xr:uid="{00000000-0005-0000-0000-00006B1C0000}"/>
    <cellStyle name="Normal 8 2 2 3 7 2 2" xfId="15352" xr:uid="{2C348F4C-39F9-43BA-A1B1-EDA09BB89422}"/>
    <cellStyle name="Normal 8 2 2 3 7 3" xfId="11134" xr:uid="{8A4CF97B-25F5-4410-9620-F7494D996180}"/>
    <cellStyle name="Normal 8 2 2 3 8" xfId="4852" xr:uid="{00000000-0005-0000-0000-00006C1C0000}"/>
    <cellStyle name="Normal 8 2 2 3 8 2" xfId="13287" xr:uid="{E81AE417-C008-4869-A345-C9406441CE00}"/>
    <cellStyle name="Normal 8 2 2 3 9" xfId="9069" xr:uid="{47D403DE-48A6-4D5F-AA8D-71E18A8551B7}"/>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2 2 2" xfId="15847" xr:uid="{C9E1E7C2-F57C-44D5-91B0-ABAD6FEBED43}"/>
    <cellStyle name="Normal 8 2 2 4 2 2 3" xfId="11629" xr:uid="{50C8A514-61F6-4566-AD40-80B5644749DA}"/>
    <cellStyle name="Normal 8 2 2 4 2 3" xfId="5267" xr:uid="{00000000-0005-0000-0000-0000711C0000}"/>
    <cellStyle name="Normal 8 2 2 4 2 3 2" xfId="13702" xr:uid="{FF7F8751-04FC-4AD5-A868-79D602D8511C}"/>
    <cellStyle name="Normal 8 2 2 4 2 4" xfId="9484" xr:uid="{E26372E9-2225-4658-8E03-FBC74489D22F}"/>
    <cellStyle name="Normal 8 2 2 4 3" xfId="1372" xr:uid="{00000000-0005-0000-0000-0000721C0000}"/>
    <cellStyle name="Normal 8 2 2 4 3 2" xfId="3602" xr:uid="{00000000-0005-0000-0000-0000731C0000}"/>
    <cellStyle name="Normal 8 2 2 4 3 2 2" xfId="7825" xr:uid="{00000000-0005-0000-0000-0000741C0000}"/>
    <cellStyle name="Normal 8 2 2 4 3 2 2 2" xfId="16260" xr:uid="{2F2CD86A-E50C-4422-B7BD-B8FEE6B28DA3}"/>
    <cellStyle name="Normal 8 2 2 4 3 2 3" xfId="12042" xr:uid="{0CD409F2-4AAB-4459-A0BE-0B8B802C23E8}"/>
    <cellStyle name="Normal 8 2 2 4 3 3" xfId="5680" xr:uid="{00000000-0005-0000-0000-0000751C0000}"/>
    <cellStyle name="Normal 8 2 2 4 3 3 2" xfId="14115" xr:uid="{ED64F661-2984-485A-AED1-621E363FA82C}"/>
    <cellStyle name="Normal 8 2 2 4 3 4" xfId="9897" xr:uid="{2EA2F1C7-F584-4260-998F-146FE2AAB4B3}"/>
    <cellStyle name="Normal 8 2 2 4 4" xfId="1785" xr:uid="{00000000-0005-0000-0000-0000761C0000}"/>
    <cellStyle name="Normal 8 2 2 4 4 2" xfId="4015" xr:uid="{00000000-0005-0000-0000-0000771C0000}"/>
    <cellStyle name="Normal 8 2 2 4 4 2 2" xfId="8238" xr:uid="{00000000-0005-0000-0000-0000781C0000}"/>
    <cellStyle name="Normal 8 2 2 4 4 2 2 2" xfId="16673" xr:uid="{7990760E-75F7-49D3-AD62-4041D386E71E}"/>
    <cellStyle name="Normal 8 2 2 4 4 2 3" xfId="12455" xr:uid="{4F14AC91-3777-4228-8232-DF28154822F9}"/>
    <cellStyle name="Normal 8 2 2 4 4 3" xfId="6093" xr:uid="{00000000-0005-0000-0000-0000791C0000}"/>
    <cellStyle name="Normal 8 2 2 4 4 3 2" xfId="14528" xr:uid="{2995CBE3-4B88-4110-9EF1-4E72EFE2DEE0}"/>
    <cellStyle name="Normal 8 2 2 4 4 4" xfId="10310" xr:uid="{9048F3D5-3D1B-4FB7-8F72-2B7AE38E5302}"/>
    <cellStyle name="Normal 8 2 2 4 5" xfId="2199" xr:uid="{00000000-0005-0000-0000-00007A1C0000}"/>
    <cellStyle name="Normal 8 2 2 4 5 2" xfId="4428" xr:uid="{00000000-0005-0000-0000-00007B1C0000}"/>
    <cellStyle name="Normal 8 2 2 4 5 2 2" xfId="8651" xr:uid="{00000000-0005-0000-0000-00007C1C0000}"/>
    <cellStyle name="Normal 8 2 2 4 5 2 2 2" xfId="17086" xr:uid="{AEA8CB7B-2D42-4C60-89DF-CD3D149B7F43}"/>
    <cellStyle name="Normal 8 2 2 4 5 2 3" xfId="12868" xr:uid="{E98FC749-3BF5-4455-96BF-C3FF325D1744}"/>
    <cellStyle name="Normal 8 2 2 4 5 3" xfId="6506" xr:uid="{00000000-0005-0000-0000-00007D1C0000}"/>
    <cellStyle name="Normal 8 2 2 4 5 3 2" xfId="14941" xr:uid="{72155B41-3DAD-4E61-9A1D-F30489E663B6}"/>
    <cellStyle name="Normal 8 2 2 4 5 4" xfId="10723" xr:uid="{B61BEB22-E989-463A-A9C0-641C1F932881}"/>
    <cellStyle name="Normal 8 2 2 4 6" xfId="2635" xr:uid="{00000000-0005-0000-0000-00007E1C0000}"/>
    <cellStyle name="Normal 8 2 2 4 6 2" xfId="6919" xr:uid="{00000000-0005-0000-0000-00007F1C0000}"/>
    <cellStyle name="Normal 8 2 2 4 6 2 2" xfId="15354" xr:uid="{DC4040B0-80CC-4DB9-AF62-12964BA9340F}"/>
    <cellStyle name="Normal 8 2 2 4 6 3" xfId="11136" xr:uid="{9DEE6509-8BFE-4FF0-AA38-80D6A41200E0}"/>
    <cellStyle name="Normal 8 2 2 4 7" xfId="4854" xr:uid="{00000000-0005-0000-0000-0000801C0000}"/>
    <cellStyle name="Normal 8 2 2 4 7 2" xfId="13289" xr:uid="{7206B4A3-926B-4D1F-9B21-B5F3B982A0FD}"/>
    <cellStyle name="Normal 8 2 2 4 8" xfId="9071" xr:uid="{72017DA1-EF88-4743-B07F-DE0944DDD66E}"/>
    <cellStyle name="Normal 8 2 2 5" xfId="948" xr:uid="{00000000-0005-0000-0000-0000811C0000}"/>
    <cellStyle name="Normal 8 2 2 5 2" xfId="3182" xr:uid="{00000000-0005-0000-0000-0000821C0000}"/>
    <cellStyle name="Normal 8 2 2 5 2 2" xfId="7405" xr:uid="{00000000-0005-0000-0000-0000831C0000}"/>
    <cellStyle name="Normal 8 2 2 5 2 2 2" xfId="15840" xr:uid="{8AEC631D-1AFE-415F-B04C-1D93696088FF}"/>
    <cellStyle name="Normal 8 2 2 5 2 3" xfId="11622" xr:uid="{92560434-6F8C-4ED7-81DA-33E03AE12B16}"/>
    <cellStyle name="Normal 8 2 2 5 3" xfId="5260" xr:uid="{00000000-0005-0000-0000-0000841C0000}"/>
    <cellStyle name="Normal 8 2 2 5 3 2" xfId="13695" xr:uid="{2315BFA2-6FFA-4DBA-8E46-C88B6F8A6934}"/>
    <cellStyle name="Normal 8 2 2 5 4" xfId="9477" xr:uid="{BF3EA267-690B-49DA-9224-F22E51BE8333}"/>
    <cellStyle name="Normal 8 2 2 6" xfId="1365" xr:uid="{00000000-0005-0000-0000-0000851C0000}"/>
    <cellStyle name="Normal 8 2 2 6 2" xfId="3595" xr:uid="{00000000-0005-0000-0000-0000861C0000}"/>
    <cellStyle name="Normal 8 2 2 6 2 2" xfId="7818" xr:uid="{00000000-0005-0000-0000-0000871C0000}"/>
    <cellStyle name="Normal 8 2 2 6 2 2 2" xfId="16253" xr:uid="{60FDC48A-1887-457F-949D-BCF88E5177B2}"/>
    <cellStyle name="Normal 8 2 2 6 2 3" xfId="12035" xr:uid="{FD287364-1E80-490C-BF8A-8CB4C9E475C1}"/>
    <cellStyle name="Normal 8 2 2 6 3" xfId="5673" xr:uid="{00000000-0005-0000-0000-0000881C0000}"/>
    <cellStyle name="Normal 8 2 2 6 3 2" xfId="14108" xr:uid="{FA4D9554-68C3-4E9F-AD02-AAB73D01A7C4}"/>
    <cellStyle name="Normal 8 2 2 6 4" xfId="9890" xr:uid="{312A67F8-7069-4E66-90C3-6018C3BDB99A}"/>
    <cellStyle name="Normal 8 2 2 7" xfId="1778" xr:uid="{00000000-0005-0000-0000-0000891C0000}"/>
    <cellStyle name="Normal 8 2 2 7 2" xfId="4008" xr:uid="{00000000-0005-0000-0000-00008A1C0000}"/>
    <cellStyle name="Normal 8 2 2 7 2 2" xfId="8231" xr:uid="{00000000-0005-0000-0000-00008B1C0000}"/>
    <cellStyle name="Normal 8 2 2 7 2 2 2" xfId="16666" xr:uid="{8711290F-1225-4949-8B8B-245F946B8FBB}"/>
    <cellStyle name="Normal 8 2 2 7 2 3" xfId="12448" xr:uid="{E1D20934-2CD1-452C-B3DD-9256CD45F624}"/>
    <cellStyle name="Normal 8 2 2 7 3" xfId="6086" xr:uid="{00000000-0005-0000-0000-00008C1C0000}"/>
    <cellStyle name="Normal 8 2 2 7 3 2" xfId="14521" xr:uid="{AD3050F7-C45D-404D-9E2A-46FA07757CBB}"/>
    <cellStyle name="Normal 8 2 2 7 4" xfId="10303" xr:uid="{A41E155E-DA44-48A2-8F63-D1D1F9C08F5D}"/>
    <cellStyle name="Normal 8 2 2 8" xfId="2192" xr:uid="{00000000-0005-0000-0000-00008D1C0000}"/>
    <cellStyle name="Normal 8 2 2 8 2" xfId="4421" xr:uid="{00000000-0005-0000-0000-00008E1C0000}"/>
    <cellStyle name="Normal 8 2 2 8 2 2" xfId="8644" xr:uid="{00000000-0005-0000-0000-00008F1C0000}"/>
    <cellStyle name="Normal 8 2 2 8 2 2 2" xfId="17079" xr:uid="{5DF229F2-612B-4420-AF09-917F70AF6C08}"/>
    <cellStyle name="Normal 8 2 2 8 2 3" xfId="12861" xr:uid="{8C84E107-8053-4882-9F4B-BD398D56D579}"/>
    <cellStyle name="Normal 8 2 2 8 3" xfId="6499" xr:uid="{00000000-0005-0000-0000-0000901C0000}"/>
    <cellStyle name="Normal 8 2 2 8 3 2" xfId="14934" xr:uid="{81BE1FC7-F3CA-412E-9F07-3B89117B2BFF}"/>
    <cellStyle name="Normal 8 2 2 8 4" xfId="10716" xr:uid="{EAA77ECB-A641-4318-A0B8-D1AF8A69EAC4}"/>
    <cellStyle name="Normal 8 2 2 9" xfId="2628" xr:uid="{00000000-0005-0000-0000-0000911C0000}"/>
    <cellStyle name="Normal 8 2 2 9 2" xfId="6912" xr:uid="{00000000-0005-0000-0000-0000921C0000}"/>
    <cellStyle name="Normal 8 2 2 9 2 2" xfId="15347" xr:uid="{2A28744D-507C-4135-95A8-39FE020466AB}"/>
    <cellStyle name="Normal 8 2 2 9 3" xfId="11129" xr:uid="{04DD5728-8D18-4E64-A599-9424B34EE87D}"/>
    <cellStyle name="Normal 8 2 3" xfId="488" xr:uid="{00000000-0005-0000-0000-0000931C0000}"/>
    <cellStyle name="Normal 8 2 3 10" xfId="9072" xr:uid="{65F5F1E2-BEDA-448E-B8FC-B203122FEAE6}"/>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2 2 2" xfId="15850" xr:uid="{B0BD13F7-9C52-4431-9044-8AA77594FDAA}"/>
    <cellStyle name="Normal 8 2 3 2 2 2 2 3" xfId="11632" xr:uid="{07D372F9-3C0B-4044-A7B4-391092FBFD19}"/>
    <cellStyle name="Normal 8 2 3 2 2 2 3" xfId="5270" xr:uid="{00000000-0005-0000-0000-0000991C0000}"/>
    <cellStyle name="Normal 8 2 3 2 2 2 3 2" xfId="13705" xr:uid="{63A4A0A3-B96C-4784-829A-3442ACB7C57F}"/>
    <cellStyle name="Normal 8 2 3 2 2 2 4" xfId="9487" xr:uid="{AADDDEA1-349C-4490-8201-E9F2A61DDC23}"/>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2 2 2" xfId="16263" xr:uid="{9B8F70E4-A71D-4A07-A709-7479E223B38E}"/>
    <cellStyle name="Normal 8 2 3 2 2 3 2 3" xfId="12045" xr:uid="{A04280F9-5FAC-407D-83E8-8FAB34C76CD3}"/>
    <cellStyle name="Normal 8 2 3 2 2 3 3" xfId="5683" xr:uid="{00000000-0005-0000-0000-00009D1C0000}"/>
    <cellStyle name="Normal 8 2 3 2 2 3 3 2" xfId="14118" xr:uid="{19149020-B2E0-4734-B150-34D943E30BEA}"/>
    <cellStyle name="Normal 8 2 3 2 2 3 4" xfId="9900" xr:uid="{254A173E-D9A4-406A-B955-B981F6626603}"/>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2 2 2" xfId="16676" xr:uid="{2C65742C-0326-4A4A-AC91-1E1879E03AE0}"/>
    <cellStyle name="Normal 8 2 3 2 2 4 2 3" xfId="12458" xr:uid="{723C1F0E-6DA3-4658-B248-302EBF2784B9}"/>
    <cellStyle name="Normal 8 2 3 2 2 4 3" xfId="6096" xr:uid="{00000000-0005-0000-0000-0000A11C0000}"/>
    <cellStyle name="Normal 8 2 3 2 2 4 3 2" xfId="14531" xr:uid="{EB19858B-297F-4236-8C4B-03F2F2F4F65A}"/>
    <cellStyle name="Normal 8 2 3 2 2 4 4" xfId="10313" xr:uid="{B36928DC-5C88-4C8A-BE88-9FE369EF9F92}"/>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2 2 2" xfId="17089" xr:uid="{29377D44-E064-4B93-8850-652B4A71A864}"/>
    <cellStyle name="Normal 8 2 3 2 2 5 2 3" xfId="12871" xr:uid="{D0E07A29-BA14-4F06-94AE-4FFD99FA020B}"/>
    <cellStyle name="Normal 8 2 3 2 2 5 3" xfId="6509" xr:uid="{00000000-0005-0000-0000-0000A51C0000}"/>
    <cellStyle name="Normal 8 2 3 2 2 5 3 2" xfId="14944" xr:uid="{885E5569-E198-4145-97D3-EE9B8BDD2401}"/>
    <cellStyle name="Normal 8 2 3 2 2 5 4" xfId="10726" xr:uid="{6F94078E-0EEA-4C73-941A-B7C06AEC5D81}"/>
    <cellStyle name="Normal 8 2 3 2 2 6" xfId="2638" xr:uid="{00000000-0005-0000-0000-0000A61C0000}"/>
    <cellStyle name="Normal 8 2 3 2 2 6 2" xfId="6922" xr:uid="{00000000-0005-0000-0000-0000A71C0000}"/>
    <cellStyle name="Normal 8 2 3 2 2 6 2 2" xfId="15357" xr:uid="{49051814-9C19-4A91-A0E9-C215D35CB691}"/>
    <cellStyle name="Normal 8 2 3 2 2 6 3" xfId="11139" xr:uid="{1E62976E-DF90-49D2-A7B1-6F9EEDD3B9D4}"/>
    <cellStyle name="Normal 8 2 3 2 2 7" xfId="4857" xr:uid="{00000000-0005-0000-0000-0000A81C0000}"/>
    <cellStyle name="Normal 8 2 3 2 2 7 2" xfId="13292" xr:uid="{C6DEDB23-FAD7-426F-874F-CD005FB49D04}"/>
    <cellStyle name="Normal 8 2 3 2 2 8" xfId="9074" xr:uid="{5B112910-C406-4E70-8DF6-177B5D386B48}"/>
    <cellStyle name="Normal 8 2 3 2 3" xfId="957" xr:uid="{00000000-0005-0000-0000-0000A91C0000}"/>
    <cellStyle name="Normal 8 2 3 2 3 2" xfId="3191" xr:uid="{00000000-0005-0000-0000-0000AA1C0000}"/>
    <cellStyle name="Normal 8 2 3 2 3 2 2" xfId="7414" xr:uid="{00000000-0005-0000-0000-0000AB1C0000}"/>
    <cellStyle name="Normal 8 2 3 2 3 2 2 2" xfId="15849" xr:uid="{D17B57E4-2779-4AA7-AE3A-E0A15BEDCEE9}"/>
    <cellStyle name="Normal 8 2 3 2 3 2 3" xfId="11631" xr:uid="{0DBD7141-ABD9-4383-AB28-8304AD7DE6C5}"/>
    <cellStyle name="Normal 8 2 3 2 3 3" xfId="5269" xr:uid="{00000000-0005-0000-0000-0000AC1C0000}"/>
    <cellStyle name="Normal 8 2 3 2 3 3 2" xfId="13704" xr:uid="{1B41D9EB-5784-43CD-94DC-11D067A6776A}"/>
    <cellStyle name="Normal 8 2 3 2 3 4" xfId="9486" xr:uid="{326266A1-766C-4859-9A94-DD36D0D2D048}"/>
    <cellStyle name="Normal 8 2 3 2 4" xfId="1374" xr:uid="{00000000-0005-0000-0000-0000AD1C0000}"/>
    <cellStyle name="Normal 8 2 3 2 4 2" xfId="3604" xr:uid="{00000000-0005-0000-0000-0000AE1C0000}"/>
    <cellStyle name="Normal 8 2 3 2 4 2 2" xfId="7827" xr:uid="{00000000-0005-0000-0000-0000AF1C0000}"/>
    <cellStyle name="Normal 8 2 3 2 4 2 2 2" xfId="16262" xr:uid="{FAFA82B2-C5C3-47BC-81AC-C5DE7AA1011E}"/>
    <cellStyle name="Normal 8 2 3 2 4 2 3" xfId="12044" xr:uid="{C494336B-8DB8-4A59-93BC-68849395BC4F}"/>
    <cellStyle name="Normal 8 2 3 2 4 3" xfId="5682" xr:uid="{00000000-0005-0000-0000-0000B01C0000}"/>
    <cellStyle name="Normal 8 2 3 2 4 3 2" xfId="14117" xr:uid="{D9810517-C36D-42FB-8272-8152C642CDC1}"/>
    <cellStyle name="Normal 8 2 3 2 4 4" xfId="9899" xr:uid="{3ED00631-8071-4014-A833-AFF30292D69D}"/>
    <cellStyle name="Normal 8 2 3 2 5" xfId="1787" xr:uid="{00000000-0005-0000-0000-0000B11C0000}"/>
    <cellStyle name="Normal 8 2 3 2 5 2" xfId="4017" xr:uid="{00000000-0005-0000-0000-0000B21C0000}"/>
    <cellStyle name="Normal 8 2 3 2 5 2 2" xfId="8240" xr:uid="{00000000-0005-0000-0000-0000B31C0000}"/>
    <cellStyle name="Normal 8 2 3 2 5 2 2 2" xfId="16675" xr:uid="{BAF2D7B1-146F-4208-9663-97DACAECAFAC}"/>
    <cellStyle name="Normal 8 2 3 2 5 2 3" xfId="12457" xr:uid="{2A122E82-1966-4A1A-9F70-F57E7A46DFF8}"/>
    <cellStyle name="Normal 8 2 3 2 5 3" xfId="6095" xr:uid="{00000000-0005-0000-0000-0000B41C0000}"/>
    <cellStyle name="Normal 8 2 3 2 5 3 2" xfId="14530" xr:uid="{EE31DF27-6B4C-4B70-9632-0F1E984F02D4}"/>
    <cellStyle name="Normal 8 2 3 2 5 4" xfId="10312" xr:uid="{E5C5FC63-92AD-4CCA-9D05-20F4EBCAF104}"/>
    <cellStyle name="Normal 8 2 3 2 6" xfId="2201" xr:uid="{00000000-0005-0000-0000-0000B51C0000}"/>
    <cellStyle name="Normal 8 2 3 2 6 2" xfId="4430" xr:uid="{00000000-0005-0000-0000-0000B61C0000}"/>
    <cellStyle name="Normal 8 2 3 2 6 2 2" xfId="8653" xr:uid="{00000000-0005-0000-0000-0000B71C0000}"/>
    <cellStyle name="Normal 8 2 3 2 6 2 2 2" xfId="17088" xr:uid="{F608946B-0768-4220-9492-CC6ECC4D2952}"/>
    <cellStyle name="Normal 8 2 3 2 6 2 3" xfId="12870" xr:uid="{DB2976F8-D910-4A9B-8474-F1A392D3057B}"/>
    <cellStyle name="Normal 8 2 3 2 6 3" xfId="6508" xr:uid="{00000000-0005-0000-0000-0000B81C0000}"/>
    <cellStyle name="Normal 8 2 3 2 6 3 2" xfId="14943" xr:uid="{1D61E228-F3A4-4B88-BFDF-8D159D0E212A}"/>
    <cellStyle name="Normal 8 2 3 2 6 4" xfId="10725" xr:uid="{80DB2705-0DD9-402D-A42A-AD1CBD8120C3}"/>
    <cellStyle name="Normal 8 2 3 2 7" xfId="2637" xr:uid="{00000000-0005-0000-0000-0000B91C0000}"/>
    <cellStyle name="Normal 8 2 3 2 7 2" xfId="6921" xr:uid="{00000000-0005-0000-0000-0000BA1C0000}"/>
    <cellStyle name="Normal 8 2 3 2 7 2 2" xfId="15356" xr:uid="{DC7869D7-112F-4F1A-AC67-7F1837D07597}"/>
    <cellStyle name="Normal 8 2 3 2 7 3" xfId="11138" xr:uid="{2E2EDDFD-C44D-47EB-8D72-D5E64D481493}"/>
    <cellStyle name="Normal 8 2 3 2 8" xfId="4856" xr:uid="{00000000-0005-0000-0000-0000BB1C0000}"/>
    <cellStyle name="Normal 8 2 3 2 8 2" xfId="13291" xr:uid="{79CECD87-3786-4105-B056-E43298AB8709}"/>
    <cellStyle name="Normal 8 2 3 2 9" xfId="9073" xr:uid="{C9ADB24B-1EE6-4346-8F26-C045950D51E4}"/>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2 2 2" xfId="15851" xr:uid="{8C04A22B-2B13-4137-85A1-55D4F97189B4}"/>
    <cellStyle name="Normal 8 2 3 3 2 2 3" xfId="11633" xr:uid="{94848B95-6669-4A57-B0D0-F14357111580}"/>
    <cellStyle name="Normal 8 2 3 3 2 3" xfId="5271" xr:uid="{00000000-0005-0000-0000-0000C01C0000}"/>
    <cellStyle name="Normal 8 2 3 3 2 3 2" xfId="13706" xr:uid="{9CB66B2C-0993-4AC2-A2C5-1EA2A81314CB}"/>
    <cellStyle name="Normal 8 2 3 3 2 4" xfId="9488" xr:uid="{65B227FA-AA5F-4D29-8E9D-0B5849F0EDF4}"/>
    <cellStyle name="Normal 8 2 3 3 3" xfId="1376" xr:uid="{00000000-0005-0000-0000-0000C11C0000}"/>
    <cellStyle name="Normal 8 2 3 3 3 2" xfId="3606" xr:uid="{00000000-0005-0000-0000-0000C21C0000}"/>
    <cellStyle name="Normal 8 2 3 3 3 2 2" xfId="7829" xr:uid="{00000000-0005-0000-0000-0000C31C0000}"/>
    <cellStyle name="Normal 8 2 3 3 3 2 2 2" xfId="16264" xr:uid="{56D1EEF8-CD86-4C88-A68D-AEFA497F0E9B}"/>
    <cellStyle name="Normal 8 2 3 3 3 2 3" xfId="12046" xr:uid="{0C305EC0-AA65-4C68-81A0-9ACFAC17D55F}"/>
    <cellStyle name="Normal 8 2 3 3 3 3" xfId="5684" xr:uid="{00000000-0005-0000-0000-0000C41C0000}"/>
    <cellStyle name="Normal 8 2 3 3 3 3 2" xfId="14119" xr:uid="{32F8AB7B-AF2D-4E2E-B270-689D115FA41E}"/>
    <cellStyle name="Normal 8 2 3 3 3 4" xfId="9901" xr:uid="{B004DDA2-CB36-4DFF-90B1-CA9ED300B9A4}"/>
    <cellStyle name="Normal 8 2 3 3 4" xfId="1789" xr:uid="{00000000-0005-0000-0000-0000C51C0000}"/>
    <cellStyle name="Normal 8 2 3 3 4 2" xfId="4019" xr:uid="{00000000-0005-0000-0000-0000C61C0000}"/>
    <cellStyle name="Normal 8 2 3 3 4 2 2" xfId="8242" xr:uid="{00000000-0005-0000-0000-0000C71C0000}"/>
    <cellStyle name="Normal 8 2 3 3 4 2 2 2" xfId="16677" xr:uid="{888FFA00-466A-4470-8703-675E6F1E3825}"/>
    <cellStyle name="Normal 8 2 3 3 4 2 3" xfId="12459" xr:uid="{BF2D7276-C260-4D3C-95E1-3BC4DF8DC5F0}"/>
    <cellStyle name="Normal 8 2 3 3 4 3" xfId="6097" xr:uid="{00000000-0005-0000-0000-0000C81C0000}"/>
    <cellStyle name="Normal 8 2 3 3 4 3 2" xfId="14532" xr:uid="{1D8249A0-8184-4452-BB9B-CB60AC6E66BA}"/>
    <cellStyle name="Normal 8 2 3 3 4 4" xfId="10314" xr:uid="{21796FED-3A1A-403D-AD10-14C17B162DE9}"/>
    <cellStyle name="Normal 8 2 3 3 5" xfId="2203" xr:uid="{00000000-0005-0000-0000-0000C91C0000}"/>
    <cellStyle name="Normal 8 2 3 3 5 2" xfId="4432" xr:uid="{00000000-0005-0000-0000-0000CA1C0000}"/>
    <cellStyle name="Normal 8 2 3 3 5 2 2" xfId="8655" xr:uid="{00000000-0005-0000-0000-0000CB1C0000}"/>
    <cellStyle name="Normal 8 2 3 3 5 2 2 2" xfId="17090" xr:uid="{A1EA68D6-B463-4262-B92D-36DB3119A9EF}"/>
    <cellStyle name="Normal 8 2 3 3 5 2 3" xfId="12872" xr:uid="{B1D29369-AD67-44EE-81DB-63CC9720BD5A}"/>
    <cellStyle name="Normal 8 2 3 3 5 3" xfId="6510" xr:uid="{00000000-0005-0000-0000-0000CC1C0000}"/>
    <cellStyle name="Normal 8 2 3 3 5 3 2" xfId="14945" xr:uid="{8F48076B-0958-4D10-87ED-8D81C68A8E0A}"/>
    <cellStyle name="Normal 8 2 3 3 5 4" xfId="10727" xr:uid="{A9979EE1-5039-4FB6-A942-704087C11EF7}"/>
    <cellStyle name="Normal 8 2 3 3 6" xfId="2639" xr:uid="{00000000-0005-0000-0000-0000CD1C0000}"/>
    <cellStyle name="Normal 8 2 3 3 6 2" xfId="6923" xr:uid="{00000000-0005-0000-0000-0000CE1C0000}"/>
    <cellStyle name="Normal 8 2 3 3 6 2 2" xfId="15358" xr:uid="{0FBAB726-E7A6-4A7F-8A30-61B71574D0D5}"/>
    <cellStyle name="Normal 8 2 3 3 6 3" xfId="11140" xr:uid="{3CE1A078-F363-4251-AC35-F13A553B0C4F}"/>
    <cellStyle name="Normal 8 2 3 3 7" xfId="4858" xr:uid="{00000000-0005-0000-0000-0000CF1C0000}"/>
    <cellStyle name="Normal 8 2 3 3 7 2" xfId="13293" xr:uid="{798DD068-F838-4033-9C98-B942C884D5E5}"/>
    <cellStyle name="Normal 8 2 3 3 8" xfId="9075" xr:uid="{8B23790F-E9EB-465B-B2DA-854CEA1D63DE}"/>
    <cellStyle name="Normal 8 2 3 4" xfId="956" xr:uid="{00000000-0005-0000-0000-0000D01C0000}"/>
    <cellStyle name="Normal 8 2 3 4 2" xfId="3190" xr:uid="{00000000-0005-0000-0000-0000D11C0000}"/>
    <cellStyle name="Normal 8 2 3 4 2 2" xfId="7413" xr:uid="{00000000-0005-0000-0000-0000D21C0000}"/>
    <cellStyle name="Normal 8 2 3 4 2 2 2" xfId="15848" xr:uid="{A4D311BD-D5F1-428B-AB01-A6983A2F46FC}"/>
    <cellStyle name="Normal 8 2 3 4 2 3" xfId="11630" xr:uid="{83052EEF-61D0-48EF-8F84-07F9C5282EB3}"/>
    <cellStyle name="Normal 8 2 3 4 3" xfId="5268" xr:uid="{00000000-0005-0000-0000-0000D31C0000}"/>
    <cellStyle name="Normal 8 2 3 4 3 2" xfId="13703" xr:uid="{96685A91-2BF4-4751-89D5-DC57D15C1606}"/>
    <cellStyle name="Normal 8 2 3 4 4" xfId="9485" xr:uid="{135BB875-64A8-4FAD-94DF-A2F111DDE9CF}"/>
    <cellStyle name="Normal 8 2 3 5" xfId="1373" xr:uid="{00000000-0005-0000-0000-0000D41C0000}"/>
    <cellStyle name="Normal 8 2 3 5 2" xfId="3603" xr:uid="{00000000-0005-0000-0000-0000D51C0000}"/>
    <cellStyle name="Normal 8 2 3 5 2 2" xfId="7826" xr:uid="{00000000-0005-0000-0000-0000D61C0000}"/>
    <cellStyle name="Normal 8 2 3 5 2 2 2" xfId="16261" xr:uid="{3B7E547A-D3A6-43C3-8FC6-E5E88AF88917}"/>
    <cellStyle name="Normal 8 2 3 5 2 3" xfId="12043" xr:uid="{B500F2DD-87E3-4432-9F4F-DBAB237F8535}"/>
    <cellStyle name="Normal 8 2 3 5 3" xfId="5681" xr:uid="{00000000-0005-0000-0000-0000D71C0000}"/>
    <cellStyle name="Normal 8 2 3 5 3 2" xfId="14116" xr:uid="{C5462DDB-2BB5-403C-B161-0F1F0E310B1B}"/>
    <cellStyle name="Normal 8 2 3 5 4" xfId="9898" xr:uid="{3C8DA7F8-201C-464D-85C9-986F5EDB26AC}"/>
    <cellStyle name="Normal 8 2 3 6" xfId="1786" xr:uid="{00000000-0005-0000-0000-0000D81C0000}"/>
    <cellStyle name="Normal 8 2 3 6 2" xfId="4016" xr:uid="{00000000-0005-0000-0000-0000D91C0000}"/>
    <cellStyle name="Normal 8 2 3 6 2 2" xfId="8239" xr:uid="{00000000-0005-0000-0000-0000DA1C0000}"/>
    <cellStyle name="Normal 8 2 3 6 2 2 2" xfId="16674" xr:uid="{99483E7C-6D6B-4DFC-94F9-02265CD5FDE5}"/>
    <cellStyle name="Normal 8 2 3 6 2 3" xfId="12456" xr:uid="{EAC422D5-80E0-4B3F-927C-11D5A6164515}"/>
    <cellStyle name="Normal 8 2 3 6 3" xfId="6094" xr:uid="{00000000-0005-0000-0000-0000DB1C0000}"/>
    <cellStyle name="Normal 8 2 3 6 3 2" xfId="14529" xr:uid="{25A52F00-50B9-4003-87D0-3D72E6E8A755}"/>
    <cellStyle name="Normal 8 2 3 6 4" xfId="10311" xr:uid="{AE71E154-4C03-429F-939C-2DFAE150A3E0}"/>
    <cellStyle name="Normal 8 2 3 7" xfId="2200" xr:uid="{00000000-0005-0000-0000-0000DC1C0000}"/>
    <cellStyle name="Normal 8 2 3 7 2" xfId="4429" xr:uid="{00000000-0005-0000-0000-0000DD1C0000}"/>
    <cellStyle name="Normal 8 2 3 7 2 2" xfId="8652" xr:uid="{00000000-0005-0000-0000-0000DE1C0000}"/>
    <cellStyle name="Normal 8 2 3 7 2 2 2" xfId="17087" xr:uid="{08E69ECC-09AB-4851-87CF-2CC9AC214F9D}"/>
    <cellStyle name="Normal 8 2 3 7 2 3" xfId="12869" xr:uid="{B12A3376-3D45-4AC2-B4F6-FA8588034EDB}"/>
    <cellStyle name="Normal 8 2 3 7 3" xfId="6507" xr:uid="{00000000-0005-0000-0000-0000DF1C0000}"/>
    <cellStyle name="Normal 8 2 3 7 3 2" xfId="14942" xr:uid="{4E283271-2890-4020-9C17-F619B55630BE}"/>
    <cellStyle name="Normal 8 2 3 7 4" xfId="10724" xr:uid="{A31DCC2C-F853-408E-AE85-D9263ED6953C}"/>
    <cellStyle name="Normal 8 2 3 8" xfId="2636" xr:uid="{00000000-0005-0000-0000-0000E01C0000}"/>
    <cellStyle name="Normal 8 2 3 8 2" xfId="6920" xr:uid="{00000000-0005-0000-0000-0000E11C0000}"/>
    <cellStyle name="Normal 8 2 3 8 2 2" xfId="15355" xr:uid="{C67C1AC0-4DD0-4457-A4C5-51BFDE5EB538}"/>
    <cellStyle name="Normal 8 2 3 8 3" xfId="11137" xr:uid="{EF03CC07-A5B9-4188-B24C-24711707B1F9}"/>
    <cellStyle name="Normal 8 2 3 9" xfId="4855" xr:uid="{00000000-0005-0000-0000-0000E21C0000}"/>
    <cellStyle name="Normal 8 2 3 9 2" xfId="13290" xr:uid="{CE6EDD1D-CEB7-4E59-9B3E-1E4D528837D1}"/>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2 2 2" xfId="15853" xr:uid="{F54C041A-C519-4A8D-A3B7-B8D4019AC06C}"/>
    <cellStyle name="Normal 8 2 4 2 2 2 3" xfId="11635" xr:uid="{34560467-8F7A-4A15-A3E2-FC2A2C939B10}"/>
    <cellStyle name="Normal 8 2 4 2 2 3" xfId="5273" xr:uid="{00000000-0005-0000-0000-0000E81C0000}"/>
    <cellStyle name="Normal 8 2 4 2 2 3 2" xfId="13708" xr:uid="{5A8CF910-6C1F-4C2E-9921-2B6A6ED79F5A}"/>
    <cellStyle name="Normal 8 2 4 2 2 4" xfId="9490" xr:uid="{F33423AD-9834-4715-A886-855ED107207E}"/>
    <cellStyle name="Normal 8 2 4 2 3" xfId="1378" xr:uid="{00000000-0005-0000-0000-0000E91C0000}"/>
    <cellStyle name="Normal 8 2 4 2 3 2" xfId="3608" xr:uid="{00000000-0005-0000-0000-0000EA1C0000}"/>
    <cellStyle name="Normal 8 2 4 2 3 2 2" xfId="7831" xr:uid="{00000000-0005-0000-0000-0000EB1C0000}"/>
    <cellStyle name="Normal 8 2 4 2 3 2 2 2" xfId="16266" xr:uid="{AD6D3BDE-473B-4488-BFC9-90B0DD31A617}"/>
    <cellStyle name="Normal 8 2 4 2 3 2 3" xfId="12048" xr:uid="{8C445E87-20AB-4753-8102-515CAF13A9AA}"/>
    <cellStyle name="Normal 8 2 4 2 3 3" xfId="5686" xr:uid="{00000000-0005-0000-0000-0000EC1C0000}"/>
    <cellStyle name="Normal 8 2 4 2 3 3 2" xfId="14121" xr:uid="{47968DBA-36FE-41A9-8598-74BFBCF1DBDD}"/>
    <cellStyle name="Normal 8 2 4 2 3 4" xfId="9903" xr:uid="{7C19B0AE-4D63-4850-93E5-9FA4CA32270E}"/>
    <cellStyle name="Normal 8 2 4 2 4" xfId="1791" xr:uid="{00000000-0005-0000-0000-0000ED1C0000}"/>
    <cellStyle name="Normal 8 2 4 2 4 2" xfId="4021" xr:uid="{00000000-0005-0000-0000-0000EE1C0000}"/>
    <cellStyle name="Normal 8 2 4 2 4 2 2" xfId="8244" xr:uid="{00000000-0005-0000-0000-0000EF1C0000}"/>
    <cellStyle name="Normal 8 2 4 2 4 2 2 2" xfId="16679" xr:uid="{5BED98EB-C58C-47B3-8C84-AE164BF5ADCC}"/>
    <cellStyle name="Normal 8 2 4 2 4 2 3" xfId="12461" xr:uid="{3DDB0DA8-C78C-47D5-AD5B-EE225104A510}"/>
    <cellStyle name="Normal 8 2 4 2 4 3" xfId="6099" xr:uid="{00000000-0005-0000-0000-0000F01C0000}"/>
    <cellStyle name="Normal 8 2 4 2 4 3 2" xfId="14534" xr:uid="{913AB001-ABBD-4BC4-9084-B61C88598A95}"/>
    <cellStyle name="Normal 8 2 4 2 4 4" xfId="10316" xr:uid="{2C2CFF15-890B-4770-9AB4-3AAA0874DEC5}"/>
    <cellStyle name="Normal 8 2 4 2 5" xfId="2205" xr:uid="{00000000-0005-0000-0000-0000F11C0000}"/>
    <cellStyle name="Normal 8 2 4 2 5 2" xfId="4434" xr:uid="{00000000-0005-0000-0000-0000F21C0000}"/>
    <cellStyle name="Normal 8 2 4 2 5 2 2" xfId="8657" xr:uid="{00000000-0005-0000-0000-0000F31C0000}"/>
    <cellStyle name="Normal 8 2 4 2 5 2 2 2" xfId="17092" xr:uid="{11FE355B-AF57-4AD4-B8E5-A2BFC269579C}"/>
    <cellStyle name="Normal 8 2 4 2 5 2 3" xfId="12874" xr:uid="{D8F32C0F-E4D9-4033-9551-F8AE04C74DB8}"/>
    <cellStyle name="Normal 8 2 4 2 5 3" xfId="6512" xr:uid="{00000000-0005-0000-0000-0000F41C0000}"/>
    <cellStyle name="Normal 8 2 4 2 5 3 2" xfId="14947" xr:uid="{E2051E34-F3AA-4ABF-9707-B23F8CF25950}"/>
    <cellStyle name="Normal 8 2 4 2 5 4" xfId="10729" xr:uid="{A80AC982-2B4E-47A8-BC94-407B7EB1569B}"/>
    <cellStyle name="Normal 8 2 4 2 6" xfId="2641" xr:uid="{00000000-0005-0000-0000-0000F51C0000}"/>
    <cellStyle name="Normal 8 2 4 2 6 2" xfId="6925" xr:uid="{00000000-0005-0000-0000-0000F61C0000}"/>
    <cellStyle name="Normal 8 2 4 2 6 2 2" xfId="15360" xr:uid="{3E50938F-7A3B-43F5-8D1C-4DD6A353738B}"/>
    <cellStyle name="Normal 8 2 4 2 6 3" xfId="11142" xr:uid="{7B8943DC-CDCC-48DD-8970-4F88444555BF}"/>
    <cellStyle name="Normal 8 2 4 2 7" xfId="4860" xr:uid="{00000000-0005-0000-0000-0000F71C0000}"/>
    <cellStyle name="Normal 8 2 4 2 7 2" xfId="13295" xr:uid="{09872761-A076-4980-9A86-A7E7CA1A47D2}"/>
    <cellStyle name="Normal 8 2 4 2 8" xfId="9077" xr:uid="{61E6C504-D118-4000-A057-1EF998AC367E}"/>
    <cellStyle name="Normal 8 2 4 3" xfId="960" xr:uid="{00000000-0005-0000-0000-0000F81C0000}"/>
    <cellStyle name="Normal 8 2 4 3 2" xfId="3194" xr:uid="{00000000-0005-0000-0000-0000F91C0000}"/>
    <cellStyle name="Normal 8 2 4 3 2 2" xfId="7417" xr:uid="{00000000-0005-0000-0000-0000FA1C0000}"/>
    <cellStyle name="Normal 8 2 4 3 2 2 2" xfId="15852" xr:uid="{6DDA652C-E43A-4B5D-BE79-BF63FCBD6059}"/>
    <cellStyle name="Normal 8 2 4 3 2 3" xfId="11634" xr:uid="{652E6149-1395-4C11-B603-47566BA32205}"/>
    <cellStyle name="Normal 8 2 4 3 3" xfId="5272" xr:uid="{00000000-0005-0000-0000-0000FB1C0000}"/>
    <cellStyle name="Normal 8 2 4 3 3 2" xfId="13707" xr:uid="{FB071A16-E7E3-46B8-BB55-8F2DAEDEED23}"/>
    <cellStyle name="Normal 8 2 4 3 4" xfId="9489" xr:uid="{08D6F29D-551D-469D-AE41-1B99963979C7}"/>
    <cellStyle name="Normal 8 2 4 4" xfId="1377" xr:uid="{00000000-0005-0000-0000-0000FC1C0000}"/>
    <cellStyle name="Normal 8 2 4 4 2" xfId="3607" xr:uid="{00000000-0005-0000-0000-0000FD1C0000}"/>
    <cellStyle name="Normal 8 2 4 4 2 2" xfId="7830" xr:uid="{00000000-0005-0000-0000-0000FE1C0000}"/>
    <cellStyle name="Normal 8 2 4 4 2 2 2" xfId="16265" xr:uid="{F88FEF36-7984-4D7E-B842-C20D93B4B9AE}"/>
    <cellStyle name="Normal 8 2 4 4 2 3" xfId="12047" xr:uid="{0C16A3AE-5975-435B-A4F2-D8467D6D6EE5}"/>
    <cellStyle name="Normal 8 2 4 4 3" xfId="5685" xr:uid="{00000000-0005-0000-0000-0000FF1C0000}"/>
    <cellStyle name="Normal 8 2 4 4 3 2" xfId="14120" xr:uid="{CA775A51-5445-4593-BBE3-E498F42607FB}"/>
    <cellStyle name="Normal 8 2 4 4 4" xfId="9902" xr:uid="{B792F4A0-D767-41FB-A0ED-56D5F05D69C4}"/>
    <cellStyle name="Normal 8 2 4 5" xfId="1790" xr:uid="{00000000-0005-0000-0000-0000001D0000}"/>
    <cellStyle name="Normal 8 2 4 5 2" xfId="4020" xr:uid="{00000000-0005-0000-0000-0000011D0000}"/>
    <cellStyle name="Normal 8 2 4 5 2 2" xfId="8243" xr:uid="{00000000-0005-0000-0000-0000021D0000}"/>
    <cellStyle name="Normal 8 2 4 5 2 2 2" xfId="16678" xr:uid="{81B546FA-B1E5-41F1-BF8C-34703178F61A}"/>
    <cellStyle name="Normal 8 2 4 5 2 3" xfId="12460" xr:uid="{141779C2-F611-4A5E-905C-88B891FF1A05}"/>
    <cellStyle name="Normal 8 2 4 5 3" xfId="6098" xr:uid="{00000000-0005-0000-0000-0000031D0000}"/>
    <cellStyle name="Normal 8 2 4 5 3 2" xfId="14533" xr:uid="{6B6FB0A1-F5E4-43F1-817B-1AEF475035EC}"/>
    <cellStyle name="Normal 8 2 4 5 4" xfId="10315" xr:uid="{50815009-0BA8-49A4-9BCB-9B5A0270C039}"/>
    <cellStyle name="Normal 8 2 4 6" xfId="2204" xr:uid="{00000000-0005-0000-0000-0000041D0000}"/>
    <cellStyle name="Normal 8 2 4 6 2" xfId="4433" xr:uid="{00000000-0005-0000-0000-0000051D0000}"/>
    <cellStyle name="Normal 8 2 4 6 2 2" xfId="8656" xr:uid="{00000000-0005-0000-0000-0000061D0000}"/>
    <cellStyle name="Normal 8 2 4 6 2 2 2" xfId="17091" xr:uid="{75A0531C-B1A8-4A61-8A56-61B28E8E717E}"/>
    <cellStyle name="Normal 8 2 4 6 2 3" xfId="12873" xr:uid="{F63E6AEE-3668-4DCD-B630-564DDF03717C}"/>
    <cellStyle name="Normal 8 2 4 6 3" xfId="6511" xr:uid="{00000000-0005-0000-0000-0000071D0000}"/>
    <cellStyle name="Normal 8 2 4 6 3 2" xfId="14946" xr:uid="{E678B819-B1C4-46D4-B213-11E2B4E156CB}"/>
    <cellStyle name="Normal 8 2 4 6 4" xfId="10728" xr:uid="{9DF938CB-CE77-4575-9A77-C3FA13CCEEF4}"/>
    <cellStyle name="Normal 8 2 4 7" xfId="2640" xr:uid="{00000000-0005-0000-0000-0000081D0000}"/>
    <cellStyle name="Normal 8 2 4 7 2" xfId="6924" xr:uid="{00000000-0005-0000-0000-0000091D0000}"/>
    <cellStyle name="Normal 8 2 4 7 2 2" xfId="15359" xr:uid="{5A2D4057-3875-4426-B4C7-E3E31EB8829D}"/>
    <cellStyle name="Normal 8 2 4 7 3" xfId="11141" xr:uid="{FE5690ED-0011-407B-A336-B076A240E9FD}"/>
    <cellStyle name="Normal 8 2 4 8" xfId="4859" xr:uid="{00000000-0005-0000-0000-00000A1D0000}"/>
    <cellStyle name="Normal 8 2 4 8 2" xfId="13294" xr:uid="{EC969C93-12EF-4A9C-84F3-437021987E31}"/>
    <cellStyle name="Normal 8 2 4 9" xfId="9076" xr:uid="{CC4DC0EA-C860-4365-B3D7-701A55928604}"/>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2 2 2" xfId="15854" xr:uid="{1B12892C-6C84-4E92-8ECA-1BA9D311405E}"/>
    <cellStyle name="Normal 8 2 5 2 2 3" xfId="11636" xr:uid="{1DB2FDA5-9FFE-4BB8-A79D-3C8230120AF8}"/>
    <cellStyle name="Normal 8 2 5 2 3" xfId="5274" xr:uid="{00000000-0005-0000-0000-00000F1D0000}"/>
    <cellStyle name="Normal 8 2 5 2 3 2" xfId="13709" xr:uid="{636E3E27-F526-4D55-9D6F-813111FB474A}"/>
    <cellStyle name="Normal 8 2 5 2 4" xfId="9491" xr:uid="{DC20E821-FD93-495E-8D57-3EF97B4BD9B2}"/>
    <cellStyle name="Normal 8 2 5 3" xfId="1379" xr:uid="{00000000-0005-0000-0000-0000101D0000}"/>
    <cellStyle name="Normal 8 2 5 3 2" xfId="3609" xr:uid="{00000000-0005-0000-0000-0000111D0000}"/>
    <cellStyle name="Normal 8 2 5 3 2 2" xfId="7832" xr:uid="{00000000-0005-0000-0000-0000121D0000}"/>
    <cellStyle name="Normal 8 2 5 3 2 2 2" xfId="16267" xr:uid="{2D79C15D-6F9D-4CE6-B8C2-FC193BE600DA}"/>
    <cellStyle name="Normal 8 2 5 3 2 3" xfId="12049" xr:uid="{48DD893D-FB96-4F56-A6A9-46EAF2D53C86}"/>
    <cellStyle name="Normal 8 2 5 3 3" xfId="5687" xr:uid="{00000000-0005-0000-0000-0000131D0000}"/>
    <cellStyle name="Normal 8 2 5 3 3 2" xfId="14122" xr:uid="{820A7D01-6C2B-4B4A-8201-95B042F96EF1}"/>
    <cellStyle name="Normal 8 2 5 3 4" xfId="9904" xr:uid="{793FEFF5-C38A-42F8-9F93-0304D92C3568}"/>
    <cellStyle name="Normal 8 2 5 4" xfId="1792" xr:uid="{00000000-0005-0000-0000-0000141D0000}"/>
    <cellStyle name="Normal 8 2 5 4 2" xfId="4022" xr:uid="{00000000-0005-0000-0000-0000151D0000}"/>
    <cellStyle name="Normal 8 2 5 4 2 2" xfId="8245" xr:uid="{00000000-0005-0000-0000-0000161D0000}"/>
    <cellStyle name="Normal 8 2 5 4 2 2 2" xfId="16680" xr:uid="{6B49D4A8-5EC0-40BB-BF08-08175BC94CE4}"/>
    <cellStyle name="Normal 8 2 5 4 2 3" xfId="12462" xr:uid="{F2A4E534-B321-478B-8108-738EDC038ABB}"/>
    <cellStyle name="Normal 8 2 5 4 3" xfId="6100" xr:uid="{00000000-0005-0000-0000-0000171D0000}"/>
    <cellStyle name="Normal 8 2 5 4 3 2" xfId="14535" xr:uid="{E7A186D6-6B2E-417C-9C14-9E04CFA247C2}"/>
    <cellStyle name="Normal 8 2 5 4 4" xfId="10317" xr:uid="{335294F6-3BD1-4BB5-8019-9810777BEDA2}"/>
    <cellStyle name="Normal 8 2 5 5" xfId="2206" xr:uid="{00000000-0005-0000-0000-0000181D0000}"/>
    <cellStyle name="Normal 8 2 5 5 2" xfId="4435" xr:uid="{00000000-0005-0000-0000-0000191D0000}"/>
    <cellStyle name="Normal 8 2 5 5 2 2" xfId="8658" xr:uid="{00000000-0005-0000-0000-00001A1D0000}"/>
    <cellStyle name="Normal 8 2 5 5 2 2 2" xfId="17093" xr:uid="{B8573D09-020D-4E94-A01D-B02B11E130CE}"/>
    <cellStyle name="Normal 8 2 5 5 2 3" xfId="12875" xr:uid="{96A6484B-B073-4D28-808B-49DEAFB8CDDE}"/>
    <cellStyle name="Normal 8 2 5 5 3" xfId="6513" xr:uid="{00000000-0005-0000-0000-00001B1D0000}"/>
    <cellStyle name="Normal 8 2 5 5 3 2" xfId="14948" xr:uid="{AA2F8C5F-EDF7-4976-84B3-7CE0935160FA}"/>
    <cellStyle name="Normal 8 2 5 5 4" xfId="10730" xr:uid="{EB4BA8B6-269E-4BCD-8F1A-D6B5DC4BC95F}"/>
    <cellStyle name="Normal 8 2 5 6" xfId="2642" xr:uid="{00000000-0005-0000-0000-00001C1D0000}"/>
    <cellStyle name="Normal 8 2 5 6 2" xfId="6926" xr:uid="{00000000-0005-0000-0000-00001D1D0000}"/>
    <cellStyle name="Normal 8 2 5 6 2 2" xfId="15361" xr:uid="{2B3CCAAD-586E-4C09-AC1F-F682A7E5C9A2}"/>
    <cellStyle name="Normal 8 2 5 6 3" xfId="11143" xr:uid="{FABD496D-B9B3-47B2-86F9-839D8BB73579}"/>
    <cellStyle name="Normal 8 2 5 7" xfId="4861" xr:uid="{00000000-0005-0000-0000-00001E1D0000}"/>
    <cellStyle name="Normal 8 2 5 7 2" xfId="13296" xr:uid="{FAE4B7EB-4E98-43B9-95FE-5226B7269534}"/>
    <cellStyle name="Normal 8 2 5 8" xfId="9078" xr:uid="{4D99BF05-7794-4205-95DD-1F82FBE42280}"/>
    <cellStyle name="Normal 8 2 6" xfId="947" xr:uid="{00000000-0005-0000-0000-00001F1D0000}"/>
    <cellStyle name="Normal 8 2 6 2" xfId="3181" xr:uid="{00000000-0005-0000-0000-0000201D0000}"/>
    <cellStyle name="Normal 8 2 6 2 2" xfId="7404" xr:uid="{00000000-0005-0000-0000-0000211D0000}"/>
    <cellStyle name="Normal 8 2 6 2 2 2" xfId="15839" xr:uid="{01FFE3DC-8A0C-4326-BBE2-5E11B5117B82}"/>
    <cellStyle name="Normal 8 2 6 2 3" xfId="11621" xr:uid="{00114D40-D845-43D5-9A20-817270CF4B15}"/>
    <cellStyle name="Normal 8 2 6 3" xfId="5259" xr:uid="{00000000-0005-0000-0000-0000221D0000}"/>
    <cellStyle name="Normal 8 2 6 3 2" xfId="13694" xr:uid="{5461B4B8-C14C-431B-8124-DDFBD27CD31B}"/>
    <cellStyle name="Normal 8 2 6 4" xfId="9476" xr:uid="{9D8EBB97-419C-42A7-AC2B-945338B7371B}"/>
    <cellStyle name="Normal 8 2 7" xfId="1364" xr:uid="{00000000-0005-0000-0000-0000231D0000}"/>
    <cellStyle name="Normal 8 2 7 2" xfId="3594" xr:uid="{00000000-0005-0000-0000-0000241D0000}"/>
    <cellStyle name="Normal 8 2 7 2 2" xfId="7817" xr:uid="{00000000-0005-0000-0000-0000251D0000}"/>
    <cellStyle name="Normal 8 2 7 2 2 2" xfId="16252" xr:uid="{0AF10314-A620-4BCA-BBA7-776A9B8B7E7E}"/>
    <cellStyle name="Normal 8 2 7 2 3" xfId="12034" xr:uid="{89C04EF4-E304-495C-8ABA-8765E4AD9C25}"/>
    <cellStyle name="Normal 8 2 7 3" xfId="5672" xr:uid="{00000000-0005-0000-0000-0000261D0000}"/>
    <cellStyle name="Normal 8 2 7 3 2" xfId="14107" xr:uid="{366B1151-EBAA-4D2B-ACCF-F1E7C63B65E4}"/>
    <cellStyle name="Normal 8 2 7 4" xfId="9889" xr:uid="{1CEC11FF-B3DF-4C20-BE6F-3290C0E633AD}"/>
    <cellStyle name="Normal 8 2 8" xfId="1777" xr:uid="{00000000-0005-0000-0000-0000271D0000}"/>
    <cellStyle name="Normal 8 2 8 2" xfId="4007" xr:uid="{00000000-0005-0000-0000-0000281D0000}"/>
    <cellStyle name="Normal 8 2 8 2 2" xfId="8230" xr:uid="{00000000-0005-0000-0000-0000291D0000}"/>
    <cellStyle name="Normal 8 2 8 2 2 2" xfId="16665" xr:uid="{499C07E2-016B-484B-916B-9A0221216A63}"/>
    <cellStyle name="Normal 8 2 8 2 3" xfId="12447" xr:uid="{99CBF7A5-7541-4C8E-BA8A-69ACF3A55CCF}"/>
    <cellStyle name="Normal 8 2 8 3" xfId="6085" xr:uid="{00000000-0005-0000-0000-00002A1D0000}"/>
    <cellStyle name="Normal 8 2 8 3 2" xfId="14520" xr:uid="{EA8B0C5E-6C6D-4ABA-B212-A96F989D8704}"/>
    <cellStyle name="Normal 8 2 8 4" xfId="10302" xr:uid="{AA3D9D8A-F9A0-4AD7-BD33-3B112874C931}"/>
    <cellStyle name="Normal 8 2 9" xfId="2191" xr:uid="{00000000-0005-0000-0000-00002B1D0000}"/>
    <cellStyle name="Normal 8 2 9 2" xfId="4420" xr:uid="{00000000-0005-0000-0000-00002C1D0000}"/>
    <cellStyle name="Normal 8 2 9 2 2" xfId="8643" xr:uid="{00000000-0005-0000-0000-00002D1D0000}"/>
    <cellStyle name="Normal 8 2 9 2 2 2" xfId="17078" xr:uid="{D16E2132-575D-4A1B-90AE-5A397C2AFE8C}"/>
    <cellStyle name="Normal 8 2 9 2 3" xfId="12860" xr:uid="{0544B26C-AB0C-4F37-8665-3BF011127FBC}"/>
    <cellStyle name="Normal 8 2 9 3" xfId="6498" xr:uid="{00000000-0005-0000-0000-00002E1D0000}"/>
    <cellStyle name="Normal 8 2 9 3 2" xfId="14933" xr:uid="{4AF90384-1963-48F8-BF1E-C8DC0BB521A9}"/>
    <cellStyle name="Normal 8 2 9 4" xfId="10715" xr:uid="{8341014C-02ED-40B9-8A05-317CE2FF912F}"/>
    <cellStyle name="Normal 8 3" xfId="495" xr:uid="{00000000-0005-0000-0000-00002F1D0000}"/>
    <cellStyle name="Normal 8 3 10" xfId="4862" xr:uid="{00000000-0005-0000-0000-0000301D0000}"/>
    <cellStyle name="Normal 8 3 10 2" xfId="13297" xr:uid="{183AD520-C416-45D9-9F31-CB3EB7940E0F}"/>
    <cellStyle name="Normal 8 3 11" xfId="9079" xr:uid="{225AC23C-87C9-413A-A39F-482839B9F5B1}"/>
    <cellStyle name="Normal 8 3 2" xfId="496" xr:uid="{00000000-0005-0000-0000-0000311D0000}"/>
    <cellStyle name="Normal 8 3 2 10" xfId="9080" xr:uid="{DD9C601B-2F8D-4EB4-B069-2CD7A2CC9847}"/>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2 2 2" xfId="15858" xr:uid="{8A6B5B47-D7F1-4DAF-9973-35383C88B72E}"/>
    <cellStyle name="Normal 8 3 2 2 2 2 2 3" xfId="11640" xr:uid="{25B14FA3-DEFB-49FD-8588-BD55ABEE7417}"/>
    <cellStyle name="Normal 8 3 2 2 2 2 3" xfId="5278" xr:uid="{00000000-0005-0000-0000-0000371D0000}"/>
    <cellStyle name="Normal 8 3 2 2 2 2 3 2" xfId="13713" xr:uid="{AA69D1A0-E65F-4306-A180-DFA0C8A208BD}"/>
    <cellStyle name="Normal 8 3 2 2 2 2 4" xfId="9495" xr:uid="{00D62813-5419-49B9-A128-2756D965FD08}"/>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2 2 2" xfId="16271" xr:uid="{A069A397-99CD-4D68-B2B9-E0E96C285544}"/>
    <cellStyle name="Normal 8 3 2 2 2 3 2 3" xfId="12053" xr:uid="{19903F35-E7F1-4DC3-BADE-F8C0ED3C3D3E}"/>
    <cellStyle name="Normal 8 3 2 2 2 3 3" xfId="5691" xr:uid="{00000000-0005-0000-0000-00003B1D0000}"/>
    <cellStyle name="Normal 8 3 2 2 2 3 3 2" xfId="14126" xr:uid="{BAEE992D-702A-4938-9583-14E95804AA0C}"/>
    <cellStyle name="Normal 8 3 2 2 2 3 4" xfId="9908" xr:uid="{51022916-94B8-43F7-A734-530192D4C07A}"/>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2 2 2" xfId="16684" xr:uid="{D3250BA4-6562-46A3-888D-D3C71D831DB3}"/>
    <cellStyle name="Normal 8 3 2 2 2 4 2 3" xfId="12466" xr:uid="{506D7275-1CE0-4321-9A3F-C9BC6D3DCB4E}"/>
    <cellStyle name="Normal 8 3 2 2 2 4 3" xfId="6104" xr:uid="{00000000-0005-0000-0000-00003F1D0000}"/>
    <cellStyle name="Normal 8 3 2 2 2 4 3 2" xfId="14539" xr:uid="{FD8F14E3-1D01-40AE-9E1F-765EACD0793F}"/>
    <cellStyle name="Normal 8 3 2 2 2 4 4" xfId="10321" xr:uid="{82C63BFB-93CC-49FF-BF16-F1F8A685D02B}"/>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2 2 2" xfId="17097" xr:uid="{C0EA1AA7-A9C3-4C62-A508-BADB66095BA0}"/>
    <cellStyle name="Normal 8 3 2 2 2 5 2 3" xfId="12879" xr:uid="{28C33C80-E702-44EA-97A8-5F2A392C4F36}"/>
    <cellStyle name="Normal 8 3 2 2 2 5 3" xfId="6517" xr:uid="{00000000-0005-0000-0000-0000431D0000}"/>
    <cellStyle name="Normal 8 3 2 2 2 5 3 2" xfId="14952" xr:uid="{8933939B-21F4-4AF8-9253-63D442254179}"/>
    <cellStyle name="Normal 8 3 2 2 2 5 4" xfId="10734" xr:uid="{F69F17A5-DEFD-44A5-A0E1-40044D3A209F}"/>
    <cellStyle name="Normal 8 3 2 2 2 6" xfId="2646" xr:uid="{00000000-0005-0000-0000-0000441D0000}"/>
    <cellStyle name="Normal 8 3 2 2 2 6 2" xfId="6930" xr:uid="{00000000-0005-0000-0000-0000451D0000}"/>
    <cellStyle name="Normal 8 3 2 2 2 6 2 2" xfId="15365" xr:uid="{8DC4168B-4D40-40AC-8A6F-50B152F6D601}"/>
    <cellStyle name="Normal 8 3 2 2 2 6 3" xfId="11147" xr:uid="{9264F7DE-8E46-4CC0-A0CA-4C2DD3359E27}"/>
    <cellStyle name="Normal 8 3 2 2 2 7" xfId="4865" xr:uid="{00000000-0005-0000-0000-0000461D0000}"/>
    <cellStyle name="Normal 8 3 2 2 2 7 2" xfId="13300" xr:uid="{292A0468-F8C5-40ED-9B12-4266854C25B6}"/>
    <cellStyle name="Normal 8 3 2 2 2 8" xfId="9082" xr:uid="{A7357A9B-4782-4AE0-9C64-4A619337EDFA}"/>
    <cellStyle name="Normal 8 3 2 2 3" xfId="965" xr:uid="{00000000-0005-0000-0000-0000471D0000}"/>
    <cellStyle name="Normal 8 3 2 2 3 2" xfId="3199" xr:uid="{00000000-0005-0000-0000-0000481D0000}"/>
    <cellStyle name="Normal 8 3 2 2 3 2 2" xfId="7422" xr:uid="{00000000-0005-0000-0000-0000491D0000}"/>
    <cellStyle name="Normal 8 3 2 2 3 2 2 2" xfId="15857" xr:uid="{F3B2ECC5-F41D-4DB6-9CF1-5966F2E5A9EA}"/>
    <cellStyle name="Normal 8 3 2 2 3 2 3" xfId="11639" xr:uid="{D5CB8FE0-F17B-4807-A287-7E4E6E246F8A}"/>
    <cellStyle name="Normal 8 3 2 2 3 3" xfId="5277" xr:uid="{00000000-0005-0000-0000-00004A1D0000}"/>
    <cellStyle name="Normal 8 3 2 2 3 3 2" xfId="13712" xr:uid="{B3A54EE3-B766-4FED-A109-262EB8972291}"/>
    <cellStyle name="Normal 8 3 2 2 3 4" xfId="9494" xr:uid="{2AF2D926-6F6D-4421-9972-198704B416DC}"/>
    <cellStyle name="Normal 8 3 2 2 4" xfId="1382" xr:uid="{00000000-0005-0000-0000-00004B1D0000}"/>
    <cellStyle name="Normal 8 3 2 2 4 2" xfId="3612" xr:uid="{00000000-0005-0000-0000-00004C1D0000}"/>
    <cellStyle name="Normal 8 3 2 2 4 2 2" xfId="7835" xr:uid="{00000000-0005-0000-0000-00004D1D0000}"/>
    <cellStyle name="Normal 8 3 2 2 4 2 2 2" xfId="16270" xr:uid="{0B63C1F4-6458-41BF-8A88-639A8B8CBEFB}"/>
    <cellStyle name="Normal 8 3 2 2 4 2 3" xfId="12052" xr:uid="{898060B9-7F11-4819-9CBF-14C99224A0D1}"/>
    <cellStyle name="Normal 8 3 2 2 4 3" xfId="5690" xr:uid="{00000000-0005-0000-0000-00004E1D0000}"/>
    <cellStyle name="Normal 8 3 2 2 4 3 2" xfId="14125" xr:uid="{C5A15599-C811-4A84-8F0A-895F0D90F08A}"/>
    <cellStyle name="Normal 8 3 2 2 4 4" xfId="9907" xr:uid="{540024DE-D94B-4E6C-B18F-188714CAF98A}"/>
    <cellStyle name="Normal 8 3 2 2 5" xfId="1795" xr:uid="{00000000-0005-0000-0000-00004F1D0000}"/>
    <cellStyle name="Normal 8 3 2 2 5 2" xfId="4025" xr:uid="{00000000-0005-0000-0000-0000501D0000}"/>
    <cellStyle name="Normal 8 3 2 2 5 2 2" xfId="8248" xr:uid="{00000000-0005-0000-0000-0000511D0000}"/>
    <cellStyle name="Normal 8 3 2 2 5 2 2 2" xfId="16683" xr:uid="{14B35017-E941-470F-BD00-202469D36C3D}"/>
    <cellStyle name="Normal 8 3 2 2 5 2 3" xfId="12465" xr:uid="{479B93DE-AD06-4441-8B74-C83016C7080B}"/>
    <cellStyle name="Normal 8 3 2 2 5 3" xfId="6103" xr:uid="{00000000-0005-0000-0000-0000521D0000}"/>
    <cellStyle name="Normal 8 3 2 2 5 3 2" xfId="14538" xr:uid="{0970150A-403F-4914-ABDC-834778176A3E}"/>
    <cellStyle name="Normal 8 3 2 2 5 4" xfId="10320" xr:uid="{186FB626-1F63-4EC0-BDE9-F96872AE0281}"/>
    <cellStyle name="Normal 8 3 2 2 6" xfId="2209" xr:uid="{00000000-0005-0000-0000-0000531D0000}"/>
    <cellStyle name="Normal 8 3 2 2 6 2" xfId="4438" xr:uid="{00000000-0005-0000-0000-0000541D0000}"/>
    <cellStyle name="Normal 8 3 2 2 6 2 2" xfId="8661" xr:uid="{00000000-0005-0000-0000-0000551D0000}"/>
    <cellStyle name="Normal 8 3 2 2 6 2 2 2" xfId="17096" xr:uid="{0BF0B19F-0C71-44F6-8144-2C7C878C22CB}"/>
    <cellStyle name="Normal 8 3 2 2 6 2 3" xfId="12878" xr:uid="{13A863AC-547E-4C70-BA84-AEA6E31AE724}"/>
    <cellStyle name="Normal 8 3 2 2 6 3" xfId="6516" xr:uid="{00000000-0005-0000-0000-0000561D0000}"/>
    <cellStyle name="Normal 8 3 2 2 6 3 2" xfId="14951" xr:uid="{F16929DD-AF37-4E02-B2E1-3A6811B1B5A6}"/>
    <cellStyle name="Normal 8 3 2 2 6 4" xfId="10733" xr:uid="{EF4E4630-C1FD-4CBC-8F7B-B4EF2AF3FDC1}"/>
    <cellStyle name="Normal 8 3 2 2 7" xfId="2645" xr:uid="{00000000-0005-0000-0000-0000571D0000}"/>
    <cellStyle name="Normal 8 3 2 2 7 2" xfId="6929" xr:uid="{00000000-0005-0000-0000-0000581D0000}"/>
    <cellStyle name="Normal 8 3 2 2 7 2 2" xfId="15364" xr:uid="{52969272-9C39-4B57-B4BC-4D597B1BC69A}"/>
    <cellStyle name="Normal 8 3 2 2 7 3" xfId="11146" xr:uid="{BC4624D4-0A37-4ADD-A645-B932BC8B0210}"/>
    <cellStyle name="Normal 8 3 2 2 8" xfId="4864" xr:uid="{00000000-0005-0000-0000-0000591D0000}"/>
    <cellStyle name="Normal 8 3 2 2 8 2" xfId="13299" xr:uid="{2D43A8DD-0147-47D6-8145-E9BF1442ACF7}"/>
    <cellStyle name="Normal 8 3 2 2 9" xfId="9081" xr:uid="{0AEDA7EF-408E-4149-BD5C-B8D0F8A2C7FA}"/>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2 2 2" xfId="15859" xr:uid="{21CC613F-C174-4091-B511-F3CF78C77FFD}"/>
    <cellStyle name="Normal 8 3 2 3 2 2 3" xfId="11641" xr:uid="{C10067C2-771E-41C0-976E-2732AE061B82}"/>
    <cellStyle name="Normal 8 3 2 3 2 3" xfId="5279" xr:uid="{00000000-0005-0000-0000-00005E1D0000}"/>
    <cellStyle name="Normal 8 3 2 3 2 3 2" xfId="13714" xr:uid="{B53F8F71-D158-4008-9D77-80E711955EC7}"/>
    <cellStyle name="Normal 8 3 2 3 2 4" xfId="9496" xr:uid="{866A9516-C223-49CA-B77E-0D17384075E5}"/>
    <cellStyle name="Normal 8 3 2 3 3" xfId="1384" xr:uid="{00000000-0005-0000-0000-00005F1D0000}"/>
    <cellStyle name="Normal 8 3 2 3 3 2" xfId="3614" xr:uid="{00000000-0005-0000-0000-0000601D0000}"/>
    <cellStyle name="Normal 8 3 2 3 3 2 2" xfId="7837" xr:uid="{00000000-0005-0000-0000-0000611D0000}"/>
    <cellStyle name="Normal 8 3 2 3 3 2 2 2" xfId="16272" xr:uid="{ECD07BA6-3450-40FF-8CD0-0C5BA461C798}"/>
    <cellStyle name="Normal 8 3 2 3 3 2 3" xfId="12054" xr:uid="{764EE789-1ED2-4B5E-94AB-0AC33C6B6C58}"/>
    <cellStyle name="Normal 8 3 2 3 3 3" xfId="5692" xr:uid="{00000000-0005-0000-0000-0000621D0000}"/>
    <cellStyle name="Normal 8 3 2 3 3 3 2" xfId="14127" xr:uid="{FB690E2C-5690-451F-BDF1-5E4303741DD0}"/>
    <cellStyle name="Normal 8 3 2 3 3 4" xfId="9909" xr:uid="{371AF709-0C90-4587-94E8-F5D4EF34A48A}"/>
    <cellStyle name="Normal 8 3 2 3 4" xfId="1797" xr:uid="{00000000-0005-0000-0000-0000631D0000}"/>
    <cellStyle name="Normal 8 3 2 3 4 2" xfId="4027" xr:uid="{00000000-0005-0000-0000-0000641D0000}"/>
    <cellStyle name="Normal 8 3 2 3 4 2 2" xfId="8250" xr:uid="{00000000-0005-0000-0000-0000651D0000}"/>
    <cellStyle name="Normal 8 3 2 3 4 2 2 2" xfId="16685" xr:uid="{A7970760-1EA2-42E6-A562-C659FA3C6EF6}"/>
    <cellStyle name="Normal 8 3 2 3 4 2 3" xfId="12467" xr:uid="{9FEE127B-10F1-4F9E-9185-765F2BB2304D}"/>
    <cellStyle name="Normal 8 3 2 3 4 3" xfId="6105" xr:uid="{00000000-0005-0000-0000-0000661D0000}"/>
    <cellStyle name="Normal 8 3 2 3 4 3 2" xfId="14540" xr:uid="{AC8A1152-A238-47EE-95F3-8CB23F5B4BC2}"/>
    <cellStyle name="Normal 8 3 2 3 4 4" xfId="10322" xr:uid="{CEB01FFB-109D-470F-AE10-3DE4B026D7CC}"/>
    <cellStyle name="Normal 8 3 2 3 5" xfId="2211" xr:uid="{00000000-0005-0000-0000-0000671D0000}"/>
    <cellStyle name="Normal 8 3 2 3 5 2" xfId="4440" xr:uid="{00000000-0005-0000-0000-0000681D0000}"/>
    <cellStyle name="Normal 8 3 2 3 5 2 2" xfId="8663" xr:uid="{00000000-0005-0000-0000-0000691D0000}"/>
    <cellStyle name="Normal 8 3 2 3 5 2 2 2" xfId="17098" xr:uid="{77B5322C-4F27-48F6-B3A5-855094700D78}"/>
    <cellStyle name="Normal 8 3 2 3 5 2 3" xfId="12880" xr:uid="{62633F73-967C-4EAA-B8B7-3583FB81498A}"/>
    <cellStyle name="Normal 8 3 2 3 5 3" xfId="6518" xr:uid="{00000000-0005-0000-0000-00006A1D0000}"/>
    <cellStyle name="Normal 8 3 2 3 5 3 2" xfId="14953" xr:uid="{7619FFB6-F77E-48A1-9A1D-10FE3D596A89}"/>
    <cellStyle name="Normal 8 3 2 3 5 4" xfId="10735" xr:uid="{3BFC976F-02E8-466A-82EA-F6424BD9C834}"/>
    <cellStyle name="Normal 8 3 2 3 6" xfId="2647" xr:uid="{00000000-0005-0000-0000-00006B1D0000}"/>
    <cellStyle name="Normal 8 3 2 3 6 2" xfId="6931" xr:uid="{00000000-0005-0000-0000-00006C1D0000}"/>
    <cellStyle name="Normal 8 3 2 3 6 2 2" xfId="15366" xr:uid="{4FDE931C-4DF0-4A79-BAA0-DE7F811559B3}"/>
    <cellStyle name="Normal 8 3 2 3 6 3" xfId="11148" xr:uid="{0F176ADC-1BC2-4D66-9422-52CF86EDFB91}"/>
    <cellStyle name="Normal 8 3 2 3 7" xfId="4866" xr:uid="{00000000-0005-0000-0000-00006D1D0000}"/>
    <cellStyle name="Normal 8 3 2 3 7 2" xfId="13301" xr:uid="{6E63767D-F3A1-4A95-A692-B671BC70EBE7}"/>
    <cellStyle name="Normal 8 3 2 3 8" xfId="9083" xr:uid="{630D5A5D-CC15-47DD-A597-C0B609648914}"/>
    <cellStyle name="Normal 8 3 2 4" xfId="964" xr:uid="{00000000-0005-0000-0000-00006E1D0000}"/>
    <cellStyle name="Normal 8 3 2 4 2" xfId="3198" xr:uid="{00000000-0005-0000-0000-00006F1D0000}"/>
    <cellStyle name="Normal 8 3 2 4 2 2" xfId="7421" xr:uid="{00000000-0005-0000-0000-0000701D0000}"/>
    <cellStyle name="Normal 8 3 2 4 2 2 2" xfId="15856" xr:uid="{DDA2F14E-6D18-4CE8-8DDE-0A176F1D007C}"/>
    <cellStyle name="Normal 8 3 2 4 2 3" xfId="11638" xr:uid="{4F046C2D-CA0E-44FD-ABE7-1A69C33728C3}"/>
    <cellStyle name="Normal 8 3 2 4 3" xfId="5276" xr:uid="{00000000-0005-0000-0000-0000711D0000}"/>
    <cellStyle name="Normal 8 3 2 4 3 2" xfId="13711" xr:uid="{AAB71ABA-A618-4163-83F6-02D9A34C1609}"/>
    <cellStyle name="Normal 8 3 2 4 4" xfId="9493" xr:uid="{1F019AC8-4CF3-4303-A836-81136AE6486D}"/>
    <cellStyle name="Normal 8 3 2 5" xfId="1381" xr:uid="{00000000-0005-0000-0000-0000721D0000}"/>
    <cellStyle name="Normal 8 3 2 5 2" xfId="3611" xr:uid="{00000000-0005-0000-0000-0000731D0000}"/>
    <cellStyle name="Normal 8 3 2 5 2 2" xfId="7834" xr:uid="{00000000-0005-0000-0000-0000741D0000}"/>
    <cellStyle name="Normal 8 3 2 5 2 2 2" xfId="16269" xr:uid="{995C9392-D655-44BC-A441-E3FC43157D00}"/>
    <cellStyle name="Normal 8 3 2 5 2 3" xfId="12051" xr:uid="{D7A4E395-92E8-447A-8D92-4FB4F867AD28}"/>
    <cellStyle name="Normal 8 3 2 5 3" xfId="5689" xr:uid="{00000000-0005-0000-0000-0000751D0000}"/>
    <cellStyle name="Normal 8 3 2 5 3 2" xfId="14124" xr:uid="{F29E639B-683B-48C3-8F3F-858364860E93}"/>
    <cellStyle name="Normal 8 3 2 5 4" xfId="9906" xr:uid="{7DB9ADCA-ECF2-4011-BEE8-AC79C262E0FB}"/>
    <cellStyle name="Normal 8 3 2 6" xfId="1794" xr:uid="{00000000-0005-0000-0000-0000761D0000}"/>
    <cellStyle name="Normal 8 3 2 6 2" xfId="4024" xr:uid="{00000000-0005-0000-0000-0000771D0000}"/>
    <cellStyle name="Normal 8 3 2 6 2 2" xfId="8247" xr:uid="{00000000-0005-0000-0000-0000781D0000}"/>
    <cellStyle name="Normal 8 3 2 6 2 2 2" xfId="16682" xr:uid="{A659A389-531C-41D0-BB7E-C2BBE4743EDA}"/>
    <cellStyle name="Normal 8 3 2 6 2 3" xfId="12464" xr:uid="{781292FD-4EB9-4B8B-B930-0AF02EC9257B}"/>
    <cellStyle name="Normal 8 3 2 6 3" xfId="6102" xr:uid="{00000000-0005-0000-0000-0000791D0000}"/>
    <cellStyle name="Normal 8 3 2 6 3 2" xfId="14537" xr:uid="{D344F8DD-D242-4942-98C2-25C593E5A7E0}"/>
    <cellStyle name="Normal 8 3 2 6 4" xfId="10319" xr:uid="{46BFFB6F-625F-435E-A0D3-AD7D93160374}"/>
    <cellStyle name="Normal 8 3 2 7" xfId="2208" xr:uid="{00000000-0005-0000-0000-00007A1D0000}"/>
    <cellStyle name="Normal 8 3 2 7 2" xfId="4437" xr:uid="{00000000-0005-0000-0000-00007B1D0000}"/>
    <cellStyle name="Normal 8 3 2 7 2 2" xfId="8660" xr:uid="{00000000-0005-0000-0000-00007C1D0000}"/>
    <cellStyle name="Normal 8 3 2 7 2 2 2" xfId="17095" xr:uid="{662C2EC7-5ABA-4364-95D1-49B8FD33160C}"/>
    <cellStyle name="Normal 8 3 2 7 2 3" xfId="12877" xr:uid="{AF791C53-6DF8-459F-A7DA-2A9B5E8C2C60}"/>
    <cellStyle name="Normal 8 3 2 7 3" xfId="6515" xr:uid="{00000000-0005-0000-0000-00007D1D0000}"/>
    <cellStyle name="Normal 8 3 2 7 3 2" xfId="14950" xr:uid="{4E2108AE-C271-4AC8-96A4-3376D3434489}"/>
    <cellStyle name="Normal 8 3 2 7 4" xfId="10732" xr:uid="{53468D4C-AE21-499B-90BD-3F2F72B27304}"/>
    <cellStyle name="Normal 8 3 2 8" xfId="2644" xr:uid="{00000000-0005-0000-0000-00007E1D0000}"/>
    <cellStyle name="Normal 8 3 2 8 2" xfId="6928" xr:uid="{00000000-0005-0000-0000-00007F1D0000}"/>
    <cellStyle name="Normal 8 3 2 8 2 2" xfId="15363" xr:uid="{5F8D6FD2-0489-4E13-AA44-80BB6A0D8E9B}"/>
    <cellStyle name="Normal 8 3 2 8 3" xfId="11145" xr:uid="{2CF171D3-DFF0-400F-B275-D3580571545E}"/>
    <cellStyle name="Normal 8 3 2 9" xfId="4863" xr:uid="{00000000-0005-0000-0000-0000801D0000}"/>
    <cellStyle name="Normal 8 3 2 9 2" xfId="13298" xr:uid="{B2006FCD-98E4-4323-9369-2AA7527EED09}"/>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2 2 2" xfId="15861" xr:uid="{34C9081E-2852-4028-ADA0-F7E3F9A64E30}"/>
    <cellStyle name="Normal 8 3 3 2 2 2 3" xfId="11643" xr:uid="{12B77CA8-A489-4220-BF1D-91A9AA16859F}"/>
    <cellStyle name="Normal 8 3 3 2 2 3" xfId="5281" xr:uid="{00000000-0005-0000-0000-0000861D0000}"/>
    <cellStyle name="Normal 8 3 3 2 2 3 2" xfId="13716" xr:uid="{F74D8FD5-9629-4B21-9EDF-08B1B49DDFCE}"/>
    <cellStyle name="Normal 8 3 3 2 2 4" xfId="9498" xr:uid="{E76241B8-2183-4A4C-86F2-636B0BA34691}"/>
    <cellStyle name="Normal 8 3 3 2 3" xfId="1386" xr:uid="{00000000-0005-0000-0000-0000871D0000}"/>
    <cellStyle name="Normal 8 3 3 2 3 2" xfId="3616" xr:uid="{00000000-0005-0000-0000-0000881D0000}"/>
    <cellStyle name="Normal 8 3 3 2 3 2 2" xfId="7839" xr:uid="{00000000-0005-0000-0000-0000891D0000}"/>
    <cellStyle name="Normal 8 3 3 2 3 2 2 2" xfId="16274" xr:uid="{9DD9486E-5BFA-4303-AE94-777D16EDE978}"/>
    <cellStyle name="Normal 8 3 3 2 3 2 3" xfId="12056" xr:uid="{CF9DF816-51D2-45FA-9D03-94296506F5DD}"/>
    <cellStyle name="Normal 8 3 3 2 3 3" xfId="5694" xr:uid="{00000000-0005-0000-0000-00008A1D0000}"/>
    <cellStyle name="Normal 8 3 3 2 3 3 2" xfId="14129" xr:uid="{2A26DA7D-1992-4942-A750-497E521535B6}"/>
    <cellStyle name="Normal 8 3 3 2 3 4" xfId="9911" xr:uid="{47369DAE-2031-4BCA-84F8-9F3917D015E8}"/>
    <cellStyle name="Normal 8 3 3 2 4" xfId="1799" xr:uid="{00000000-0005-0000-0000-00008B1D0000}"/>
    <cellStyle name="Normal 8 3 3 2 4 2" xfId="4029" xr:uid="{00000000-0005-0000-0000-00008C1D0000}"/>
    <cellStyle name="Normal 8 3 3 2 4 2 2" xfId="8252" xr:uid="{00000000-0005-0000-0000-00008D1D0000}"/>
    <cellStyle name="Normal 8 3 3 2 4 2 2 2" xfId="16687" xr:uid="{9D893EB9-E8BD-47AB-83CD-9DC32EEBD8A8}"/>
    <cellStyle name="Normal 8 3 3 2 4 2 3" xfId="12469" xr:uid="{7B61CD7A-72F0-49FC-9327-A0C397800444}"/>
    <cellStyle name="Normal 8 3 3 2 4 3" xfId="6107" xr:uid="{00000000-0005-0000-0000-00008E1D0000}"/>
    <cellStyle name="Normal 8 3 3 2 4 3 2" xfId="14542" xr:uid="{57728244-F350-4F83-B0C5-AC2C9BFFF5C6}"/>
    <cellStyle name="Normal 8 3 3 2 4 4" xfId="10324" xr:uid="{59D05128-ADCA-4E8C-8F32-37DB143D349B}"/>
    <cellStyle name="Normal 8 3 3 2 5" xfId="2213" xr:uid="{00000000-0005-0000-0000-00008F1D0000}"/>
    <cellStyle name="Normal 8 3 3 2 5 2" xfId="4442" xr:uid="{00000000-0005-0000-0000-0000901D0000}"/>
    <cellStyle name="Normal 8 3 3 2 5 2 2" xfId="8665" xr:uid="{00000000-0005-0000-0000-0000911D0000}"/>
    <cellStyle name="Normal 8 3 3 2 5 2 2 2" xfId="17100" xr:uid="{0348FDD8-1C18-4A40-BF60-7FDB33E7AF36}"/>
    <cellStyle name="Normal 8 3 3 2 5 2 3" xfId="12882" xr:uid="{DC4D3709-6F73-4609-A0A6-7BCE8F0F184A}"/>
    <cellStyle name="Normal 8 3 3 2 5 3" xfId="6520" xr:uid="{00000000-0005-0000-0000-0000921D0000}"/>
    <cellStyle name="Normal 8 3 3 2 5 3 2" xfId="14955" xr:uid="{36B23723-0127-4CED-A2B1-97BA5CC89910}"/>
    <cellStyle name="Normal 8 3 3 2 5 4" xfId="10737" xr:uid="{9374B301-C994-4DBB-BCA3-8233F4A063D7}"/>
    <cellStyle name="Normal 8 3 3 2 6" xfId="2649" xr:uid="{00000000-0005-0000-0000-0000931D0000}"/>
    <cellStyle name="Normal 8 3 3 2 6 2" xfId="6933" xr:uid="{00000000-0005-0000-0000-0000941D0000}"/>
    <cellStyle name="Normal 8 3 3 2 6 2 2" xfId="15368" xr:uid="{4F9B3B7C-B746-47FD-8D8A-830AE14C038B}"/>
    <cellStyle name="Normal 8 3 3 2 6 3" xfId="11150" xr:uid="{81BB7482-B510-462F-BA6E-2157B383B4D0}"/>
    <cellStyle name="Normal 8 3 3 2 7" xfId="4868" xr:uid="{00000000-0005-0000-0000-0000951D0000}"/>
    <cellStyle name="Normal 8 3 3 2 7 2" xfId="13303" xr:uid="{44ACD338-9CAA-42DF-9447-DFCFD8041604}"/>
    <cellStyle name="Normal 8 3 3 2 8" xfId="9085" xr:uid="{5A2D7E40-DB56-4D86-BB7B-52AF62050D6D}"/>
    <cellStyle name="Normal 8 3 3 3" xfId="968" xr:uid="{00000000-0005-0000-0000-0000961D0000}"/>
    <cellStyle name="Normal 8 3 3 3 2" xfId="3202" xr:uid="{00000000-0005-0000-0000-0000971D0000}"/>
    <cellStyle name="Normal 8 3 3 3 2 2" xfId="7425" xr:uid="{00000000-0005-0000-0000-0000981D0000}"/>
    <cellStyle name="Normal 8 3 3 3 2 2 2" xfId="15860" xr:uid="{E8D0BCDB-2FD9-4868-8DE2-A136B2C2251F}"/>
    <cellStyle name="Normal 8 3 3 3 2 3" xfId="11642" xr:uid="{2F8887C8-F098-4C39-835C-8FB1E4B26A1D}"/>
    <cellStyle name="Normal 8 3 3 3 3" xfId="5280" xr:uid="{00000000-0005-0000-0000-0000991D0000}"/>
    <cellStyle name="Normal 8 3 3 3 3 2" xfId="13715" xr:uid="{21225BC6-755C-413B-89E0-B31B59FB79A6}"/>
    <cellStyle name="Normal 8 3 3 3 4" xfId="9497" xr:uid="{294DB831-CCA1-460C-BBFE-E071E1CAF62A}"/>
    <cellStyle name="Normal 8 3 3 4" xfId="1385" xr:uid="{00000000-0005-0000-0000-00009A1D0000}"/>
    <cellStyle name="Normal 8 3 3 4 2" xfId="3615" xr:uid="{00000000-0005-0000-0000-00009B1D0000}"/>
    <cellStyle name="Normal 8 3 3 4 2 2" xfId="7838" xr:uid="{00000000-0005-0000-0000-00009C1D0000}"/>
    <cellStyle name="Normal 8 3 3 4 2 2 2" xfId="16273" xr:uid="{0F403C40-5F6F-43F7-B33E-53CEE8C9681E}"/>
    <cellStyle name="Normal 8 3 3 4 2 3" xfId="12055" xr:uid="{A29E38EC-150E-4E0C-A071-5DFD08AE3967}"/>
    <cellStyle name="Normal 8 3 3 4 3" xfId="5693" xr:uid="{00000000-0005-0000-0000-00009D1D0000}"/>
    <cellStyle name="Normal 8 3 3 4 3 2" xfId="14128" xr:uid="{051463FB-4897-4CDE-8F91-4531B69243BE}"/>
    <cellStyle name="Normal 8 3 3 4 4" xfId="9910" xr:uid="{EB55F56A-7326-4998-B200-C8946ED629B3}"/>
    <cellStyle name="Normal 8 3 3 5" xfId="1798" xr:uid="{00000000-0005-0000-0000-00009E1D0000}"/>
    <cellStyle name="Normal 8 3 3 5 2" xfId="4028" xr:uid="{00000000-0005-0000-0000-00009F1D0000}"/>
    <cellStyle name="Normal 8 3 3 5 2 2" xfId="8251" xr:uid="{00000000-0005-0000-0000-0000A01D0000}"/>
    <cellStyle name="Normal 8 3 3 5 2 2 2" xfId="16686" xr:uid="{D938EDDD-612C-4E83-808B-4C40C2A2CC9C}"/>
    <cellStyle name="Normal 8 3 3 5 2 3" xfId="12468" xr:uid="{5D6DDBC0-C5CA-43DF-AC54-A956E6C44176}"/>
    <cellStyle name="Normal 8 3 3 5 3" xfId="6106" xr:uid="{00000000-0005-0000-0000-0000A11D0000}"/>
    <cellStyle name="Normal 8 3 3 5 3 2" xfId="14541" xr:uid="{2577C076-9A15-4150-BAE5-39AA734F2543}"/>
    <cellStyle name="Normal 8 3 3 5 4" xfId="10323" xr:uid="{C084802E-0F08-4163-B890-B2B9B578A151}"/>
    <cellStyle name="Normal 8 3 3 6" xfId="2212" xr:uid="{00000000-0005-0000-0000-0000A21D0000}"/>
    <cellStyle name="Normal 8 3 3 6 2" xfId="4441" xr:uid="{00000000-0005-0000-0000-0000A31D0000}"/>
    <cellStyle name="Normal 8 3 3 6 2 2" xfId="8664" xr:uid="{00000000-0005-0000-0000-0000A41D0000}"/>
    <cellStyle name="Normal 8 3 3 6 2 2 2" xfId="17099" xr:uid="{07D4B1A3-115D-42AD-ACFF-B86FE1DE2934}"/>
    <cellStyle name="Normal 8 3 3 6 2 3" xfId="12881" xr:uid="{C1DF32EB-A1F6-4CBE-A970-9A90423F7154}"/>
    <cellStyle name="Normal 8 3 3 6 3" xfId="6519" xr:uid="{00000000-0005-0000-0000-0000A51D0000}"/>
    <cellStyle name="Normal 8 3 3 6 3 2" xfId="14954" xr:uid="{35FD43F8-42FB-4FA7-8360-364465A190B1}"/>
    <cellStyle name="Normal 8 3 3 6 4" xfId="10736" xr:uid="{BEF96DC4-30F1-43FF-A318-5197EFB4F5ED}"/>
    <cellStyle name="Normal 8 3 3 7" xfId="2648" xr:uid="{00000000-0005-0000-0000-0000A61D0000}"/>
    <cellStyle name="Normal 8 3 3 7 2" xfId="6932" xr:uid="{00000000-0005-0000-0000-0000A71D0000}"/>
    <cellStyle name="Normal 8 3 3 7 2 2" xfId="15367" xr:uid="{D78BDA8E-0262-49E0-A563-3972258915F3}"/>
    <cellStyle name="Normal 8 3 3 7 3" xfId="11149" xr:uid="{68A7E016-5E81-4AD0-AE8F-2990217D72B0}"/>
    <cellStyle name="Normal 8 3 3 8" xfId="4867" xr:uid="{00000000-0005-0000-0000-0000A81D0000}"/>
    <cellStyle name="Normal 8 3 3 8 2" xfId="13302" xr:uid="{7A6E41C1-15F8-4106-9ECD-B33388C0E9DA}"/>
    <cellStyle name="Normal 8 3 3 9" xfId="9084" xr:uid="{D286DABC-59B5-4344-B3AA-8EDBAE262B72}"/>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2 2 2" xfId="15862" xr:uid="{3699B664-80E9-45EB-951E-01141D505E3A}"/>
    <cellStyle name="Normal 8 3 4 2 2 3" xfId="11644" xr:uid="{40B65611-F80A-42F5-BFDD-7AC0BBF05C69}"/>
    <cellStyle name="Normal 8 3 4 2 3" xfId="5282" xr:uid="{00000000-0005-0000-0000-0000AD1D0000}"/>
    <cellStyle name="Normal 8 3 4 2 3 2" xfId="13717" xr:uid="{C6CE37EF-0556-436F-8501-7AE6FC7AA1D3}"/>
    <cellStyle name="Normal 8 3 4 2 4" xfId="9499" xr:uid="{72315779-149D-4311-AF9E-311AE3FFC2EB}"/>
    <cellStyle name="Normal 8 3 4 3" xfId="1387" xr:uid="{00000000-0005-0000-0000-0000AE1D0000}"/>
    <cellStyle name="Normal 8 3 4 3 2" xfId="3617" xr:uid="{00000000-0005-0000-0000-0000AF1D0000}"/>
    <cellStyle name="Normal 8 3 4 3 2 2" xfId="7840" xr:uid="{00000000-0005-0000-0000-0000B01D0000}"/>
    <cellStyle name="Normal 8 3 4 3 2 2 2" xfId="16275" xr:uid="{EF12FDA1-A64D-4189-8F23-C7E5E90AF3E5}"/>
    <cellStyle name="Normal 8 3 4 3 2 3" xfId="12057" xr:uid="{B7795697-F24B-48E0-ABB3-053ADD3AA59B}"/>
    <cellStyle name="Normal 8 3 4 3 3" xfId="5695" xr:uid="{00000000-0005-0000-0000-0000B11D0000}"/>
    <cellStyle name="Normal 8 3 4 3 3 2" xfId="14130" xr:uid="{FFB5BF82-277E-4832-9FC7-C580BD761762}"/>
    <cellStyle name="Normal 8 3 4 3 4" xfId="9912" xr:uid="{74846A7A-51E4-47A3-8F89-2108954236E4}"/>
    <cellStyle name="Normal 8 3 4 4" xfId="1800" xr:uid="{00000000-0005-0000-0000-0000B21D0000}"/>
    <cellStyle name="Normal 8 3 4 4 2" xfId="4030" xr:uid="{00000000-0005-0000-0000-0000B31D0000}"/>
    <cellStyle name="Normal 8 3 4 4 2 2" xfId="8253" xr:uid="{00000000-0005-0000-0000-0000B41D0000}"/>
    <cellStyle name="Normal 8 3 4 4 2 2 2" xfId="16688" xr:uid="{3D30B89B-F774-40EA-9C45-B4E1C4201BFA}"/>
    <cellStyle name="Normal 8 3 4 4 2 3" xfId="12470" xr:uid="{28CE0B28-1D29-4607-8FA1-EA4C5F8A8519}"/>
    <cellStyle name="Normal 8 3 4 4 3" xfId="6108" xr:uid="{00000000-0005-0000-0000-0000B51D0000}"/>
    <cellStyle name="Normal 8 3 4 4 3 2" xfId="14543" xr:uid="{C8F6A9A9-7B10-4A51-9C1B-57E5BD8ED958}"/>
    <cellStyle name="Normal 8 3 4 4 4" xfId="10325" xr:uid="{ED7986FD-5AB8-448C-BD89-3FD09E426047}"/>
    <cellStyle name="Normal 8 3 4 5" xfId="2214" xr:uid="{00000000-0005-0000-0000-0000B61D0000}"/>
    <cellStyle name="Normal 8 3 4 5 2" xfId="4443" xr:uid="{00000000-0005-0000-0000-0000B71D0000}"/>
    <cellStyle name="Normal 8 3 4 5 2 2" xfId="8666" xr:uid="{00000000-0005-0000-0000-0000B81D0000}"/>
    <cellStyle name="Normal 8 3 4 5 2 2 2" xfId="17101" xr:uid="{101401F2-B18B-424A-BD3B-91157CF37639}"/>
    <cellStyle name="Normal 8 3 4 5 2 3" xfId="12883" xr:uid="{7C4FB5F7-C0BF-4668-9DFE-A8C98BCD70FC}"/>
    <cellStyle name="Normal 8 3 4 5 3" xfId="6521" xr:uid="{00000000-0005-0000-0000-0000B91D0000}"/>
    <cellStyle name="Normal 8 3 4 5 3 2" xfId="14956" xr:uid="{951551A1-29A6-49E8-A114-E764DF478492}"/>
    <cellStyle name="Normal 8 3 4 5 4" xfId="10738" xr:uid="{00CD4BA9-4737-4845-95F6-149F6D8473A3}"/>
    <cellStyle name="Normal 8 3 4 6" xfId="2650" xr:uid="{00000000-0005-0000-0000-0000BA1D0000}"/>
    <cellStyle name="Normal 8 3 4 6 2" xfId="6934" xr:uid="{00000000-0005-0000-0000-0000BB1D0000}"/>
    <cellStyle name="Normal 8 3 4 6 2 2" xfId="15369" xr:uid="{696B2DF3-4B23-48C3-B0EF-152857BBB667}"/>
    <cellStyle name="Normal 8 3 4 6 3" xfId="11151" xr:uid="{A2DE42B2-9FEC-4D0E-9802-CF33755D362A}"/>
    <cellStyle name="Normal 8 3 4 7" xfId="4869" xr:uid="{00000000-0005-0000-0000-0000BC1D0000}"/>
    <cellStyle name="Normal 8 3 4 7 2" xfId="13304" xr:uid="{F8EAD211-CFC4-4A18-9B62-CCB3431D7874}"/>
    <cellStyle name="Normal 8 3 4 8" xfId="9086" xr:uid="{E1D8480B-F76B-4C60-B3FE-780D03B1B7AF}"/>
    <cellStyle name="Normal 8 3 5" xfId="963" xr:uid="{00000000-0005-0000-0000-0000BD1D0000}"/>
    <cellStyle name="Normal 8 3 5 2" xfId="3197" xr:uid="{00000000-0005-0000-0000-0000BE1D0000}"/>
    <cellStyle name="Normal 8 3 5 2 2" xfId="7420" xr:uid="{00000000-0005-0000-0000-0000BF1D0000}"/>
    <cellStyle name="Normal 8 3 5 2 2 2" xfId="15855" xr:uid="{83E328A5-5FD2-4606-82A2-038A85EAEF3C}"/>
    <cellStyle name="Normal 8 3 5 2 3" xfId="11637" xr:uid="{B6284EFF-14F8-4A85-B6D1-0A952E9C3B18}"/>
    <cellStyle name="Normal 8 3 5 3" xfId="5275" xr:uid="{00000000-0005-0000-0000-0000C01D0000}"/>
    <cellStyle name="Normal 8 3 5 3 2" xfId="13710" xr:uid="{FF630313-307C-45EE-B0FE-F5AE28D2D7F7}"/>
    <cellStyle name="Normal 8 3 5 4" xfId="9492" xr:uid="{345FB01D-8251-4FC3-9220-E8C8DB9033A8}"/>
    <cellStyle name="Normal 8 3 6" xfId="1380" xr:uid="{00000000-0005-0000-0000-0000C11D0000}"/>
    <cellStyle name="Normal 8 3 6 2" xfId="3610" xr:uid="{00000000-0005-0000-0000-0000C21D0000}"/>
    <cellStyle name="Normal 8 3 6 2 2" xfId="7833" xr:uid="{00000000-0005-0000-0000-0000C31D0000}"/>
    <cellStyle name="Normal 8 3 6 2 2 2" xfId="16268" xr:uid="{F2EC0C56-A3FF-455D-B3D8-8DBF9066CB56}"/>
    <cellStyle name="Normal 8 3 6 2 3" xfId="12050" xr:uid="{8F3809FF-9DC5-47FF-84B1-777856651668}"/>
    <cellStyle name="Normal 8 3 6 3" xfId="5688" xr:uid="{00000000-0005-0000-0000-0000C41D0000}"/>
    <cellStyle name="Normal 8 3 6 3 2" xfId="14123" xr:uid="{26071F86-4E42-45E1-A2F2-77EFF47E2704}"/>
    <cellStyle name="Normal 8 3 6 4" xfId="9905" xr:uid="{5D2917FF-1476-4B8B-AA5A-08FB67F026B3}"/>
    <cellStyle name="Normal 8 3 7" xfId="1793" xr:uid="{00000000-0005-0000-0000-0000C51D0000}"/>
    <cellStyle name="Normal 8 3 7 2" xfId="4023" xr:uid="{00000000-0005-0000-0000-0000C61D0000}"/>
    <cellStyle name="Normal 8 3 7 2 2" xfId="8246" xr:uid="{00000000-0005-0000-0000-0000C71D0000}"/>
    <cellStyle name="Normal 8 3 7 2 2 2" xfId="16681" xr:uid="{36DDC501-54E6-437B-A2FB-D2CDDAD75D94}"/>
    <cellStyle name="Normal 8 3 7 2 3" xfId="12463" xr:uid="{E95473A5-1D0C-435F-8B25-D42A985EEBAD}"/>
    <cellStyle name="Normal 8 3 7 3" xfId="6101" xr:uid="{00000000-0005-0000-0000-0000C81D0000}"/>
    <cellStyle name="Normal 8 3 7 3 2" xfId="14536" xr:uid="{84DD1953-F5E6-47E2-B235-47DCE5B82142}"/>
    <cellStyle name="Normal 8 3 7 4" xfId="10318" xr:uid="{012D9D3C-C48A-42AD-8406-954959818F8F}"/>
    <cellStyle name="Normal 8 3 8" xfId="2207" xr:uid="{00000000-0005-0000-0000-0000C91D0000}"/>
    <cellStyle name="Normal 8 3 8 2" xfId="4436" xr:uid="{00000000-0005-0000-0000-0000CA1D0000}"/>
    <cellStyle name="Normal 8 3 8 2 2" xfId="8659" xr:uid="{00000000-0005-0000-0000-0000CB1D0000}"/>
    <cellStyle name="Normal 8 3 8 2 2 2" xfId="17094" xr:uid="{120E88DF-0552-42A6-AACD-CE2A8732E8BE}"/>
    <cellStyle name="Normal 8 3 8 2 3" xfId="12876" xr:uid="{4990FC08-58B2-4AED-A49F-EBCA2567F2F5}"/>
    <cellStyle name="Normal 8 3 8 3" xfId="6514" xr:uid="{00000000-0005-0000-0000-0000CC1D0000}"/>
    <cellStyle name="Normal 8 3 8 3 2" xfId="14949" xr:uid="{2C5C8EC8-437D-4766-B782-AFD88A59BB0A}"/>
    <cellStyle name="Normal 8 3 8 4" xfId="10731" xr:uid="{D3FD0753-3C9F-45DC-BAA4-5DBDEF25B704}"/>
    <cellStyle name="Normal 8 3 9" xfId="2643" xr:uid="{00000000-0005-0000-0000-0000CD1D0000}"/>
    <cellStyle name="Normal 8 3 9 2" xfId="6927" xr:uid="{00000000-0005-0000-0000-0000CE1D0000}"/>
    <cellStyle name="Normal 8 3 9 2 2" xfId="15362" xr:uid="{F07B5776-5592-4D1D-A70A-0651CFE1ADB8}"/>
    <cellStyle name="Normal 8 3 9 3" xfId="11144" xr:uid="{E5131A93-F97B-492E-98BB-51636A3764EF}"/>
    <cellStyle name="Normal 8 4" xfId="503" xr:uid="{00000000-0005-0000-0000-0000CF1D0000}"/>
    <cellStyle name="Normal 8 4 10" xfId="9087" xr:uid="{CF1759CC-A793-49D4-8CF1-9C05A973CE5B}"/>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2 2 2" xfId="15865" xr:uid="{09451E75-4952-489F-A21C-A39A0D31F046}"/>
    <cellStyle name="Normal 8 4 2 2 2 2 3" xfId="11647" xr:uid="{B319E292-1EFB-41F1-9DED-FF61EB62893D}"/>
    <cellStyle name="Normal 8 4 2 2 2 3" xfId="5285" xr:uid="{00000000-0005-0000-0000-0000D51D0000}"/>
    <cellStyle name="Normal 8 4 2 2 2 3 2" xfId="13720" xr:uid="{10631A61-5690-4D77-A6BC-AEB0A952DD5A}"/>
    <cellStyle name="Normal 8 4 2 2 2 4" xfId="9502" xr:uid="{3BB5C7FB-D4C3-4BC2-86C5-A582560D0B2A}"/>
    <cellStyle name="Normal 8 4 2 2 3" xfId="1390" xr:uid="{00000000-0005-0000-0000-0000D61D0000}"/>
    <cellStyle name="Normal 8 4 2 2 3 2" xfId="3620" xr:uid="{00000000-0005-0000-0000-0000D71D0000}"/>
    <cellStyle name="Normal 8 4 2 2 3 2 2" xfId="7843" xr:uid="{00000000-0005-0000-0000-0000D81D0000}"/>
    <cellStyle name="Normal 8 4 2 2 3 2 2 2" xfId="16278" xr:uid="{2539C989-5F5D-44D8-941B-5023A603CB65}"/>
    <cellStyle name="Normal 8 4 2 2 3 2 3" xfId="12060" xr:uid="{8B655954-86EE-4453-8D90-215E6E0355C0}"/>
    <cellStyle name="Normal 8 4 2 2 3 3" xfId="5698" xr:uid="{00000000-0005-0000-0000-0000D91D0000}"/>
    <cellStyle name="Normal 8 4 2 2 3 3 2" xfId="14133" xr:uid="{086091F8-2709-4DD9-8B0F-EC2E617BC859}"/>
    <cellStyle name="Normal 8 4 2 2 3 4" xfId="9915" xr:uid="{4E0AC1FB-12D4-4C41-87BE-18794EE05BF7}"/>
    <cellStyle name="Normal 8 4 2 2 4" xfId="1803" xr:uid="{00000000-0005-0000-0000-0000DA1D0000}"/>
    <cellStyle name="Normal 8 4 2 2 4 2" xfId="4033" xr:uid="{00000000-0005-0000-0000-0000DB1D0000}"/>
    <cellStyle name="Normal 8 4 2 2 4 2 2" xfId="8256" xr:uid="{00000000-0005-0000-0000-0000DC1D0000}"/>
    <cellStyle name="Normal 8 4 2 2 4 2 2 2" xfId="16691" xr:uid="{FFE43ADA-4585-4E63-8C3D-3D1A5E638F81}"/>
    <cellStyle name="Normal 8 4 2 2 4 2 3" xfId="12473" xr:uid="{23F1D683-5F5D-4B89-BA92-065A8B7EEB82}"/>
    <cellStyle name="Normal 8 4 2 2 4 3" xfId="6111" xr:uid="{00000000-0005-0000-0000-0000DD1D0000}"/>
    <cellStyle name="Normal 8 4 2 2 4 3 2" xfId="14546" xr:uid="{2D92CA45-DAC9-4612-8AF2-59580CC1027D}"/>
    <cellStyle name="Normal 8 4 2 2 4 4" xfId="10328" xr:uid="{E973DC3D-E7C5-40C0-8D2E-3FF6529396EE}"/>
    <cellStyle name="Normal 8 4 2 2 5" xfId="2217" xr:uid="{00000000-0005-0000-0000-0000DE1D0000}"/>
    <cellStyle name="Normal 8 4 2 2 5 2" xfId="4446" xr:uid="{00000000-0005-0000-0000-0000DF1D0000}"/>
    <cellStyle name="Normal 8 4 2 2 5 2 2" xfId="8669" xr:uid="{00000000-0005-0000-0000-0000E01D0000}"/>
    <cellStyle name="Normal 8 4 2 2 5 2 2 2" xfId="17104" xr:uid="{C1CA4067-F1B7-4988-B8DE-4C4975299EB8}"/>
    <cellStyle name="Normal 8 4 2 2 5 2 3" xfId="12886" xr:uid="{7D723CFF-6517-4492-81EF-9CBF90670605}"/>
    <cellStyle name="Normal 8 4 2 2 5 3" xfId="6524" xr:uid="{00000000-0005-0000-0000-0000E11D0000}"/>
    <cellStyle name="Normal 8 4 2 2 5 3 2" xfId="14959" xr:uid="{AE7C9C80-24D4-409D-BE42-192775807266}"/>
    <cellStyle name="Normal 8 4 2 2 5 4" xfId="10741" xr:uid="{0A51C316-5FBE-4353-9D87-C485E5B7259D}"/>
    <cellStyle name="Normal 8 4 2 2 6" xfId="2653" xr:uid="{00000000-0005-0000-0000-0000E21D0000}"/>
    <cellStyle name="Normal 8 4 2 2 6 2" xfId="6937" xr:uid="{00000000-0005-0000-0000-0000E31D0000}"/>
    <cellStyle name="Normal 8 4 2 2 6 2 2" xfId="15372" xr:uid="{16175619-AED5-494F-917F-6429219C345A}"/>
    <cellStyle name="Normal 8 4 2 2 6 3" xfId="11154" xr:uid="{1CB2739A-94A1-418E-966A-063BFC643BB3}"/>
    <cellStyle name="Normal 8 4 2 2 7" xfId="4872" xr:uid="{00000000-0005-0000-0000-0000E41D0000}"/>
    <cellStyle name="Normal 8 4 2 2 7 2" xfId="13307" xr:uid="{C14A2ECE-E21F-4AF9-A5E7-0BFDEC6646F5}"/>
    <cellStyle name="Normal 8 4 2 2 8" xfId="9089" xr:uid="{00C5330B-8BB6-4B99-8B16-BAE0157B34BF}"/>
    <cellStyle name="Normal 8 4 2 3" xfId="972" xr:uid="{00000000-0005-0000-0000-0000E51D0000}"/>
    <cellStyle name="Normal 8 4 2 3 2" xfId="3206" xr:uid="{00000000-0005-0000-0000-0000E61D0000}"/>
    <cellStyle name="Normal 8 4 2 3 2 2" xfId="7429" xr:uid="{00000000-0005-0000-0000-0000E71D0000}"/>
    <cellStyle name="Normal 8 4 2 3 2 2 2" xfId="15864" xr:uid="{4B149F86-7179-47A5-95C8-E1FC3E072320}"/>
    <cellStyle name="Normal 8 4 2 3 2 3" xfId="11646" xr:uid="{BCDA4BF2-830A-41F7-BF04-56584A604E2A}"/>
    <cellStyle name="Normal 8 4 2 3 3" xfId="5284" xr:uid="{00000000-0005-0000-0000-0000E81D0000}"/>
    <cellStyle name="Normal 8 4 2 3 3 2" xfId="13719" xr:uid="{A958C7DB-D54A-4434-90CD-222085552631}"/>
    <cellStyle name="Normal 8 4 2 3 4" xfId="9501" xr:uid="{FD13C6BF-521C-4860-88D0-77663B4FA382}"/>
    <cellStyle name="Normal 8 4 2 4" xfId="1389" xr:uid="{00000000-0005-0000-0000-0000E91D0000}"/>
    <cellStyle name="Normal 8 4 2 4 2" xfId="3619" xr:uid="{00000000-0005-0000-0000-0000EA1D0000}"/>
    <cellStyle name="Normal 8 4 2 4 2 2" xfId="7842" xr:uid="{00000000-0005-0000-0000-0000EB1D0000}"/>
    <cellStyle name="Normal 8 4 2 4 2 2 2" xfId="16277" xr:uid="{2E0D0381-8F66-4BBD-97D0-FCED80C80F35}"/>
    <cellStyle name="Normal 8 4 2 4 2 3" xfId="12059" xr:uid="{59DA55E0-2ACB-4007-9417-B06EAB7DA35D}"/>
    <cellStyle name="Normal 8 4 2 4 3" xfId="5697" xr:uid="{00000000-0005-0000-0000-0000EC1D0000}"/>
    <cellStyle name="Normal 8 4 2 4 3 2" xfId="14132" xr:uid="{CE81B0EB-2632-498B-8447-E621DE628007}"/>
    <cellStyle name="Normal 8 4 2 4 4" xfId="9914" xr:uid="{3CA06627-B7DD-4107-AEB4-0798A02E8F49}"/>
    <cellStyle name="Normal 8 4 2 5" xfId="1802" xr:uid="{00000000-0005-0000-0000-0000ED1D0000}"/>
    <cellStyle name="Normal 8 4 2 5 2" xfId="4032" xr:uid="{00000000-0005-0000-0000-0000EE1D0000}"/>
    <cellStyle name="Normal 8 4 2 5 2 2" xfId="8255" xr:uid="{00000000-0005-0000-0000-0000EF1D0000}"/>
    <cellStyle name="Normal 8 4 2 5 2 2 2" xfId="16690" xr:uid="{40D36965-3922-4779-BD37-79CB5C45720A}"/>
    <cellStyle name="Normal 8 4 2 5 2 3" xfId="12472" xr:uid="{3BC0B013-ACA0-4868-9DCA-9BFB4223F809}"/>
    <cellStyle name="Normal 8 4 2 5 3" xfId="6110" xr:uid="{00000000-0005-0000-0000-0000F01D0000}"/>
    <cellStyle name="Normal 8 4 2 5 3 2" xfId="14545" xr:uid="{7B1666A0-A229-44C5-A66B-CE55367EC5F3}"/>
    <cellStyle name="Normal 8 4 2 5 4" xfId="10327" xr:uid="{A98A5522-C410-4F80-8FBD-89BD95B8FB28}"/>
    <cellStyle name="Normal 8 4 2 6" xfId="2216" xr:uid="{00000000-0005-0000-0000-0000F11D0000}"/>
    <cellStyle name="Normal 8 4 2 6 2" xfId="4445" xr:uid="{00000000-0005-0000-0000-0000F21D0000}"/>
    <cellStyle name="Normal 8 4 2 6 2 2" xfId="8668" xr:uid="{00000000-0005-0000-0000-0000F31D0000}"/>
    <cellStyle name="Normal 8 4 2 6 2 2 2" xfId="17103" xr:uid="{C7066CD5-3882-48F7-A119-ABE763D3A93B}"/>
    <cellStyle name="Normal 8 4 2 6 2 3" xfId="12885" xr:uid="{1AF18A88-FEC0-4798-A2FB-E9416EF7E4F8}"/>
    <cellStyle name="Normal 8 4 2 6 3" xfId="6523" xr:uid="{00000000-0005-0000-0000-0000F41D0000}"/>
    <cellStyle name="Normal 8 4 2 6 3 2" xfId="14958" xr:uid="{67AC6200-5976-4A73-9F0B-6B30B6A8604F}"/>
    <cellStyle name="Normal 8 4 2 6 4" xfId="10740" xr:uid="{8A28BFF6-72FF-48AD-9A48-7266A37EB1B4}"/>
    <cellStyle name="Normal 8 4 2 7" xfId="2652" xr:uid="{00000000-0005-0000-0000-0000F51D0000}"/>
    <cellStyle name="Normal 8 4 2 7 2" xfId="6936" xr:uid="{00000000-0005-0000-0000-0000F61D0000}"/>
    <cellStyle name="Normal 8 4 2 7 2 2" xfId="15371" xr:uid="{95D0FB22-69E9-4041-9906-DB5BCB7680F8}"/>
    <cellStyle name="Normal 8 4 2 7 3" xfId="11153" xr:uid="{AC7FE13C-D6B9-4D74-A3A9-CE6E1CC3AFA8}"/>
    <cellStyle name="Normal 8 4 2 8" xfId="4871" xr:uid="{00000000-0005-0000-0000-0000F71D0000}"/>
    <cellStyle name="Normal 8 4 2 8 2" xfId="13306" xr:uid="{25038288-B367-46C6-BC26-8EF8BECADE9F}"/>
    <cellStyle name="Normal 8 4 2 9" xfId="9088" xr:uid="{09DFB69C-C864-4391-8FCA-EA7756EA8F7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2 2 2" xfId="15866" xr:uid="{22FE52D9-487B-4932-BDB0-9231735DB454}"/>
    <cellStyle name="Normal 8 4 3 2 2 3" xfId="11648" xr:uid="{450EE823-639F-4C2C-89FA-6405131182AA}"/>
    <cellStyle name="Normal 8 4 3 2 3" xfId="5286" xr:uid="{00000000-0005-0000-0000-0000FC1D0000}"/>
    <cellStyle name="Normal 8 4 3 2 3 2" xfId="13721" xr:uid="{A25B8165-565C-4119-9101-5A592A0AB76D}"/>
    <cellStyle name="Normal 8 4 3 2 4" xfId="9503" xr:uid="{0E5BA44A-E72F-435F-9DEF-FF3C7A6FAA15}"/>
    <cellStyle name="Normal 8 4 3 3" xfId="1391" xr:uid="{00000000-0005-0000-0000-0000FD1D0000}"/>
    <cellStyle name="Normal 8 4 3 3 2" xfId="3621" xr:uid="{00000000-0005-0000-0000-0000FE1D0000}"/>
    <cellStyle name="Normal 8 4 3 3 2 2" xfId="7844" xr:uid="{00000000-0005-0000-0000-0000FF1D0000}"/>
    <cellStyle name="Normal 8 4 3 3 2 2 2" xfId="16279" xr:uid="{48575FE1-A21A-4449-9758-D5CB48F2E3F5}"/>
    <cellStyle name="Normal 8 4 3 3 2 3" xfId="12061" xr:uid="{FC415D3D-1D6B-431F-86EF-6C46D2ACC8AE}"/>
    <cellStyle name="Normal 8 4 3 3 3" xfId="5699" xr:uid="{00000000-0005-0000-0000-0000001E0000}"/>
    <cellStyle name="Normal 8 4 3 3 3 2" xfId="14134" xr:uid="{E880ED5F-325D-4EBF-968D-E47AC3B122F5}"/>
    <cellStyle name="Normal 8 4 3 3 4" xfId="9916" xr:uid="{EBE7AB04-0A1E-4035-8159-E4A0482D94E4}"/>
    <cellStyle name="Normal 8 4 3 4" xfId="1804" xr:uid="{00000000-0005-0000-0000-0000011E0000}"/>
    <cellStyle name="Normal 8 4 3 4 2" xfId="4034" xr:uid="{00000000-0005-0000-0000-0000021E0000}"/>
    <cellStyle name="Normal 8 4 3 4 2 2" xfId="8257" xr:uid="{00000000-0005-0000-0000-0000031E0000}"/>
    <cellStyle name="Normal 8 4 3 4 2 2 2" xfId="16692" xr:uid="{9191A7B4-53FD-4603-B77D-22FED539431C}"/>
    <cellStyle name="Normal 8 4 3 4 2 3" xfId="12474" xr:uid="{46F9826F-83E9-4361-9889-6EF1E20CB8EE}"/>
    <cellStyle name="Normal 8 4 3 4 3" xfId="6112" xr:uid="{00000000-0005-0000-0000-0000041E0000}"/>
    <cellStyle name="Normal 8 4 3 4 3 2" xfId="14547" xr:uid="{F69AD72F-7A2B-44C5-9619-7B41A8941163}"/>
    <cellStyle name="Normal 8 4 3 4 4" xfId="10329" xr:uid="{D162C912-83E6-4034-8701-E879B9B8E336}"/>
    <cellStyle name="Normal 8 4 3 5" xfId="2218" xr:uid="{00000000-0005-0000-0000-0000051E0000}"/>
    <cellStyle name="Normal 8 4 3 5 2" xfId="4447" xr:uid="{00000000-0005-0000-0000-0000061E0000}"/>
    <cellStyle name="Normal 8 4 3 5 2 2" xfId="8670" xr:uid="{00000000-0005-0000-0000-0000071E0000}"/>
    <cellStyle name="Normal 8 4 3 5 2 2 2" xfId="17105" xr:uid="{C373C321-3722-4D0A-9DE5-97A8D60EA083}"/>
    <cellStyle name="Normal 8 4 3 5 2 3" xfId="12887" xr:uid="{FC655D63-2454-4A95-839E-2EB08C9CD61B}"/>
    <cellStyle name="Normal 8 4 3 5 3" xfId="6525" xr:uid="{00000000-0005-0000-0000-0000081E0000}"/>
    <cellStyle name="Normal 8 4 3 5 3 2" xfId="14960" xr:uid="{72917764-3D97-40B5-B4B3-9AF86FA8C247}"/>
    <cellStyle name="Normal 8 4 3 5 4" xfId="10742" xr:uid="{640D966E-3E61-4D22-BB2E-41ABB4F0BAB1}"/>
    <cellStyle name="Normal 8 4 3 6" xfId="2654" xr:uid="{00000000-0005-0000-0000-0000091E0000}"/>
    <cellStyle name="Normal 8 4 3 6 2" xfId="6938" xr:uid="{00000000-0005-0000-0000-00000A1E0000}"/>
    <cellStyle name="Normal 8 4 3 6 2 2" xfId="15373" xr:uid="{C0233884-B397-428E-B654-C2297B4E557B}"/>
    <cellStyle name="Normal 8 4 3 6 3" xfId="11155" xr:uid="{3227343F-11E9-468D-B997-F7C32902E356}"/>
    <cellStyle name="Normal 8 4 3 7" xfId="4873" xr:uid="{00000000-0005-0000-0000-00000B1E0000}"/>
    <cellStyle name="Normal 8 4 3 7 2" xfId="13308" xr:uid="{34C57F84-F69F-4DF8-8AC1-48B536F0A302}"/>
    <cellStyle name="Normal 8 4 3 8" xfId="9090" xr:uid="{DFEAFA69-F46D-4568-BEF9-E5401B628279}"/>
    <cellStyle name="Normal 8 4 4" xfId="971" xr:uid="{00000000-0005-0000-0000-00000C1E0000}"/>
    <cellStyle name="Normal 8 4 4 2" xfId="3205" xr:uid="{00000000-0005-0000-0000-00000D1E0000}"/>
    <cellStyle name="Normal 8 4 4 2 2" xfId="7428" xr:uid="{00000000-0005-0000-0000-00000E1E0000}"/>
    <cellStyle name="Normal 8 4 4 2 2 2" xfId="15863" xr:uid="{68878CFF-04D6-4EB9-A71B-58CDB81E8E6B}"/>
    <cellStyle name="Normal 8 4 4 2 3" xfId="11645" xr:uid="{B652B8DB-BDE1-4E72-8828-5DCC18DCCA1D}"/>
    <cellStyle name="Normal 8 4 4 3" xfId="5283" xr:uid="{00000000-0005-0000-0000-00000F1E0000}"/>
    <cellStyle name="Normal 8 4 4 3 2" xfId="13718" xr:uid="{362BA88D-AF03-431C-8F36-304AFE5005EB}"/>
    <cellStyle name="Normal 8 4 4 4" xfId="9500" xr:uid="{07D75879-7905-40F0-94B6-B7368D2BCFCE}"/>
    <cellStyle name="Normal 8 4 5" xfId="1388" xr:uid="{00000000-0005-0000-0000-0000101E0000}"/>
    <cellStyle name="Normal 8 4 5 2" xfId="3618" xr:uid="{00000000-0005-0000-0000-0000111E0000}"/>
    <cellStyle name="Normal 8 4 5 2 2" xfId="7841" xr:uid="{00000000-0005-0000-0000-0000121E0000}"/>
    <cellStyle name="Normal 8 4 5 2 2 2" xfId="16276" xr:uid="{B63D93DA-AF80-4695-92EE-92D47E2C41D3}"/>
    <cellStyle name="Normal 8 4 5 2 3" xfId="12058" xr:uid="{E801E6F8-EDE6-4CC5-89C6-2F3EEEF7CE59}"/>
    <cellStyle name="Normal 8 4 5 3" xfId="5696" xr:uid="{00000000-0005-0000-0000-0000131E0000}"/>
    <cellStyle name="Normal 8 4 5 3 2" xfId="14131" xr:uid="{F21BF9C7-F962-4DBC-842C-BA91E098A69C}"/>
    <cellStyle name="Normal 8 4 5 4" xfId="9913" xr:uid="{84C0DD80-F9D6-4A4A-A736-C96AC876E360}"/>
    <cellStyle name="Normal 8 4 6" xfId="1801" xr:uid="{00000000-0005-0000-0000-0000141E0000}"/>
    <cellStyle name="Normal 8 4 6 2" xfId="4031" xr:uid="{00000000-0005-0000-0000-0000151E0000}"/>
    <cellStyle name="Normal 8 4 6 2 2" xfId="8254" xr:uid="{00000000-0005-0000-0000-0000161E0000}"/>
    <cellStyle name="Normal 8 4 6 2 2 2" xfId="16689" xr:uid="{39A8A69B-FE14-41BA-8AA0-0A8BE74C4195}"/>
    <cellStyle name="Normal 8 4 6 2 3" xfId="12471" xr:uid="{8E11AD0E-D820-4C7B-8576-B035E052F10B}"/>
    <cellStyle name="Normal 8 4 6 3" xfId="6109" xr:uid="{00000000-0005-0000-0000-0000171E0000}"/>
    <cellStyle name="Normal 8 4 6 3 2" xfId="14544" xr:uid="{A21E2154-1E9F-4C7E-A2E5-133432A7D3C0}"/>
    <cellStyle name="Normal 8 4 6 4" xfId="10326" xr:uid="{2CC1AA93-ECAD-4C8D-B752-8582DD0E057C}"/>
    <cellStyle name="Normal 8 4 7" xfId="2215" xr:uid="{00000000-0005-0000-0000-0000181E0000}"/>
    <cellStyle name="Normal 8 4 7 2" xfId="4444" xr:uid="{00000000-0005-0000-0000-0000191E0000}"/>
    <cellStyle name="Normal 8 4 7 2 2" xfId="8667" xr:uid="{00000000-0005-0000-0000-00001A1E0000}"/>
    <cellStyle name="Normal 8 4 7 2 2 2" xfId="17102" xr:uid="{61AC3206-6B74-453D-9149-70114ACFCBB1}"/>
    <cellStyle name="Normal 8 4 7 2 3" xfId="12884" xr:uid="{5551F8D0-21DC-473C-899F-855EF0896D1D}"/>
    <cellStyle name="Normal 8 4 7 3" xfId="6522" xr:uid="{00000000-0005-0000-0000-00001B1E0000}"/>
    <cellStyle name="Normal 8 4 7 3 2" xfId="14957" xr:uid="{DA8D9779-BD80-4734-A961-F6E84B95A487}"/>
    <cellStyle name="Normal 8 4 7 4" xfId="10739" xr:uid="{329BF92D-C936-4EBA-A057-7AAEEFB1AD82}"/>
    <cellStyle name="Normal 8 4 8" xfId="2651" xr:uid="{00000000-0005-0000-0000-00001C1E0000}"/>
    <cellStyle name="Normal 8 4 8 2" xfId="6935" xr:uid="{00000000-0005-0000-0000-00001D1E0000}"/>
    <cellStyle name="Normal 8 4 8 2 2" xfId="15370" xr:uid="{74A77ECA-6CC9-446E-83B3-36434D3AD51E}"/>
    <cellStyle name="Normal 8 4 8 3" xfId="11152" xr:uid="{EE46F0B6-BFA3-4434-81D9-5D718B9DFA0C}"/>
    <cellStyle name="Normal 8 4 9" xfId="4870" xr:uid="{00000000-0005-0000-0000-00001E1E0000}"/>
    <cellStyle name="Normal 8 4 9 2" xfId="13305" xr:uid="{09455B85-EB59-4FC9-ACDC-C1E6395F388C}"/>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2 2 2" xfId="15868" xr:uid="{A63874DE-2840-437A-8777-9B94BEABE2D8}"/>
    <cellStyle name="Normal 8 5 2 2 2 3" xfId="11650" xr:uid="{10E5E43C-504F-4D66-BA01-24E5F994D77A}"/>
    <cellStyle name="Normal 8 5 2 2 3" xfId="5288" xr:uid="{00000000-0005-0000-0000-0000241E0000}"/>
    <cellStyle name="Normal 8 5 2 2 3 2" xfId="13723" xr:uid="{1FD661D8-4E35-46B7-A543-B7287E2503B2}"/>
    <cellStyle name="Normal 8 5 2 2 4" xfId="9505" xr:uid="{66DE0A1C-8122-4D3C-804D-9EFE394C90D8}"/>
    <cellStyle name="Normal 8 5 2 3" xfId="1393" xr:uid="{00000000-0005-0000-0000-0000251E0000}"/>
    <cellStyle name="Normal 8 5 2 3 2" xfId="3623" xr:uid="{00000000-0005-0000-0000-0000261E0000}"/>
    <cellStyle name="Normal 8 5 2 3 2 2" xfId="7846" xr:uid="{00000000-0005-0000-0000-0000271E0000}"/>
    <cellStyle name="Normal 8 5 2 3 2 2 2" xfId="16281" xr:uid="{57BFA9F0-B44B-431C-B699-BE6FF279B236}"/>
    <cellStyle name="Normal 8 5 2 3 2 3" xfId="12063" xr:uid="{3D83BE84-409B-40D7-A61B-4B6716952E53}"/>
    <cellStyle name="Normal 8 5 2 3 3" xfId="5701" xr:uid="{00000000-0005-0000-0000-0000281E0000}"/>
    <cellStyle name="Normal 8 5 2 3 3 2" xfId="14136" xr:uid="{438E5BB4-339B-4CEF-BD8F-A453A26046F9}"/>
    <cellStyle name="Normal 8 5 2 3 4" xfId="9918" xr:uid="{AF75D724-26CB-420D-AAFA-B1DC681466D4}"/>
    <cellStyle name="Normal 8 5 2 4" xfId="1806" xr:uid="{00000000-0005-0000-0000-0000291E0000}"/>
    <cellStyle name="Normal 8 5 2 4 2" xfId="4036" xr:uid="{00000000-0005-0000-0000-00002A1E0000}"/>
    <cellStyle name="Normal 8 5 2 4 2 2" xfId="8259" xr:uid="{00000000-0005-0000-0000-00002B1E0000}"/>
    <cellStyle name="Normal 8 5 2 4 2 2 2" xfId="16694" xr:uid="{D3FB3B23-EA38-4F7E-9B93-11BD3A3AD8F3}"/>
    <cellStyle name="Normal 8 5 2 4 2 3" xfId="12476" xr:uid="{49D5E28F-AD91-40B4-BAE8-9F55771F3B03}"/>
    <cellStyle name="Normal 8 5 2 4 3" xfId="6114" xr:uid="{00000000-0005-0000-0000-00002C1E0000}"/>
    <cellStyle name="Normal 8 5 2 4 3 2" xfId="14549" xr:uid="{87A7D3DC-3AEF-4F4B-B8E4-2199C7982B52}"/>
    <cellStyle name="Normal 8 5 2 4 4" xfId="10331" xr:uid="{237F07F1-7A57-4E2B-B1F5-E281560E25D6}"/>
    <cellStyle name="Normal 8 5 2 5" xfId="2220" xr:uid="{00000000-0005-0000-0000-00002D1E0000}"/>
    <cellStyle name="Normal 8 5 2 5 2" xfId="4449" xr:uid="{00000000-0005-0000-0000-00002E1E0000}"/>
    <cellStyle name="Normal 8 5 2 5 2 2" xfId="8672" xr:uid="{00000000-0005-0000-0000-00002F1E0000}"/>
    <cellStyle name="Normal 8 5 2 5 2 2 2" xfId="17107" xr:uid="{F49B1907-07CC-4351-904C-C792FCF0FD72}"/>
    <cellStyle name="Normal 8 5 2 5 2 3" xfId="12889" xr:uid="{3BBE1C02-81F0-4AF7-8A3D-7ABE2290C676}"/>
    <cellStyle name="Normal 8 5 2 5 3" xfId="6527" xr:uid="{00000000-0005-0000-0000-0000301E0000}"/>
    <cellStyle name="Normal 8 5 2 5 3 2" xfId="14962" xr:uid="{91AC46E7-8E37-4D58-9683-9BF0E086F4B7}"/>
    <cellStyle name="Normal 8 5 2 5 4" xfId="10744" xr:uid="{E25B0389-E023-4AA0-8A3F-334F719F28F1}"/>
    <cellStyle name="Normal 8 5 2 6" xfId="2656" xr:uid="{00000000-0005-0000-0000-0000311E0000}"/>
    <cellStyle name="Normal 8 5 2 6 2" xfId="6940" xr:uid="{00000000-0005-0000-0000-0000321E0000}"/>
    <cellStyle name="Normal 8 5 2 6 2 2" xfId="15375" xr:uid="{7CC235CE-EB2B-4FFF-815E-A7F53B797043}"/>
    <cellStyle name="Normal 8 5 2 6 3" xfId="11157" xr:uid="{70B01580-5CDC-4B3A-9564-BC3B6AFF7519}"/>
    <cellStyle name="Normal 8 5 2 7" xfId="4875" xr:uid="{00000000-0005-0000-0000-0000331E0000}"/>
    <cellStyle name="Normal 8 5 2 7 2" xfId="13310" xr:uid="{8C567D2A-89FC-4B8B-9482-B2B6879A97A4}"/>
    <cellStyle name="Normal 8 5 2 8" xfId="9092" xr:uid="{83F1BBFB-9F7C-4039-8368-6E45BD4205BA}"/>
    <cellStyle name="Normal 8 5 3" xfId="975" xr:uid="{00000000-0005-0000-0000-0000341E0000}"/>
    <cellStyle name="Normal 8 5 3 2" xfId="3209" xr:uid="{00000000-0005-0000-0000-0000351E0000}"/>
    <cellStyle name="Normal 8 5 3 2 2" xfId="7432" xr:uid="{00000000-0005-0000-0000-0000361E0000}"/>
    <cellStyle name="Normal 8 5 3 2 2 2" xfId="15867" xr:uid="{EBC1645A-FC8F-4C1B-9A57-0323892A7B2D}"/>
    <cellStyle name="Normal 8 5 3 2 3" xfId="11649" xr:uid="{A0626D92-A09A-471F-97B4-58C927A21E3E}"/>
    <cellStyle name="Normal 8 5 3 3" xfId="5287" xr:uid="{00000000-0005-0000-0000-0000371E0000}"/>
    <cellStyle name="Normal 8 5 3 3 2" xfId="13722" xr:uid="{12EFA03C-B7F2-4533-9671-7F1585CFB4AF}"/>
    <cellStyle name="Normal 8 5 3 4" xfId="9504" xr:uid="{6599631D-8C57-4BE6-B25A-673AFB727E70}"/>
    <cellStyle name="Normal 8 5 4" xfId="1392" xr:uid="{00000000-0005-0000-0000-0000381E0000}"/>
    <cellStyle name="Normal 8 5 4 2" xfId="3622" xr:uid="{00000000-0005-0000-0000-0000391E0000}"/>
    <cellStyle name="Normal 8 5 4 2 2" xfId="7845" xr:uid="{00000000-0005-0000-0000-00003A1E0000}"/>
    <cellStyle name="Normal 8 5 4 2 2 2" xfId="16280" xr:uid="{4B1BFA96-942C-4724-8911-6E61BDF8599A}"/>
    <cellStyle name="Normal 8 5 4 2 3" xfId="12062" xr:uid="{14B337A5-16EB-46FD-A31E-F521A5DF1F5C}"/>
    <cellStyle name="Normal 8 5 4 3" xfId="5700" xr:uid="{00000000-0005-0000-0000-00003B1E0000}"/>
    <cellStyle name="Normal 8 5 4 3 2" xfId="14135" xr:uid="{4C42711B-709E-40FF-9B70-A235C03522BC}"/>
    <cellStyle name="Normal 8 5 4 4" xfId="9917" xr:uid="{F75E1ED4-4EB5-4D4E-9A42-C9BE80D74C68}"/>
    <cellStyle name="Normal 8 5 5" xfId="1805" xr:uid="{00000000-0005-0000-0000-00003C1E0000}"/>
    <cellStyle name="Normal 8 5 5 2" xfId="4035" xr:uid="{00000000-0005-0000-0000-00003D1E0000}"/>
    <cellStyle name="Normal 8 5 5 2 2" xfId="8258" xr:uid="{00000000-0005-0000-0000-00003E1E0000}"/>
    <cellStyle name="Normal 8 5 5 2 2 2" xfId="16693" xr:uid="{D8F15C5B-5ED1-42AC-A424-1FC9DE9844D3}"/>
    <cellStyle name="Normal 8 5 5 2 3" xfId="12475" xr:uid="{391ED35E-66C5-4C36-8DB4-3D6CA2847CA9}"/>
    <cellStyle name="Normal 8 5 5 3" xfId="6113" xr:uid="{00000000-0005-0000-0000-00003F1E0000}"/>
    <cellStyle name="Normal 8 5 5 3 2" xfId="14548" xr:uid="{E9DD50EC-BA9B-417F-B289-4E3E27DBD125}"/>
    <cellStyle name="Normal 8 5 5 4" xfId="10330" xr:uid="{1C0F99F2-4114-4BA9-90E9-663FCB175D0A}"/>
    <cellStyle name="Normal 8 5 6" xfId="2219" xr:uid="{00000000-0005-0000-0000-0000401E0000}"/>
    <cellStyle name="Normal 8 5 6 2" xfId="4448" xr:uid="{00000000-0005-0000-0000-0000411E0000}"/>
    <cellStyle name="Normal 8 5 6 2 2" xfId="8671" xr:uid="{00000000-0005-0000-0000-0000421E0000}"/>
    <cellStyle name="Normal 8 5 6 2 2 2" xfId="17106" xr:uid="{8CDF1DD1-3F33-4104-90D3-71EFE954D9F3}"/>
    <cellStyle name="Normal 8 5 6 2 3" xfId="12888" xr:uid="{A3DF71A9-A11C-4CEC-92D8-60EC963D095C}"/>
    <cellStyle name="Normal 8 5 6 3" xfId="6526" xr:uid="{00000000-0005-0000-0000-0000431E0000}"/>
    <cellStyle name="Normal 8 5 6 3 2" xfId="14961" xr:uid="{41AB85C4-CE41-47F9-9BD8-A7ABF9A0F324}"/>
    <cellStyle name="Normal 8 5 6 4" xfId="10743" xr:uid="{C941F8D4-9076-41B4-9829-E00B24EF1405}"/>
    <cellStyle name="Normal 8 5 7" xfId="2655" xr:uid="{00000000-0005-0000-0000-0000441E0000}"/>
    <cellStyle name="Normal 8 5 7 2" xfId="6939" xr:uid="{00000000-0005-0000-0000-0000451E0000}"/>
    <cellStyle name="Normal 8 5 7 2 2" xfId="15374" xr:uid="{5C8524CF-8077-4101-B323-CA09850E6800}"/>
    <cellStyle name="Normal 8 5 7 3" xfId="11156" xr:uid="{F9A358EF-2D36-495B-81B8-60219999898B}"/>
    <cellStyle name="Normal 8 5 8" xfId="4874" xr:uid="{00000000-0005-0000-0000-0000461E0000}"/>
    <cellStyle name="Normal 8 5 8 2" xfId="13309" xr:uid="{E55D1E33-9539-494C-89E2-486535668E80}"/>
    <cellStyle name="Normal 8 5 9" xfId="9091" xr:uid="{5776C4C8-945F-4DC6-A000-4814073CA9FD}"/>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2 2 2" xfId="15869" xr:uid="{C6E5D171-FCD3-4383-9086-CEA225AB3E52}"/>
    <cellStyle name="Normal 8 6 2 2 3" xfId="11651" xr:uid="{2080A038-7C30-4795-BEAD-390BE81C5DD5}"/>
    <cellStyle name="Normal 8 6 2 3" xfId="5289" xr:uid="{00000000-0005-0000-0000-00004B1E0000}"/>
    <cellStyle name="Normal 8 6 2 3 2" xfId="13724" xr:uid="{A0E37165-1B61-48AE-BBE1-FFDCCA2E9BEA}"/>
    <cellStyle name="Normal 8 6 2 4" xfId="9506" xr:uid="{2800601B-D541-40AF-A837-7C97BF386DC2}"/>
    <cellStyle name="Normal 8 6 3" xfId="1394" xr:uid="{00000000-0005-0000-0000-00004C1E0000}"/>
    <cellStyle name="Normal 8 6 3 2" xfId="3624" xr:uid="{00000000-0005-0000-0000-00004D1E0000}"/>
    <cellStyle name="Normal 8 6 3 2 2" xfId="7847" xr:uid="{00000000-0005-0000-0000-00004E1E0000}"/>
    <cellStyle name="Normal 8 6 3 2 2 2" xfId="16282" xr:uid="{72535AFD-40A1-4EC2-9BE8-D5C86F95EC5A}"/>
    <cellStyle name="Normal 8 6 3 2 3" xfId="12064" xr:uid="{3AFBBA98-9227-4BB5-BFC6-13D19FEBF1AE}"/>
    <cellStyle name="Normal 8 6 3 3" xfId="5702" xr:uid="{00000000-0005-0000-0000-00004F1E0000}"/>
    <cellStyle name="Normal 8 6 3 3 2" xfId="14137" xr:uid="{C0CB0893-B8F4-4977-9C83-42F0DE01A8C1}"/>
    <cellStyle name="Normal 8 6 3 4" xfId="9919" xr:uid="{8FEE5747-8837-46E7-AAF4-C4EAE4E789E3}"/>
    <cellStyle name="Normal 8 6 4" xfId="1807" xr:uid="{00000000-0005-0000-0000-0000501E0000}"/>
    <cellStyle name="Normal 8 6 4 2" xfId="4037" xr:uid="{00000000-0005-0000-0000-0000511E0000}"/>
    <cellStyle name="Normal 8 6 4 2 2" xfId="8260" xr:uid="{00000000-0005-0000-0000-0000521E0000}"/>
    <cellStyle name="Normal 8 6 4 2 2 2" xfId="16695" xr:uid="{2811F7D4-ADA8-403B-8555-485F224659C7}"/>
    <cellStyle name="Normal 8 6 4 2 3" xfId="12477" xr:uid="{1E2F7D24-910D-4852-8369-5FF40FE7427C}"/>
    <cellStyle name="Normal 8 6 4 3" xfId="6115" xr:uid="{00000000-0005-0000-0000-0000531E0000}"/>
    <cellStyle name="Normal 8 6 4 3 2" xfId="14550" xr:uid="{917F4563-F692-40F5-B9F5-2C261A82A500}"/>
    <cellStyle name="Normal 8 6 4 4" xfId="10332" xr:uid="{E4D14127-D3E8-4E68-AC21-F70238C36289}"/>
    <cellStyle name="Normal 8 6 5" xfId="2221" xr:uid="{00000000-0005-0000-0000-0000541E0000}"/>
    <cellStyle name="Normal 8 6 5 2" xfId="4450" xr:uid="{00000000-0005-0000-0000-0000551E0000}"/>
    <cellStyle name="Normal 8 6 5 2 2" xfId="8673" xr:uid="{00000000-0005-0000-0000-0000561E0000}"/>
    <cellStyle name="Normal 8 6 5 2 2 2" xfId="17108" xr:uid="{A8559E17-27D3-4E88-8982-E6B930F2C6EF}"/>
    <cellStyle name="Normal 8 6 5 2 3" xfId="12890" xr:uid="{5F02755F-4A3F-489C-9865-BCD9CF974D4A}"/>
    <cellStyle name="Normal 8 6 5 3" xfId="6528" xr:uid="{00000000-0005-0000-0000-0000571E0000}"/>
    <cellStyle name="Normal 8 6 5 3 2" xfId="14963" xr:uid="{0392684F-E8F4-46CE-8134-9AC72678B6A2}"/>
    <cellStyle name="Normal 8 6 5 4" xfId="10745" xr:uid="{827F3066-4CDC-459A-8FC4-0016A5C791B0}"/>
    <cellStyle name="Normal 8 6 6" xfId="2657" xr:uid="{00000000-0005-0000-0000-0000581E0000}"/>
    <cellStyle name="Normal 8 6 6 2" xfId="6941" xr:uid="{00000000-0005-0000-0000-0000591E0000}"/>
    <cellStyle name="Normal 8 6 6 2 2" xfId="15376" xr:uid="{828DC7C5-68B2-4AD2-8B2A-3F77664DAD45}"/>
    <cellStyle name="Normal 8 6 6 3" xfId="11158" xr:uid="{B011A755-C6D8-410E-A534-68502102303A}"/>
    <cellStyle name="Normal 8 6 7" xfId="4876" xr:uid="{00000000-0005-0000-0000-00005A1E0000}"/>
    <cellStyle name="Normal 8 6 7 2" xfId="13311" xr:uid="{07A7A594-2923-45BB-8C8E-82CEB60BA333}"/>
    <cellStyle name="Normal 8 6 8" xfId="9093" xr:uid="{307A7871-CD96-40C6-A1EA-18D2BD77F5B5}"/>
    <cellStyle name="Normal 8 7" xfId="946" xr:uid="{00000000-0005-0000-0000-00005B1E0000}"/>
    <cellStyle name="Normal 8 7 2" xfId="3180" xr:uid="{00000000-0005-0000-0000-00005C1E0000}"/>
    <cellStyle name="Normal 8 7 2 2" xfId="7403" xr:uid="{00000000-0005-0000-0000-00005D1E0000}"/>
    <cellStyle name="Normal 8 7 2 2 2" xfId="15838" xr:uid="{24B68D88-E66F-4C31-AA2C-FC4EF795588A}"/>
    <cellStyle name="Normal 8 7 2 3" xfId="11620" xr:uid="{FA51CE22-D8DE-4FDB-8A70-501DB41C32F6}"/>
    <cellStyle name="Normal 8 7 3" xfId="5258" xr:uid="{00000000-0005-0000-0000-00005E1E0000}"/>
    <cellStyle name="Normal 8 7 3 2" xfId="13693" xr:uid="{FB0DC6C5-AA8C-4CE8-8091-6EB8C33CE068}"/>
    <cellStyle name="Normal 8 7 4" xfId="9475" xr:uid="{0089D623-80C0-4355-861C-9545AB38F801}"/>
    <cellStyle name="Normal 8 8" xfId="1363" xr:uid="{00000000-0005-0000-0000-00005F1E0000}"/>
    <cellStyle name="Normal 8 8 2" xfId="3593" xr:uid="{00000000-0005-0000-0000-0000601E0000}"/>
    <cellStyle name="Normal 8 8 2 2" xfId="7816" xr:uid="{00000000-0005-0000-0000-0000611E0000}"/>
    <cellStyle name="Normal 8 8 2 2 2" xfId="16251" xr:uid="{168B091A-380A-4942-9F7A-AC79A5972B58}"/>
    <cellStyle name="Normal 8 8 2 3" xfId="12033" xr:uid="{493C4124-0246-4F5A-84CD-FA260E011BB6}"/>
    <cellStyle name="Normal 8 8 3" xfId="5671" xr:uid="{00000000-0005-0000-0000-0000621E0000}"/>
    <cellStyle name="Normal 8 8 3 2" xfId="14106" xr:uid="{ECC8D422-9A19-4E2F-A935-2A9F94569117}"/>
    <cellStyle name="Normal 8 8 4" xfId="9888" xr:uid="{A7BD68DE-E270-4A8B-AAC1-520CCCF943BC}"/>
    <cellStyle name="Normal 8 9" xfId="1776" xr:uid="{00000000-0005-0000-0000-0000631E0000}"/>
    <cellStyle name="Normal 8 9 2" xfId="4006" xr:uid="{00000000-0005-0000-0000-0000641E0000}"/>
    <cellStyle name="Normal 8 9 2 2" xfId="8229" xr:uid="{00000000-0005-0000-0000-0000651E0000}"/>
    <cellStyle name="Normal 8 9 2 2 2" xfId="16664" xr:uid="{72306270-C9ED-4227-935F-41B4AE9F669B}"/>
    <cellStyle name="Normal 8 9 2 3" xfId="12446" xr:uid="{2D0F2165-3C3B-4B2F-9B8F-5BA4D4401D7D}"/>
    <cellStyle name="Normal 8 9 3" xfId="6084" xr:uid="{00000000-0005-0000-0000-0000661E0000}"/>
    <cellStyle name="Normal 8 9 3 2" xfId="14519" xr:uid="{0830157C-DFAB-47E1-A925-7E41DA9318F7}"/>
    <cellStyle name="Normal 8 9 4" xfId="10301" xr:uid="{4F91070A-E3ED-4CE8-923F-C05BF81ADCD6}"/>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0 2 2" xfId="15377" xr:uid="{FA733AE9-0979-469B-B655-A0FC2C2F9C51}"/>
    <cellStyle name="Normal 9 2 10 3" xfId="11159" xr:uid="{CBEE2231-5E0F-415F-974E-C5F8F582F78B}"/>
    <cellStyle name="Normal 9 2 11" xfId="4877" xr:uid="{00000000-0005-0000-0000-00006B1E0000}"/>
    <cellStyle name="Normal 9 2 11 2" xfId="13312" xr:uid="{63230CB0-A711-4B6C-8579-9E00267F32F9}"/>
    <cellStyle name="Normal 9 2 12" xfId="9094" xr:uid="{DBCB67C5-E49C-47B8-8ABD-A90FFF56DC8B}"/>
    <cellStyle name="Normal 9 2 2" xfId="512" xr:uid="{00000000-0005-0000-0000-00006C1E0000}"/>
    <cellStyle name="Normal 9 2 2 10" xfId="4878" xr:uid="{00000000-0005-0000-0000-00006D1E0000}"/>
    <cellStyle name="Normal 9 2 2 10 2" xfId="13313" xr:uid="{E091DD43-BD79-4D13-92D3-64FE52FC4247}"/>
    <cellStyle name="Normal 9 2 2 11" xfId="9095" xr:uid="{893951C4-FBA1-4007-AA89-B5EBF9768307}"/>
    <cellStyle name="Normal 9 2 2 2" xfId="513" xr:uid="{00000000-0005-0000-0000-00006E1E0000}"/>
    <cellStyle name="Normal 9 2 2 2 10" xfId="9096" xr:uid="{39229356-DD8B-4081-891A-713A0148FFE8}"/>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2 2 2" xfId="15874" xr:uid="{CA6FF133-27DE-432A-9AB0-01E81054E381}"/>
    <cellStyle name="Normal 9 2 2 2 2 2 2 2 3" xfId="11656" xr:uid="{4558BA81-1259-4E40-B37C-6A3CEC8F23FE}"/>
    <cellStyle name="Normal 9 2 2 2 2 2 2 3" xfId="5294" xr:uid="{00000000-0005-0000-0000-0000741E0000}"/>
    <cellStyle name="Normal 9 2 2 2 2 2 2 3 2" xfId="13729" xr:uid="{5A1DB93B-BE42-427B-9C71-2CE342A43F15}"/>
    <cellStyle name="Normal 9 2 2 2 2 2 2 4" xfId="9511" xr:uid="{92604561-DF4C-4274-8875-A91FA442B5FA}"/>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2 2 2" xfId="16287" xr:uid="{1DEBC134-29FC-4423-921A-E5905B27C2CD}"/>
    <cellStyle name="Normal 9 2 2 2 2 2 3 2 3" xfId="12069" xr:uid="{7D0B3651-BF32-4FDC-886A-FBC44192693E}"/>
    <cellStyle name="Normal 9 2 2 2 2 2 3 3" xfId="5707" xr:uid="{00000000-0005-0000-0000-0000781E0000}"/>
    <cellStyle name="Normal 9 2 2 2 2 2 3 3 2" xfId="14142" xr:uid="{6F4CFBE5-A0E7-4A44-B299-F85684AE41FA}"/>
    <cellStyle name="Normal 9 2 2 2 2 2 3 4" xfId="9924" xr:uid="{CB359F27-AEB2-4C79-B051-C55C5F60061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2 2 2" xfId="16700" xr:uid="{B627763F-6463-4F16-AE08-EE6E487F40DB}"/>
    <cellStyle name="Normal 9 2 2 2 2 2 4 2 3" xfId="12482" xr:uid="{F3666299-C1C6-4A0A-8439-7DB4A005AC7F}"/>
    <cellStyle name="Normal 9 2 2 2 2 2 4 3" xfId="6120" xr:uid="{00000000-0005-0000-0000-00007C1E0000}"/>
    <cellStyle name="Normal 9 2 2 2 2 2 4 3 2" xfId="14555" xr:uid="{6EC774F8-9F16-4615-B27F-812A0DDE8E04}"/>
    <cellStyle name="Normal 9 2 2 2 2 2 4 4" xfId="10337" xr:uid="{F28AD5B8-F1A3-494E-985A-92B2726C7D66}"/>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2 2 2" xfId="17113" xr:uid="{031FFD06-25B1-4D16-9B66-50693F399D1D}"/>
    <cellStyle name="Normal 9 2 2 2 2 2 5 2 3" xfId="12895" xr:uid="{3DFAF66D-9CB6-42A6-873B-1AA6540DB6BC}"/>
    <cellStyle name="Normal 9 2 2 2 2 2 5 3" xfId="6533" xr:uid="{00000000-0005-0000-0000-0000801E0000}"/>
    <cellStyle name="Normal 9 2 2 2 2 2 5 3 2" xfId="14968" xr:uid="{DC70486F-79C7-4039-8AC1-20E9939551E9}"/>
    <cellStyle name="Normal 9 2 2 2 2 2 5 4" xfId="10750" xr:uid="{2AD5D3D1-2A34-4ED7-960B-53A4C692C297}"/>
    <cellStyle name="Normal 9 2 2 2 2 2 6" xfId="2662" xr:uid="{00000000-0005-0000-0000-0000811E0000}"/>
    <cellStyle name="Normal 9 2 2 2 2 2 6 2" xfId="6946" xr:uid="{00000000-0005-0000-0000-0000821E0000}"/>
    <cellStyle name="Normal 9 2 2 2 2 2 6 2 2" xfId="15381" xr:uid="{8CFE9CFC-BA23-4D89-939C-548DEE7CC59E}"/>
    <cellStyle name="Normal 9 2 2 2 2 2 6 3" xfId="11163" xr:uid="{D11E632A-1794-4BEE-B1F6-BB36FF8E09F1}"/>
    <cellStyle name="Normal 9 2 2 2 2 2 7" xfId="4881" xr:uid="{00000000-0005-0000-0000-0000831E0000}"/>
    <cellStyle name="Normal 9 2 2 2 2 2 7 2" xfId="13316" xr:uid="{D3DCE270-F414-4E0E-B228-3458163BCFE6}"/>
    <cellStyle name="Normal 9 2 2 2 2 2 8" xfId="9098" xr:uid="{913297F2-DD58-47F5-97E7-5C8D03CC442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2 2 2" xfId="15873" xr:uid="{1C1027CD-130F-4BF8-BF63-FDE5B9869496}"/>
    <cellStyle name="Normal 9 2 2 2 2 3 2 3" xfId="11655" xr:uid="{E239E433-CF99-4CF1-B66E-FFDEFF7C2939}"/>
    <cellStyle name="Normal 9 2 2 2 2 3 3" xfId="5293" xr:uid="{00000000-0005-0000-0000-0000871E0000}"/>
    <cellStyle name="Normal 9 2 2 2 2 3 3 2" xfId="13728" xr:uid="{B0120F18-11CE-4B83-872B-1687846A12A7}"/>
    <cellStyle name="Normal 9 2 2 2 2 3 4" xfId="9510" xr:uid="{07D34252-8A94-4A97-8991-C808B26A718C}"/>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2 2 2" xfId="16286" xr:uid="{EA50BEDF-C4A1-457F-97AD-9CB10DC81620}"/>
    <cellStyle name="Normal 9 2 2 2 2 4 2 3" xfId="12068" xr:uid="{8202B6C2-2060-455D-983D-23EB237601DD}"/>
    <cellStyle name="Normal 9 2 2 2 2 4 3" xfId="5706" xr:uid="{00000000-0005-0000-0000-00008B1E0000}"/>
    <cellStyle name="Normal 9 2 2 2 2 4 3 2" xfId="14141" xr:uid="{F4046D41-EB00-4BF1-B902-80243B9F22B1}"/>
    <cellStyle name="Normal 9 2 2 2 2 4 4" xfId="9923" xr:uid="{86AD8199-82B9-4F71-B89E-617BD54B8465}"/>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2 2 2" xfId="16699" xr:uid="{68404851-BA6A-43E5-B16E-79F01F33D837}"/>
    <cellStyle name="Normal 9 2 2 2 2 5 2 3" xfId="12481" xr:uid="{341DA7E6-AF4F-49EC-9F9A-0977A62B29D5}"/>
    <cellStyle name="Normal 9 2 2 2 2 5 3" xfId="6119" xr:uid="{00000000-0005-0000-0000-00008F1E0000}"/>
    <cellStyle name="Normal 9 2 2 2 2 5 3 2" xfId="14554" xr:uid="{1EB56F1C-930F-46DE-AFCA-4931E0ED354E}"/>
    <cellStyle name="Normal 9 2 2 2 2 5 4" xfId="10336" xr:uid="{48A11B64-733A-42C8-B4FC-CD1B6680F416}"/>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2 2 2" xfId="17112" xr:uid="{CBA4D353-A1F3-4B5A-9791-4BC16CFD3DB5}"/>
    <cellStyle name="Normal 9 2 2 2 2 6 2 3" xfId="12894" xr:uid="{3EE9992A-3894-431B-8DD3-3D81B992ACF3}"/>
    <cellStyle name="Normal 9 2 2 2 2 6 3" xfId="6532" xr:uid="{00000000-0005-0000-0000-0000931E0000}"/>
    <cellStyle name="Normal 9 2 2 2 2 6 3 2" xfId="14967" xr:uid="{5B3DAC25-1D0E-4218-A4AE-8ECCC1E17031}"/>
    <cellStyle name="Normal 9 2 2 2 2 6 4" xfId="10749" xr:uid="{F96D62A7-C23F-4D8E-8D92-754A9A1F42A5}"/>
    <cellStyle name="Normal 9 2 2 2 2 7" xfId="2661" xr:uid="{00000000-0005-0000-0000-0000941E0000}"/>
    <cellStyle name="Normal 9 2 2 2 2 7 2" xfId="6945" xr:uid="{00000000-0005-0000-0000-0000951E0000}"/>
    <cellStyle name="Normal 9 2 2 2 2 7 2 2" xfId="15380" xr:uid="{7D19C64C-A08D-43D1-B04E-0617C8D4C075}"/>
    <cellStyle name="Normal 9 2 2 2 2 7 3" xfId="11162" xr:uid="{3EDF29DF-876F-4D58-B33C-DEA3FDBED366}"/>
    <cellStyle name="Normal 9 2 2 2 2 8" xfId="4880" xr:uid="{00000000-0005-0000-0000-0000961E0000}"/>
    <cellStyle name="Normal 9 2 2 2 2 8 2" xfId="13315" xr:uid="{84B92A65-538B-4B41-8700-F519FE974166}"/>
    <cellStyle name="Normal 9 2 2 2 2 9" xfId="9097" xr:uid="{805876DC-9BD0-4F90-AF69-86646A47E4DC}"/>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2 2 2" xfId="15875" xr:uid="{AA628B5A-610E-41DA-BF58-34E98D179BC7}"/>
    <cellStyle name="Normal 9 2 2 2 3 2 2 3" xfId="11657" xr:uid="{C04D7E87-7F73-4583-B656-A031BB18DC99}"/>
    <cellStyle name="Normal 9 2 2 2 3 2 3" xfId="5295" xr:uid="{00000000-0005-0000-0000-00009B1E0000}"/>
    <cellStyle name="Normal 9 2 2 2 3 2 3 2" xfId="13730" xr:uid="{154559E9-12C5-45B9-B359-9E953435BF15}"/>
    <cellStyle name="Normal 9 2 2 2 3 2 4" xfId="9512" xr:uid="{2CCAFA61-6178-4648-838F-5B23A543EA69}"/>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2 2 2" xfId="16288" xr:uid="{F6A7CD19-251A-4060-91CD-D20BBBC8E0F5}"/>
    <cellStyle name="Normal 9 2 2 2 3 3 2 3" xfId="12070" xr:uid="{656E7C09-D15A-4CE0-8B8E-FFC5B85AE4A1}"/>
    <cellStyle name="Normal 9 2 2 2 3 3 3" xfId="5708" xr:uid="{00000000-0005-0000-0000-00009F1E0000}"/>
    <cellStyle name="Normal 9 2 2 2 3 3 3 2" xfId="14143" xr:uid="{282E52C9-A312-41C8-BAEB-34E4E06D0E2D}"/>
    <cellStyle name="Normal 9 2 2 2 3 3 4" xfId="9925" xr:uid="{86FC1BBE-540D-4A77-98B2-D9C90557DF93}"/>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2 2 2" xfId="16701" xr:uid="{DE4FBF4F-1297-4C01-BCEB-997F15A5779D}"/>
    <cellStyle name="Normal 9 2 2 2 3 4 2 3" xfId="12483" xr:uid="{5F6EDAC0-6324-4625-8680-F718278F6C47}"/>
    <cellStyle name="Normal 9 2 2 2 3 4 3" xfId="6121" xr:uid="{00000000-0005-0000-0000-0000A31E0000}"/>
    <cellStyle name="Normal 9 2 2 2 3 4 3 2" xfId="14556" xr:uid="{A570A07E-FBA1-4FF4-889B-E372C7517EB4}"/>
    <cellStyle name="Normal 9 2 2 2 3 4 4" xfId="10338" xr:uid="{147A7F03-9A45-4F29-B5E4-55E14B72FCA4}"/>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2 2 2" xfId="17114" xr:uid="{A9A07D82-4E9A-4C64-A6A6-DF38D12D3B79}"/>
    <cellStyle name="Normal 9 2 2 2 3 5 2 3" xfId="12896" xr:uid="{D7FEAD61-664E-4059-ABD2-0B496335F9B0}"/>
    <cellStyle name="Normal 9 2 2 2 3 5 3" xfId="6534" xr:uid="{00000000-0005-0000-0000-0000A71E0000}"/>
    <cellStyle name="Normal 9 2 2 2 3 5 3 2" xfId="14969" xr:uid="{E22D5756-C980-48A4-9C0E-0057D65A2654}"/>
    <cellStyle name="Normal 9 2 2 2 3 5 4" xfId="10751" xr:uid="{89795031-0AC4-4414-9956-F8DD079A5EBA}"/>
    <cellStyle name="Normal 9 2 2 2 3 6" xfId="2663" xr:uid="{00000000-0005-0000-0000-0000A81E0000}"/>
    <cellStyle name="Normal 9 2 2 2 3 6 2" xfId="6947" xr:uid="{00000000-0005-0000-0000-0000A91E0000}"/>
    <cellStyle name="Normal 9 2 2 2 3 6 2 2" xfId="15382" xr:uid="{84239E3E-9454-40FF-B12A-F7F236BC192F}"/>
    <cellStyle name="Normal 9 2 2 2 3 6 3" xfId="11164" xr:uid="{4D798086-E938-4A63-9B7C-655094C3294A}"/>
    <cellStyle name="Normal 9 2 2 2 3 7" xfId="4882" xr:uid="{00000000-0005-0000-0000-0000AA1E0000}"/>
    <cellStyle name="Normal 9 2 2 2 3 7 2" xfId="13317" xr:uid="{F36F9663-7AFE-4EBB-9C27-197F06724D91}"/>
    <cellStyle name="Normal 9 2 2 2 3 8" xfId="9099" xr:uid="{60C1F35E-E2CE-4E40-B5BB-59F54558A182}"/>
    <cellStyle name="Normal 9 2 2 2 4" xfId="981" xr:uid="{00000000-0005-0000-0000-0000AB1E0000}"/>
    <cellStyle name="Normal 9 2 2 2 4 2" xfId="3214" xr:uid="{00000000-0005-0000-0000-0000AC1E0000}"/>
    <cellStyle name="Normal 9 2 2 2 4 2 2" xfId="7437" xr:uid="{00000000-0005-0000-0000-0000AD1E0000}"/>
    <cellStyle name="Normal 9 2 2 2 4 2 2 2" xfId="15872" xr:uid="{B22AE02C-263C-400A-9847-7048A8596C95}"/>
    <cellStyle name="Normal 9 2 2 2 4 2 3" xfId="11654" xr:uid="{8BD02086-19EC-4C12-AD44-0C4064B5ADBA}"/>
    <cellStyle name="Normal 9 2 2 2 4 3" xfId="5292" xr:uid="{00000000-0005-0000-0000-0000AE1E0000}"/>
    <cellStyle name="Normal 9 2 2 2 4 3 2" xfId="13727" xr:uid="{1EC0E488-7060-4809-81FE-2E4D01C34E20}"/>
    <cellStyle name="Normal 9 2 2 2 4 4" xfId="9509" xr:uid="{3BCF0C04-7061-4315-8F1B-50EB74D26FE7}"/>
    <cellStyle name="Normal 9 2 2 2 5" xfId="1397" xr:uid="{00000000-0005-0000-0000-0000AF1E0000}"/>
    <cellStyle name="Normal 9 2 2 2 5 2" xfId="3627" xr:uid="{00000000-0005-0000-0000-0000B01E0000}"/>
    <cellStyle name="Normal 9 2 2 2 5 2 2" xfId="7850" xr:uid="{00000000-0005-0000-0000-0000B11E0000}"/>
    <cellStyle name="Normal 9 2 2 2 5 2 2 2" xfId="16285" xr:uid="{34253D28-BCBF-4116-8827-35B8D7CEFC34}"/>
    <cellStyle name="Normal 9 2 2 2 5 2 3" xfId="12067" xr:uid="{A9F8B28B-0D38-4ABE-BC87-360A279BE7BB}"/>
    <cellStyle name="Normal 9 2 2 2 5 3" xfId="5705" xr:uid="{00000000-0005-0000-0000-0000B21E0000}"/>
    <cellStyle name="Normal 9 2 2 2 5 3 2" xfId="14140" xr:uid="{40C52366-1964-4A88-9C88-AD8E7C795DE9}"/>
    <cellStyle name="Normal 9 2 2 2 5 4" xfId="9922" xr:uid="{9628064E-BFB4-45C4-BDAF-38C37C70FD0B}"/>
    <cellStyle name="Normal 9 2 2 2 6" xfId="1810" xr:uid="{00000000-0005-0000-0000-0000B31E0000}"/>
    <cellStyle name="Normal 9 2 2 2 6 2" xfId="4040" xr:uid="{00000000-0005-0000-0000-0000B41E0000}"/>
    <cellStyle name="Normal 9 2 2 2 6 2 2" xfId="8263" xr:uid="{00000000-0005-0000-0000-0000B51E0000}"/>
    <cellStyle name="Normal 9 2 2 2 6 2 2 2" xfId="16698" xr:uid="{788AAA58-B4E9-4940-B48D-014F5E9D382D}"/>
    <cellStyle name="Normal 9 2 2 2 6 2 3" xfId="12480" xr:uid="{48505A1C-91D0-4239-BD7E-BDD2D9863CFB}"/>
    <cellStyle name="Normal 9 2 2 2 6 3" xfId="6118" xr:uid="{00000000-0005-0000-0000-0000B61E0000}"/>
    <cellStyle name="Normal 9 2 2 2 6 3 2" xfId="14553" xr:uid="{7A55DBA5-A93D-4D93-B8F2-381A6E314F5E}"/>
    <cellStyle name="Normal 9 2 2 2 6 4" xfId="10335" xr:uid="{77DBAAFA-E56B-449D-8F45-981827C41875}"/>
    <cellStyle name="Normal 9 2 2 2 7" xfId="2224" xr:uid="{00000000-0005-0000-0000-0000B71E0000}"/>
    <cellStyle name="Normal 9 2 2 2 7 2" xfId="4453" xr:uid="{00000000-0005-0000-0000-0000B81E0000}"/>
    <cellStyle name="Normal 9 2 2 2 7 2 2" xfId="8676" xr:uid="{00000000-0005-0000-0000-0000B91E0000}"/>
    <cellStyle name="Normal 9 2 2 2 7 2 2 2" xfId="17111" xr:uid="{6785966F-F718-4E11-84FF-08E5656C2935}"/>
    <cellStyle name="Normal 9 2 2 2 7 2 3" xfId="12893" xr:uid="{003B053C-FBB7-47D7-BCA8-AA2F0CF1FAB6}"/>
    <cellStyle name="Normal 9 2 2 2 7 3" xfId="6531" xr:uid="{00000000-0005-0000-0000-0000BA1E0000}"/>
    <cellStyle name="Normal 9 2 2 2 7 3 2" xfId="14966" xr:uid="{33D8319D-D25E-41A0-9590-ABE269FA807E}"/>
    <cellStyle name="Normal 9 2 2 2 7 4" xfId="10748" xr:uid="{E46F8FE5-378E-426E-BB00-1ECBC9869FB3}"/>
    <cellStyle name="Normal 9 2 2 2 8" xfId="2660" xr:uid="{00000000-0005-0000-0000-0000BB1E0000}"/>
    <cellStyle name="Normal 9 2 2 2 8 2" xfId="6944" xr:uid="{00000000-0005-0000-0000-0000BC1E0000}"/>
    <cellStyle name="Normal 9 2 2 2 8 2 2" xfId="15379" xr:uid="{DBAC696E-FDE0-47CB-BD66-E64E040F1271}"/>
    <cellStyle name="Normal 9 2 2 2 8 3" xfId="11161" xr:uid="{CE609236-CCEC-4EF7-91DD-1AC49E557F04}"/>
    <cellStyle name="Normal 9 2 2 2 9" xfId="4879" xr:uid="{00000000-0005-0000-0000-0000BD1E0000}"/>
    <cellStyle name="Normal 9 2 2 2 9 2" xfId="13314" xr:uid="{8DDE83E3-346E-48A5-A81A-AD666EB19869}"/>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2 2 2" xfId="15877" xr:uid="{7B91A69C-6ACA-4EE5-9533-BCDF3CFB3627}"/>
    <cellStyle name="Normal 9 2 2 3 2 2 2 3" xfId="11659" xr:uid="{A8AEFAF1-53C6-48B2-8067-4252B12DA281}"/>
    <cellStyle name="Normal 9 2 2 3 2 2 3" xfId="5297" xr:uid="{00000000-0005-0000-0000-0000C31E0000}"/>
    <cellStyle name="Normal 9 2 2 3 2 2 3 2" xfId="13732" xr:uid="{3FE9E735-7C04-41D0-BFFA-41BF142020EA}"/>
    <cellStyle name="Normal 9 2 2 3 2 2 4" xfId="9514" xr:uid="{D112548D-84F3-4DBD-B596-AB247E39541C}"/>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2 2 2" xfId="16290" xr:uid="{95B02C0D-D3DF-4D8F-86B5-DA79D079A817}"/>
    <cellStyle name="Normal 9 2 2 3 2 3 2 3" xfId="12072" xr:uid="{73A1DCEE-54BC-469E-B4A4-F8DE1886D414}"/>
    <cellStyle name="Normal 9 2 2 3 2 3 3" xfId="5710" xr:uid="{00000000-0005-0000-0000-0000C71E0000}"/>
    <cellStyle name="Normal 9 2 2 3 2 3 3 2" xfId="14145" xr:uid="{B9AC5AB3-B591-4456-816B-B45E13E72D2B}"/>
    <cellStyle name="Normal 9 2 2 3 2 3 4" xfId="9927" xr:uid="{C8F2F683-0A8F-40BD-BAD3-D42DEB91E583}"/>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2 2 2" xfId="16703" xr:uid="{975E7A33-460E-41F9-B4C8-CF41DB49A450}"/>
    <cellStyle name="Normal 9 2 2 3 2 4 2 3" xfId="12485" xr:uid="{937D5D0A-B42A-4709-912A-4B3CDD0DAF01}"/>
    <cellStyle name="Normal 9 2 2 3 2 4 3" xfId="6123" xr:uid="{00000000-0005-0000-0000-0000CB1E0000}"/>
    <cellStyle name="Normal 9 2 2 3 2 4 3 2" xfId="14558" xr:uid="{C263F1F8-E3EA-4657-A662-70F9111FE84E}"/>
    <cellStyle name="Normal 9 2 2 3 2 4 4" xfId="10340" xr:uid="{CD6A6ACA-C566-45DD-898A-E109863F63F3}"/>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2 2 2" xfId="17116" xr:uid="{F92D2941-25F1-4131-BF5A-11A5DF99653C}"/>
    <cellStyle name="Normal 9 2 2 3 2 5 2 3" xfId="12898" xr:uid="{4BE71C67-44D2-4EF7-AF83-42821F681F29}"/>
    <cellStyle name="Normal 9 2 2 3 2 5 3" xfId="6536" xr:uid="{00000000-0005-0000-0000-0000CF1E0000}"/>
    <cellStyle name="Normal 9 2 2 3 2 5 3 2" xfId="14971" xr:uid="{C5F34064-2146-4EE9-9B9B-8A34AAAC4EF8}"/>
    <cellStyle name="Normal 9 2 2 3 2 5 4" xfId="10753" xr:uid="{4441F234-52B1-41C3-AC38-CEFDE512A3CA}"/>
    <cellStyle name="Normal 9 2 2 3 2 6" xfId="2665" xr:uid="{00000000-0005-0000-0000-0000D01E0000}"/>
    <cellStyle name="Normal 9 2 2 3 2 6 2" xfId="6949" xr:uid="{00000000-0005-0000-0000-0000D11E0000}"/>
    <cellStyle name="Normal 9 2 2 3 2 6 2 2" xfId="15384" xr:uid="{48F7CF64-0481-4269-83C7-91272E0054AA}"/>
    <cellStyle name="Normal 9 2 2 3 2 6 3" xfId="11166" xr:uid="{6F0C2136-0FDE-4933-986B-B599C1CDCBF2}"/>
    <cellStyle name="Normal 9 2 2 3 2 7" xfId="4884" xr:uid="{00000000-0005-0000-0000-0000D21E0000}"/>
    <cellStyle name="Normal 9 2 2 3 2 7 2" xfId="13319" xr:uid="{969712CC-8C3F-4868-8EF5-6A04EC085658}"/>
    <cellStyle name="Normal 9 2 2 3 2 8" xfId="9101" xr:uid="{67E47BE3-B74A-4D38-81D8-F6AB495F9E3C}"/>
    <cellStyle name="Normal 9 2 2 3 3" xfId="985" xr:uid="{00000000-0005-0000-0000-0000D31E0000}"/>
    <cellStyle name="Normal 9 2 2 3 3 2" xfId="3218" xr:uid="{00000000-0005-0000-0000-0000D41E0000}"/>
    <cellStyle name="Normal 9 2 2 3 3 2 2" xfId="7441" xr:uid="{00000000-0005-0000-0000-0000D51E0000}"/>
    <cellStyle name="Normal 9 2 2 3 3 2 2 2" xfId="15876" xr:uid="{C23C9A05-5607-4FB1-9519-3E18925AF813}"/>
    <cellStyle name="Normal 9 2 2 3 3 2 3" xfId="11658" xr:uid="{E9671319-5804-47A8-9F16-E4CB7A4871CC}"/>
    <cellStyle name="Normal 9 2 2 3 3 3" xfId="5296" xr:uid="{00000000-0005-0000-0000-0000D61E0000}"/>
    <cellStyle name="Normal 9 2 2 3 3 3 2" xfId="13731" xr:uid="{A9CA2EE9-EC12-4262-8C53-BDBF1A50714D}"/>
    <cellStyle name="Normal 9 2 2 3 3 4" xfId="9513" xr:uid="{2FD67E54-02E5-4527-862A-71FB7CF1F592}"/>
    <cellStyle name="Normal 9 2 2 3 4" xfId="1401" xr:uid="{00000000-0005-0000-0000-0000D71E0000}"/>
    <cellStyle name="Normal 9 2 2 3 4 2" xfId="3631" xr:uid="{00000000-0005-0000-0000-0000D81E0000}"/>
    <cellStyle name="Normal 9 2 2 3 4 2 2" xfId="7854" xr:uid="{00000000-0005-0000-0000-0000D91E0000}"/>
    <cellStyle name="Normal 9 2 2 3 4 2 2 2" xfId="16289" xr:uid="{3301DFC2-C233-4CDB-8F05-7EFE08781724}"/>
    <cellStyle name="Normal 9 2 2 3 4 2 3" xfId="12071" xr:uid="{1D2D1D5A-681E-48DD-B5E4-B7D095B17304}"/>
    <cellStyle name="Normal 9 2 2 3 4 3" xfId="5709" xr:uid="{00000000-0005-0000-0000-0000DA1E0000}"/>
    <cellStyle name="Normal 9 2 2 3 4 3 2" xfId="14144" xr:uid="{F611D982-E4A6-471C-A555-0C3D470A1073}"/>
    <cellStyle name="Normal 9 2 2 3 4 4" xfId="9926" xr:uid="{8472F647-2955-49BD-9012-790DE3F97847}"/>
    <cellStyle name="Normal 9 2 2 3 5" xfId="1814" xr:uid="{00000000-0005-0000-0000-0000DB1E0000}"/>
    <cellStyle name="Normal 9 2 2 3 5 2" xfId="4044" xr:uid="{00000000-0005-0000-0000-0000DC1E0000}"/>
    <cellStyle name="Normal 9 2 2 3 5 2 2" xfId="8267" xr:uid="{00000000-0005-0000-0000-0000DD1E0000}"/>
    <cellStyle name="Normal 9 2 2 3 5 2 2 2" xfId="16702" xr:uid="{00D78817-075D-4157-9A1A-C131790A9966}"/>
    <cellStyle name="Normal 9 2 2 3 5 2 3" xfId="12484" xr:uid="{52B65631-830A-481A-9256-6DE7DD78D588}"/>
    <cellStyle name="Normal 9 2 2 3 5 3" xfId="6122" xr:uid="{00000000-0005-0000-0000-0000DE1E0000}"/>
    <cellStyle name="Normal 9 2 2 3 5 3 2" xfId="14557" xr:uid="{CB930A6D-A1AB-442F-82FF-1F0A63B4087C}"/>
    <cellStyle name="Normal 9 2 2 3 5 4" xfId="10339" xr:uid="{FCB3B383-54DF-4D45-B643-C4A592E2B203}"/>
    <cellStyle name="Normal 9 2 2 3 6" xfId="2228" xr:uid="{00000000-0005-0000-0000-0000DF1E0000}"/>
    <cellStyle name="Normal 9 2 2 3 6 2" xfId="4457" xr:uid="{00000000-0005-0000-0000-0000E01E0000}"/>
    <cellStyle name="Normal 9 2 2 3 6 2 2" xfId="8680" xr:uid="{00000000-0005-0000-0000-0000E11E0000}"/>
    <cellStyle name="Normal 9 2 2 3 6 2 2 2" xfId="17115" xr:uid="{C3E37673-BFEC-4151-AE6E-468939AB054E}"/>
    <cellStyle name="Normal 9 2 2 3 6 2 3" xfId="12897" xr:uid="{C5D3CDF8-9620-42CF-B81E-D15CF61E1810}"/>
    <cellStyle name="Normal 9 2 2 3 6 3" xfId="6535" xr:uid="{00000000-0005-0000-0000-0000E21E0000}"/>
    <cellStyle name="Normal 9 2 2 3 6 3 2" xfId="14970" xr:uid="{B5B5CBC1-7587-43AF-A39E-CDF0E7B88938}"/>
    <cellStyle name="Normal 9 2 2 3 6 4" xfId="10752" xr:uid="{7AAC9D85-535C-4212-901A-CCD80521A2FF}"/>
    <cellStyle name="Normal 9 2 2 3 7" xfId="2664" xr:uid="{00000000-0005-0000-0000-0000E31E0000}"/>
    <cellStyle name="Normal 9 2 2 3 7 2" xfId="6948" xr:uid="{00000000-0005-0000-0000-0000E41E0000}"/>
    <cellStyle name="Normal 9 2 2 3 7 2 2" xfId="15383" xr:uid="{262C046A-AE64-409E-9F80-D0B65583523D}"/>
    <cellStyle name="Normal 9 2 2 3 7 3" xfId="11165" xr:uid="{92C43EF1-3476-4C12-9640-26DFCAAEF80B}"/>
    <cellStyle name="Normal 9 2 2 3 8" xfId="4883" xr:uid="{00000000-0005-0000-0000-0000E51E0000}"/>
    <cellStyle name="Normal 9 2 2 3 8 2" xfId="13318" xr:uid="{B4814D1F-59FB-4FD2-9304-6E4672419AB5}"/>
    <cellStyle name="Normal 9 2 2 3 9" xfId="9100" xr:uid="{3A359227-E6BB-4E7C-AAD4-20FDA917D921}"/>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2 2 2" xfId="15878" xr:uid="{C5C67E2F-CF18-4D9A-A67B-11C39C2B1CC2}"/>
    <cellStyle name="Normal 9 2 2 4 2 2 3" xfId="11660" xr:uid="{44717891-296A-487F-84BB-154D0C79DF8C}"/>
    <cellStyle name="Normal 9 2 2 4 2 3" xfId="5298" xr:uid="{00000000-0005-0000-0000-0000EA1E0000}"/>
    <cellStyle name="Normal 9 2 2 4 2 3 2" xfId="13733" xr:uid="{E9215F26-265F-4CA9-924B-DF480A3BA295}"/>
    <cellStyle name="Normal 9 2 2 4 2 4" xfId="9515" xr:uid="{FF7E6B64-36AF-45C2-BDDE-5AE3A4481204}"/>
    <cellStyle name="Normal 9 2 2 4 3" xfId="1403" xr:uid="{00000000-0005-0000-0000-0000EB1E0000}"/>
    <cellStyle name="Normal 9 2 2 4 3 2" xfId="3633" xr:uid="{00000000-0005-0000-0000-0000EC1E0000}"/>
    <cellStyle name="Normal 9 2 2 4 3 2 2" xfId="7856" xr:uid="{00000000-0005-0000-0000-0000ED1E0000}"/>
    <cellStyle name="Normal 9 2 2 4 3 2 2 2" xfId="16291" xr:uid="{B27B38A9-F22B-4782-AB99-5DEBE64F8E6C}"/>
    <cellStyle name="Normal 9 2 2 4 3 2 3" xfId="12073" xr:uid="{17DBF03B-B4B0-4BC2-95EA-EF8E5FB6AD4A}"/>
    <cellStyle name="Normal 9 2 2 4 3 3" xfId="5711" xr:uid="{00000000-0005-0000-0000-0000EE1E0000}"/>
    <cellStyle name="Normal 9 2 2 4 3 3 2" xfId="14146" xr:uid="{50EF55CC-0D64-43CB-A40C-C22F544D0543}"/>
    <cellStyle name="Normal 9 2 2 4 3 4" xfId="9928" xr:uid="{AF044976-787C-4EEB-BD86-1C7631F671A7}"/>
    <cellStyle name="Normal 9 2 2 4 4" xfId="1816" xr:uid="{00000000-0005-0000-0000-0000EF1E0000}"/>
    <cellStyle name="Normal 9 2 2 4 4 2" xfId="4046" xr:uid="{00000000-0005-0000-0000-0000F01E0000}"/>
    <cellStyle name="Normal 9 2 2 4 4 2 2" xfId="8269" xr:uid="{00000000-0005-0000-0000-0000F11E0000}"/>
    <cellStyle name="Normal 9 2 2 4 4 2 2 2" xfId="16704" xr:uid="{6A171835-8FDF-472D-B7EC-1266BB57713F}"/>
    <cellStyle name="Normal 9 2 2 4 4 2 3" xfId="12486" xr:uid="{E11FDAD6-60BA-4FF1-9CD8-C0B0F3742674}"/>
    <cellStyle name="Normal 9 2 2 4 4 3" xfId="6124" xr:uid="{00000000-0005-0000-0000-0000F21E0000}"/>
    <cellStyle name="Normal 9 2 2 4 4 3 2" xfId="14559" xr:uid="{31A974A1-0F52-4121-BDBA-097A5F5662E0}"/>
    <cellStyle name="Normal 9 2 2 4 4 4" xfId="10341" xr:uid="{AC186714-8746-4B44-9C05-C273C2024016}"/>
    <cellStyle name="Normal 9 2 2 4 5" xfId="2230" xr:uid="{00000000-0005-0000-0000-0000F31E0000}"/>
    <cellStyle name="Normal 9 2 2 4 5 2" xfId="4459" xr:uid="{00000000-0005-0000-0000-0000F41E0000}"/>
    <cellStyle name="Normal 9 2 2 4 5 2 2" xfId="8682" xr:uid="{00000000-0005-0000-0000-0000F51E0000}"/>
    <cellStyle name="Normal 9 2 2 4 5 2 2 2" xfId="17117" xr:uid="{25D23FDF-6043-40B1-BDBD-8E7D91706643}"/>
    <cellStyle name="Normal 9 2 2 4 5 2 3" xfId="12899" xr:uid="{1F16869C-AC86-4746-9625-BAFB0371B4C2}"/>
    <cellStyle name="Normal 9 2 2 4 5 3" xfId="6537" xr:uid="{00000000-0005-0000-0000-0000F61E0000}"/>
    <cellStyle name="Normal 9 2 2 4 5 3 2" xfId="14972" xr:uid="{F3E85B87-7C8C-43BF-8F83-9217325309E1}"/>
    <cellStyle name="Normal 9 2 2 4 5 4" xfId="10754" xr:uid="{F996A69C-08DF-40BD-9588-D20746CF9CDB}"/>
    <cellStyle name="Normal 9 2 2 4 6" xfId="2666" xr:uid="{00000000-0005-0000-0000-0000F71E0000}"/>
    <cellStyle name="Normal 9 2 2 4 6 2" xfId="6950" xr:uid="{00000000-0005-0000-0000-0000F81E0000}"/>
    <cellStyle name="Normal 9 2 2 4 6 2 2" xfId="15385" xr:uid="{2EE1AA35-844B-424D-AC9C-760122CF484E}"/>
    <cellStyle name="Normal 9 2 2 4 6 3" xfId="11167" xr:uid="{EDC411BC-AD9C-475F-BCDB-66B95CC1B8CC}"/>
    <cellStyle name="Normal 9 2 2 4 7" xfId="4885" xr:uid="{00000000-0005-0000-0000-0000F91E0000}"/>
    <cellStyle name="Normal 9 2 2 4 7 2" xfId="13320" xr:uid="{74A6707B-5EDC-4662-B540-C21DFCB879E5}"/>
    <cellStyle name="Normal 9 2 2 4 8" xfId="9102" xr:uid="{946D6757-50A5-483A-B647-4599E7A411F5}"/>
    <cellStyle name="Normal 9 2 2 5" xfId="980" xr:uid="{00000000-0005-0000-0000-0000FA1E0000}"/>
    <cellStyle name="Normal 9 2 2 5 2" xfId="3213" xr:uid="{00000000-0005-0000-0000-0000FB1E0000}"/>
    <cellStyle name="Normal 9 2 2 5 2 2" xfId="7436" xr:uid="{00000000-0005-0000-0000-0000FC1E0000}"/>
    <cellStyle name="Normal 9 2 2 5 2 2 2" xfId="15871" xr:uid="{105821E8-7756-4614-A9BC-EBE8798CCBCE}"/>
    <cellStyle name="Normal 9 2 2 5 2 3" xfId="11653" xr:uid="{C209F862-63B2-4E41-AE42-ED18C4E3574B}"/>
    <cellStyle name="Normal 9 2 2 5 3" xfId="5291" xr:uid="{00000000-0005-0000-0000-0000FD1E0000}"/>
    <cellStyle name="Normal 9 2 2 5 3 2" xfId="13726" xr:uid="{3E95F0F2-B637-49C5-9D87-39796F673332}"/>
    <cellStyle name="Normal 9 2 2 5 4" xfId="9508" xr:uid="{B6BF64E3-B4E0-4BF3-B55F-CDD5E2F97902}"/>
    <cellStyle name="Normal 9 2 2 6" xfId="1396" xr:uid="{00000000-0005-0000-0000-0000FE1E0000}"/>
    <cellStyle name="Normal 9 2 2 6 2" xfId="3626" xr:uid="{00000000-0005-0000-0000-0000FF1E0000}"/>
    <cellStyle name="Normal 9 2 2 6 2 2" xfId="7849" xr:uid="{00000000-0005-0000-0000-0000001F0000}"/>
    <cellStyle name="Normal 9 2 2 6 2 2 2" xfId="16284" xr:uid="{4524F1F2-0FC9-47E4-8A99-EDDA2C8E31F5}"/>
    <cellStyle name="Normal 9 2 2 6 2 3" xfId="12066" xr:uid="{E522DD49-487F-4BE2-A09B-C0107D8F5E4C}"/>
    <cellStyle name="Normal 9 2 2 6 3" xfId="5704" xr:uid="{00000000-0005-0000-0000-0000011F0000}"/>
    <cellStyle name="Normal 9 2 2 6 3 2" xfId="14139" xr:uid="{4442B363-3AB7-4008-B584-11E1D9F3B712}"/>
    <cellStyle name="Normal 9 2 2 6 4" xfId="9921" xr:uid="{23C7F29E-8B67-4747-8078-A5E7493EFA30}"/>
    <cellStyle name="Normal 9 2 2 7" xfId="1809" xr:uid="{00000000-0005-0000-0000-0000021F0000}"/>
    <cellStyle name="Normal 9 2 2 7 2" xfId="4039" xr:uid="{00000000-0005-0000-0000-0000031F0000}"/>
    <cellStyle name="Normal 9 2 2 7 2 2" xfId="8262" xr:uid="{00000000-0005-0000-0000-0000041F0000}"/>
    <cellStyle name="Normal 9 2 2 7 2 2 2" xfId="16697" xr:uid="{EF47896C-E195-4F07-BFF9-F5217FF84B31}"/>
    <cellStyle name="Normal 9 2 2 7 2 3" xfId="12479" xr:uid="{8BF32BF6-92BE-4998-B87B-2907D74FC539}"/>
    <cellStyle name="Normal 9 2 2 7 3" xfId="6117" xr:uid="{00000000-0005-0000-0000-0000051F0000}"/>
    <cellStyle name="Normal 9 2 2 7 3 2" xfId="14552" xr:uid="{9BD7E2F7-289A-43F1-9286-6E63B4D59589}"/>
    <cellStyle name="Normal 9 2 2 7 4" xfId="10334" xr:uid="{310BB446-221A-48EA-B150-ECD6ECF142D4}"/>
    <cellStyle name="Normal 9 2 2 8" xfId="2223" xr:uid="{00000000-0005-0000-0000-0000061F0000}"/>
    <cellStyle name="Normal 9 2 2 8 2" xfId="4452" xr:uid="{00000000-0005-0000-0000-0000071F0000}"/>
    <cellStyle name="Normal 9 2 2 8 2 2" xfId="8675" xr:uid="{00000000-0005-0000-0000-0000081F0000}"/>
    <cellStyle name="Normal 9 2 2 8 2 2 2" xfId="17110" xr:uid="{78A15610-E1CE-4780-92B1-8C1F0C2BF148}"/>
    <cellStyle name="Normal 9 2 2 8 2 3" xfId="12892" xr:uid="{C05524BF-375C-4C51-8AC3-72B7637FA9C3}"/>
    <cellStyle name="Normal 9 2 2 8 3" xfId="6530" xr:uid="{00000000-0005-0000-0000-0000091F0000}"/>
    <cellStyle name="Normal 9 2 2 8 3 2" xfId="14965" xr:uid="{8740A00A-765E-4422-AB08-7567A0CDB04E}"/>
    <cellStyle name="Normal 9 2 2 8 4" xfId="10747" xr:uid="{01D91E51-1A87-4493-A289-6948436E0980}"/>
    <cellStyle name="Normal 9 2 2 9" xfId="2659" xr:uid="{00000000-0005-0000-0000-00000A1F0000}"/>
    <cellStyle name="Normal 9 2 2 9 2" xfId="6943" xr:uid="{00000000-0005-0000-0000-00000B1F0000}"/>
    <cellStyle name="Normal 9 2 2 9 2 2" xfId="15378" xr:uid="{5DE21A2E-201C-4D9E-BF81-12C97E653C21}"/>
    <cellStyle name="Normal 9 2 2 9 3" xfId="11160" xr:uid="{0796B1BE-0643-4AF2-930C-5EFA562AA87E}"/>
    <cellStyle name="Normal 9 2 3" xfId="520" xr:uid="{00000000-0005-0000-0000-00000C1F0000}"/>
    <cellStyle name="Normal 9 2 3 10" xfId="9103" xr:uid="{75D5CC64-28CC-47AB-9A25-4838EFFA5C69}"/>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2 2 2" xfId="15881" xr:uid="{6FFC8D4D-DFD9-47A3-8780-3E9DEA4A7518}"/>
    <cellStyle name="Normal 9 2 3 2 2 2 2 3" xfId="11663" xr:uid="{492FB8E1-CF95-4BAA-AF9E-15615DF9BD4B}"/>
    <cellStyle name="Normal 9 2 3 2 2 2 3" xfId="5301" xr:uid="{00000000-0005-0000-0000-0000121F0000}"/>
    <cellStyle name="Normal 9 2 3 2 2 2 3 2" xfId="13736" xr:uid="{6326AFB0-9598-4EBF-BAB6-18B79607D7F4}"/>
    <cellStyle name="Normal 9 2 3 2 2 2 4" xfId="9518" xr:uid="{BD17968D-76EB-44F4-8F67-3B28BD143822}"/>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2 2 2" xfId="16294" xr:uid="{01695CE0-8E79-44AF-8B0D-B5E0301BE2E3}"/>
    <cellStyle name="Normal 9 2 3 2 2 3 2 3" xfId="12076" xr:uid="{979C5BCD-E691-451D-AC25-32D4EA506A25}"/>
    <cellStyle name="Normal 9 2 3 2 2 3 3" xfId="5714" xr:uid="{00000000-0005-0000-0000-0000161F0000}"/>
    <cellStyle name="Normal 9 2 3 2 2 3 3 2" xfId="14149" xr:uid="{0FC83C12-887A-4EE2-9C73-761F5AC5BFAF}"/>
    <cellStyle name="Normal 9 2 3 2 2 3 4" xfId="9931" xr:uid="{C106141D-6AF7-4B3D-86CA-C875913E6BC1}"/>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2 2 2" xfId="16707" xr:uid="{082002B7-26D9-4478-AD71-A5B6F07FE643}"/>
    <cellStyle name="Normal 9 2 3 2 2 4 2 3" xfId="12489" xr:uid="{D4DA327D-9FC0-43E2-BC44-840AFAA17593}"/>
    <cellStyle name="Normal 9 2 3 2 2 4 3" xfId="6127" xr:uid="{00000000-0005-0000-0000-00001A1F0000}"/>
    <cellStyle name="Normal 9 2 3 2 2 4 3 2" xfId="14562" xr:uid="{DD51B945-5A4A-4C8F-AD9C-7B1D84C71DAF}"/>
    <cellStyle name="Normal 9 2 3 2 2 4 4" xfId="10344" xr:uid="{656A87EC-B046-4F2A-8823-7BBAE1781E01}"/>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2 2 2" xfId="17120" xr:uid="{8B373A2D-EA8A-468B-9E48-264D9E0A474A}"/>
    <cellStyle name="Normal 9 2 3 2 2 5 2 3" xfId="12902" xr:uid="{0DFAE1F9-3B4E-4580-894C-6CD9B3053D78}"/>
    <cellStyle name="Normal 9 2 3 2 2 5 3" xfId="6540" xr:uid="{00000000-0005-0000-0000-00001E1F0000}"/>
    <cellStyle name="Normal 9 2 3 2 2 5 3 2" xfId="14975" xr:uid="{B2650CCE-EABD-4BF2-B18B-4ED243FB5C85}"/>
    <cellStyle name="Normal 9 2 3 2 2 5 4" xfId="10757" xr:uid="{F913D9AC-3283-437E-A74B-0FEF44488A74}"/>
    <cellStyle name="Normal 9 2 3 2 2 6" xfId="2669" xr:uid="{00000000-0005-0000-0000-00001F1F0000}"/>
    <cellStyle name="Normal 9 2 3 2 2 6 2" xfId="6953" xr:uid="{00000000-0005-0000-0000-0000201F0000}"/>
    <cellStyle name="Normal 9 2 3 2 2 6 2 2" xfId="15388" xr:uid="{4BFD9358-5D94-46FF-9404-FA747D796B72}"/>
    <cellStyle name="Normal 9 2 3 2 2 6 3" xfId="11170" xr:uid="{D6463249-9C1A-4C34-86B6-B59317542A7D}"/>
    <cellStyle name="Normal 9 2 3 2 2 7" xfId="4888" xr:uid="{00000000-0005-0000-0000-0000211F0000}"/>
    <cellStyle name="Normal 9 2 3 2 2 7 2" xfId="13323" xr:uid="{B686A754-CC7B-48DC-83E4-94A1C83E2BE4}"/>
    <cellStyle name="Normal 9 2 3 2 2 8" xfId="9105" xr:uid="{8FC7C26D-CD2E-488D-9A63-1EB4BDB156B4}"/>
    <cellStyle name="Normal 9 2 3 2 3" xfId="989" xr:uid="{00000000-0005-0000-0000-0000221F0000}"/>
    <cellStyle name="Normal 9 2 3 2 3 2" xfId="3222" xr:uid="{00000000-0005-0000-0000-0000231F0000}"/>
    <cellStyle name="Normal 9 2 3 2 3 2 2" xfId="7445" xr:uid="{00000000-0005-0000-0000-0000241F0000}"/>
    <cellStyle name="Normal 9 2 3 2 3 2 2 2" xfId="15880" xr:uid="{9B3EB377-8FB3-41BE-A93A-AA3C2431C208}"/>
    <cellStyle name="Normal 9 2 3 2 3 2 3" xfId="11662" xr:uid="{A8781EEB-D65D-4127-9EA7-84344E67E556}"/>
    <cellStyle name="Normal 9 2 3 2 3 3" xfId="5300" xr:uid="{00000000-0005-0000-0000-0000251F0000}"/>
    <cellStyle name="Normal 9 2 3 2 3 3 2" xfId="13735" xr:uid="{F80B53A1-206D-4D0C-A874-005EA7AAF8C5}"/>
    <cellStyle name="Normal 9 2 3 2 3 4" xfId="9517" xr:uid="{90F5F747-C9D4-44BE-BE2D-8A11DA21E252}"/>
    <cellStyle name="Normal 9 2 3 2 4" xfId="1405" xr:uid="{00000000-0005-0000-0000-0000261F0000}"/>
    <cellStyle name="Normal 9 2 3 2 4 2" xfId="3635" xr:uid="{00000000-0005-0000-0000-0000271F0000}"/>
    <cellStyle name="Normal 9 2 3 2 4 2 2" xfId="7858" xr:uid="{00000000-0005-0000-0000-0000281F0000}"/>
    <cellStyle name="Normal 9 2 3 2 4 2 2 2" xfId="16293" xr:uid="{D1A955DC-D072-4708-89DE-3C9C7719E7FE}"/>
    <cellStyle name="Normal 9 2 3 2 4 2 3" xfId="12075" xr:uid="{44C52D06-23AD-4105-A959-5FC6950F7459}"/>
    <cellStyle name="Normal 9 2 3 2 4 3" xfId="5713" xr:uid="{00000000-0005-0000-0000-0000291F0000}"/>
    <cellStyle name="Normal 9 2 3 2 4 3 2" xfId="14148" xr:uid="{56FB2478-9886-49DE-ACC9-8EAC8100DD67}"/>
    <cellStyle name="Normal 9 2 3 2 4 4" xfId="9930" xr:uid="{0E249689-2950-4368-8BBC-8F53579C9306}"/>
    <cellStyle name="Normal 9 2 3 2 5" xfId="1818" xr:uid="{00000000-0005-0000-0000-00002A1F0000}"/>
    <cellStyle name="Normal 9 2 3 2 5 2" xfId="4048" xr:uid="{00000000-0005-0000-0000-00002B1F0000}"/>
    <cellStyle name="Normal 9 2 3 2 5 2 2" xfId="8271" xr:uid="{00000000-0005-0000-0000-00002C1F0000}"/>
    <cellStyle name="Normal 9 2 3 2 5 2 2 2" xfId="16706" xr:uid="{864D2C09-EAC9-4B7B-9C23-6DD3BC67A5AF}"/>
    <cellStyle name="Normal 9 2 3 2 5 2 3" xfId="12488" xr:uid="{4648F40D-5E07-4AC5-B23D-2613FB61B562}"/>
    <cellStyle name="Normal 9 2 3 2 5 3" xfId="6126" xr:uid="{00000000-0005-0000-0000-00002D1F0000}"/>
    <cellStyle name="Normal 9 2 3 2 5 3 2" xfId="14561" xr:uid="{6C98B28F-759F-4982-B73F-5998E34DAE64}"/>
    <cellStyle name="Normal 9 2 3 2 5 4" xfId="10343" xr:uid="{AAAC34CD-22ED-4287-BB5E-2A8909023614}"/>
    <cellStyle name="Normal 9 2 3 2 6" xfId="2232" xr:uid="{00000000-0005-0000-0000-00002E1F0000}"/>
    <cellStyle name="Normal 9 2 3 2 6 2" xfId="4461" xr:uid="{00000000-0005-0000-0000-00002F1F0000}"/>
    <cellStyle name="Normal 9 2 3 2 6 2 2" xfId="8684" xr:uid="{00000000-0005-0000-0000-0000301F0000}"/>
    <cellStyle name="Normal 9 2 3 2 6 2 2 2" xfId="17119" xr:uid="{FF5BCDD1-574D-47CB-8222-B13C259476CC}"/>
    <cellStyle name="Normal 9 2 3 2 6 2 3" xfId="12901" xr:uid="{F2BC6E00-469A-4F94-8BB8-B14561C1E636}"/>
    <cellStyle name="Normal 9 2 3 2 6 3" xfId="6539" xr:uid="{00000000-0005-0000-0000-0000311F0000}"/>
    <cellStyle name="Normal 9 2 3 2 6 3 2" xfId="14974" xr:uid="{B22C3A28-A371-4F43-A98E-5EF376D5C620}"/>
    <cellStyle name="Normal 9 2 3 2 6 4" xfId="10756" xr:uid="{57C82647-111D-4E57-A100-962A83CB5573}"/>
    <cellStyle name="Normal 9 2 3 2 7" xfId="2668" xr:uid="{00000000-0005-0000-0000-0000321F0000}"/>
    <cellStyle name="Normal 9 2 3 2 7 2" xfId="6952" xr:uid="{00000000-0005-0000-0000-0000331F0000}"/>
    <cellStyle name="Normal 9 2 3 2 7 2 2" xfId="15387" xr:uid="{AB113A5F-8959-42C8-BD89-857273D66C50}"/>
    <cellStyle name="Normal 9 2 3 2 7 3" xfId="11169" xr:uid="{96177826-7F68-468B-A9FC-A97722FD8D69}"/>
    <cellStyle name="Normal 9 2 3 2 8" xfId="4887" xr:uid="{00000000-0005-0000-0000-0000341F0000}"/>
    <cellStyle name="Normal 9 2 3 2 8 2" xfId="13322" xr:uid="{4A8B4771-A9E6-4EC8-B0D6-7699FB80CFE4}"/>
    <cellStyle name="Normal 9 2 3 2 9" xfId="9104" xr:uid="{9B02AF61-D926-4374-8CA5-915E09E2A4F1}"/>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2 2 2" xfId="15882" xr:uid="{547D42BA-B04F-42EC-9195-0888DEDD3286}"/>
    <cellStyle name="Normal 9 2 3 3 2 2 3" xfId="11664" xr:uid="{87E289FD-FAC7-4523-8BD1-7EAAF33576B6}"/>
    <cellStyle name="Normal 9 2 3 3 2 3" xfId="5302" xr:uid="{00000000-0005-0000-0000-0000391F0000}"/>
    <cellStyle name="Normal 9 2 3 3 2 3 2" xfId="13737" xr:uid="{7FCA9B5D-DB4A-4828-9BB4-75FEBE2B346C}"/>
    <cellStyle name="Normal 9 2 3 3 2 4" xfId="9519" xr:uid="{3858DDC6-52FD-45AA-B930-C6E6E24188D7}"/>
    <cellStyle name="Normal 9 2 3 3 3" xfId="1407" xr:uid="{00000000-0005-0000-0000-00003A1F0000}"/>
    <cellStyle name="Normal 9 2 3 3 3 2" xfId="3637" xr:uid="{00000000-0005-0000-0000-00003B1F0000}"/>
    <cellStyle name="Normal 9 2 3 3 3 2 2" xfId="7860" xr:uid="{00000000-0005-0000-0000-00003C1F0000}"/>
    <cellStyle name="Normal 9 2 3 3 3 2 2 2" xfId="16295" xr:uid="{ACCEFE1F-9698-4989-8943-6D693F381510}"/>
    <cellStyle name="Normal 9 2 3 3 3 2 3" xfId="12077" xr:uid="{4293ACF7-21E3-4654-A30E-706445801A2A}"/>
    <cellStyle name="Normal 9 2 3 3 3 3" xfId="5715" xr:uid="{00000000-0005-0000-0000-00003D1F0000}"/>
    <cellStyle name="Normal 9 2 3 3 3 3 2" xfId="14150" xr:uid="{1669A40B-9BB4-4B88-8ACC-EE7336E8B93B}"/>
    <cellStyle name="Normal 9 2 3 3 3 4" xfId="9932" xr:uid="{050FD032-8ADC-41B7-A50F-3D7E56D214C3}"/>
    <cellStyle name="Normal 9 2 3 3 4" xfId="1820" xr:uid="{00000000-0005-0000-0000-00003E1F0000}"/>
    <cellStyle name="Normal 9 2 3 3 4 2" xfId="4050" xr:uid="{00000000-0005-0000-0000-00003F1F0000}"/>
    <cellStyle name="Normal 9 2 3 3 4 2 2" xfId="8273" xr:uid="{00000000-0005-0000-0000-0000401F0000}"/>
    <cellStyle name="Normal 9 2 3 3 4 2 2 2" xfId="16708" xr:uid="{00F7C7E6-9B4D-4883-ADA7-D77E6CF81CBB}"/>
    <cellStyle name="Normal 9 2 3 3 4 2 3" xfId="12490" xr:uid="{9D212052-FF12-4A52-9924-B5CE18131313}"/>
    <cellStyle name="Normal 9 2 3 3 4 3" xfId="6128" xr:uid="{00000000-0005-0000-0000-0000411F0000}"/>
    <cellStyle name="Normal 9 2 3 3 4 3 2" xfId="14563" xr:uid="{6A033D4B-979A-429F-85BC-85EEE52C8ED0}"/>
    <cellStyle name="Normal 9 2 3 3 4 4" xfId="10345" xr:uid="{1B230096-DB4A-4D37-B050-4DE1945C4E3A}"/>
    <cellStyle name="Normal 9 2 3 3 5" xfId="2234" xr:uid="{00000000-0005-0000-0000-0000421F0000}"/>
    <cellStyle name="Normal 9 2 3 3 5 2" xfId="4463" xr:uid="{00000000-0005-0000-0000-0000431F0000}"/>
    <cellStyle name="Normal 9 2 3 3 5 2 2" xfId="8686" xr:uid="{00000000-0005-0000-0000-0000441F0000}"/>
    <cellStyle name="Normal 9 2 3 3 5 2 2 2" xfId="17121" xr:uid="{4DCA20D0-3A43-464D-8A3A-81D97F3452FE}"/>
    <cellStyle name="Normal 9 2 3 3 5 2 3" xfId="12903" xr:uid="{FA932CA7-77C0-4689-B1EA-33317B8C8918}"/>
    <cellStyle name="Normal 9 2 3 3 5 3" xfId="6541" xr:uid="{00000000-0005-0000-0000-0000451F0000}"/>
    <cellStyle name="Normal 9 2 3 3 5 3 2" xfId="14976" xr:uid="{34A825FA-7009-422B-9E8C-D0B3DE69A04D}"/>
    <cellStyle name="Normal 9 2 3 3 5 4" xfId="10758" xr:uid="{5CF304DA-E3C6-471D-9CE7-C27F11B512C5}"/>
    <cellStyle name="Normal 9 2 3 3 6" xfId="2670" xr:uid="{00000000-0005-0000-0000-0000461F0000}"/>
    <cellStyle name="Normal 9 2 3 3 6 2" xfId="6954" xr:uid="{00000000-0005-0000-0000-0000471F0000}"/>
    <cellStyle name="Normal 9 2 3 3 6 2 2" xfId="15389" xr:uid="{376596A5-86D6-4BA2-8CF0-C8E1292FC2BD}"/>
    <cellStyle name="Normal 9 2 3 3 6 3" xfId="11171" xr:uid="{2452CB29-34CA-468F-872D-DA2249B5DCC4}"/>
    <cellStyle name="Normal 9 2 3 3 7" xfId="4889" xr:uid="{00000000-0005-0000-0000-0000481F0000}"/>
    <cellStyle name="Normal 9 2 3 3 7 2" xfId="13324" xr:uid="{8EBE6CDC-9415-4C27-A190-0D9DF6DE648D}"/>
    <cellStyle name="Normal 9 2 3 3 8" xfId="9106" xr:uid="{613470FB-384F-4310-980C-47AB6442557E}"/>
    <cellStyle name="Normal 9 2 3 4" xfId="988" xr:uid="{00000000-0005-0000-0000-0000491F0000}"/>
    <cellStyle name="Normal 9 2 3 4 2" xfId="3221" xr:uid="{00000000-0005-0000-0000-00004A1F0000}"/>
    <cellStyle name="Normal 9 2 3 4 2 2" xfId="7444" xr:uid="{00000000-0005-0000-0000-00004B1F0000}"/>
    <cellStyle name="Normal 9 2 3 4 2 2 2" xfId="15879" xr:uid="{7E82B10A-08DB-494E-8A75-A21AE2070293}"/>
    <cellStyle name="Normal 9 2 3 4 2 3" xfId="11661" xr:uid="{6401DC67-F1E9-4A1D-836C-4ECFE4874A5D}"/>
    <cellStyle name="Normal 9 2 3 4 3" xfId="5299" xr:uid="{00000000-0005-0000-0000-00004C1F0000}"/>
    <cellStyle name="Normal 9 2 3 4 3 2" xfId="13734" xr:uid="{AA89AB05-FEA8-4E01-B926-6BB8DEE7D780}"/>
    <cellStyle name="Normal 9 2 3 4 4" xfId="9516" xr:uid="{450878E4-0535-4037-A64E-5C2850CE66FD}"/>
    <cellStyle name="Normal 9 2 3 5" xfId="1404" xr:uid="{00000000-0005-0000-0000-00004D1F0000}"/>
    <cellStyle name="Normal 9 2 3 5 2" xfId="3634" xr:uid="{00000000-0005-0000-0000-00004E1F0000}"/>
    <cellStyle name="Normal 9 2 3 5 2 2" xfId="7857" xr:uid="{00000000-0005-0000-0000-00004F1F0000}"/>
    <cellStyle name="Normal 9 2 3 5 2 2 2" xfId="16292" xr:uid="{A576CD23-45B1-46B0-9BD7-FD2E78BDCA97}"/>
    <cellStyle name="Normal 9 2 3 5 2 3" xfId="12074" xr:uid="{94B6E2E3-66B1-4DBA-BECE-E7038B42DA6E}"/>
    <cellStyle name="Normal 9 2 3 5 3" xfId="5712" xr:uid="{00000000-0005-0000-0000-0000501F0000}"/>
    <cellStyle name="Normal 9 2 3 5 3 2" xfId="14147" xr:uid="{D2F3D525-0389-4A57-BD99-8C8B6BEC0759}"/>
    <cellStyle name="Normal 9 2 3 5 4" xfId="9929" xr:uid="{13557D49-B73A-43A7-8D44-5F0C0CACA0D8}"/>
    <cellStyle name="Normal 9 2 3 6" xfId="1817" xr:uid="{00000000-0005-0000-0000-0000511F0000}"/>
    <cellStyle name="Normal 9 2 3 6 2" xfId="4047" xr:uid="{00000000-0005-0000-0000-0000521F0000}"/>
    <cellStyle name="Normal 9 2 3 6 2 2" xfId="8270" xr:uid="{00000000-0005-0000-0000-0000531F0000}"/>
    <cellStyle name="Normal 9 2 3 6 2 2 2" xfId="16705" xr:uid="{EFBE0B8B-1E2E-4CC7-871A-F2C15E409B5D}"/>
    <cellStyle name="Normal 9 2 3 6 2 3" xfId="12487" xr:uid="{DD900D27-E8FF-403A-936B-32891F090519}"/>
    <cellStyle name="Normal 9 2 3 6 3" xfId="6125" xr:uid="{00000000-0005-0000-0000-0000541F0000}"/>
    <cellStyle name="Normal 9 2 3 6 3 2" xfId="14560" xr:uid="{449604A5-E306-4812-A245-7F05FA29D5CF}"/>
    <cellStyle name="Normal 9 2 3 6 4" xfId="10342" xr:uid="{49E66628-71C0-4B7E-917B-476659AFC3FF}"/>
    <cellStyle name="Normal 9 2 3 7" xfId="2231" xr:uid="{00000000-0005-0000-0000-0000551F0000}"/>
    <cellStyle name="Normal 9 2 3 7 2" xfId="4460" xr:uid="{00000000-0005-0000-0000-0000561F0000}"/>
    <cellStyle name="Normal 9 2 3 7 2 2" xfId="8683" xr:uid="{00000000-0005-0000-0000-0000571F0000}"/>
    <cellStyle name="Normal 9 2 3 7 2 2 2" xfId="17118" xr:uid="{5FC036E0-9EB8-4C8F-A47C-5A97B86DC82D}"/>
    <cellStyle name="Normal 9 2 3 7 2 3" xfId="12900" xr:uid="{E81CCFDD-3F37-4AF5-8DEA-91E9AFC970C1}"/>
    <cellStyle name="Normal 9 2 3 7 3" xfId="6538" xr:uid="{00000000-0005-0000-0000-0000581F0000}"/>
    <cellStyle name="Normal 9 2 3 7 3 2" xfId="14973" xr:uid="{252DCC75-D1D9-42C2-AAE7-DCE13233F899}"/>
    <cellStyle name="Normal 9 2 3 7 4" xfId="10755" xr:uid="{A7B8BA2C-24BE-4732-A8C9-1469F7C8F15E}"/>
    <cellStyle name="Normal 9 2 3 8" xfId="2667" xr:uid="{00000000-0005-0000-0000-0000591F0000}"/>
    <cellStyle name="Normal 9 2 3 8 2" xfId="6951" xr:uid="{00000000-0005-0000-0000-00005A1F0000}"/>
    <cellStyle name="Normal 9 2 3 8 2 2" xfId="15386" xr:uid="{8A763728-3009-4DE2-A685-FB29FB09CBAF}"/>
    <cellStyle name="Normal 9 2 3 8 3" xfId="11168" xr:uid="{0A2AECAA-478B-4857-AA63-37B1DF495C20}"/>
    <cellStyle name="Normal 9 2 3 9" xfId="4886" xr:uid="{00000000-0005-0000-0000-00005B1F0000}"/>
    <cellStyle name="Normal 9 2 3 9 2" xfId="13321" xr:uid="{AA1664AB-660D-4872-AD76-51588C4295A3}"/>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2 2 2" xfId="15884" xr:uid="{6DBD4E75-F8ED-458E-A997-2F01EFDA49CE}"/>
    <cellStyle name="Normal 9 2 4 2 2 2 3" xfId="11666" xr:uid="{935DA303-4072-446F-9DE1-818680E5866F}"/>
    <cellStyle name="Normal 9 2 4 2 2 3" xfId="5304" xr:uid="{00000000-0005-0000-0000-0000611F0000}"/>
    <cellStyle name="Normal 9 2 4 2 2 3 2" xfId="13739" xr:uid="{0820118F-645E-427B-B377-51DADF226A9D}"/>
    <cellStyle name="Normal 9 2 4 2 2 4" xfId="9521" xr:uid="{D2B22FC3-C391-471E-B1E5-6C99E8D622ED}"/>
    <cellStyle name="Normal 9 2 4 2 3" xfId="1409" xr:uid="{00000000-0005-0000-0000-0000621F0000}"/>
    <cellStyle name="Normal 9 2 4 2 3 2" xfId="3639" xr:uid="{00000000-0005-0000-0000-0000631F0000}"/>
    <cellStyle name="Normal 9 2 4 2 3 2 2" xfId="7862" xr:uid="{00000000-0005-0000-0000-0000641F0000}"/>
    <cellStyle name="Normal 9 2 4 2 3 2 2 2" xfId="16297" xr:uid="{65645542-0850-4719-975E-1D9D14540078}"/>
    <cellStyle name="Normal 9 2 4 2 3 2 3" xfId="12079" xr:uid="{A358EFD5-15DF-43FD-95A8-EE41B5150025}"/>
    <cellStyle name="Normal 9 2 4 2 3 3" xfId="5717" xr:uid="{00000000-0005-0000-0000-0000651F0000}"/>
    <cellStyle name="Normal 9 2 4 2 3 3 2" xfId="14152" xr:uid="{A96997F7-7022-45C7-8A7D-27CC53399C16}"/>
    <cellStyle name="Normal 9 2 4 2 3 4" xfId="9934" xr:uid="{F734AEC2-69D0-443A-8C63-3C1C82F17860}"/>
    <cellStyle name="Normal 9 2 4 2 4" xfId="1822" xr:uid="{00000000-0005-0000-0000-0000661F0000}"/>
    <cellStyle name="Normal 9 2 4 2 4 2" xfId="4052" xr:uid="{00000000-0005-0000-0000-0000671F0000}"/>
    <cellStyle name="Normal 9 2 4 2 4 2 2" xfId="8275" xr:uid="{00000000-0005-0000-0000-0000681F0000}"/>
    <cellStyle name="Normal 9 2 4 2 4 2 2 2" xfId="16710" xr:uid="{7C88BF8F-FB1C-4222-9803-0A75B5083AAA}"/>
    <cellStyle name="Normal 9 2 4 2 4 2 3" xfId="12492" xr:uid="{5965A7B7-2B03-4CC0-9420-014157EDC012}"/>
    <cellStyle name="Normal 9 2 4 2 4 3" xfId="6130" xr:uid="{00000000-0005-0000-0000-0000691F0000}"/>
    <cellStyle name="Normal 9 2 4 2 4 3 2" xfId="14565" xr:uid="{3E4C513A-A5F3-40E7-8823-0900D9D8FAE0}"/>
    <cellStyle name="Normal 9 2 4 2 4 4" xfId="10347" xr:uid="{8641AE96-085E-407E-A809-CCCF57B0DE6F}"/>
    <cellStyle name="Normal 9 2 4 2 5" xfId="2236" xr:uid="{00000000-0005-0000-0000-00006A1F0000}"/>
    <cellStyle name="Normal 9 2 4 2 5 2" xfId="4465" xr:uid="{00000000-0005-0000-0000-00006B1F0000}"/>
    <cellStyle name="Normal 9 2 4 2 5 2 2" xfId="8688" xr:uid="{00000000-0005-0000-0000-00006C1F0000}"/>
    <cellStyle name="Normal 9 2 4 2 5 2 2 2" xfId="17123" xr:uid="{34F17002-780F-4AA4-967E-00CF4344E15A}"/>
    <cellStyle name="Normal 9 2 4 2 5 2 3" xfId="12905" xr:uid="{766CD15E-6581-4BCB-A32A-22DCAF15FFB8}"/>
    <cellStyle name="Normal 9 2 4 2 5 3" xfId="6543" xr:uid="{00000000-0005-0000-0000-00006D1F0000}"/>
    <cellStyle name="Normal 9 2 4 2 5 3 2" xfId="14978" xr:uid="{F1FAD865-51E9-44F6-A7FC-3C736B330490}"/>
    <cellStyle name="Normal 9 2 4 2 5 4" xfId="10760" xr:uid="{70918395-4A76-4BC0-B19F-402C43408CF9}"/>
    <cellStyle name="Normal 9 2 4 2 6" xfId="2672" xr:uid="{00000000-0005-0000-0000-00006E1F0000}"/>
    <cellStyle name="Normal 9 2 4 2 6 2" xfId="6956" xr:uid="{00000000-0005-0000-0000-00006F1F0000}"/>
    <cellStyle name="Normal 9 2 4 2 6 2 2" xfId="15391" xr:uid="{1EDB9B63-8F36-43A1-9C7F-BC0C3FAAC014}"/>
    <cellStyle name="Normal 9 2 4 2 6 3" xfId="11173" xr:uid="{BF7AB124-558B-47D9-8E1F-E88AAF8E956A}"/>
    <cellStyle name="Normal 9 2 4 2 7" xfId="4891" xr:uid="{00000000-0005-0000-0000-0000701F0000}"/>
    <cellStyle name="Normal 9 2 4 2 7 2" xfId="13326" xr:uid="{8045D898-262A-483A-91BD-1BAE9CABA7E9}"/>
    <cellStyle name="Normal 9 2 4 2 8" xfId="9108" xr:uid="{029BBD44-7FF7-4F91-9ECE-2ACA37DAC659}"/>
    <cellStyle name="Normal 9 2 4 3" xfId="992" xr:uid="{00000000-0005-0000-0000-0000711F0000}"/>
    <cellStyle name="Normal 9 2 4 3 2" xfId="3225" xr:uid="{00000000-0005-0000-0000-0000721F0000}"/>
    <cellStyle name="Normal 9 2 4 3 2 2" xfId="7448" xr:uid="{00000000-0005-0000-0000-0000731F0000}"/>
    <cellStyle name="Normal 9 2 4 3 2 2 2" xfId="15883" xr:uid="{A28D471C-FA80-4EAF-88DF-A62739A8F710}"/>
    <cellStyle name="Normal 9 2 4 3 2 3" xfId="11665" xr:uid="{E9FF4E28-CE7F-45B4-9A35-D8CEEF747282}"/>
    <cellStyle name="Normal 9 2 4 3 3" xfId="5303" xr:uid="{00000000-0005-0000-0000-0000741F0000}"/>
    <cellStyle name="Normal 9 2 4 3 3 2" xfId="13738" xr:uid="{11D76666-8E67-4A4C-A03C-EF3257372469}"/>
    <cellStyle name="Normal 9 2 4 3 4" xfId="9520" xr:uid="{05015302-06F4-45AA-B0F7-24ABBCD0C914}"/>
    <cellStyle name="Normal 9 2 4 4" xfId="1408" xr:uid="{00000000-0005-0000-0000-0000751F0000}"/>
    <cellStyle name="Normal 9 2 4 4 2" xfId="3638" xr:uid="{00000000-0005-0000-0000-0000761F0000}"/>
    <cellStyle name="Normal 9 2 4 4 2 2" xfId="7861" xr:uid="{00000000-0005-0000-0000-0000771F0000}"/>
    <cellStyle name="Normal 9 2 4 4 2 2 2" xfId="16296" xr:uid="{2F2EC7A8-DB5D-4C8A-9448-153E889A68CD}"/>
    <cellStyle name="Normal 9 2 4 4 2 3" xfId="12078" xr:uid="{AFCAB232-D1C6-47CB-BE4C-D50FD4D7C353}"/>
    <cellStyle name="Normal 9 2 4 4 3" xfId="5716" xr:uid="{00000000-0005-0000-0000-0000781F0000}"/>
    <cellStyle name="Normal 9 2 4 4 3 2" xfId="14151" xr:uid="{5F026B08-FF95-4F68-9266-5D0E04DB17B8}"/>
    <cellStyle name="Normal 9 2 4 4 4" xfId="9933" xr:uid="{ECC8FBE7-1430-49A5-A107-F80DDDAFB740}"/>
    <cellStyle name="Normal 9 2 4 5" xfId="1821" xr:uid="{00000000-0005-0000-0000-0000791F0000}"/>
    <cellStyle name="Normal 9 2 4 5 2" xfId="4051" xr:uid="{00000000-0005-0000-0000-00007A1F0000}"/>
    <cellStyle name="Normal 9 2 4 5 2 2" xfId="8274" xr:uid="{00000000-0005-0000-0000-00007B1F0000}"/>
    <cellStyle name="Normal 9 2 4 5 2 2 2" xfId="16709" xr:uid="{6D8BE375-454C-45FF-B08E-84FBF91B021C}"/>
    <cellStyle name="Normal 9 2 4 5 2 3" xfId="12491" xr:uid="{5CA07506-7969-4A07-963A-925514B53C45}"/>
    <cellStyle name="Normal 9 2 4 5 3" xfId="6129" xr:uid="{00000000-0005-0000-0000-00007C1F0000}"/>
    <cellStyle name="Normal 9 2 4 5 3 2" xfId="14564" xr:uid="{AE2164EE-1904-44DA-BEF2-4620134C2939}"/>
    <cellStyle name="Normal 9 2 4 5 4" xfId="10346" xr:uid="{A23C94FE-A2FA-4FC2-8949-701FDBCE254C}"/>
    <cellStyle name="Normal 9 2 4 6" xfId="2235" xr:uid="{00000000-0005-0000-0000-00007D1F0000}"/>
    <cellStyle name="Normal 9 2 4 6 2" xfId="4464" xr:uid="{00000000-0005-0000-0000-00007E1F0000}"/>
    <cellStyle name="Normal 9 2 4 6 2 2" xfId="8687" xr:uid="{00000000-0005-0000-0000-00007F1F0000}"/>
    <cellStyle name="Normal 9 2 4 6 2 2 2" xfId="17122" xr:uid="{E2D2C14D-090C-43C9-9388-9F98D676D067}"/>
    <cellStyle name="Normal 9 2 4 6 2 3" xfId="12904" xr:uid="{EFD3BF83-4A76-41E4-BF9F-5C57B05529B0}"/>
    <cellStyle name="Normal 9 2 4 6 3" xfId="6542" xr:uid="{00000000-0005-0000-0000-0000801F0000}"/>
    <cellStyle name="Normal 9 2 4 6 3 2" xfId="14977" xr:uid="{26670DCD-BC54-4B50-BB8D-69A4340F7432}"/>
    <cellStyle name="Normal 9 2 4 6 4" xfId="10759" xr:uid="{8B0891E4-EE21-482A-BDF3-D98C1520F5D9}"/>
    <cellStyle name="Normal 9 2 4 7" xfId="2671" xr:uid="{00000000-0005-0000-0000-0000811F0000}"/>
    <cellStyle name="Normal 9 2 4 7 2" xfId="6955" xr:uid="{00000000-0005-0000-0000-0000821F0000}"/>
    <cellStyle name="Normal 9 2 4 7 2 2" xfId="15390" xr:uid="{5052AD92-FA30-480E-9F67-F5E6D4E5E306}"/>
    <cellStyle name="Normal 9 2 4 7 3" xfId="11172" xr:uid="{EA3C4A24-6D71-45E7-B516-1B9BB66C8D66}"/>
    <cellStyle name="Normal 9 2 4 8" xfId="4890" xr:uid="{00000000-0005-0000-0000-0000831F0000}"/>
    <cellStyle name="Normal 9 2 4 8 2" xfId="13325" xr:uid="{CDACD203-65A0-405D-ADDE-AF451888126E}"/>
    <cellStyle name="Normal 9 2 4 9" xfId="9107" xr:uid="{CD7FBC6E-8149-4C73-AAA9-B966A313CA5A}"/>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2 2 2" xfId="15885" xr:uid="{E964CB3B-2FFD-4F67-978C-610E439331D0}"/>
    <cellStyle name="Normal 9 2 5 2 2 3" xfId="11667" xr:uid="{52D8E166-6C5B-430D-AB3B-217DAD7C5883}"/>
    <cellStyle name="Normal 9 2 5 2 3" xfId="5305" xr:uid="{00000000-0005-0000-0000-0000881F0000}"/>
    <cellStyle name="Normal 9 2 5 2 3 2" xfId="13740" xr:uid="{1496C1E7-34A3-46D7-AF7C-364A02BC3157}"/>
    <cellStyle name="Normal 9 2 5 2 4" xfId="9522" xr:uid="{A4D5EA06-0F5C-438C-A9BA-EF3DC2E1F863}"/>
    <cellStyle name="Normal 9 2 5 3" xfId="1410" xr:uid="{00000000-0005-0000-0000-0000891F0000}"/>
    <cellStyle name="Normal 9 2 5 3 2" xfId="3640" xr:uid="{00000000-0005-0000-0000-00008A1F0000}"/>
    <cellStyle name="Normal 9 2 5 3 2 2" xfId="7863" xr:uid="{00000000-0005-0000-0000-00008B1F0000}"/>
    <cellStyle name="Normal 9 2 5 3 2 2 2" xfId="16298" xr:uid="{2D881D2D-D49D-485F-884A-E488B29CC99A}"/>
    <cellStyle name="Normal 9 2 5 3 2 3" xfId="12080" xr:uid="{9A477CBE-6EF2-470C-8803-9F598D6515D7}"/>
    <cellStyle name="Normal 9 2 5 3 3" xfId="5718" xr:uid="{00000000-0005-0000-0000-00008C1F0000}"/>
    <cellStyle name="Normal 9 2 5 3 3 2" xfId="14153" xr:uid="{25B265BE-2A7D-4E97-8782-DA5E5A59DEBC}"/>
    <cellStyle name="Normal 9 2 5 3 4" xfId="9935" xr:uid="{89F94C94-A2D2-4B34-B5C2-89BFEB05AFD5}"/>
    <cellStyle name="Normal 9 2 5 4" xfId="1823" xr:uid="{00000000-0005-0000-0000-00008D1F0000}"/>
    <cellStyle name="Normal 9 2 5 4 2" xfId="4053" xr:uid="{00000000-0005-0000-0000-00008E1F0000}"/>
    <cellStyle name="Normal 9 2 5 4 2 2" xfId="8276" xr:uid="{00000000-0005-0000-0000-00008F1F0000}"/>
    <cellStyle name="Normal 9 2 5 4 2 2 2" xfId="16711" xr:uid="{D177E757-5F8C-4599-BB34-AEE1389793A3}"/>
    <cellStyle name="Normal 9 2 5 4 2 3" xfId="12493" xr:uid="{AA5F99A2-16A3-444E-ADF5-3DFA8D7974D8}"/>
    <cellStyle name="Normal 9 2 5 4 3" xfId="6131" xr:uid="{00000000-0005-0000-0000-0000901F0000}"/>
    <cellStyle name="Normal 9 2 5 4 3 2" xfId="14566" xr:uid="{824C75F8-0B1B-4CD0-870D-A472CFE0D0EE}"/>
    <cellStyle name="Normal 9 2 5 4 4" xfId="10348" xr:uid="{1501D7F4-6592-473A-B643-CECCAF97CED1}"/>
    <cellStyle name="Normal 9 2 5 5" xfId="2237" xr:uid="{00000000-0005-0000-0000-0000911F0000}"/>
    <cellStyle name="Normal 9 2 5 5 2" xfId="4466" xr:uid="{00000000-0005-0000-0000-0000921F0000}"/>
    <cellStyle name="Normal 9 2 5 5 2 2" xfId="8689" xr:uid="{00000000-0005-0000-0000-0000931F0000}"/>
    <cellStyle name="Normal 9 2 5 5 2 2 2" xfId="17124" xr:uid="{709DFCC7-1692-463F-99D3-04F16FA76326}"/>
    <cellStyle name="Normal 9 2 5 5 2 3" xfId="12906" xr:uid="{7DD4B254-3D47-4D54-8692-F50BAB8A0DFC}"/>
    <cellStyle name="Normal 9 2 5 5 3" xfId="6544" xr:uid="{00000000-0005-0000-0000-0000941F0000}"/>
    <cellStyle name="Normal 9 2 5 5 3 2" xfId="14979" xr:uid="{81230AD3-E130-4FA8-8D75-75A29FB17F85}"/>
    <cellStyle name="Normal 9 2 5 5 4" xfId="10761" xr:uid="{B8722594-5E70-40B5-864E-B2B8C3BCD78D}"/>
    <cellStyle name="Normal 9 2 5 6" xfId="2673" xr:uid="{00000000-0005-0000-0000-0000951F0000}"/>
    <cellStyle name="Normal 9 2 5 6 2" xfId="6957" xr:uid="{00000000-0005-0000-0000-0000961F0000}"/>
    <cellStyle name="Normal 9 2 5 6 2 2" xfId="15392" xr:uid="{4F135464-E3D1-4255-8F5F-6DF4E6F0653C}"/>
    <cellStyle name="Normal 9 2 5 6 3" xfId="11174" xr:uid="{E42F185A-6B61-4939-B087-4625C90E768C}"/>
    <cellStyle name="Normal 9 2 5 7" xfId="4892" xr:uid="{00000000-0005-0000-0000-0000971F0000}"/>
    <cellStyle name="Normal 9 2 5 7 2" xfId="13327" xr:uid="{DA54D558-59EC-4692-9795-1CDD33C761B2}"/>
    <cellStyle name="Normal 9 2 5 8" xfId="9109" xr:uid="{52DC11C0-9D71-457A-8CD9-8AC95693DE95}"/>
    <cellStyle name="Normal 9 2 6" xfId="979" xr:uid="{00000000-0005-0000-0000-0000981F0000}"/>
    <cellStyle name="Normal 9 2 6 2" xfId="3212" xr:uid="{00000000-0005-0000-0000-0000991F0000}"/>
    <cellStyle name="Normal 9 2 6 2 2" xfId="7435" xr:uid="{00000000-0005-0000-0000-00009A1F0000}"/>
    <cellStyle name="Normal 9 2 6 2 2 2" xfId="15870" xr:uid="{7FA858D3-32FD-4D15-83E5-633C4A238B43}"/>
    <cellStyle name="Normal 9 2 6 2 3" xfId="11652" xr:uid="{BFB076E7-9E7F-4352-BD33-A7A10E073BFD}"/>
    <cellStyle name="Normal 9 2 6 3" xfId="5290" xr:uid="{00000000-0005-0000-0000-00009B1F0000}"/>
    <cellStyle name="Normal 9 2 6 3 2" xfId="13725" xr:uid="{868B9501-63A1-420A-87CF-67119BD6C6FB}"/>
    <cellStyle name="Normal 9 2 6 4" xfId="9507" xr:uid="{18461446-3B8E-42F7-9337-1F4E2CBC64EB}"/>
    <cellStyle name="Normal 9 2 7" xfId="1395" xr:uid="{00000000-0005-0000-0000-00009C1F0000}"/>
    <cellStyle name="Normal 9 2 7 2" xfId="3625" xr:uid="{00000000-0005-0000-0000-00009D1F0000}"/>
    <cellStyle name="Normal 9 2 7 2 2" xfId="7848" xr:uid="{00000000-0005-0000-0000-00009E1F0000}"/>
    <cellStyle name="Normal 9 2 7 2 2 2" xfId="16283" xr:uid="{AFA3D334-00C7-44D5-9E3E-AFB4961278D3}"/>
    <cellStyle name="Normal 9 2 7 2 3" xfId="12065" xr:uid="{B9BEE5EA-1218-4167-892C-9918D684D2D9}"/>
    <cellStyle name="Normal 9 2 7 3" xfId="5703" xr:uid="{00000000-0005-0000-0000-00009F1F0000}"/>
    <cellStyle name="Normal 9 2 7 3 2" xfId="14138" xr:uid="{AA70E907-9261-40B1-BFEA-82C9FCF7FD8A}"/>
    <cellStyle name="Normal 9 2 7 4" xfId="9920" xr:uid="{249A5A60-557E-462D-88F8-665A83D807A4}"/>
    <cellStyle name="Normal 9 2 8" xfId="1808" xr:uid="{00000000-0005-0000-0000-0000A01F0000}"/>
    <cellStyle name="Normal 9 2 8 2" xfId="4038" xr:uid="{00000000-0005-0000-0000-0000A11F0000}"/>
    <cellStyle name="Normal 9 2 8 2 2" xfId="8261" xr:uid="{00000000-0005-0000-0000-0000A21F0000}"/>
    <cellStyle name="Normal 9 2 8 2 2 2" xfId="16696" xr:uid="{9AF2F44E-21F3-4416-83B5-7A2B481E3EE8}"/>
    <cellStyle name="Normal 9 2 8 2 3" xfId="12478" xr:uid="{3B036D62-B011-4604-A6FF-B4036DA4E990}"/>
    <cellStyle name="Normal 9 2 8 3" xfId="6116" xr:uid="{00000000-0005-0000-0000-0000A31F0000}"/>
    <cellStyle name="Normal 9 2 8 3 2" xfId="14551" xr:uid="{C8E3A294-E428-42AC-A3E5-340C45E97F64}"/>
    <cellStyle name="Normal 9 2 8 4" xfId="10333" xr:uid="{5AEA6A04-9A7B-4AA1-B368-46527D8B74C1}"/>
    <cellStyle name="Normal 9 2 9" xfId="2222" xr:uid="{00000000-0005-0000-0000-0000A41F0000}"/>
    <cellStyle name="Normal 9 2 9 2" xfId="4451" xr:uid="{00000000-0005-0000-0000-0000A51F0000}"/>
    <cellStyle name="Normal 9 2 9 2 2" xfId="8674" xr:uid="{00000000-0005-0000-0000-0000A61F0000}"/>
    <cellStyle name="Normal 9 2 9 2 2 2" xfId="17109" xr:uid="{CCAF3ECC-2AB6-4922-9900-0FFBC8CF06D8}"/>
    <cellStyle name="Normal 9 2 9 2 3" xfId="12891" xr:uid="{3729D4B5-C843-4DA9-8BA3-885BAFDAED06}"/>
    <cellStyle name="Normal 9 2 9 3" xfId="6529" xr:uid="{00000000-0005-0000-0000-0000A71F0000}"/>
    <cellStyle name="Normal 9 2 9 3 2" xfId="14964" xr:uid="{737752B4-7BCA-43E2-BD93-D71440FD99D1}"/>
    <cellStyle name="Normal 9 2 9 4" xfId="10746" xr:uid="{0879960E-8634-4DA4-9DB0-6C0C83B0F406}"/>
    <cellStyle name="Normal 9 3" xfId="527" xr:uid="{00000000-0005-0000-0000-0000A81F0000}"/>
    <cellStyle name="Normal 9 3 10" xfId="4893" xr:uid="{00000000-0005-0000-0000-0000A91F0000}"/>
    <cellStyle name="Normal 9 3 10 2" xfId="13328" xr:uid="{47453EED-C852-4345-A01A-C1B37BDBE88C}"/>
    <cellStyle name="Normal 9 3 11" xfId="9110" xr:uid="{B7B68AFD-2597-4EFE-9796-07CDE51113DF}"/>
    <cellStyle name="Normal 9 3 2" xfId="528" xr:uid="{00000000-0005-0000-0000-0000AA1F0000}"/>
    <cellStyle name="Normal 9 3 2 10" xfId="9111" xr:uid="{4C0BC2FA-1D4B-4B41-9790-AD77B549C196}"/>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2 2 2" xfId="15889" xr:uid="{D19B4387-9901-420C-9FC9-E13C827F8B64}"/>
    <cellStyle name="Normal 9 3 2 2 2 2 2 3" xfId="11671" xr:uid="{A652FDA7-92CA-4E6D-9A96-B744DE707C79}"/>
    <cellStyle name="Normal 9 3 2 2 2 2 3" xfId="5309" xr:uid="{00000000-0005-0000-0000-0000B01F0000}"/>
    <cellStyle name="Normal 9 3 2 2 2 2 3 2" xfId="13744" xr:uid="{4762A508-1A96-488D-978D-E46216A1791F}"/>
    <cellStyle name="Normal 9 3 2 2 2 2 4" xfId="9526" xr:uid="{F1BAE43D-7092-438B-95C2-DA32FE967575}"/>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2 2 2" xfId="16302" xr:uid="{A2A662D9-4A2C-42A9-9690-F6B667285776}"/>
    <cellStyle name="Normal 9 3 2 2 2 3 2 3" xfId="12084" xr:uid="{FFEF879F-FFCA-4ED7-A388-3FEE8B5316E5}"/>
    <cellStyle name="Normal 9 3 2 2 2 3 3" xfId="5722" xr:uid="{00000000-0005-0000-0000-0000B41F0000}"/>
    <cellStyle name="Normal 9 3 2 2 2 3 3 2" xfId="14157" xr:uid="{F1ABF142-0036-4741-A723-FF5C05577B3E}"/>
    <cellStyle name="Normal 9 3 2 2 2 3 4" xfId="9939" xr:uid="{E9397375-266C-4C63-B348-060ECEDEB4CB}"/>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2 2 2" xfId="16715" xr:uid="{992A80CD-C4BD-4978-8697-F1E51E03B1E0}"/>
    <cellStyle name="Normal 9 3 2 2 2 4 2 3" xfId="12497" xr:uid="{C093E877-5EFE-4B4A-A27D-71BA81FB13FF}"/>
    <cellStyle name="Normal 9 3 2 2 2 4 3" xfId="6135" xr:uid="{00000000-0005-0000-0000-0000B81F0000}"/>
    <cellStyle name="Normal 9 3 2 2 2 4 3 2" xfId="14570" xr:uid="{F91020CE-4195-449E-A94B-AAAAE5741B49}"/>
    <cellStyle name="Normal 9 3 2 2 2 4 4" xfId="10352" xr:uid="{9926FA1A-A19B-49DF-A007-4556C8EF68D5}"/>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2 2 2" xfId="17128" xr:uid="{0F11310E-FD38-47EF-904C-DC4CD57C2DD2}"/>
    <cellStyle name="Normal 9 3 2 2 2 5 2 3" xfId="12910" xr:uid="{2B91E860-2153-44C7-A22D-E97797C07DBC}"/>
    <cellStyle name="Normal 9 3 2 2 2 5 3" xfId="6548" xr:uid="{00000000-0005-0000-0000-0000BC1F0000}"/>
    <cellStyle name="Normal 9 3 2 2 2 5 3 2" xfId="14983" xr:uid="{95A2C161-BDD7-43C8-8E09-BE01E81C2AFC}"/>
    <cellStyle name="Normal 9 3 2 2 2 5 4" xfId="10765" xr:uid="{242C21BD-6739-48AF-8AD2-98F68E43A224}"/>
    <cellStyle name="Normal 9 3 2 2 2 6" xfId="2677" xr:uid="{00000000-0005-0000-0000-0000BD1F0000}"/>
    <cellStyle name="Normal 9 3 2 2 2 6 2" xfId="6961" xr:uid="{00000000-0005-0000-0000-0000BE1F0000}"/>
    <cellStyle name="Normal 9 3 2 2 2 6 2 2" xfId="15396" xr:uid="{C9E4F0C8-DFA9-41C1-B90A-B4235E1373EA}"/>
    <cellStyle name="Normal 9 3 2 2 2 6 3" xfId="11178" xr:uid="{0996329E-BC7C-4666-8341-421AFFC6A3FC}"/>
    <cellStyle name="Normal 9 3 2 2 2 7" xfId="4896" xr:uid="{00000000-0005-0000-0000-0000BF1F0000}"/>
    <cellStyle name="Normal 9 3 2 2 2 7 2" xfId="13331" xr:uid="{AA373BC7-83ED-4535-AFC7-6CD238887F72}"/>
    <cellStyle name="Normal 9 3 2 2 2 8" xfId="9113" xr:uid="{9DA8F79E-B6F7-4892-8EB6-A75F5F252C2B}"/>
    <cellStyle name="Normal 9 3 2 2 3" xfId="997" xr:uid="{00000000-0005-0000-0000-0000C01F0000}"/>
    <cellStyle name="Normal 9 3 2 2 3 2" xfId="3230" xr:uid="{00000000-0005-0000-0000-0000C11F0000}"/>
    <cellStyle name="Normal 9 3 2 2 3 2 2" xfId="7453" xr:uid="{00000000-0005-0000-0000-0000C21F0000}"/>
    <cellStyle name="Normal 9 3 2 2 3 2 2 2" xfId="15888" xr:uid="{8BA1A6DF-918A-4C6C-9CB0-21D6EE9816E2}"/>
    <cellStyle name="Normal 9 3 2 2 3 2 3" xfId="11670" xr:uid="{46CF7287-6577-4A16-BE8E-8003341893FB}"/>
    <cellStyle name="Normal 9 3 2 2 3 3" xfId="5308" xr:uid="{00000000-0005-0000-0000-0000C31F0000}"/>
    <cellStyle name="Normal 9 3 2 2 3 3 2" xfId="13743" xr:uid="{A356EDFA-59F6-4A98-BCAE-DC2239E5DE7A}"/>
    <cellStyle name="Normal 9 3 2 2 3 4" xfId="9525" xr:uid="{81080554-884B-49B5-8DDF-8079CCCAD3C3}"/>
    <cellStyle name="Normal 9 3 2 2 4" xfId="1413" xr:uid="{00000000-0005-0000-0000-0000C41F0000}"/>
    <cellStyle name="Normal 9 3 2 2 4 2" xfId="3643" xr:uid="{00000000-0005-0000-0000-0000C51F0000}"/>
    <cellStyle name="Normal 9 3 2 2 4 2 2" xfId="7866" xr:uid="{00000000-0005-0000-0000-0000C61F0000}"/>
    <cellStyle name="Normal 9 3 2 2 4 2 2 2" xfId="16301" xr:uid="{7225F92A-DAB1-4A81-99F9-14B7C4D93F73}"/>
    <cellStyle name="Normal 9 3 2 2 4 2 3" xfId="12083" xr:uid="{6079A06E-C36E-4976-877D-31DA6E22A5BE}"/>
    <cellStyle name="Normal 9 3 2 2 4 3" xfId="5721" xr:uid="{00000000-0005-0000-0000-0000C71F0000}"/>
    <cellStyle name="Normal 9 3 2 2 4 3 2" xfId="14156" xr:uid="{E8950814-D253-448D-9C5C-655E284B8264}"/>
    <cellStyle name="Normal 9 3 2 2 4 4" xfId="9938" xr:uid="{01686420-CD48-4CC1-B230-CE5B60BEA16E}"/>
    <cellStyle name="Normal 9 3 2 2 5" xfId="1826" xr:uid="{00000000-0005-0000-0000-0000C81F0000}"/>
    <cellStyle name="Normal 9 3 2 2 5 2" xfId="4056" xr:uid="{00000000-0005-0000-0000-0000C91F0000}"/>
    <cellStyle name="Normal 9 3 2 2 5 2 2" xfId="8279" xr:uid="{00000000-0005-0000-0000-0000CA1F0000}"/>
    <cellStyle name="Normal 9 3 2 2 5 2 2 2" xfId="16714" xr:uid="{BD60B961-1510-4AE7-8E52-20DF1388A3BD}"/>
    <cellStyle name="Normal 9 3 2 2 5 2 3" xfId="12496" xr:uid="{9F255EC1-78BD-4161-8477-917F9FB80E27}"/>
    <cellStyle name="Normal 9 3 2 2 5 3" xfId="6134" xr:uid="{00000000-0005-0000-0000-0000CB1F0000}"/>
    <cellStyle name="Normal 9 3 2 2 5 3 2" xfId="14569" xr:uid="{CDDD4883-9B2B-4937-AD7A-8BC74EC85D48}"/>
    <cellStyle name="Normal 9 3 2 2 5 4" xfId="10351" xr:uid="{4273D00E-39EA-4F8B-B4F8-35FBD9970269}"/>
    <cellStyle name="Normal 9 3 2 2 6" xfId="2240" xr:uid="{00000000-0005-0000-0000-0000CC1F0000}"/>
    <cellStyle name="Normal 9 3 2 2 6 2" xfId="4469" xr:uid="{00000000-0005-0000-0000-0000CD1F0000}"/>
    <cellStyle name="Normal 9 3 2 2 6 2 2" xfId="8692" xr:uid="{00000000-0005-0000-0000-0000CE1F0000}"/>
    <cellStyle name="Normal 9 3 2 2 6 2 2 2" xfId="17127" xr:uid="{33EF12AB-8024-4423-B740-DF75AE57C104}"/>
    <cellStyle name="Normal 9 3 2 2 6 2 3" xfId="12909" xr:uid="{965CC2DE-B92A-4C27-A199-CF2BD691BC29}"/>
    <cellStyle name="Normal 9 3 2 2 6 3" xfId="6547" xr:uid="{00000000-0005-0000-0000-0000CF1F0000}"/>
    <cellStyle name="Normal 9 3 2 2 6 3 2" xfId="14982" xr:uid="{FBC4F713-4986-4B93-AC8C-4F1C7B0A54BC}"/>
    <cellStyle name="Normal 9 3 2 2 6 4" xfId="10764" xr:uid="{EEB86E6D-863C-45D4-BD63-89190871FB2C}"/>
    <cellStyle name="Normal 9 3 2 2 7" xfId="2676" xr:uid="{00000000-0005-0000-0000-0000D01F0000}"/>
    <cellStyle name="Normal 9 3 2 2 7 2" xfId="6960" xr:uid="{00000000-0005-0000-0000-0000D11F0000}"/>
    <cellStyle name="Normal 9 3 2 2 7 2 2" xfId="15395" xr:uid="{54AF3A17-CC83-4636-806F-FFB5C4B73088}"/>
    <cellStyle name="Normal 9 3 2 2 7 3" xfId="11177" xr:uid="{A34B1071-3B8E-4C8E-B933-A348CD264DE2}"/>
    <cellStyle name="Normal 9 3 2 2 8" xfId="4895" xr:uid="{00000000-0005-0000-0000-0000D21F0000}"/>
    <cellStyle name="Normal 9 3 2 2 8 2" xfId="13330" xr:uid="{114EA00A-41B8-48AA-A9B8-9B4E4EC41CB6}"/>
    <cellStyle name="Normal 9 3 2 2 9" xfId="9112" xr:uid="{DED880B2-4B09-4399-9954-7E80968B234B}"/>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2 2 2" xfId="15890" xr:uid="{FD06E566-979D-42E3-B1E4-B6DA91A44F8D}"/>
    <cellStyle name="Normal 9 3 2 3 2 2 3" xfId="11672" xr:uid="{17EB882E-E7FC-40BF-B33B-937B941F9B30}"/>
    <cellStyle name="Normal 9 3 2 3 2 3" xfId="5310" xr:uid="{00000000-0005-0000-0000-0000D71F0000}"/>
    <cellStyle name="Normal 9 3 2 3 2 3 2" xfId="13745" xr:uid="{29BFDB17-18BF-4040-B221-8E85332F4A62}"/>
    <cellStyle name="Normal 9 3 2 3 2 4" xfId="9527" xr:uid="{E6D84995-FCB1-4465-9F28-EBE583DEA53B}"/>
    <cellStyle name="Normal 9 3 2 3 3" xfId="1415" xr:uid="{00000000-0005-0000-0000-0000D81F0000}"/>
    <cellStyle name="Normal 9 3 2 3 3 2" xfId="3645" xr:uid="{00000000-0005-0000-0000-0000D91F0000}"/>
    <cellStyle name="Normal 9 3 2 3 3 2 2" xfId="7868" xr:uid="{00000000-0005-0000-0000-0000DA1F0000}"/>
    <cellStyle name="Normal 9 3 2 3 3 2 2 2" xfId="16303" xr:uid="{E51C4859-C9F2-4892-9169-AFDD1A708A06}"/>
    <cellStyle name="Normal 9 3 2 3 3 2 3" xfId="12085" xr:uid="{2F2A5CC6-B0DA-4554-B462-F2BBB9471D93}"/>
    <cellStyle name="Normal 9 3 2 3 3 3" xfId="5723" xr:uid="{00000000-0005-0000-0000-0000DB1F0000}"/>
    <cellStyle name="Normal 9 3 2 3 3 3 2" xfId="14158" xr:uid="{4B4C6A8A-90B3-4151-A836-F8D2CD2B2AE4}"/>
    <cellStyle name="Normal 9 3 2 3 3 4" xfId="9940" xr:uid="{2A95D753-F3EB-4C7A-BACE-E29863EA73EC}"/>
    <cellStyle name="Normal 9 3 2 3 4" xfId="1828" xr:uid="{00000000-0005-0000-0000-0000DC1F0000}"/>
    <cellStyle name="Normal 9 3 2 3 4 2" xfId="4058" xr:uid="{00000000-0005-0000-0000-0000DD1F0000}"/>
    <cellStyle name="Normal 9 3 2 3 4 2 2" xfId="8281" xr:uid="{00000000-0005-0000-0000-0000DE1F0000}"/>
    <cellStyle name="Normal 9 3 2 3 4 2 2 2" xfId="16716" xr:uid="{B5A93637-71F3-4C1F-9E18-7D13C6796DEF}"/>
    <cellStyle name="Normal 9 3 2 3 4 2 3" xfId="12498" xr:uid="{2CFF6EED-C39C-46BB-ADEC-0FE11C443EAE}"/>
    <cellStyle name="Normal 9 3 2 3 4 3" xfId="6136" xr:uid="{00000000-0005-0000-0000-0000DF1F0000}"/>
    <cellStyle name="Normal 9 3 2 3 4 3 2" xfId="14571" xr:uid="{C50CFAE6-9128-4F59-A8CE-1B83F7A8FB74}"/>
    <cellStyle name="Normal 9 3 2 3 4 4" xfId="10353" xr:uid="{85694B96-7701-49E6-8E72-9D79928D0562}"/>
    <cellStyle name="Normal 9 3 2 3 5" xfId="2242" xr:uid="{00000000-0005-0000-0000-0000E01F0000}"/>
    <cellStyle name="Normal 9 3 2 3 5 2" xfId="4471" xr:uid="{00000000-0005-0000-0000-0000E11F0000}"/>
    <cellStyle name="Normal 9 3 2 3 5 2 2" xfId="8694" xr:uid="{00000000-0005-0000-0000-0000E21F0000}"/>
    <cellStyle name="Normal 9 3 2 3 5 2 2 2" xfId="17129" xr:uid="{6170F255-F092-4E29-8312-289238809685}"/>
    <cellStyle name="Normal 9 3 2 3 5 2 3" xfId="12911" xr:uid="{C7B91260-6E7B-4602-8112-54642311CB9E}"/>
    <cellStyle name="Normal 9 3 2 3 5 3" xfId="6549" xr:uid="{00000000-0005-0000-0000-0000E31F0000}"/>
    <cellStyle name="Normal 9 3 2 3 5 3 2" xfId="14984" xr:uid="{B81DFE4D-C2F7-4636-976F-5F835E692805}"/>
    <cellStyle name="Normal 9 3 2 3 5 4" xfId="10766" xr:uid="{35F0C073-D19A-4C49-B94F-4A68B84B688B}"/>
    <cellStyle name="Normal 9 3 2 3 6" xfId="2678" xr:uid="{00000000-0005-0000-0000-0000E41F0000}"/>
    <cellStyle name="Normal 9 3 2 3 6 2" xfId="6962" xr:uid="{00000000-0005-0000-0000-0000E51F0000}"/>
    <cellStyle name="Normal 9 3 2 3 6 2 2" xfId="15397" xr:uid="{8EA87761-CEE6-4A6F-B633-AA808F72AE02}"/>
    <cellStyle name="Normal 9 3 2 3 6 3" xfId="11179" xr:uid="{8AA1C7DA-541A-4B6F-A949-C34D2E798EB8}"/>
    <cellStyle name="Normal 9 3 2 3 7" xfId="4897" xr:uid="{00000000-0005-0000-0000-0000E61F0000}"/>
    <cellStyle name="Normal 9 3 2 3 7 2" xfId="13332" xr:uid="{B61439A1-4D23-4347-AEE5-3B80FBFA8807}"/>
    <cellStyle name="Normal 9 3 2 3 8" xfId="9114" xr:uid="{A4504BA0-BE36-4D50-B98D-380394308D3C}"/>
    <cellStyle name="Normal 9 3 2 4" xfId="996" xr:uid="{00000000-0005-0000-0000-0000E71F0000}"/>
    <cellStyle name="Normal 9 3 2 4 2" xfId="3229" xr:uid="{00000000-0005-0000-0000-0000E81F0000}"/>
    <cellStyle name="Normal 9 3 2 4 2 2" xfId="7452" xr:uid="{00000000-0005-0000-0000-0000E91F0000}"/>
    <cellStyle name="Normal 9 3 2 4 2 2 2" xfId="15887" xr:uid="{5C5D1493-C617-4F03-B20C-2A7602800DFC}"/>
    <cellStyle name="Normal 9 3 2 4 2 3" xfId="11669" xr:uid="{093BBB43-21AA-4CB6-B2B0-D92153F4DE1B}"/>
    <cellStyle name="Normal 9 3 2 4 3" xfId="5307" xr:uid="{00000000-0005-0000-0000-0000EA1F0000}"/>
    <cellStyle name="Normal 9 3 2 4 3 2" xfId="13742" xr:uid="{481AD9DD-7FD8-4283-9890-60D9B820C41F}"/>
    <cellStyle name="Normal 9 3 2 4 4" xfId="9524" xr:uid="{F45228C3-E80D-472E-8591-E5783615578B}"/>
    <cellStyle name="Normal 9 3 2 5" xfId="1412" xr:uid="{00000000-0005-0000-0000-0000EB1F0000}"/>
    <cellStyle name="Normal 9 3 2 5 2" xfId="3642" xr:uid="{00000000-0005-0000-0000-0000EC1F0000}"/>
    <cellStyle name="Normal 9 3 2 5 2 2" xfId="7865" xr:uid="{00000000-0005-0000-0000-0000ED1F0000}"/>
    <cellStyle name="Normal 9 3 2 5 2 2 2" xfId="16300" xr:uid="{09FCE1EE-6D23-474B-913E-A05D37F4C409}"/>
    <cellStyle name="Normal 9 3 2 5 2 3" xfId="12082" xr:uid="{E8DDFCF8-3A41-488D-979D-662275BBF2D5}"/>
    <cellStyle name="Normal 9 3 2 5 3" xfId="5720" xr:uid="{00000000-0005-0000-0000-0000EE1F0000}"/>
    <cellStyle name="Normal 9 3 2 5 3 2" xfId="14155" xr:uid="{E87979EC-7BF5-4991-86DE-F78EF1284E76}"/>
    <cellStyle name="Normal 9 3 2 5 4" xfId="9937" xr:uid="{515E7583-5C44-4761-B868-CDB257790362}"/>
    <cellStyle name="Normal 9 3 2 6" xfId="1825" xr:uid="{00000000-0005-0000-0000-0000EF1F0000}"/>
    <cellStyle name="Normal 9 3 2 6 2" xfId="4055" xr:uid="{00000000-0005-0000-0000-0000F01F0000}"/>
    <cellStyle name="Normal 9 3 2 6 2 2" xfId="8278" xr:uid="{00000000-0005-0000-0000-0000F11F0000}"/>
    <cellStyle name="Normal 9 3 2 6 2 2 2" xfId="16713" xr:uid="{8DD895D3-B2B3-4C48-8F3C-DCE4D9C54C46}"/>
    <cellStyle name="Normal 9 3 2 6 2 3" xfId="12495" xr:uid="{7490D7ED-D9E0-4429-8983-2D520F0CD5CD}"/>
    <cellStyle name="Normal 9 3 2 6 3" xfId="6133" xr:uid="{00000000-0005-0000-0000-0000F21F0000}"/>
    <cellStyle name="Normal 9 3 2 6 3 2" xfId="14568" xr:uid="{493B35ED-D239-4F73-9B34-EB5691EC4396}"/>
    <cellStyle name="Normal 9 3 2 6 4" xfId="10350" xr:uid="{8AF9E8A5-2244-43C4-94F7-8BB46A8DD4C6}"/>
    <cellStyle name="Normal 9 3 2 7" xfId="2239" xr:uid="{00000000-0005-0000-0000-0000F31F0000}"/>
    <cellStyle name="Normal 9 3 2 7 2" xfId="4468" xr:uid="{00000000-0005-0000-0000-0000F41F0000}"/>
    <cellStyle name="Normal 9 3 2 7 2 2" xfId="8691" xr:uid="{00000000-0005-0000-0000-0000F51F0000}"/>
    <cellStyle name="Normal 9 3 2 7 2 2 2" xfId="17126" xr:uid="{8FEAE456-8F2E-4220-BA08-F1291797C52D}"/>
    <cellStyle name="Normal 9 3 2 7 2 3" xfId="12908" xr:uid="{31E9EDE7-0553-4480-AF5F-A0D16F04CAAE}"/>
    <cellStyle name="Normal 9 3 2 7 3" xfId="6546" xr:uid="{00000000-0005-0000-0000-0000F61F0000}"/>
    <cellStyle name="Normal 9 3 2 7 3 2" xfId="14981" xr:uid="{51BE71CE-0D7E-4A18-9DB8-8685F9CD1CBC}"/>
    <cellStyle name="Normal 9 3 2 7 4" xfId="10763" xr:uid="{8EED7E12-C8EF-4FB2-B34C-D03D8A3583D9}"/>
    <cellStyle name="Normal 9 3 2 8" xfId="2675" xr:uid="{00000000-0005-0000-0000-0000F71F0000}"/>
    <cellStyle name="Normal 9 3 2 8 2" xfId="6959" xr:uid="{00000000-0005-0000-0000-0000F81F0000}"/>
    <cellStyle name="Normal 9 3 2 8 2 2" xfId="15394" xr:uid="{4014239A-5394-4581-B51D-235A09406289}"/>
    <cellStyle name="Normal 9 3 2 8 3" xfId="11176" xr:uid="{8274780B-D3F7-4560-A8AF-1A86D66CC69A}"/>
    <cellStyle name="Normal 9 3 2 9" xfId="4894" xr:uid="{00000000-0005-0000-0000-0000F91F0000}"/>
    <cellStyle name="Normal 9 3 2 9 2" xfId="13329" xr:uid="{6F6BE4E4-00E2-487D-89BD-1FE641D13092}"/>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2 2 2" xfId="15892" xr:uid="{F9073E5A-9747-430E-8D30-718CDE7AC3EA}"/>
    <cellStyle name="Normal 9 3 3 2 2 2 3" xfId="11674" xr:uid="{E2AB48B1-924E-4A20-BFA2-09F4AC36603F}"/>
    <cellStyle name="Normal 9 3 3 2 2 3" xfId="5312" xr:uid="{00000000-0005-0000-0000-0000FF1F0000}"/>
    <cellStyle name="Normal 9 3 3 2 2 3 2" xfId="13747" xr:uid="{4822D176-4F3E-4DDC-BB8B-C88F9BE9F02C}"/>
    <cellStyle name="Normal 9 3 3 2 2 4" xfId="9529" xr:uid="{9B5CC596-C4D5-426E-83F0-28AC8FDDE902}"/>
    <cellStyle name="Normal 9 3 3 2 3" xfId="1417" xr:uid="{00000000-0005-0000-0000-000000200000}"/>
    <cellStyle name="Normal 9 3 3 2 3 2" xfId="3647" xr:uid="{00000000-0005-0000-0000-000001200000}"/>
    <cellStyle name="Normal 9 3 3 2 3 2 2" xfId="7870" xr:uid="{00000000-0005-0000-0000-000002200000}"/>
    <cellStyle name="Normal 9 3 3 2 3 2 2 2" xfId="16305" xr:uid="{85A41905-0BD6-4339-B3FA-1936D59A01B2}"/>
    <cellStyle name="Normal 9 3 3 2 3 2 3" xfId="12087" xr:uid="{90F24FB8-27B2-4319-AE3F-0AA5FA327481}"/>
    <cellStyle name="Normal 9 3 3 2 3 3" xfId="5725" xr:uid="{00000000-0005-0000-0000-000003200000}"/>
    <cellStyle name="Normal 9 3 3 2 3 3 2" xfId="14160" xr:uid="{AEED8294-18A0-4E13-A292-3086095696E6}"/>
    <cellStyle name="Normal 9 3 3 2 3 4" xfId="9942" xr:uid="{3F7ACB7A-EE67-4188-BFD9-8D8DF2FCF1A5}"/>
    <cellStyle name="Normal 9 3 3 2 4" xfId="1830" xr:uid="{00000000-0005-0000-0000-000004200000}"/>
    <cellStyle name="Normal 9 3 3 2 4 2" xfId="4060" xr:uid="{00000000-0005-0000-0000-000005200000}"/>
    <cellStyle name="Normal 9 3 3 2 4 2 2" xfId="8283" xr:uid="{00000000-0005-0000-0000-000006200000}"/>
    <cellStyle name="Normal 9 3 3 2 4 2 2 2" xfId="16718" xr:uid="{91BEA937-78B5-42E2-A3C6-A8DE885DE676}"/>
    <cellStyle name="Normal 9 3 3 2 4 2 3" xfId="12500" xr:uid="{925B5647-C02B-4012-95B7-F62EDEFF3CD3}"/>
    <cellStyle name="Normal 9 3 3 2 4 3" xfId="6138" xr:uid="{00000000-0005-0000-0000-000007200000}"/>
    <cellStyle name="Normal 9 3 3 2 4 3 2" xfId="14573" xr:uid="{0DF44035-2140-4A42-AA1F-5BA88B34872F}"/>
    <cellStyle name="Normal 9 3 3 2 4 4" xfId="10355" xr:uid="{B713EEF2-9A7F-4C47-BB35-BC6AE99C3BFE}"/>
    <cellStyle name="Normal 9 3 3 2 5" xfId="2244" xr:uid="{00000000-0005-0000-0000-000008200000}"/>
    <cellStyle name="Normal 9 3 3 2 5 2" xfId="4473" xr:uid="{00000000-0005-0000-0000-000009200000}"/>
    <cellStyle name="Normal 9 3 3 2 5 2 2" xfId="8696" xr:uid="{00000000-0005-0000-0000-00000A200000}"/>
    <cellStyle name="Normal 9 3 3 2 5 2 2 2" xfId="17131" xr:uid="{F5771475-7852-4EF3-B0F1-438D7C917BA5}"/>
    <cellStyle name="Normal 9 3 3 2 5 2 3" xfId="12913" xr:uid="{456545B5-E865-4A9F-8D1C-C15036C72CCD}"/>
    <cellStyle name="Normal 9 3 3 2 5 3" xfId="6551" xr:uid="{00000000-0005-0000-0000-00000B200000}"/>
    <cellStyle name="Normal 9 3 3 2 5 3 2" xfId="14986" xr:uid="{C50C66DF-FF3D-4046-8ADE-3E59406B2FA4}"/>
    <cellStyle name="Normal 9 3 3 2 5 4" xfId="10768" xr:uid="{94C51E66-F6F5-4FC5-83F6-6AB52EA64246}"/>
    <cellStyle name="Normal 9 3 3 2 6" xfId="2680" xr:uid="{00000000-0005-0000-0000-00000C200000}"/>
    <cellStyle name="Normal 9 3 3 2 6 2" xfId="6964" xr:uid="{00000000-0005-0000-0000-00000D200000}"/>
    <cellStyle name="Normal 9 3 3 2 6 2 2" xfId="15399" xr:uid="{EEA26B98-9E1B-4C2D-AB20-D97764C5B7C5}"/>
    <cellStyle name="Normal 9 3 3 2 6 3" xfId="11181" xr:uid="{66092144-2FBF-4809-B3DC-B573DB50A798}"/>
    <cellStyle name="Normal 9 3 3 2 7" xfId="4899" xr:uid="{00000000-0005-0000-0000-00000E200000}"/>
    <cellStyle name="Normal 9 3 3 2 7 2" xfId="13334" xr:uid="{40C1590A-72C2-41CB-9F1B-A0826E521D31}"/>
    <cellStyle name="Normal 9 3 3 2 8" xfId="9116" xr:uid="{DDF7554B-67F4-4CBC-90A8-48F2C627E99F}"/>
    <cellStyle name="Normal 9 3 3 3" xfId="1000" xr:uid="{00000000-0005-0000-0000-00000F200000}"/>
    <cellStyle name="Normal 9 3 3 3 2" xfId="3233" xr:uid="{00000000-0005-0000-0000-000010200000}"/>
    <cellStyle name="Normal 9 3 3 3 2 2" xfId="7456" xr:uid="{00000000-0005-0000-0000-000011200000}"/>
    <cellStyle name="Normal 9 3 3 3 2 2 2" xfId="15891" xr:uid="{086F4A89-02DF-40BD-981F-7AECAEF5BC2A}"/>
    <cellStyle name="Normal 9 3 3 3 2 3" xfId="11673" xr:uid="{37D2A6ED-01F7-45B2-800A-157FAC66B581}"/>
    <cellStyle name="Normal 9 3 3 3 3" xfId="5311" xr:uid="{00000000-0005-0000-0000-000012200000}"/>
    <cellStyle name="Normal 9 3 3 3 3 2" xfId="13746" xr:uid="{81F95606-5ECB-4C54-9017-216DAFDD0777}"/>
    <cellStyle name="Normal 9 3 3 3 4" xfId="9528" xr:uid="{CBE9158D-F2D1-4ADD-983D-EC00B1E258A9}"/>
    <cellStyle name="Normal 9 3 3 4" xfId="1416" xr:uid="{00000000-0005-0000-0000-000013200000}"/>
    <cellStyle name="Normal 9 3 3 4 2" xfId="3646" xr:uid="{00000000-0005-0000-0000-000014200000}"/>
    <cellStyle name="Normal 9 3 3 4 2 2" xfId="7869" xr:uid="{00000000-0005-0000-0000-000015200000}"/>
    <cellStyle name="Normal 9 3 3 4 2 2 2" xfId="16304" xr:uid="{43DF692C-7D1D-4C57-9002-24392598EE50}"/>
    <cellStyle name="Normal 9 3 3 4 2 3" xfId="12086" xr:uid="{BE12E47B-8B47-4FC2-9269-22F647E2AF7C}"/>
    <cellStyle name="Normal 9 3 3 4 3" xfId="5724" xr:uid="{00000000-0005-0000-0000-000016200000}"/>
    <cellStyle name="Normal 9 3 3 4 3 2" xfId="14159" xr:uid="{6FA4FE6D-7150-4FB0-9EFD-F022988D793D}"/>
    <cellStyle name="Normal 9 3 3 4 4" xfId="9941" xr:uid="{693E0238-4F28-4C10-BCCE-610FAE04AC28}"/>
    <cellStyle name="Normal 9 3 3 5" xfId="1829" xr:uid="{00000000-0005-0000-0000-000017200000}"/>
    <cellStyle name="Normal 9 3 3 5 2" xfId="4059" xr:uid="{00000000-0005-0000-0000-000018200000}"/>
    <cellStyle name="Normal 9 3 3 5 2 2" xfId="8282" xr:uid="{00000000-0005-0000-0000-000019200000}"/>
    <cellStyle name="Normal 9 3 3 5 2 2 2" xfId="16717" xr:uid="{B8FA2E51-F4B6-4DC0-A64C-7EA6CC6D58E4}"/>
    <cellStyle name="Normal 9 3 3 5 2 3" xfId="12499" xr:uid="{CF744BCF-4B99-479C-8A4D-07B9DA73F31D}"/>
    <cellStyle name="Normal 9 3 3 5 3" xfId="6137" xr:uid="{00000000-0005-0000-0000-00001A200000}"/>
    <cellStyle name="Normal 9 3 3 5 3 2" xfId="14572" xr:uid="{7F8CABB1-1B1E-447F-8117-AB6EB3EA172A}"/>
    <cellStyle name="Normal 9 3 3 5 4" xfId="10354" xr:uid="{A9EA2637-A0E0-4AD6-BEF2-FFD751B2F460}"/>
    <cellStyle name="Normal 9 3 3 6" xfId="2243" xr:uid="{00000000-0005-0000-0000-00001B200000}"/>
    <cellStyle name="Normal 9 3 3 6 2" xfId="4472" xr:uid="{00000000-0005-0000-0000-00001C200000}"/>
    <cellStyle name="Normal 9 3 3 6 2 2" xfId="8695" xr:uid="{00000000-0005-0000-0000-00001D200000}"/>
    <cellStyle name="Normal 9 3 3 6 2 2 2" xfId="17130" xr:uid="{87B9D722-2F7E-46F7-8630-7AEA908C220D}"/>
    <cellStyle name="Normal 9 3 3 6 2 3" xfId="12912" xr:uid="{9A2529FC-F174-48D1-BBC7-A7489032D856}"/>
    <cellStyle name="Normal 9 3 3 6 3" xfId="6550" xr:uid="{00000000-0005-0000-0000-00001E200000}"/>
    <cellStyle name="Normal 9 3 3 6 3 2" xfId="14985" xr:uid="{4AF9C7B8-F042-4EE7-8670-317C55DE678C}"/>
    <cellStyle name="Normal 9 3 3 6 4" xfId="10767" xr:uid="{05A71216-E4BF-4B98-AD16-EDF7FE4FA371}"/>
    <cellStyle name="Normal 9 3 3 7" xfId="2679" xr:uid="{00000000-0005-0000-0000-00001F200000}"/>
    <cellStyle name="Normal 9 3 3 7 2" xfId="6963" xr:uid="{00000000-0005-0000-0000-000020200000}"/>
    <cellStyle name="Normal 9 3 3 7 2 2" xfId="15398" xr:uid="{5DA1D772-9CD4-41A5-BF54-C225F3C3DB68}"/>
    <cellStyle name="Normal 9 3 3 7 3" xfId="11180" xr:uid="{A0325A7C-D732-4665-B70B-978964FAAA20}"/>
    <cellStyle name="Normal 9 3 3 8" xfId="4898" xr:uid="{00000000-0005-0000-0000-000021200000}"/>
    <cellStyle name="Normal 9 3 3 8 2" xfId="13333" xr:uid="{01D6E8B6-8600-4B75-989E-EFB6D8AC6707}"/>
    <cellStyle name="Normal 9 3 3 9" xfId="9115" xr:uid="{96267C66-95EB-49DD-BE06-338CE6C739E7}"/>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2 2 2" xfId="15893" xr:uid="{E27046CE-CEDA-4C81-8C58-FF3FA1C731A9}"/>
    <cellStyle name="Normal 9 3 4 2 2 3" xfId="11675" xr:uid="{D3D0660B-B56E-48AE-A778-777DA0F2D3A6}"/>
    <cellStyle name="Normal 9 3 4 2 3" xfId="5313" xr:uid="{00000000-0005-0000-0000-000026200000}"/>
    <cellStyle name="Normal 9 3 4 2 3 2" xfId="13748" xr:uid="{74753C06-0DEB-4644-B5A7-CC7A20D5FCB5}"/>
    <cellStyle name="Normal 9 3 4 2 4" xfId="9530" xr:uid="{D2499C3F-F9A8-4F63-B29E-E14E6080F8AE}"/>
    <cellStyle name="Normal 9 3 4 3" xfId="1418" xr:uid="{00000000-0005-0000-0000-000027200000}"/>
    <cellStyle name="Normal 9 3 4 3 2" xfId="3648" xr:uid="{00000000-0005-0000-0000-000028200000}"/>
    <cellStyle name="Normal 9 3 4 3 2 2" xfId="7871" xr:uid="{00000000-0005-0000-0000-000029200000}"/>
    <cellStyle name="Normal 9 3 4 3 2 2 2" xfId="16306" xr:uid="{1FE85B15-9DCB-4FE8-AF58-33C9E32EE86F}"/>
    <cellStyle name="Normal 9 3 4 3 2 3" xfId="12088" xr:uid="{F567ECF2-73F8-4048-8C73-95ACABF008E0}"/>
    <cellStyle name="Normal 9 3 4 3 3" xfId="5726" xr:uid="{00000000-0005-0000-0000-00002A200000}"/>
    <cellStyle name="Normal 9 3 4 3 3 2" xfId="14161" xr:uid="{0AF6968E-5A37-4B4D-95E5-CD46778DBFF2}"/>
    <cellStyle name="Normal 9 3 4 3 4" xfId="9943" xr:uid="{5897D188-88C0-4622-A43D-0E0F6836CA4B}"/>
    <cellStyle name="Normal 9 3 4 4" xfId="1831" xr:uid="{00000000-0005-0000-0000-00002B200000}"/>
    <cellStyle name="Normal 9 3 4 4 2" xfId="4061" xr:uid="{00000000-0005-0000-0000-00002C200000}"/>
    <cellStyle name="Normal 9 3 4 4 2 2" xfId="8284" xr:uid="{00000000-0005-0000-0000-00002D200000}"/>
    <cellStyle name="Normal 9 3 4 4 2 2 2" xfId="16719" xr:uid="{C0988917-16F5-4CC9-A2C0-52A0A5E0526E}"/>
    <cellStyle name="Normal 9 3 4 4 2 3" xfId="12501" xr:uid="{50ED42EC-8970-4AB5-A399-C252C44715AB}"/>
    <cellStyle name="Normal 9 3 4 4 3" xfId="6139" xr:uid="{00000000-0005-0000-0000-00002E200000}"/>
    <cellStyle name="Normal 9 3 4 4 3 2" xfId="14574" xr:uid="{30AE8695-5156-40FB-82DB-A9B2D1D0FDF9}"/>
    <cellStyle name="Normal 9 3 4 4 4" xfId="10356" xr:uid="{10723D50-5387-4CF9-BD02-BD923778E95A}"/>
    <cellStyle name="Normal 9 3 4 5" xfId="2245" xr:uid="{00000000-0005-0000-0000-00002F200000}"/>
    <cellStyle name="Normal 9 3 4 5 2" xfId="4474" xr:uid="{00000000-0005-0000-0000-000030200000}"/>
    <cellStyle name="Normal 9 3 4 5 2 2" xfId="8697" xr:uid="{00000000-0005-0000-0000-000031200000}"/>
    <cellStyle name="Normal 9 3 4 5 2 2 2" xfId="17132" xr:uid="{AF0B6007-5000-4F2F-9BA9-13051C502249}"/>
    <cellStyle name="Normal 9 3 4 5 2 3" xfId="12914" xr:uid="{535295EE-34F0-46F2-89E5-F27BDFC84DCF}"/>
    <cellStyle name="Normal 9 3 4 5 3" xfId="6552" xr:uid="{00000000-0005-0000-0000-000032200000}"/>
    <cellStyle name="Normal 9 3 4 5 3 2" xfId="14987" xr:uid="{EF5809DC-776A-4D0C-904F-53AC752625CB}"/>
    <cellStyle name="Normal 9 3 4 5 4" xfId="10769" xr:uid="{327FDBD6-13B7-4340-B587-BF55475EB63E}"/>
    <cellStyle name="Normal 9 3 4 6" xfId="2681" xr:uid="{00000000-0005-0000-0000-000033200000}"/>
    <cellStyle name="Normal 9 3 4 6 2" xfId="6965" xr:uid="{00000000-0005-0000-0000-000034200000}"/>
    <cellStyle name="Normal 9 3 4 6 2 2" xfId="15400" xr:uid="{CB07492E-A4AF-4C17-B182-1301D7A26178}"/>
    <cellStyle name="Normal 9 3 4 6 3" xfId="11182" xr:uid="{C8A4F90A-248B-4904-B998-E371AB841A8D}"/>
    <cellStyle name="Normal 9 3 4 7" xfId="4900" xr:uid="{00000000-0005-0000-0000-000035200000}"/>
    <cellStyle name="Normal 9 3 4 7 2" xfId="13335" xr:uid="{B6731048-ECF6-429D-98D7-8EA4177D4A54}"/>
    <cellStyle name="Normal 9 3 4 8" xfId="9117" xr:uid="{BE98B0EA-1987-4A82-B348-4B70541419A6}"/>
    <cellStyle name="Normal 9 3 5" xfId="995" xr:uid="{00000000-0005-0000-0000-000036200000}"/>
    <cellStyle name="Normal 9 3 5 2" xfId="3228" xr:uid="{00000000-0005-0000-0000-000037200000}"/>
    <cellStyle name="Normal 9 3 5 2 2" xfId="7451" xr:uid="{00000000-0005-0000-0000-000038200000}"/>
    <cellStyle name="Normal 9 3 5 2 2 2" xfId="15886" xr:uid="{1B63FAF9-1282-4CE4-9B06-F23D442286CC}"/>
    <cellStyle name="Normal 9 3 5 2 3" xfId="11668" xr:uid="{9ECE04EA-DE24-40CA-B998-91953AC78BEB}"/>
    <cellStyle name="Normal 9 3 5 3" xfId="5306" xr:uid="{00000000-0005-0000-0000-000039200000}"/>
    <cellStyle name="Normal 9 3 5 3 2" xfId="13741" xr:uid="{21DA6309-B161-42D1-8397-43DCA84C5383}"/>
    <cellStyle name="Normal 9 3 5 4" xfId="9523" xr:uid="{61CF6F4A-82F9-4579-A75B-0502BC127154}"/>
    <cellStyle name="Normal 9 3 6" xfId="1411" xr:uid="{00000000-0005-0000-0000-00003A200000}"/>
    <cellStyle name="Normal 9 3 6 2" xfId="3641" xr:uid="{00000000-0005-0000-0000-00003B200000}"/>
    <cellStyle name="Normal 9 3 6 2 2" xfId="7864" xr:uid="{00000000-0005-0000-0000-00003C200000}"/>
    <cellStyle name="Normal 9 3 6 2 2 2" xfId="16299" xr:uid="{F9FD45CC-51A9-4B47-81D4-B7CF5C4E8659}"/>
    <cellStyle name="Normal 9 3 6 2 3" xfId="12081" xr:uid="{AFF74B83-C93C-40FF-8BEF-E7A4912F7A99}"/>
    <cellStyle name="Normal 9 3 6 3" xfId="5719" xr:uid="{00000000-0005-0000-0000-00003D200000}"/>
    <cellStyle name="Normal 9 3 6 3 2" xfId="14154" xr:uid="{AAA8C03C-DBBD-4A76-9D5F-B2D487416B68}"/>
    <cellStyle name="Normal 9 3 6 4" xfId="9936" xr:uid="{7DCA82B8-0FBE-437C-9917-9A9CF4FA780F}"/>
    <cellStyle name="Normal 9 3 7" xfId="1824" xr:uid="{00000000-0005-0000-0000-00003E200000}"/>
    <cellStyle name="Normal 9 3 7 2" xfId="4054" xr:uid="{00000000-0005-0000-0000-00003F200000}"/>
    <cellStyle name="Normal 9 3 7 2 2" xfId="8277" xr:uid="{00000000-0005-0000-0000-000040200000}"/>
    <cellStyle name="Normal 9 3 7 2 2 2" xfId="16712" xr:uid="{013A009F-121C-4F5E-B953-6E9D891247FF}"/>
    <cellStyle name="Normal 9 3 7 2 3" xfId="12494" xr:uid="{822AB854-AD1E-4FF5-B25D-9FE8D04AD45C}"/>
    <cellStyle name="Normal 9 3 7 3" xfId="6132" xr:uid="{00000000-0005-0000-0000-000041200000}"/>
    <cellStyle name="Normal 9 3 7 3 2" xfId="14567" xr:uid="{C09F2559-2506-4D2D-9754-8EB3F80F859C}"/>
    <cellStyle name="Normal 9 3 7 4" xfId="10349" xr:uid="{644AD4E7-2043-46E6-A2F4-36BA121B9A80}"/>
    <cellStyle name="Normal 9 3 8" xfId="2238" xr:uid="{00000000-0005-0000-0000-000042200000}"/>
    <cellStyle name="Normal 9 3 8 2" xfId="4467" xr:uid="{00000000-0005-0000-0000-000043200000}"/>
    <cellStyle name="Normal 9 3 8 2 2" xfId="8690" xr:uid="{00000000-0005-0000-0000-000044200000}"/>
    <cellStyle name="Normal 9 3 8 2 2 2" xfId="17125" xr:uid="{9B39E33F-2E0D-41EA-80C0-E053A5384F71}"/>
    <cellStyle name="Normal 9 3 8 2 3" xfId="12907" xr:uid="{26A6B9D8-B33C-4A8D-815B-CD3C245B417C}"/>
    <cellStyle name="Normal 9 3 8 3" xfId="6545" xr:uid="{00000000-0005-0000-0000-000045200000}"/>
    <cellStyle name="Normal 9 3 8 3 2" xfId="14980" xr:uid="{55123597-486E-4B30-A58E-2F1F387E2A74}"/>
    <cellStyle name="Normal 9 3 8 4" xfId="10762" xr:uid="{20161467-DC7F-41AC-9586-8A5F974C85D1}"/>
    <cellStyle name="Normal 9 3 9" xfId="2674" xr:uid="{00000000-0005-0000-0000-000046200000}"/>
    <cellStyle name="Normal 9 3 9 2" xfId="6958" xr:uid="{00000000-0005-0000-0000-000047200000}"/>
    <cellStyle name="Normal 9 3 9 2 2" xfId="15393" xr:uid="{A514C869-0303-422B-8CD8-2A525EF7806B}"/>
    <cellStyle name="Normal 9 3 9 3" xfId="11175" xr:uid="{76B07E60-F927-4504-B063-BF89A503D12F}"/>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2 2 2" xfId="15895" xr:uid="{4AF52708-939A-460B-87B3-D0E2A1A40EAB}"/>
    <cellStyle name="Normal 9 5 2 2 2 3" xfId="11677" xr:uid="{D658C4F0-72EE-4C5C-A5DD-2A9AC2D803F5}"/>
    <cellStyle name="Normal 9 5 2 2 3" xfId="5315" xr:uid="{00000000-0005-0000-0000-00004F200000}"/>
    <cellStyle name="Normal 9 5 2 2 3 2" xfId="13750" xr:uid="{281F19C9-FD2A-42EF-8262-BDFC7FF97E5E}"/>
    <cellStyle name="Normal 9 5 2 2 4" xfId="9532" xr:uid="{1982C7E9-0ECB-4BD5-931B-E3F8532D4D8B}"/>
    <cellStyle name="Normal 9 5 2 3" xfId="1420" xr:uid="{00000000-0005-0000-0000-000050200000}"/>
    <cellStyle name="Normal 9 5 2 3 2" xfId="3650" xr:uid="{00000000-0005-0000-0000-000051200000}"/>
    <cellStyle name="Normal 9 5 2 3 2 2" xfId="7873" xr:uid="{00000000-0005-0000-0000-000052200000}"/>
    <cellStyle name="Normal 9 5 2 3 2 2 2" xfId="16308" xr:uid="{C1813F9F-8491-4071-804A-D8C28C7017A9}"/>
    <cellStyle name="Normal 9 5 2 3 2 3" xfId="12090" xr:uid="{708A18B1-3698-4221-B82A-D29BF8E02F2E}"/>
    <cellStyle name="Normal 9 5 2 3 3" xfId="5728" xr:uid="{00000000-0005-0000-0000-000053200000}"/>
    <cellStyle name="Normal 9 5 2 3 3 2" xfId="14163" xr:uid="{4E5C35DC-F02C-4699-A5CA-76A8069DF897}"/>
    <cellStyle name="Normal 9 5 2 3 4" xfId="9945" xr:uid="{7A71A5C7-EC49-4362-8476-3CD70549BA8E}"/>
    <cellStyle name="Normal 9 5 2 4" xfId="1833" xr:uid="{00000000-0005-0000-0000-000054200000}"/>
    <cellStyle name="Normal 9 5 2 4 2" xfId="4063" xr:uid="{00000000-0005-0000-0000-000055200000}"/>
    <cellStyle name="Normal 9 5 2 4 2 2" xfId="8286" xr:uid="{00000000-0005-0000-0000-000056200000}"/>
    <cellStyle name="Normal 9 5 2 4 2 2 2" xfId="16721" xr:uid="{FC440395-CEA2-4559-AFAE-95F823BBBB5E}"/>
    <cellStyle name="Normal 9 5 2 4 2 3" xfId="12503" xr:uid="{3B4F0A2A-DFFF-4515-8070-57F395874976}"/>
    <cellStyle name="Normal 9 5 2 4 3" xfId="6141" xr:uid="{00000000-0005-0000-0000-000057200000}"/>
    <cellStyle name="Normal 9 5 2 4 3 2" xfId="14576" xr:uid="{4FFD2D16-3095-465E-861B-39582DEC04CC}"/>
    <cellStyle name="Normal 9 5 2 4 4" xfId="10358" xr:uid="{05B45C29-6F79-430D-B6CF-DF3F3A8A837E}"/>
    <cellStyle name="Normal 9 5 2 5" xfId="2247" xr:uid="{00000000-0005-0000-0000-000058200000}"/>
    <cellStyle name="Normal 9 5 2 5 2" xfId="4476" xr:uid="{00000000-0005-0000-0000-000059200000}"/>
    <cellStyle name="Normal 9 5 2 5 2 2" xfId="8699" xr:uid="{00000000-0005-0000-0000-00005A200000}"/>
    <cellStyle name="Normal 9 5 2 5 2 2 2" xfId="17134" xr:uid="{179891B1-5A50-4D6F-ADE4-655CC31DEE08}"/>
    <cellStyle name="Normal 9 5 2 5 2 3" xfId="12916" xr:uid="{1C6FCE85-6BD5-47EE-A636-79027AC46C8A}"/>
    <cellStyle name="Normal 9 5 2 5 3" xfId="6554" xr:uid="{00000000-0005-0000-0000-00005B200000}"/>
    <cellStyle name="Normal 9 5 2 5 3 2" xfId="14989" xr:uid="{1570517F-A242-43E7-AC81-03C57333E17D}"/>
    <cellStyle name="Normal 9 5 2 5 4" xfId="10771" xr:uid="{63579B62-7B9B-4DC2-B90E-EEDCD2F70460}"/>
    <cellStyle name="Normal 9 5 2 6" xfId="2683" xr:uid="{00000000-0005-0000-0000-00005C200000}"/>
    <cellStyle name="Normal 9 5 2 6 2" xfId="6967" xr:uid="{00000000-0005-0000-0000-00005D200000}"/>
    <cellStyle name="Normal 9 5 2 6 2 2" xfId="15402" xr:uid="{F521857C-E67E-45E2-B838-88BBEAFA11A4}"/>
    <cellStyle name="Normal 9 5 2 6 3" xfId="11184" xr:uid="{F9204CEE-489F-4075-B378-95F16310847B}"/>
    <cellStyle name="Normal 9 5 2 7" xfId="4902" xr:uid="{00000000-0005-0000-0000-00005E200000}"/>
    <cellStyle name="Normal 9 5 2 7 2" xfId="13337" xr:uid="{D3EDDC0C-3510-4C96-9417-7CFDBF9700F5}"/>
    <cellStyle name="Normal 9 5 2 8" xfId="9119" xr:uid="{9032087C-E193-45AD-99F5-3D033DB32BE6}"/>
    <cellStyle name="Normal 9 5 3" xfId="1004" xr:uid="{00000000-0005-0000-0000-00005F200000}"/>
    <cellStyle name="Normal 9 5 3 2" xfId="3236" xr:uid="{00000000-0005-0000-0000-000060200000}"/>
    <cellStyle name="Normal 9 5 3 2 2" xfId="7459" xr:uid="{00000000-0005-0000-0000-000061200000}"/>
    <cellStyle name="Normal 9 5 3 2 2 2" xfId="15894" xr:uid="{33114534-43AA-4E54-B500-044BBB0AB64E}"/>
    <cellStyle name="Normal 9 5 3 2 3" xfId="11676" xr:uid="{5B6204B4-166A-43F5-A22A-0DF625811F50}"/>
    <cellStyle name="Normal 9 5 3 3" xfId="5314" xr:uid="{00000000-0005-0000-0000-000062200000}"/>
    <cellStyle name="Normal 9 5 3 3 2" xfId="13749" xr:uid="{4F5A422B-6FD8-47CD-A2CA-1ED4D99B1E81}"/>
    <cellStyle name="Normal 9 5 3 4" xfId="9531" xr:uid="{BC234BA6-DD7D-4F4E-9948-63B32B589D0E}"/>
    <cellStyle name="Normal 9 5 4" xfId="1419" xr:uid="{00000000-0005-0000-0000-000063200000}"/>
    <cellStyle name="Normal 9 5 4 2" xfId="3649" xr:uid="{00000000-0005-0000-0000-000064200000}"/>
    <cellStyle name="Normal 9 5 4 2 2" xfId="7872" xr:uid="{00000000-0005-0000-0000-000065200000}"/>
    <cellStyle name="Normal 9 5 4 2 2 2" xfId="16307" xr:uid="{8F1355A5-C1AB-4DDE-BC12-D440F5F336FE}"/>
    <cellStyle name="Normal 9 5 4 2 3" xfId="12089" xr:uid="{BB867DAB-F844-4E04-96ED-7783569CC94A}"/>
    <cellStyle name="Normal 9 5 4 3" xfId="5727" xr:uid="{00000000-0005-0000-0000-000066200000}"/>
    <cellStyle name="Normal 9 5 4 3 2" xfId="14162" xr:uid="{F97A343A-8B58-4B90-936A-179C395E50FC}"/>
    <cellStyle name="Normal 9 5 4 4" xfId="9944" xr:uid="{5F6363FB-132F-4C44-AEF6-E8A7F672BFD7}"/>
    <cellStyle name="Normal 9 5 5" xfId="1832" xr:uid="{00000000-0005-0000-0000-000067200000}"/>
    <cellStyle name="Normal 9 5 5 2" xfId="4062" xr:uid="{00000000-0005-0000-0000-000068200000}"/>
    <cellStyle name="Normal 9 5 5 2 2" xfId="8285" xr:uid="{00000000-0005-0000-0000-000069200000}"/>
    <cellStyle name="Normal 9 5 5 2 2 2" xfId="16720" xr:uid="{D99C85EA-98C0-4235-9876-635F1D69E9E8}"/>
    <cellStyle name="Normal 9 5 5 2 3" xfId="12502" xr:uid="{78839555-CCDE-4D2B-89DB-902FC2DBC722}"/>
    <cellStyle name="Normal 9 5 5 3" xfId="6140" xr:uid="{00000000-0005-0000-0000-00006A200000}"/>
    <cellStyle name="Normal 9 5 5 3 2" xfId="14575" xr:uid="{8E5F397C-B6D0-4918-AED9-95AC4F55E597}"/>
    <cellStyle name="Normal 9 5 5 4" xfId="10357" xr:uid="{D72BE979-BD6A-4B27-B9CD-61DEBBBB0706}"/>
    <cellStyle name="Normal 9 5 6" xfId="2246" xr:uid="{00000000-0005-0000-0000-00006B200000}"/>
    <cellStyle name="Normal 9 5 6 2" xfId="4475" xr:uid="{00000000-0005-0000-0000-00006C200000}"/>
    <cellStyle name="Normal 9 5 6 2 2" xfId="8698" xr:uid="{00000000-0005-0000-0000-00006D200000}"/>
    <cellStyle name="Normal 9 5 6 2 2 2" xfId="17133" xr:uid="{417A7798-2C42-4BA9-823F-785667BA0598}"/>
    <cellStyle name="Normal 9 5 6 2 3" xfId="12915" xr:uid="{3310938E-885F-4D50-BBD3-DBF02B61FE6A}"/>
    <cellStyle name="Normal 9 5 6 3" xfId="6553" xr:uid="{00000000-0005-0000-0000-00006E200000}"/>
    <cellStyle name="Normal 9 5 6 3 2" xfId="14988" xr:uid="{9BF814B6-E5E0-4360-9E46-715BC3828ADA}"/>
    <cellStyle name="Normal 9 5 6 4" xfId="10770" xr:uid="{DFD9B03B-17D4-41E8-9387-75368C9B97E8}"/>
    <cellStyle name="Normal 9 5 7" xfId="2682" xr:uid="{00000000-0005-0000-0000-00006F200000}"/>
    <cellStyle name="Normal 9 5 7 2" xfId="6966" xr:uid="{00000000-0005-0000-0000-000070200000}"/>
    <cellStyle name="Normal 9 5 7 2 2" xfId="15401" xr:uid="{44B87F42-0B20-4523-AAA7-3DB6B289E252}"/>
    <cellStyle name="Normal 9 5 7 3" xfId="11183" xr:uid="{33A4BA05-0996-4BE3-8270-CC1E5CC71B15}"/>
    <cellStyle name="Normal 9 5 8" xfId="4901" xr:uid="{00000000-0005-0000-0000-000071200000}"/>
    <cellStyle name="Normal 9 5 8 2" xfId="13336" xr:uid="{C134F16F-E3F7-40E9-B850-77EF049CA913}"/>
    <cellStyle name="Normal 9 5 9" xfId="9118" xr:uid="{69EEBDF5-D91A-4969-B2F9-35D768937463}"/>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2 2 2" xfId="15896" xr:uid="{723B26B8-DDED-4B9E-AF37-A6D70E3BE715}"/>
    <cellStyle name="Normal 9 6 2 2 3" xfId="11678" xr:uid="{54938271-A71A-4B38-8902-89F6E28CB145}"/>
    <cellStyle name="Normal 9 6 2 3" xfId="5316" xr:uid="{00000000-0005-0000-0000-000076200000}"/>
    <cellStyle name="Normal 9 6 2 3 2" xfId="13751" xr:uid="{675FD5AE-2D05-4F32-AAFD-861E708E6DFF}"/>
    <cellStyle name="Normal 9 6 2 4" xfId="9533" xr:uid="{7324F26D-3BAA-4A8F-A33C-DAC975161B27}"/>
    <cellStyle name="Normal 9 6 3" xfId="1421" xr:uid="{00000000-0005-0000-0000-000077200000}"/>
    <cellStyle name="Normal 9 6 3 2" xfId="3651" xr:uid="{00000000-0005-0000-0000-000078200000}"/>
    <cellStyle name="Normal 9 6 3 2 2" xfId="7874" xr:uid="{00000000-0005-0000-0000-000079200000}"/>
    <cellStyle name="Normal 9 6 3 2 2 2" xfId="16309" xr:uid="{37BF25A8-F863-4ECD-B576-DE96804D1181}"/>
    <cellStyle name="Normal 9 6 3 2 3" xfId="12091" xr:uid="{5370F5DE-01D1-430E-B963-9A01DDFC2957}"/>
    <cellStyle name="Normal 9 6 3 3" xfId="5729" xr:uid="{00000000-0005-0000-0000-00007A200000}"/>
    <cellStyle name="Normal 9 6 3 3 2" xfId="14164" xr:uid="{83549291-AD2C-4C17-B5C1-CEF654E4E385}"/>
    <cellStyle name="Normal 9 6 3 4" xfId="9946" xr:uid="{44026C29-3C90-4239-A588-4E0DD88CF981}"/>
    <cellStyle name="Normal 9 6 4" xfId="1834" xr:uid="{00000000-0005-0000-0000-00007B200000}"/>
    <cellStyle name="Normal 9 6 4 2" xfId="4064" xr:uid="{00000000-0005-0000-0000-00007C200000}"/>
    <cellStyle name="Normal 9 6 4 2 2" xfId="8287" xr:uid="{00000000-0005-0000-0000-00007D200000}"/>
    <cellStyle name="Normal 9 6 4 2 2 2" xfId="16722" xr:uid="{B13FA21C-B85D-4547-B19C-E0B84BD072F2}"/>
    <cellStyle name="Normal 9 6 4 2 3" xfId="12504" xr:uid="{1B419E30-F5A6-465F-AADB-0C1F12D7F13A}"/>
    <cellStyle name="Normal 9 6 4 3" xfId="6142" xr:uid="{00000000-0005-0000-0000-00007E200000}"/>
    <cellStyle name="Normal 9 6 4 3 2" xfId="14577" xr:uid="{A36598B5-E539-479D-80F5-94CCCBFDCC11}"/>
    <cellStyle name="Normal 9 6 4 4" xfId="10359" xr:uid="{8FBFADC9-A31F-4EDE-ADB5-AE7F07E6B01E}"/>
    <cellStyle name="Normal 9 6 5" xfId="2248" xr:uid="{00000000-0005-0000-0000-00007F200000}"/>
    <cellStyle name="Normal 9 6 5 2" xfId="4477" xr:uid="{00000000-0005-0000-0000-000080200000}"/>
    <cellStyle name="Normal 9 6 5 2 2" xfId="8700" xr:uid="{00000000-0005-0000-0000-000081200000}"/>
    <cellStyle name="Normal 9 6 5 2 2 2" xfId="17135" xr:uid="{323CF3AA-F0C8-46D4-8306-A2EEC937BF30}"/>
    <cellStyle name="Normal 9 6 5 2 3" xfId="12917" xr:uid="{C5B59DB5-D232-49EC-97E6-C3C0AE99E0CD}"/>
    <cellStyle name="Normal 9 6 5 3" xfId="6555" xr:uid="{00000000-0005-0000-0000-000082200000}"/>
    <cellStyle name="Normal 9 6 5 3 2" xfId="14990" xr:uid="{D847F537-7077-46BD-A105-A1E6BF44473E}"/>
    <cellStyle name="Normal 9 6 5 4" xfId="10772" xr:uid="{F2623924-015E-4D1A-852B-AE904548CEB8}"/>
    <cellStyle name="Normal 9 6 6" xfId="2684" xr:uid="{00000000-0005-0000-0000-000083200000}"/>
    <cellStyle name="Normal 9 6 6 2" xfId="6968" xr:uid="{00000000-0005-0000-0000-000084200000}"/>
    <cellStyle name="Normal 9 6 6 2 2" xfId="15403" xr:uid="{298CA349-0087-442C-8335-0BF1A5471C82}"/>
    <cellStyle name="Normal 9 6 6 3" xfId="11185" xr:uid="{15498669-C31C-4DFF-ABC3-DE921FCC22B3}"/>
    <cellStyle name="Normal 9 6 7" xfId="4903" xr:uid="{00000000-0005-0000-0000-000085200000}"/>
    <cellStyle name="Normal 9 6 7 2" xfId="13338" xr:uid="{B518D5F9-2700-4A66-A6BA-C800AE81AF3B}"/>
    <cellStyle name="Normal 9 6 8" xfId="9120" xr:uid="{6063E29A-3FDA-4157-B351-BA5EAE23E4F7}"/>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0 2 2" xfId="15484" xr:uid="{C362BF54-681D-4AE9-A6AC-AD89C12B6FD2}"/>
    <cellStyle name="Note 2 2 10 3" xfId="11266" xr:uid="{79A53100-768B-4877-8D08-25A4BA8D8EAC}"/>
    <cellStyle name="Note 2 2 11" xfId="4904" xr:uid="{00000000-0005-0000-0000-000094200000}"/>
    <cellStyle name="Note 2 2 11 2" xfId="13339" xr:uid="{C17B2F8E-902A-45CC-AC5E-78196C9C1132}"/>
    <cellStyle name="Note 2 2 12" xfId="9121" xr:uid="{9A7F92A7-089E-45FB-9696-7DB9F049A2B3}"/>
    <cellStyle name="Note 2 2 2" xfId="547" xr:uid="{00000000-0005-0000-0000-000095200000}"/>
    <cellStyle name="Note 2 2 2 10" xfId="4905" xr:uid="{00000000-0005-0000-0000-000096200000}"/>
    <cellStyle name="Note 2 2 2 10 2" xfId="13340" xr:uid="{C0710540-6A2C-497C-8883-2984D78A4D4E}"/>
    <cellStyle name="Note 2 2 2 11" xfId="9122" xr:uid="{0823FABD-6243-4325-A3D7-5502E7B32914}"/>
    <cellStyle name="Note 2 2 2 2" xfId="548" xr:uid="{00000000-0005-0000-0000-000097200000}"/>
    <cellStyle name="Note 2 2 2 2 10" xfId="9123" xr:uid="{EE96A520-AC41-4DED-BC1D-068EF62C3676}"/>
    <cellStyle name="Note 2 2 2 2 2" xfId="1009" xr:uid="{00000000-0005-0000-0000-000098200000}"/>
    <cellStyle name="Note 2 2 2 2 2 2" xfId="3241" xr:uid="{00000000-0005-0000-0000-000099200000}"/>
    <cellStyle name="Note 2 2 2 2 2 2 2" xfId="7464" xr:uid="{00000000-0005-0000-0000-00009A200000}"/>
    <cellStyle name="Note 2 2 2 2 2 2 2 2" xfId="15899" xr:uid="{375B9EC6-495D-4916-8A88-2F4E9509C073}"/>
    <cellStyle name="Note 2 2 2 2 2 2 3" xfId="11681" xr:uid="{921EA56E-55EF-48CD-BF2F-5226E8002D55}"/>
    <cellStyle name="Note 2 2 2 2 2 3" xfId="5319" xr:uid="{00000000-0005-0000-0000-00009B200000}"/>
    <cellStyle name="Note 2 2 2 2 2 3 2" xfId="13754" xr:uid="{A418B97C-304B-46A9-9231-831DE4D68A60}"/>
    <cellStyle name="Note 2 2 2 2 2 4" xfId="9536" xr:uid="{912E5F46-1062-4B56-A8A8-1AB7AA327269}"/>
    <cellStyle name="Note 2 2 2 2 3" xfId="1424" xr:uid="{00000000-0005-0000-0000-00009C200000}"/>
    <cellStyle name="Note 2 2 2 2 3 2" xfId="3654" xr:uid="{00000000-0005-0000-0000-00009D200000}"/>
    <cellStyle name="Note 2 2 2 2 3 2 2" xfId="7877" xr:uid="{00000000-0005-0000-0000-00009E200000}"/>
    <cellStyle name="Note 2 2 2 2 3 2 2 2" xfId="16312" xr:uid="{FEB98629-6EED-4A70-9105-DE549683C6F7}"/>
    <cellStyle name="Note 2 2 2 2 3 2 3" xfId="12094" xr:uid="{70286382-FFC8-4F75-9966-2C232D716373}"/>
    <cellStyle name="Note 2 2 2 2 3 3" xfId="5732" xr:uid="{00000000-0005-0000-0000-00009F200000}"/>
    <cellStyle name="Note 2 2 2 2 3 3 2" xfId="14167" xr:uid="{1E5CBD33-0436-4000-ABA7-245E98F81AF4}"/>
    <cellStyle name="Note 2 2 2 2 3 4" xfId="9949" xr:uid="{45DE9404-B738-4361-9BA6-12491D839CBF}"/>
    <cellStyle name="Note 2 2 2 2 4" xfId="1838" xr:uid="{00000000-0005-0000-0000-0000A0200000}"/>
    <cellStyle name="Note 2 2 2 2 4 2" xfId="4067" xr:uid="{00000000-0005-0000-0000-0000A1200000}"/>
    <cellStyle name="Note 2 2 2 2 4 2 2" xfId="8290" xr:uid="{00000000-0005-0000-0000-0000A2200000}"/>
    <cellStyle name="Note 2 2 2 2 4 2 2 2" xfId="16725" xr:uid="{34263154-0884-4FE8-A967-356A7EFA3D6E}"/>
    <cellStyle name="Note 2 2 2 2 4 2 3" xfId="12507" xr:uid="{E3FA1824-1E38-430C-8035-75E3A2DB06FC}"/>
    <cellStyle name="Note 2 2 2 2 4 3" xfId="6145" xr:uid="{00000000-0005-0000-0000-0000A3200000}"/>
    <cellStyle name="Note 2 2 2 2 4 3 2" xfId="14580" xr:uid="{87AD2F9F-3677-454D-AB5C-5593D92F999C}"/>
    <cellStyle name="Note 2 2 2 2 4 4" xfId="10362" xr:uid="{228D5857-FDA0-47CB-B7C6-BD9D35D3E7D5}"/>
    <cellStyle name="Note 2 2 2 2 5" xfId="2251" xr:uid="{00000000-0005-0000-0000-0000A4200000}"/>
    <cellStyle name="Note 2 2 2 2 5 2" xfId="4480" xr:uid="{00000000-0005-0000-0000-0000A5200000}"/>
    <cellStyle name="Note 2 2 2 2 5 2 2" xfId="8703" xr:uid="{00000000-0005-0000-0000-0000A6200000}"/>
    <cellStyle name="Note 2 2 2 2 5 2 2 2" xfId="17138" xr:uid="{712161F8-B73F-4C49-87AE-CF78B24F3FBF}"/>
    <cellStyle name="Note 2 2 2 2 5 2 3" xfId="12920" xr:uid="{F5968788-1665-4C13-A24B-9968CE462334}"/>
    <cellStyle name="Note 2 2 2 2 5 3" xfId="6558" xr:uid="{00000000-0005-0000-0000-0000A7200000}"/>
    <cellStyle name="Note 2 2 2 2 5 3 2" xfId="14993" xr:uid="{20469D35-AB3C-4D27-BD38-C8C86BA1AE89}"/>
    <cellStyle name="Note 2 2 2 2 5 4" xfId="10775" xr:uid="{89D31284-5D41-47C0-9E4B-0B2BC28E0594}"/>
    <cellStyle name="Note 2 2 2 2 6" xfId="2687" xr:uid="{00000000-0005-0000-0000-0000A8200000}"/>
    <cellStyle name="Note 2 2 2 2 6 2" xfId="6971" xr:uid="{00000000-0005-0000-0000-0000A9200000}"/>
    <cellStyle name="Note 2 2 2 2 6 2 2" xfId="15406" xr:uid="{4F3DDF7B-6FA9-4F5C-B75A-9A223F9A31ED}"/>
    <cellStyle name="Note 2 2 2 2 6 3" xfId="11188" xr:uid="{76353449-EF16-42A7-B089-FD1A6C8DF95A}"/>
    <cellStyle name="Note 2 2 2 2 7" xfId="2746" xr:uid="{00000000-0005-0000-0000-0000AA200000}"/>
    <cellStyle name="Note 2 2 2 2 8" xfId="2827" xr:uid="{00000000-0005-0000-0000-0000AB200000}"/>
    <cellStyle name="Note 2 2 2 2 8 2" xfId="7051" xr:uid="{00000000-0005-0000-0000-0000AC200000}"/>
    <cellStyle name="Note 2 2 2 2 8 2 2" xfId="15486" xr:uid="{D9C9AF66-D77C-46C9-A7BE-53F2A21488BE}"/>
    <cellStyle name="Note 2 2 2 2 8 3" xfId="11268" xr:uid="{6A76C520-5FEA-4FB3-8279-7AA6C4865253}"/>
    <cellStyle name="Note 2 2 2 2 9" xfId="4906" xr:uid="{00000000-0005-0000-0000-0000AD200000}"/>
    <cellStyle name="Note 2 2 2 2 9 2" xfId="13341" xr:uid="{B367F9EC-B543-48CA-B094-C6BBE74FB953}"/>
    <cellStyle name="Note 2 2 2 3" xfId="1008" xr:uid="{00000000-0005-0000-0000-0000AE200000}"/>
    <cellStyle name="Note 2 2 2 3 2" xfId="3240" xr:uid="{00000000-0005-0000-0000-0000AF200000}"/>
    <cellStyle name="Note 2 2 2 3 2 2" xfId="7463" xr:uid="{00000000-0005-0000-0000-0000B0200000}"/>
    <cellStyle name="Note 2 2 2 3 2 2 2" xfId="15898" xr:uid="{1B925E7A-4DC2-47C0-9C01-D4653D063C3D}"/>
    <cellStyle name="Note 2 2 2 3 2 3" xfId="11680" xr:uid="{C23BC91E-3C51-4A86-A34A-74E968699664}"/>
    <cellStyle name="Note 2 2 2 3 3" xfId="5318" xr:uid="{00000000-0005-0000-0000-0000B1200000}"/>
    <cellStyle name="Note 2 2 2 3 3 2" xfId="13753" xr:uid="{37E47260-B755-493E-83D4-68BEAC3374D1}"/>
    <cellStyle name="Note 2 2 2 3 4" xfId="9535" xr:uid="{CEA9153B-E9BC-4EE2-B67A-16DEBB14A2C6}"/>
    <cellStyle name="Note 2 2 2 4" xfId="1423" xr:uid="{00000000-0005-0000-0000-0000B2200000}"/>
    <cellStyle name="Note 2 2 2 4 2" xfId="3653" xr:uid="{00000000-0005-0000-0000-0000B3200000}"/>
    <cellStyle name="Note 2 2 2 4 2 2" xfId="7876" xr:uid="{00000000-0005-0000-0000-0000B4200000}"/>
    <cellStyle name="Note 2 2 2 4 2 2 2" xfId="16311" xr:uid="{A2C760C4-0601-4691-926F-A80D0993AB18}"/>
    <cellStyle name="Note 2 2 2 4 2 3" xfId="12093" xr:uid="{FE1FA41F-66C1-4EBF-9D19-339CCFF3E134}"/>
    <cellStyle name="Note 2 2 2 4 3" xfId="5731" xr:uid="{00000000-0005-0000-0000-0000B5200000}"/>
    <cellStyle name="Note 2 2 2 4 3 2" xfId="14166" xr:uid="{CBFD0533-0D1E-41BD-9F03-358C00D6F570}"/>
    <cellStyle name="Note 2 2 2 4 4" xfId="9948" xr:uid="{8A77DEA2-1686-46FD-8ABD-7CFAF39F667B}"/>
    <cellStyle name="Note 2 2 2 5" xfId="1837" xr:uid="{00000000-0005-0000-0000-0000B6200000}"/>
    <cellStyle name="Note 2 2 2 5 2" xfId="4066" xr:uid="{00000000-0005-0000-0000-0000B7200000}"/>
    <cellStyle name="Note 2 2 2 5 2 2" xfId="8289" xr:uid="{00000000-0005-0000-0000-0000B8200000}"/>
    <cellStyle name="Note 2 2 2 5 2 2 2" xfId="16724" xr:uid="{900B60B3-5D36-4CB6-858A-9400328CC8B0}"/>
    <cellStyle name="Note 2 2 2 5 2 3" xfId="12506" xr:uid="{F5CE230A-0FF6-4D4C-AC46-092D4968FB13}"/>
    <cellStyle name="Note 2 2 2 5 3" xfId="6144" xr:uid="{00000000-0005-0000-0000-0000B9200000}"/>
    <cellStyle name="Note 2 2 2 5 3 2" xfId="14579" xr:uid="{96B3C8D2-B606-490F-A4DF-219E0571FF54}"/>
    <cellStyle name="Note 2 2 2 5 4" xfId="10361" xr:uid="{54CF249A-AFDE-4701-AE09-49A521E28798}"/>
    <cellStyle name="Note 2 2 2 6" xfId="2250" xr:uid="{00000000-0005-0000-0000-0000BA200000}"/>
    <cellStyle name="Note 2 2 2 6 2" xfId="4479" xr:uid="{00000000-0005-0000-0000-0000BB200000}"/>
    <cellStyle name="Note 2 2 2 6 2 2" xfId="8702" xr:uid="{00000000-0005-0000-0000-0000BC200000}"/>
    <cellStyle name="Note 2 2 2 6 2 2 2" xfId="17137" xr:uid="{7C0A266C-7770-435B-9CCC-3C451069274F}"/>
    <cellStyle name="Note 2 2 2 6 2 3" xfId="12919" xr:uid="{8EFC6F28-0CCB-41EA-9003-A9464F94903F}"/>
    <cellStyle name="Note 2 2 2 6 3" xfId="6557" xr:uid="{00000000-0005-0000-0000-0000BD200000}"/>
    <cellStyle name="Note 2 2 2 6 3 2" xfId="14992" xr:uid="{89D0F1E8-71D3-4DB1-9AEE-9BD88CC634E5}"/>
    <cellStyle name="Note 2 2 2 6 4" xfId="10774" xr:uid="{3272A360-232C-49AA-B23F-72EF62F3948D}"/>
    <cellStyle name="Note 2 2 2 7" xfId="2686" xr:uid="{00000000-0005-0000-0000-0000BE200000}"/>
    <cellStyle name="Note 2 2 2 7 2" xfId="6970" xr:uid="{00000000-0005-0000-0000-0000BF200000}"/>
    <cellStyle name="Note 2 2 2 7 2 2" xfId="15405" xr:uid="{D2CA1A80-28FD-4F59-8151-5413BC312DD4}"/>
    <cellStyle name="Note 2 2 2 7 3" xfId="11187" xr:uid="{640357C1-111C-4F25-BDDE-4FCD301B0392}"/>
    <cellStyle name="Note 2 2 2 8" xfId="2745" xr:uid="{00000000-0005-0000-0000-0000C0200000}"/>
    <cellStyle name="Note 2 2 2 9" xfId="2826" xr:uid="{00000000-0005-0000-0000-0000C1200000}"/>
    <cellStyle name="Note 2 2 2 9 2" xfId="7050" xr:uid="{00000000-0005-0000-0000-0000C2200000}"/>
    <cellStyle name="Note 2 2 2 9 2 2" xfId="15485" xr:uid="{2F269B13-7645-46EB-81CA-29A1C32DBEF1}"/>
    <cellStyle name="Note 2 2 2 9 3" xfId="11267" xr:uid="{E1B2F508-9189-4C64-AC1F-0BF42BC7A7D4}"/>
    <cellStyle name="Note 2 2 3" xfId="549" xr:uid="{00000000-0005-0000-0000-0000C3200000}"/>
    <cellStyle name="Note 2 2 3 10" xfId="9124" xr:uid="{879237C1-0619-47BE-8F3D-E2C3172F9927}"/>
    <cellStyle name="Note 2 2 3 2" xfId="1010" xr:uid="{00000000-0005-0000-0000-0000C4200000}"/>
    <cellStyle name="Note 2 2 3 2 2" xfId="3242" xr:uid="{00000000-0005-0000-0000-0000C5200000}"/>
    <cellStyle name="Note 2 2 3 2 2 2" xfId="7465" xr:uid="{00000000-0005-0000-0000-0000C6200000}"/>
    <cellStyle name="Note 2 2 3 2 2 2 2" xfId="15900" xr:uid="{62F8C931-D479-48FD-A829-B67A9BD633E0}"/>
    <cellStyle name="Note 2 2 3 2 2 3" xfId="11682" xr:uid="{3A2C8268-20A1-4E13-8203-9660C36F0020}"/>
    <cellStyle name="Note 2 2 3 2 3" xfId="5320" xr:uid="{00000000-0005-0000-0000-0000C7200000}"/>
    <cellStyle name="Note 2 2 3 2 3 2" xfId="13755" xr:uid="{9CC9C1E4-E75B-4A3A-8026-8AC3049F9764}"/>
    <cellStyle name="Note 2 2 3 2 4" xfId="9537" xr:uid="{43E93A5B-FDB8-4A91-93D7-B25AC4794E6C}"/>
    <cellStyle name="Note 2 2 3 3" xfId="1425" xr:uid="{00000000-0005-0000-0000-0000C8200000}"/>
    <cellStyle name="Note 2 2 3 3 2" xfId="3655" xr:uid="{00000000-0005-0000-0000-0000C9200000}"/>
    <cellStyle name="Note 2 2 3 3 2 2" xfId="7878" xr:uid="{00000000-0005-0000-0000-0000CA200000}"/>
    <cellStyle name="Note 2 2 3 3 2 2 2" xfId="16313" xr:uid="{1361D404-F60B-4F1B-9A77-DC4CFE8E2591}"/>
    <cellStyle name="Note 2 2 3 3 2 3" xfId="12095" xr:uid="{5579B54A-DDAC-4D7A-BB89-A50850105304}"/>
    <cellStyle name="Note 2 2 3 3 3" xfId="5733" xr:uid="{00000000-0005-0000-0000-0000CB200000}"/>
    <cellStyle name="Note 2 2 3 3 3 2" xfId="14168" xr:uid="{12C772CE-4ADB-4DC3-A48D-81ACBA2F9B0E}"/>
    <cellStyle name="Note 2 2 3 3 4" xfId="9950" xr:uid="{75E24E5F-3EB9-4A9F-848A-411AF1301253}"/>
    <cellStyle name="Note 2 2 3 4" xfId="1839" xr:uid="{00000000-0005-0000-0000-0000CC200000}"/>
    <cellStyle name="Note 2 2 3 4 2" xfId="4068" xr:uid="{00000000-0005-0000-0000-0000CD200000}"/>
    <cellStyle name="Note 2 2 3 4 2 2" xfId="8291" xr:uid="{00000000-0005-0000-0000-0000CE200000}"/>
    <cellStyle name="Note 2 2 3 4 2 2 2" xfId="16726" xr:uid="{14657D0D-8B32-4F53-8965-8B7060862CD2}"/>
    <cellStyle name="Note 2 2 3 4 2 3" xfId="12508" xr:uid="{CDADFFF4-156F-414E-BA91-C65F049ABEEA}"/>
    <cellStyle name="Note 2 2 3 4 3" xfId="6146" xr:uid="{00000000-0005-0000-0000-0000CF200000}"/>
    <cellStyle name="Note 2 2 3 4 3 2" xfId="14581" xr:uid="{96A39D42-D884-41CB-BC57-5BC92FBFDE6B}"/>
    <cellStyle name="Note 2 2 3 4 4" xfId="10363" xr:uid="{F81F8B77-80FB-46BA-BE5F-A00494034EBE}"/>
    <cellStyle name="Note 2 2 3 5" xfId="2252" xr:uid="{00000000-0005-0000-0000-0000D0200000}"/>
    <cellStyle name="Note 2 2 3 5 2" xfId="4481" xr:uid="{00000000-0005-0000-0000-0000D1200000}"/>
    <cellStyle name="Note 2 2 3 5 2 2" xfId="8704" xr:uid="{00000000-0005-0000-0000-0000D2200000}"/>
    <cellStyle name="Note 2 2 3 5 2 2 2" xfId="17139" xr:uid="{8EC49C10-0040-441B-A1DA-CB4E56240B49}"/>
    <cellStyle name="Note 2 2 3 5 2 3" xfId="12921" xr:uid="{8014E9BE-5497-4133-B84F-0FC17AE24DE5}"/>
    <cellStyle name="Note 2 2 3 5 3" xfId="6559" xr:uid="{00000000-0005-0000-0000-0000D3200000}"/>
    <cellStyle name="Note 2 2 3 5 3 2" xfId="14994" xr:uid="{6D8EEA76-0982-488C-9F6D-44C0AF69FA4A}"/>
    <cellStyle name="Note 2 2 3 5 4" xfId="10776" xr:uid="{37C38F82-6653-423D-B666-292EAFB9C1BE}"/>
    <cellStyle name="Note 2 2 3 6" xfId="2688" xr:uid="{00000000-0005-0000-0000-0000D4200000}"/>
    <cellStyle name="Note 2 2 3 6 2" xfId="6972" xr:uid="{00000000-0005-0000-0000-0000D5200000}"/>
    <cellStyle name="Note 2 2 3 6 2 2" xfId="15407" xr:uid="{2C5695E5-DD0D-4C14-804A-F0B9C785C3E0}"/>
    <cellStyle name="Note 2 2 3 6 3" xfId="11189" xr:uid="{E39D9F15-0E78-48A6-9BC3-F27D4BD08677}"/>
    <cellStyle name="Note 2 2 3 7" xfId="2747" xr:uid="{00000000-0005-0000-0000-0000D6200000}"/>
    <cellStyle name="Note 2 2 3 8" xfId="2828" xr:uid="{00000000-0005-0000-0000-0000D7200000}"/>
    <cellStyle name="Note 2 2 3 8 2" xfId="7052" xr:uid="{00000000-0005-0000-0000-0000D8200000}"/>
    <cellStyle name="Note 2 2 3 8 2 2" xfId="15487" xr:uid="{F7470159-DEBD-4245-A849-3E41C9760E06}"/>
    <cellStyle name="Note 2 2 3 8 3" xfId="11269" xr:uid="{F5928216-C1B1-447A-B24F-9138993255B8}"/>
    <cellStyle name="Note 2 2 3 9" xfId="4907" xr:uid="{00000000-0005-0000-0000-0000D9200000}"/>
    <cellStyle name="Note 2 2 3 9 2" xfId="13342" xr:uid="{93CC1450-B8AD-4303-8AC6-ABC3E2D1FB70}"/>
    <cellStyle name="Note 2 2 4" xfId="1007" xr:uid="{00000000-0005-0000-0000-0000DA200000}"/>
    <cellStyle name="Note 2 2 4 2" xfId="3239" xr:uid="{00000000-0005-0000-0000-0000DB200000}"/>
    <cellStyle name="Note 2 2 4 2 2" xfId="7462" xr:uid="{00000000-0005-0000-0000-0000DC200000}"/>
    <cellStyle name="Note 2 2 4 2 2 2" xfId="15897" xr:uid="{F946FF64-C3A3-4D37-A61B-481D2F6EE7C7}"/>
    <cellStyle name="Note 2 2 4 2 3" xfId="11679" xr:uid="{3DFBA1DA-630E-4AE6-9CF9-BCF4E706F7F4}"/>
    <cellStyle name="Note 2 2 4 3" xfId="5317" xr:uid="{00000000-0005-0000-0000-0000DD200000}"/>
    <cellStyle name="Note 2 2 4 3 2" xfId="13752" xr:uid="{8A4AAAA5-65B9-4CC8-8A96-31A634789DD2}"/>
    <cellStyle name="Note 2 2 4 4" xfId="9534" xr:uid="{F7EF5983-3171-42C7-ACF1-497815EE2F48}"/>
    <cellStyle name="Note 2 2 5" xfId="1422" xr:uid="{00000000-0005-0000-0000-0000DE200000}"/>
    <cellStyle name="Note 2 2 5 2" xfId="3652" xr:uid="{00000000-0005-0000-0000-0000DF200000}"/>
    <cellStyle name="Note 2 2 5 2 2" xfId="7875" xr:uid="{00000000-0005-0000-0000-0000E0200000}"/>
    <cellStyle name="Note 2 2 5 2 2 2" xfId="16310" xr:uid="{3A5442B2-3B17-4C1C-92C7-4C9B9F48AD57}"/>
    <cellStyle name="Note 2 2 5 2 3" xfId="12092" xr:uid="{F3CCACCC-6994-4DF0-B84B-C4A246A8C7DF}"/>
    <cellStyle name="Note 2 2 5 3" xfId="5730" xr:uid="{00000000-0005-0000-0000-0000E1200000}"/>
    <cellStyle name="Note 2 2 5 3 2" xfId="14165" xr:uid="{1E920ECC-6118-40B2-93C9-AEF3D3AE722B}"/>
    <cellStyle name="Note 2 2 5 4" xfId="9947" xr:uid="{5B38B47A-D6D9-420E-A1E8-1C8B266552CD}"/>
    <cellStyle name="Note 2 2 6" xfId="1836" xr:uid="{00000000-0005-0000-0000-0000E2200000}"/>
    <cellStyle name="Note 2 2 6 2" xfId="4065" xr:uid="{00000000-0005-0000-0000-0000E3200000}"/>
    <cellStyle name="Note 2 2 6 2 2" xfId="8288" xr:uid="{00000000-0005-0000-0000-0000E4200000}"/>
    <cellStyle name="Note 2 2 6 2 2 2" xfId="16723" xr:uid="{518C87DA-67FE-421C-B390-3B90A9B49757}"/>
    <cellStyle name="Note 2 2 6 2 3" xfId="12505" xr:uid="{83422653-5E03-4BFE-861D-D844F79E0677}"/>
    <cellStyle name="Note 2 2 6 3" xfId="6143" xr:uid="{00000000-0005-0000-0000-0000E5200000}"/>
    <cellStyle name="Note 2 2 6 3 2" xfId="14578" xr:uid="{53971571-131E-42B7-8027-53240111CFB9}"/>
    <cellStyle name="Note 2 2 6 4" xfId="10360" xr:uid="{2A2F62EC-987F-45FB-9695-8B0A92095680}"/>
    <cellStyle name="Note 2 2 7" xfId="2249" xr:uid="{00000000-0005-0000-0000-0000E6200000}"/>
    <cellStyle name="Note 2 2 7 2" xfId="4478" xr:uid="{00000000-0005-0000-0000-0000E7200000}"/>
    <cellStyle name="Note 2 2 7 2 2" xfId="8701" xr:uid="{00000000-0005-0000-0000-0000E8200000}"/>
    <cellStyle name="Note 2 2 7 2 2 2" xfId="17136" xr:uid="{362453E9-CEAB-417C-BB75-B18EAE043ABF}"/>
    <cellStyle name="Note 2 2 7 2 3" xfId="12918" xr:uid="{612F4BD6-10CF-4EE6-91DF-5E6A94164432}"/>
    <cellStyle name="Note 2 2 7 3" xfId="6556" xr:uid="{00000000-0005-0000-0000-0000E9200000}"/>
    <cellStyle name="Note 2 2 7 3 2" xfId="14991" xr:uid="{DC5FF021-6024-4906-8270-D172CF10E8DD}"/>
    <cellStyle name="Note 2 2 7 4" xfId="10773" xr:uid="{768E9C01-2473-474C-AFA7-AE3C4074C8B2}"/>
    <cellStyle name="Note 2 2 8" xfId="2685" xr:uid="{00000000-0005-0000-0000-0000EA200000}"/>
    <cellStyle name="Note 2 2 8 2" xfId="6969" xr:uid="{00000000-0005-0000-0000-0000EB200000}"/>
    <cellStyle name="Note 2 2 8 2 2" xfId="15404" xr:uid="{5AE8BF3B-F7CE-4BCE-A7E5-4C5F55E4BABF}"/>
    <cellStyle name="Note 2 2 8 3" xfId="11186" xr:uid="{FC3A6209-BB31-4162-91FB-7D4573AB9A2D}"/>
    <cellStyle name="Note 2 2 9" xfId="2744" xr:uid="{00000000-0005-0000-0000-0000EC200000}"/>
    <cellStyle name="Note 2 3" xfId="550" xr:uid="{00000000-0005-0000-0000-0000ED200000}"/>
    <cellStyle name="Note 2 3 10" xfId="4908" xr:uid="{00000000-0005-0000-0000-0000EE200000}"/>
    <cellStyle name="Note 2 3 10 2" xfId="13343" xr:uid="{88C0DA4A-B5C8-40AF-9868-3F065E73D461}"/>
    <cellStyle name="Note 2 3 11" xfId="9125" xr:uid="{1B9CADA2-C26A-4059-A4E0-DF9FA312943C}"/>
    <cellStyle name="Note 2 3 2" xfId="551" xr:uid="{00000000-0005-0000-0000-0000EF200000}"/>
    <cellStyle name="Note 2 3 2 10" xfId="9126" xr:uid="{3F672F39-AB15-46A7-B1BA-224718ADF309}"/>
    <cellStyle name="Note 2 3 2 2" xfId="1012" xr:uid="{00000000-0005-0000-0000-0000F0200000}"/>
    <cellStyle name="Note 2 3 2 2 2" xfId="3244" xr:uid="{00000000-0005-0000-0000-0000F1200000}"/>
    <cellStyle name="Note 2 3 2 2 2 2" xfId="7467" xr:uid="{00000000-0005-0000-0000-0000F2200000}"/>
    <cellStyle name="Note 2 3 2 2 2 2 2" xfId="15902" xr:uid="{10FDEB80-FAF6-451F-B9B8-4054F8E78A62}"/>
    <cellStyle name="Note 2 3 2 2 2 3" xfId="11684" xr:uid="{5AD357FF-EF15-4683-B85C-F3987674BF58}"/>
    <cellStyle name="Note 2 3 2 2 3" xfId="5322" xr:uid="{00000000-0005-0000-0000-0000F3200000}"/>
    <cellStyle name="Note 2 3 2 2 3 2" xfId="13757" xr:uid="{1CE6A65A-37C5-40BD-A6A5-25FC1AC474E5}"/>
    <cellStyle name="Note 2 3 2 2 4" xfId="9539" xr:uid="{F8E98F10-4DEE-467C-883B-4B73FF3DE27C}"/>
    <cellStyle name="Note 2 3 2 3" xfId="1427" xr:uid="{00000000-0005-0000-0000-0000F4200000}"/>
    <cellStyle name="Note 2 3 2 3 2" xfId="3657" xr:uid="{00000000-0005-0000-0000-0000F5200000}"/>
    <cellStyle name="Note 2 3 2 3 2 2" xfId="7880" xr:uid="{00000000-0005-0000-0000-0000F6200000}"/>
    <cellStyle name="Note 2 3 2 3 2 2 2" xfId="16315" xr:uid="{2E4999A8-4871-4496-8906-951506B236C9}"/>
    <cellStyle name="Note 2 3 2 3 2 3" xfId="12097" xr:uid="{B86BD805-669B-48AD-9F52-DB2E05594B65}"/>
    <cellStyle name="Note 2 3 2 3 3" xfId="5735" xr:uid="{00000000-0005-0000-0000-0000F7200000}"/>
    <cellStyle name="Note 2 3 2 3 3 2" xfId="14170" xr:uid="{BA422AD3-6676-4303-84C7-4C923DBD674C}"/>
    <cellStyle name="Note 2 3 2 3 4" xfId="9952" xr:uid="{AE9E9A88-5FC6-4466-ABFB-96BB72546237}"/>
    <cellStyle name="Note 2 3 2 4" xfId="1841" xr:uid="{00000000-0005-0000-0000-0000F8200000}"/>
    <cellStyle name="Note 2 3 2 4 2" xfId="4070" xr:uid="{00000000-0005-0000-0000-0000F9200000}"/>
    <cellStyle name="Note 2 3 2 4 2 2" xfId="8293" xr:uid="{00000000-0005-0000-0000-0000FA200000}"/>
    <cellStyle name="Note 2 3 2 4 2 2 2" xfId="16728" xr:uid="{4F1002E3-DB3C-4318-98EF-B0DD784C2A3F}"/>
    <cellStyle name="Note 2 3 2 4 2 3" xfId="12510" xr:uid="{886AD3A1-537F-4E0B-9787-E28400148E7B}"/>
    <cellStyle name="Note 2 3 2 4 3" xfId="6148" xr:uid="{00000000-0005-0000-0000-0000FB200000}"/>
    <cellStyle name="Note 2 3 2 4 3 2" xfId="14583" xr:uid="{B06E0F71-0962-4BD3-AACA-3D07F60B405F}"/>
    <cellStyle name="Note 2 3 2 4 4" xfId="10365" xr:uid="{EB6FEA06-4A9E-4759-8363-1485B5609422}"/>
    <cellStyle name="Note 2 3 2 5" xfId="2254" xr:uid="{00000000-0005-0000-0000-0000FC200000}"/>
    <cellStyle name="Note 2 3 2 5 2" xfId="4483" xr:uid="{00000000-0005-0000-0000-0000FD200000}"/>
    <cellStyle name="Note 2 3 2 5 2 2" xfId="8706" xr:uid="{00000000-0005-0000-0000-0000FE200000}"/>
    <cellStyle name="Note 2 3 2 5 2 2 2" xfId="17141" xr:uid="{88A24DA6-53D3-4FBF-BF89-431D6FF086B2}"/>
    <cellStyle name="Note 2 3 2 5 2 3" xfId="12923" xr:uid="{0E201A39-54C1-4604-9C20-DDAFCB2BCBC7}"/>
    <cellStyle name="Note 2 3 2 5 3" xfId="6561" xr:uid="{00000000-0005-0000-0000-0000FF200000}"/>
    <cellStyle name="Note 2 3 2 5 3 2" xfId="14996" xr:uid="{CE7A67C8-58D5-45A5-9950-54D5BDD6E525}"/>
    <cellStyle name="Note 2 3 2 5 4" xfId="10778" xr:uid="{18DC9D9B-8717-45B4-9ADC-90C31278BB90}"/>
    <cellStyle name="Note 2 3 2 6" xfId="2690" xr:uid="{00000000-0005-0000-0000-000000210000}"/>
    <cellStyle name="Note 2 3 2 6 2" xfId="6974" xr:uid="{00000000-0005-0000-0000-000001210000}"/>
    <cellStyle name="Note 2 3 2 6 2 2" xfId="15409" xr:uid="{78B213F0-5203-4AF8-BD9C-A12BA4D52362}"/>
    <cellStyle name="Note 2 3 2 6 3" xfId="11191" xr:uid="{A64F398A-EDF9-4335-8955-65C8B45AD717}"/>
    <cellStyle name="Note 2 3 2 7" xfId="2749" xr:uid="{00000000-0005-0000-0000-000002210000}"/>
    <cellStyle name="Note 2 3 2 8" xfId="2830" xr:uid="{00000000-0005-0000-0000-000003210000}"/>
    <cellStyle name="Note 2 3 2 8 2" xfId="7054" xr:uid="{00000000-0005-0000-0000-000004210000}"/>
    <cellStyle name="Note 2 3 2 8 2 2" xfId="15489" xr:uid="{5B86D5FC-BBAD-4A1C-BDFD-415E653EECE6}"/>
    <cellStyle name="Note 2 3 2 8 3" xfId="11271" xr:uid="{07F35D67-9C2D-491E-852B-39F17BC1B3A6}"/>
    <cellStyle name="Note 2 3 2 9" xfId="4909" xr:uid="{00000000-0005-0000-0000-000005210000}"/>
    <cellStyle name="Note 2 3 2 9 2" xfId="13344" xr:uid="{4472B1AE-9867-432C-8962-74F860BDDA6C}"/>
    <cellStyle name="Note 2 3 3" xfId="1011" xr:uid="{00000000-0005-0000-0000-000006210000}"/>
    <cellStyle name="Note 2 3 3 2" xfId="3243" xr:uid="{00000000-0005-0000-0000-000007210000}"/>
    <cellStyle name="Note 2 3 3 2 2" xfId="7466" xr:uid="{00000000-0005-0000-0000-000008210000}"/>
    <cellStyle name="Note 2 3 3 2 2 2" xfId="15901" xr:uid="{9F3909F8-D10C-4276-98B8-7AA66B9221C4}"/>
    <cellStyle name="Note 2 3 3 2 3" xfId="11683" xr:uid="{33F1571A-9F0A-42CE-B102-CECF08E0BEFA}"/>
    <cellStyle name="Note 2 3 3 3" xfId="5321" xr:uid="{00000000-0005-0000-0000-000009210000}"/>
    <cellStyle name="Note 2 3 3 3 2" xfId="13756" xr:uid="{A6E43CC7-8C30-4FDC-A61D-B02647632F13}"/>
    <cellStyle name="Note 2 3 3 4" xfId="9538" xr:uid="{FB14FDE0-2B9D-4D6C-8A87-AD394CF0CCDB}"/>
    <cellStyle name="Note 2 3 4" xfId="1426" xr:uid="{00000000-0005-0000-0000-00000A210000}"/>
    <cellStyle name="Note 2 3 4 2" xfId="3656" xr:uid="{00000000-0005-0000-0000-00000B210000}"/>
    <cellStyle name="Note 2 3 4 2 2" xfId="7879" xr:uid="{00000000-0005-0000-0000-00000C210000}"/>
    <cellStyle name="Note 2 3 4 2 2 2" xfId="16314" xr:uid="{8C81B4DE-474C-4AA1-B6C4-C345E90FD57A}"/>
    <cellStyle name="Note 2 3 4 2 3" xfId="12096" xr:uid="{9AD13D6D-6423-49DD-8AEC-EAC871271FA9}"/>
    <cellStyle name="Note 2 3 4 3" xfId="5734" xr:uid="{00000000-0005-0000-0000-00000D210000}"/>
    <cellStyle name="Note 2 3 4 3 2" xfId="14169" xr:uid="{A8AA7EFC-8DA2-4D93-9804-61C8E8E68C0C}"/>
    <cellStyle name="Note 2 3 4 4" xfId="9951" xr:uid="{898AE698-88CE-4923-B2B8-2A14EA7417F0}"/>
    <cellStyle name="Note 2 3 5" xfId="1840" xr:uid="{00000000-0005-0000-0000-00000E210000}"/>
    <cellStyle name="Note 2 3 5 2" xfId="4069" xr:uid="{00000000-0005-0000-0000-00000F210000}"/>
    <cellStyle name="Note 2 3 5 2 2" xfId="8292" xr:uid="{00000000-0005-0000-0000-000010210000}"/>
    <cellStyle name="Note 2 3 5 2 2 2" xfId="16727" xr:uid="{65A0D770-2310-41C6-9BD1-CB69218CF088}"/>
    <cellStyle name="Note 2 3 5 2 3" xfId="12509" xr:uid="{B877E29D-8804-4E83-BFD6-695D7D4E20F0}"/>
    <cellStyle name="Note 2 3 5 3" xfId="6147" xr:uid="{00000000-0005-0000-0000-000011210000}"/>
    <cellStyle name="Note 2 3 5 3 2" xfId="14582" xr:uid="{DD820200-22A5-4739-AAE7-479DC36466FF}"/>
    <cellStyle name="Note 2 3 5 4" xfId="10364" xr:uid="{D4312CEF-0A68-42A9-BBE9-2F89372A9997}"/>
    <cellStyle name="Note 2 3 6" xfId="2253" xr:uid="{00000000-0005-0000-0000-000012210000}"/>
    <cellStyle name="Note 2 3 6 2" xfId="4482" xr:uid="{00000000-0005-0000-0000-000013210000}"/>
    <cellStyle name="Note 2 3 6 2 2" xfId="8705" xr:uid="{00000000-0005-0000-0000-000014210000}"/>
    <cellStyle name="Note 2 3 6 2 2 2" xfId="17140" xr:uid="{4C62765B-CA19-4F81-80C8-CAF1AFA53BE9}"/>
    <cellStyle name="Note 2 3 6 2 3" xfId="12922" xr:uid="{1F14E9CC-15EE-4673-B8CE-145ECD0C57AF}"/>
    <cellStyle name="Note 2 3 6 3" xfId="6560" xr:uid="{00000000-0005-0000-0000-000015210000}"/>
    <cellStyle name="Note 2 3 6 3 2" xfId="14995" xr:uid="{EE90C286-108A-4649-8550-ADD58D239620}"/>
    <cellStyle name="Note 2 3 6 4" xfId="10777" xr:uid="{E802625A-7886-4D1E-854A-BC4E510B90B2}"/>
    <cellStyle name="Note 2 3 7" xfId="2689" xr:uid="{00000000-0005-0000-0000-000016210000}"/>
    <cellStyle name="Note 2 3 7 2" xfId="6973" xr:uid="{00000000-0005-0000-0000-000017210000}"/>
    <cellStyle name="Note 2 3 7 2 2" xfId="15408" xr:uid="{204E7D58-F74E-4157-9F2C-4D6A92F8B891}"/>
    <cellStyle name="Note 2 3 7 3" xfId="11190" xr:uid="{D18CB6B5-AF2F-4E72-B2C4-EC4E425780B7}"/>
    <cellStyle name="Note 2 3 8" xfId="2748" xr:uid="{00000000-0005-0000-0000-000018210000}"/>
    <cellStyle name="Note 2 3 9" xfId="2829" xr:uid="{00000000-0005-0000-0000-000019210000}"/>
    <cellStyle name="Note 2 3 9 2" xfId="7053" xr:uid="{00000000-0005-0000-0000-00001A210000}"/>
    <cellStyle name="Note 2 3 9 2 2" xfId="15488" xr:uid="{9D6D7728-FFE7-4FED-8DD6-96C170D551F1}"/>
    <cellStyle name="Note 2 3 9 3" xfId="11270" xr:uid="{8DC90AE6-983C-4BD1-9FCF-712B9B18BF6B}"/>
    <cellStyle name="Note 2 4" xfId="552" xr:uid="{00000000-0005-0000-0000-00001B210000}"/>
    <cellStyle name="Note 2 4 10" xfId="9127" xr:uid="{3715774F-8CC2-463F-94EF-E79735D5930B}"/>
    <cellStyle name="Note 2 4 2" xfId="1013" xr:uid="{00000000-0005-0000-0000-00001C210000}"/>
    <cellStyle name="Note 2 4 2 2" xfId="3245" xr:uid="{00000000-0005-0000-0000-00001D210000}"/>
    <cellStyle name="Note 2 4 2 2 2" xfId="7468" xr:uid="{00000000-0005-0000-0000-00001E210000}"/>
    <cellStyle name="Note 2 4 2 2 2 2" xfId="15903" xr:uid="{ECEA0ABE-39F8-4572-AAEB-B08006BB2D5A}"/>
    <cellStyle name="Note 2 4 2 2 3" xfId="11685" xr:uid="{3E572B3E-B1E2-4F31-93A0-32EDC0B8FC27}"/>
    <cellStyle name="Note 2 4 2 3" xfId="5323" xr:uid="{00000000-0005-0000-0000-00001F210000}"/>
    <cellStyle name="Note 2 4 2 3 2" xfId="13758" xr:uid="{AEF314D5-340A-4ABB-B4CF-68D044658AAA}"/>
    <cellStyle name="Note 2 4 2 4" xfId="9540" xr:uid="{E9EF4A70-3E33-4E3E-8B84-C9F1F9D0966B}"/>
    <cellStyle name="Note 2 4 3" xfId="1428" xr:uid="{00000000-0005-0000-0000-000020210000}"/>
    <cellStyle name="Note 2 4 3 2" xfId="3658" xr:uid="{00000000-0005-0000-0000-000021210000}"/>
    <cellStyle name="Note 2 4 3 2 2" xfId="7881" xr:uid="{00000000-0005-0000-0000-000022210000}"/>
    <cellStyle name="Note 2 4 3 2 2 2" xfId="16316" xr:uid="{0BC7C93C-107B-4E17-A13B-999E13023029}"/>
    <cellStyle name="Note 2 4 3 2 3" xfId="12098" xr:uid="{BD75C704-6A85-49EB-AE11-7E4624FADDAE}"/>
    <cellStyle name="Note 2 4 3 3" xfId="5736" xr:uid="{00000000-0005-0000-0000-000023210000}"/>
    <cellStyle name="Note 2 4 3 3 2" xfId="14171" xr:uid="{864B2034-BAC0-4EF8-9B51-593E55A6E1D6}"/>
    <cellStyle name="Note 2 4 3 4" xfId="9953" xr:uid="{5E0E6ED8-67FB-4BBB-BB89-F79D93EAE33D}"/>
    <cellStyle name="Note 2 4 4" xfId="1842" xr:uid="{00000000-0005-0000-0000-000024210000}"/>
    <cellStyle name="Note 2 4 4 2" xfId="4071" xr:uid="{00000000-0005-0000-0000-000025210000}"/>
    <cellStyle name="Note 2 4 4 2 2" xfId="8294" xr:uid="{00000000-0005-0000-0000-000026210000}"/>
    <cellStyle name="Note 2 4 4 2 2 2" xfId="16729" xr:uid="{880E28EA-770A-4CBB-B80A-F2C66A73C8FE}"/>
    <cellStyle name="Note 2 4 4 2 3" xfId="12511" xr:uid="{FEDAF68E-804A-4D11-9A01-D6FC546EEACE}"/>
    <cellStyle name="Note 2 4 4 3" xfId="6149" xr:uid="{00000000-0005-0000-0000-000027210000}"/>
    <cellStyle name="Note 2 4 4 3 2" xfId="14584" xr:uid="{7E78C00A-6C7A-42A3-9AC7-C7D4A5216F02}"/>
    <cellStyle name="Note 2 4 4 4" xfId="10366" xr:uid="{FBA4C025-222E-41D7-937A-76DE0E905C16}"/>
    <cellStyle name="Note 2 4 5" xfId="2255" xr:uid="{00000000-0005-0000-0000-000028210000}"/>
    <cellStyle name="Note 2 4 5 2" xfId="4484" xr:uid="{00000000-0005-0000-0000-000029210000}"/>
    <cellStyle name="Note 2 4 5 2 2" xfId="8707" xr:uid="{00000000-0005-0000-0000-00002A210000}"/>
    <cellStyle name="Note 2 4 5 2 2 2" xfId="17142" xr:uid="{1CD3CCF5-4D3B-47EE-B50A-88F8F3C1892A}"/>
    <cellStyle name="Note 2 4 5 2 3" xfId="12924" xr:uid="{AF59E947-E8DF-47BC-90F8-C9FB31F06F4F}"/>
    <cellStyle name="Note 2 4 5 3" xfId="6562" xr:uid="{00000000-0005-0000-0000-00002B210000}"/>
    <cellStyle name="Note 2 4 5 3 2" xfId="14997" xr:uid="{F7B52B65-A9DE-4488-A2E4-BA1A5429092D}"/>
    <cellStyle name="Note 2 4 5 4" xfId="10779" xr:uid="{CDEA8567-7B77-4139-A34A-762BB8437C99}"/>
    <cellStyle name="Note 2 4 6" xfId="2691" xr:uid="{00000000-0005-0000-0000-00002C210000}"/>
    <cellStyle name="Note 2 4 6 2" xfId="6975" xr:uid="{00000000-0005-0000-0000-00002D210000}"/>
    <cellStyle name="Note 2 4 6 2 2" xfId="15410" xr:uid="{29D7AFCD-440C-4AE8-8941-CBB4934583B0}"/>
    <cellStyle name="Note 2 4 6 3" xfId="11192" xr:uid="{3378646B-EF9F-420B-B9B0-1C0B861B1327}"/>
    <cellStyle name="Note 2 4 7" xfId="2750" xr:uid="{00000000-0005-0000-0000-00002E210000}"/>
    <cellStyle name="Note 2 4 8" xfId="2831" xr:uid="{00000000-0005-0000-0000-00002F210000}"/>
    <cellStyle name="Note 2 4 8 2" xfId="7055" xr:uid="{00000000-0005-0000-0000-000030210000}"/>
    <cellStyle name="Note 2 4 8 2 2" xfId="15490" xr:uid="{39A5DDB3-01BB-45B2-88B0-299924E52585}"/>
    <cellStyle name="Note 2 4 8 3" xfId="11272" xr:uid="{C0DD6A43-FA39-4CDC-8D16-17E47032D636}"/>
    <cellStyle name="Note 2 4 9" xfId="4910" xr:uid="{00000000-0005-0000-0000-000031210000}"/>
    <cellStyle name="Note 2 4 9 2" xfId="13345" xr:uid="{F51A7504-4AEC-47F2-901A-A680D01EA071}"/>
    <cellStyle name="Note 2 5" xfId="553" xr:uid="{00000000-0005-0000-0000-000032210000}"/>
    <cellStyle name="Note 2 5 10" xfId="9128" xr:uid="{7F050353-D3F3-4399-8A5D-E1BB758B5AB0}"/>
    <cellStyle name="Note 2 5 2" xfId="1014" xr:uid="{00000000-0005-0000-0000-000033210000}"/>
    <cellStyle name="Note 2 5 2 2" xfId="3246" xr:uid="{00000000-0005-0000-0000-000034210000}"/>
    <cellStyle name="Note 2 5 2 2 2" xfId="7469" xr:uid="{00000000-0005-0000-0000-000035210000}"/>
    <cellStyle name="Note 2 5 2 2 2 2" xfId="15904" xr:uid="{52B9EB53-D674-4764-8507-2B9D56F48D3F}"/>
    <cellStyle name="Note 2 5 2 2 3" xfId="11686" xr:uid="{C31A3801-07BC-47B0-B11E-C46131A9A7C5}"/>
    <cellStyle name="Note 2 5 2 3" xfId="5324" xr:uid="{00000000-0005-0000-0000-000036210000}"/>
    <cellStyle name="Note 2 5 2 3 2" xfId="13759" xr:uid="{A75E5975-8E66-45D7-8692-4B562BF3CC1F}"/>
    <cellStyle name="Note 2 5 2 4" xfId="9541" xr:uid="{0AAC28E3-349B-4582-BD14-572F544446F5}"/>
    <cellStyle name="Note 2 5 3" xfId="1429" xr:uid="{00000000-0005-0000-0000-000037210000}"/>
    <cellStyle name="Note 2 5 3 2" xfId="3659" xr:uid="{00000000-0005-0000-0000-000038210000}"/>
    <cellStyle name="Note 2 5 3 2 2" xfId="7882" xr:uid="{00000000-0005-0000-0000-000039210000}"/>
    <cellStyle name="Note 2 5 3 2 2 2" xfId="16317" xr:uid="{C4456E84-6F5B-46C2-894E-5A619635DB46}"/>
    <cellStyle name="Note 2 5 3 2 3" xfId="12099" xr:uid="{6AA06E16-54DA-40FC-B578-5DD26F400527}"/>
    <cellStyle name="Note 2 5 3 3" xfId="5737" xr:uid="{00000000-0005-0000-0000-00003A210000}"/>
    <cellStyle name="Note 2 5 3 3 2" xfId="14172" xr:uid="{DB2168DD-E03F-48CB-AC0A-CF2F6B604068}"/>
    <cellStyle name="Note 2 5 3 4" xfId="9954" xr:uid="{49D9387C-8E5E-41D0-9D0E-EE4E5D5D35BB}"/>
    <cellStyle name="Note 2 5 4" xfId="1843" xr:uid="{00000000-0005-0000-0000-00003B210000}"/>
    <cellStyle name="Note 2 5 4 2" xfId="4072" xr:uid="{00000000-0005-0000-0000-00003C210000}"/>
    <cellStyle name="Note 2 5 4 2 2" xfId="8295" xr:uid="{00000000-0005-0000-0000-00003D210000}"/>
    <cellStyle name="Note 2 5 4 2 2 2" xfId="16730" xr:uid="{3F380D9A-2EA9-46CC-9420-3E7B551D99D9}"/>
    <cellStyle name="Note 2 5 4 2 3" xfId="12512" xr:uid="{52163929-A8A3-4210-9BE6-E4C799E8CFA5}"/>
    <cellStyle name="Note 2 5 4 3" xfId="6150" xr:uid="{00000000-0005-0000-0000-00003E210000}"/>
    <cellStyle name="Note 2 5 4 3 2" xfId="14585" xr:uid="{BF10A196-6209-4271-9E7B-BE8A650FC984}"/>
    <cellStyle name="Note 2 5 4 4" xfId="10367" xr:uid="{25E64CA6-234C-4B7F-B903-6E3EC2776BE1}"/>
    <cellStyle name="Note 2 5 5" xfId="2256" xr:uid="{00000000-0005-0000-0000-00003F210000}"/>
    <cellStyle name="Note 2 5 5 2" xfId="4485" xr:uid="{00000000-0005-0000-0000-000040210000}"/>
    <cellStyle name="Note 2 5 5 2 2" xfId="8708" xr:uid="{00000000-0005-0000-0000-000041210000}"/>
    <cellStyle name="Note 2 5 5 2 2 2" xfId="17143" xr:uid="{640C05A3-3BD6-4D6E-831F-90A97C271B44}"/>
    <cellStyle name="Note 2 5 5 2 3" xfId="12925" xr:uid="{5AC77F05-4AF0-4AA2-9CCB-DA3B36524475}"/>
    <cellStyle name="Note 2 5 5 3" xfId="6563" xr:uid="{00000000-0005-0000-0000-000042210000}"/>
    <cellStyle name="Note 2 5 5 3 2" xfId="14998" xr:uid="{055610B6-F0E7-4875-B91F-B83113FD6C12}"/>
    <cellStyle name="Note 2 5 5 4" xfId="10780" xr:uid="{731D3C20-8B96-43CB-B638-FA116D596EFB}"/>
    <cellStyle name="Note 2 5 6" xfId="2692" xr:uid="{00000000-0005-0000-0000-000043210000}"/>
    <cellStyle name="Note 2 5 6 2" xfId="6976" xr:uid="{00000000-0005-0000-0000-000044210000}"/>
    <cellStyle name="Note 2 5 6 2 2" xfId="15411" xr:uid="{8E1DF6DE-E975-41A5-B044-B6FF99F6BFFB}"/>
    <cellStyle name="Note 2 5 6 3" xfId="11193" xr:uid="{C19ED07E-0025-4470-99DE-9B9FA2687D35}"/>
    <cellStyle name="Note 2 5 7" xfId="2751" xr:uid="{00000000-0005-0000-0000-000045210000}"/>
    <cellStyle name="Note 2 5 8" xfId="2832" xr:uid="{00000000-0005-0000-0000-000046210000}"/>
    <cellStyle name="Note 2 5 8 2" xfId="7056" xr:uid="{00000000-0005-0000-0000-000047210000}"/>
    <cellStyle name="Note 2 5 8 2 2" xfId="15491" xr:uid="{A349498A-E929-4BD4-9808-68D96B7052DF}"/>
    <cellStyle name="Note 2 5 8 3" xfId="11273" xr:uid="{FB69871B-DDD5-4903-B78D-E3DB8139F09A}"/>
    <cellStyle name="Note 2 5 9" xfId="4911" xr:uid="{00000000-0005-0000-0000-000048210000}"/>
    <cellStyle name="Note 2 5 9 2" xfId="13346" xr:uid="{60165714-1676-4D48-8BDF-55089ADB7448}"/>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0 2 2" xfId="15492" xr:uid="{05A52B83-A72D-4708-91AA-D5014FE0BB41}"/>
    <cellStyle name="Note 3 2 10 3" xfId="11274" xr:uid="{319F8165-3A58-4A43-A9DA-EFFC30EAC6A8}"/>
    <cellStyle name="Note 3 2 11" xfId="4912" xr:uid="{00000000-0005-0000-0000-00004D210000}"/>
    <cellStyle name="Note 3 2 11 2" xfId="13347" xr:uid="{04F09C2A-EB6D-4072-85A9-E307E5081BDE}"/>
    <cellStyle name="Note 3 2 12" xfId="9129" xr:uid="{F7054F46-B80C-4F66-AE9B-57D00ABA1A15}"/>
    <cellStyle name="Note 3 2 2" xfId="556" xr:uid="{00000000-0005-0000-0000-00004E210000}"/>
    <cellStyle name="Note 3 2 2 10" xfId="4913" xr:uid="{00000000-0005-0000-0000-00004F210000}"/>
    <cellStyle name="Note 3 2 2 10 2" xfId="13348" xr:uid="{49DD1FEB-E087-4352-99D2-E357D774952B}"/>
    <cellStyle name="Note 3 2 2 11" xfId="9130" xr:uid="{954DFD28-B534-406E-B8E8-1C71053178B4}"/>
    <cellStyle name="Note 3 2 2 2" xfId="557" xr:uid="{00000000-0005-0000-0000-000050210000}"/>
    <cellStyle name="Note 3 2 2 2 10" xfId="9131" xr:uid="{6BBA1AD7-B5C6-46B3-95A8-417A63C09410}"/>
    <cellStyle name="Note 3 2 2 2 2" xfId="1017" xr:uid="{00000000-0005-0000-0000-000051210000}"/>
    <cellStyle name="Note 3 2 2 2 2 2" xfId="3249" xr:uid="{00000000-0005-0000-0000-000052210000}"/>
    <cellStyle name="Note 3 2 2 2 2 2 2" xfId="7472" xr:uid="{00000000-0005-0000-0000-000053210000}"/>
    <cellStyle name="Note 3 2 2 2 2 2 2 2" xfId="15907" xr:uid="{64CEAED7-EA57-461D-8426-923239504619}"/>
    <cellStyle name="Note 3 2 2 2 2 2 3" xfId="11689" xr:uid="{6982A201-DEE9-4CC3-92ED-C917F8793F4B}"/>
    <cellStyle name="Note 3 2 2 2 2 3" xfId="5327" xr:uid="{00000000-0005-0000-0000-000054210000}"/>
    <cellStyle name="Note 3 2 2 2 2 3 2" xfId="13762" xr:uid="{5B9D9BF4-FB76-4E85-AF89-D01DF676D1E1}"/>
    <cellStyle name="Note 3 2 2 2 2 4" xfId="9544" xr:uid="{D62B3A8C-BAAF-4A22-9E57-43D409545840}"/>
    <cellStyle name="Note 3 2 2 2 3" xfId="1432" xr:uid="{00000000-0005-0000-0000-000055210000}"/>
    <cellStyle name="Note 3 2 2 2 3 2" xfId="3662" xr:uid="{00000000-0005-0000-0000-000056210000}"/>
    <cellStyle name="Note 3 2 2 2 3 2 2" xfId="7885" xr:uid="{00000000-0005-0000-0000-000057210000}"/>
    <cellStyle name="Note 3 2 2 2 3 2 2 2" xfId="16320" xr:uid="{1FF78D21-92C7-4F4F-8FE1-4813A5250C6D}"/>
    <cellStyle name="Note 3 2 2 2 3 2 3" xfId="12102" xr:uid="{A555A6FD-D2CA-46E6-9FEB-A48391F6B9D2}"/>
    <cellStyle name="Note 3 2 2 2 3 3" xfId="5740" xr:uid="{00000000-0005-0000-0000-000058210000}"/>
    <cellStyle name="Note 3 2 2 2 3 3 2" xfId="14175" xr:uid="{01AEDAB3-9064-4B2D-8E22-A23D15BCF931}"/>
    <cellStyle name="Note 3 2 2 2 3 4" xfId="9957" xr:uid="{42C498CE-F6FF-4065-8BA3-075786C35EB8}"/>
    <cellStyle name="Note 3 2 2 2 4" xfId="1846" xr:uid="{00000000-0005-0000-0000-000059210000}"/>
    <cellStyle name="Note 3 2 2 2 4 2" xfId="4075" xr:uid="{00000000-0005-0000-0000-00005A210000}"/>
    <cellStyle name="Note 3 2 2 2 4 2 2" xfId="8298" xr:uid="{00000000-0005-0000-0000-00005B210000}"/>
    <cellStyle name="Note 3 2 2 2 4 2 2 2" xfId="16733" xr:uid="{98C9ED4A-42A4-46C5-9BB8-B0BE94B7C810}"/>
    <cellStyle name="Note 3 2 2 2 4 2 3" xfId="12515" xr:uid="{4CFFDA45-738D-434A-AD6F-092349CE14AF}"/>
    <cellStyle name="Note 3 2 2 2 4 3" xfId="6153" xr:uid="{00000000-0005-0000-0000-00005C210000}"/>
    <cellStyle name="Note 3 2 2 2 4 3 2" xfId="14588" xr:uid="{2279F5A2-C9F8-4D44-84FA-EB016F0E88CB}"/>
    <cellStyle name="Note 3 2 2 2 4 4" xfId="10370" xr:uid="{47B2B224-571B-4867-9626-A80C45F36B3D}"/>
    <cellStyle name="Note 3 2 2 2 5" xfId="2259" xr:uid="{00000000-0005-0000-0000-00005D210000}"/>
    <cellStyle name="Note 3 2 2 2 5 2" xfId="4488" xr:uid="{00000000-0005-0000-0000-00005E210000}"/>
    <cellStyle name="Note 3 2 2 2 5 2 2" xfId="8711" xr:uid="{00000000-0005-0000-0000-00005F210000}"/>
    <cellStyle name="Note 3 2 2 2 5 2 2 2" xfId="17146" xr:uid="{C7551C35-4C6C-4A6D-90BD-289360600052}"/>
    <cellStyle name="Note 3 2 2 2 5 2 3" xfId="12928" xr:uid="{CA65AD66-7BA9-4890-BC90-D12ECB7FD4C5}"/>
    <cellStyle name="Note 3 2 2 2 5 3" xfId="6566" xr:uid="{00000000-0005-0000-0000-000060210000}"/>
    <cellStyle name="Note 3 2 2 2 5 3 2" xfId="15001" xr:uid="{F538FB49-02D1-4511-A5C5-F9161571156C}"/>
    <cellStyle name="Note 3 2 2 2 5 4" xfId="10783" xr:uid="{45851FCC-7786-427C-87D7-B99039D1164D}"/>
    <cellStyle name="Note 3 2 2 2 6" xfId="2695" xr:uid="{00000000-0005-0000-0000-000061210000}"/>
    <cellStyle name="Note 3 2 2 2 6 2" xfId="6979" xr:uid="{00000000-0005-0000-0000-000062210000}"/>
    <cellStyle name="Note 3 2 2 2 6 2 2" xfId="15414" xr:uid="{9F1E278B-56CC-4AFA-94F0-0BE6D79A39D2}"/>
    <cellStyle name="Note 3 2 2 2 6 3" xfId="11196" xr:uid="{FB1C1617-2649-47F2-9EF4-6C19B76EAC69}"/>
    <cellStyle name="Note 3 2 2 2 7" xfId="2754" xr:uid="{00000000-0005-0000-0000-000063210000}"/>
    <cellStyle name="Note 3 2 2 2 8" xfId="2835" xr:uid="{00000000-0005-0000-0000-000064210000}"/>
    <cellStyle name="Note 3 2 2 2 8 2" xfId="7059" xr:uid="{00000000-0005-0000-0000-000065210000}"/>
    <cellStyle name="Note 3 2 2 2 8 2 2" xfId="15494" xr:uid="{18E1B84E-C55C-4A94-BA12-80EB4EF67740}"/>
    <cellStyle name="Note 3 2 2 2 8 3" xfId="11276" xr:uid="{9D921CD1-14D7-4842-8187-008F6A997F00}"/>
    <cellStyle name="Note 3 2 2 2 9" xfId="4914" xr:uid="{00000000-0005-0000-0000-000066210000}"/>
    <cellStyle name="Note 3 2 2 2 9 2" xfId="13349" xr:uid="{1CDFE653-32FD-4686-ADBC-FCD7890902B9}"/>
    <cellStyle name="Note 3 2 2 3" xfId="1016" xr:uid="{00000000-0005-0000-0000-000067210000}"/>
    <cellStyle name="Note 3 2 2 3 2" xfId="3248" xr:uid="{00000000-0005-0000-0000-000068210000}"/>
    <cellStyle name="Note 3 2 2 3 2 2" xfId="7471" xr:uid="{00000000-0005-0000-0000-000069210000}"/>
    <cellStyle name="Note 3 2 2 3 2 2 2" xfId="15906" xr:uid="{8ABD339F-676D-453E-AD18-0F3C845DA073}"/>
    <cellStyle name="Note 3 2 2 3 2 3" xfId="11688" xr:uid="{D3310DDE-A46D-457B-88A5-4E810FD20BFB}"/>
    <cellStyle name="Note 3 2 2 3 3" xfId="5326" xr:uid="{00000000-0005-0000-0000-00006A210000}"/>
    <cellStyle name="Note 3 2 2 3 3 2" xfId="13761" xr:uid="{B6E8B6A5-9CD0-4418-B84B-97B3A9E22664}"/>
    <cellStyle name="Note 3 2 2 3 4" xfId="9543" xr:uid="{0C8F28F4-460B-44AC-82C1-CB2CBD88DF35}"/>
    <cellStyle name="Note 3 2 2 4" xfId="1431" xr:uid="{00000000-0005-0000-0000-00006B210000}"/>
    <cellStyle name="Note 3 2 2 4 2" xfId="3661" xr:uid="{00000000-0005-0000-0000-00006C210000}"/>
    <cellStyle name="Note 3 2 2 4 2 2" xfId="7884" xr:uid="{00000000-0005-0000-0000-00006D210000}"/>
    <cellStyle name="Note 3 2 2 4 2 2 2" xfId="16319" xr:uid="{2E2485A9-D5D1-4656-836C-3D142B0114A9}"/>
    <cellStyle name="Note 3 2 2 4 2 3" xfId="12101" xr:uid="{D0D1CFE6-4788-446C-AA99-B3C15692354A}"/>
    <cellStyle name="Note 3 2 2 4 3" xfId="5739" xr:uid="{00000000-0005-0000-0000-00006E210000}"/>
    <cellStyle name="Note 3 2 2 4 3 2" xfId="14174" xr:uid="{FB2D70BE-CE3F-401F-A0ED-A2A7F2965460}"/>
    <cellStyle name="Note 3 2 2 4 4" xfId="9956" xr:uid="{D9DA9167-286D-4EE0-A5B5-1272275802EE}"/>
    <cellStyle name="Note 3 2 2 5" xfId="1845" xr:uid="{00000000-0005-0000-0000-00006F210000}"/>
    <cellStyle name="Note 3 2 2 5 2" xfId="4074" xr:uid="{00000000-0005-0000-0000-000070210000}"/>
    <cellStyle name="Note 3 2 2 5 2 2" xfId="8297" xr:uid="{00000000-0005-0000-0000-000071210000}"/>
    <cellStyle name="Note 3 2 2 5 2 2 2" xfId="16732" xr:uid="{9F8FDE95-D420-4D0A-80F5-9E414707C701}"/>
    <cellStyle name="Note 3 2 2 5 2 3" xfId="12514" xr:uid="{5B15427C-63E9-4F6D-A56F-F05CB5950AFC}"/>
    <cellStyle name="Note 3 2 2 5 3" xfId="6152" xr:uid="{00000000-0005-0000-0000-000072210000}"/>
    <cellStyle name="Note 3 2 2 5 3 2" xfId="14587" xr:uid="{229B3D44-3171-47E3-B86E-89009B0395DE}"/>
    <cellStyle name="Note 3 2 2 5 4" xfId="10369" xr:uid="{74E344A8-E1CB-4AC6-9049-F563444FF3D3}"/>
    <cellStyle name="Note 3 2 2 6" xfId="2258" xr:uid="{00000000-0005-0000-0000-000073210000}"/>
    <cellStyle name="Note 3 2 2 6 2" xfId="4487" xr:uid="{00000000-0005-0000-0000-000074210000}"/>
    <cellStyle name="Note 3 2 2 6 2 2" xfId="8710" xr:uid="{00000000-0005-0000-0000-000075210000}"/>
    <cellStyle name="Note 3 2 2 6 2 2 2" xfId="17145" xr:uid="{ADBD023C-F394-4853-A252-B1D54114AA00}"/>
    <cellStyle name="Note 3 2 2 6 2 3" xfId="12927" xr:uid="{4F1574ED-931D-46A2-949E-5CCB7CE6586C}"/>
    <cellStyle name="Note 3 2 2 6 3" xfId="6565" xr:uid="{00000000-0005-0000-0000-000076210000}"/>
    <cellStyle name="Note 3 2 2 6 3 2" xfId="15000" xr:uid="{50F94303-CAC4-4C06-9544-470B8E68C47D}"/>
    <cellStyle name="Note 3 2 2 6 4" xfId="10782" xr:uid="{44621B31-024B-440D-B6D7-A50514EDDDF3}"/>
    <cellStyle name="Note 3 2 2 7" xfId="2694" xr:uid="{00000000-0005-0000-0000-000077210000}"/>
    <cellStyle name="Note 3 2 2 7 2" xfId="6978" xr:uid="{00000000-0005-0000-0000-000078210000}"/>
    <cellStyle name="Note 3 2 2 7 2 2" xfId="15413" xr:uid="{05F1D502-8F72-4727-A455-97535BC2BEF5}"/>
    <cellStyle name="Note 3 2 2 7 3" xfId="11195" xr:uid="{180350F1-8614-421D-B79F-33003143C8F9}"/>
    <cellStyle name="Note 3 2 2 8" xfId="2753" xr:uid="{00000000-0005-0000-0000-000079210000}"/>
    <cellStyle name="Note 3 2 2 9" xfId="2834" xr:uid="{00000000-0005-0000-0000-00007A210000}"/>
    <cellStyle name="Note 3 2 2 9 2" xfId="7058" xr:uid="{00000000-0005-0000-0000-00007B210000}"/>
    <cellStyle name="Note 3 2 2 9 2 2" xfId="15493" xr:uid="{8D487F45-BD35-4F51-8084-F4561DC39FC5}"/>
    <cellStyle name="Note 3 2 2 9 3" xfId="11275" xr:uid="{35106C61-24F3-40C5-8833-42CD19380765}"/>
    <cellStyle name="Note 3 2 3" xfId="558" xr:uid="{00000000-0005-0000-0000-00007C210000}"/>
    <cellStyle name="Note 3 2 3 10" xfId="9132" xr:uid="{0227803B-1FA5-4479-9EA1-0FEDF7286C5C}"/>
    <cellStyle name="Note 3 2 3 2" xfId="1018" xr:uid="{00000000-0005-0000-0000-00007D210000}"/>
    <cellStyle name="Note 3 2 3 2 2" xfId="3250" xr:uid="{00000000-0005-0000-0000-00007E210000}"/>
    <cellStyle name="Note 3 2 3 2 2 2" xfId="7473" xr:uid="{00000000-0005-0000-0000-00007F210000}"/>
    <cellStyle name="Note 3 2 3 2 2 2 2" xfId="15908" xr:uid="{EE1E6C21-DD4E-449E-B5BB-45357EFB4BD9}"/>
    <cellStyle name="Note 3 2 3 2 2 3" xfId="11690" xr:uid="{2212A279-46D0-4706-AC35-B923014D24F6}"/>
    <cellStyle name="Note 3 2 3 2 3" xfId="5328" xr:uid="{00000000-0005-0000-0000-000080210000}"/>
    <cellStyle name="Note 3 2 3 2 3 2" xfId="13763" xr:uid="{E936F4EA-89E1-4C79-8F6C-CBFD4E83587A}"/>
    <cellStyle name="Note 3 2 3 2 4" xfId="9545" xr:uid="{9C3F50CA-24B8-40EC-8D5B-1545A9B3F65F}"/>
    <cellStyle name="Note 3 2 3 3" xfId="1433" xr:uid="{00000000-0005-0000-0000-000081210000}"/>
    <cellStyle name="Note 3 2 3 3 2" xfId="3663" xr:uid="{00000000-0005-0000-0000-000082210000}"/>
    <cellStyle name="Note 3 2 3 3 2 2" xfId="7886" xr:uid="{00000000-0005-0000-0000-000083210000}"/>
    <cellStyle name="Note 3 2 3 3 2 2 2" xfId="16321" xr:uid="{26E4A0DA-9708-481D-BFEB-360D7832794B}"/>
    <cellStyle name="Note 3 2 3 3 2 3" xfId="12103" xr:uid="{E02033E1-0B79-4855-871E-2397535AA0A4}"/>
    <cellStyle name="Note 3 2 3 3 3" xfId="5741" xr:uid="{00000000-0005-0000-0000-000084210000}"/>
    <cellStyle name="Note 3 2 3 3 3 2" xfId="14176" xr:uid="{DD40EA42-5663-452F-AB13-BF8339D52AD4}"/>
    <cellStyle name="Note 3 2 3 3 4" xfId="9958" xr:uid="{7C5C07E3-37A3-43A5-A94D-2EF54E517781}"/>
    <cellStyle name="Note 3 2 3 4" xfId="1847" xr:uid="{00000000-0005-0000-0000-000085210000}"/>
    <cellStyle name="Note 3 2 3 4 2" xfId="4076" xr:uid="{00000000-0005-0000-0000-000086210000}"/>
    <cellStyle name="Note 3 2 3 4 2 2" xfId="8299" xr:uid="{00000000-0005-0000-0000-000087210000}"/>
    <cellStyle name="Note 3 2 3 4 2 2 2" xfId="16734" xr:uid="{9CB3FC67-0F99-44DB-A53A-7A3987FCCFAD}"/>
    <cellStyle name="Note 3 2 3 4 2 3" xfId="12516" xr:uid="{75754CA1-D93E-4182-9734-54387D49FB3A}"/>
    <cellStyle name="Note 3 2 3 4 3" xfId="6154" xr:uid="{00000000-0005-0000-0000-000088210000}"/>
    <cellStyle name="Note 3 2 3 4 3 2" xfId="14589" xr:uid="{5BAAF596-C750-4B90-ADDD-3F0BF4FF4520}"/>
    <cellStyle name="Note 3 2 3 4 4" xfId="10371" xr:uid="{FF28341E-F59C-4547-9599-ECAEEC779BAD}"/>
    <cellStyle name="Note 3 2 3 5" xfId="2260" xr:uid="{00000000-0005-0000-0000-000089210000}"/>
    <cellStyle name="Note 3 2 3 5 2" xfId="4489" xr:uid="{00000000-0005-0000-0000-00008A210000}"/>
    <cellStyle name="Note 3 2 3 5 2 2" xfId="8712" xr:uid="{00000000-0005-0000-0000-00008B210000}"/>
    <cellStyle name="Note 3 2 3 5 2 2 2" xfId="17147" xr:uid="{2CC65E4E-BB52-40D7-9F5F-C128EDEED996}"/>
    <cellStyle name="Note 3 2 3 5 2 3" xfId="12929" xr:uid="{99BC15BB-E2F0-4052-AB02-D0135293A132}"/>
    <cellStyle name="Note 3 2 3 5 3" xfId="6567" xr:uid="{00000000-0005-0000-0000-00008C210000}"/>
    <cellStyle name="Note 3 2 3 5 3 2" xfId="15002" xr:uid="{00F10BEC-EB12-4845-AE07-D96CF880DA6E}"/>
    <cellStyle name="Note 3 2 3 5 4" xfId="10784" xr:uid="{F92716E5-98AB-4281-86CD-3ED088C99B20}"/>
    <cellStyle name="Note 3 2 3 6" xfId="2696" xr:uid="{00000000-0005-0000-0000-00008D210000}"/>
    <cellStyle name="Note 3 2 3 6 2" xfId="6980" xr:uid="{00000000-0005-0000-0000-00008E210000}"/>
    <cellStyle name="Note 3 2 3 6 2 2" xfId="15415" xr:uid="{EF91A51C-413F-48FE-B13B-C808D1A285BD}"/>
    <cellStyle name="Note 3 2 3 6 3" xfId="11197" xr:uid="{5A8F3033-61F1-4D6E-A079-47D9ED43156E}"/>
    <cellStyle name="Note 3 2 3 7" xfId="2755" xr:uid="{00000000-0005-0000-0000-00008F210000}"/>
    <cellStyle name="Note 3 2 3 8" xfId="2836" xr:uid="{00000000-0005-0000-0000-000090210000}"/>
    <cellStyle name="Note 3 2 3 8 2" xfId="7060" xr:uid="{00000000-0005-0000-0000-000091210000}"/>
    <cellStyle name="Note 3 2 3 8 2 2" xfId="15495" xr:uid="{18070F04-63C3-4D29-9040-AAB4D0987A4E}"/>
    <cellStyle name="Note 3 2 3 8 3" xfId="11277" xr:uid="{3483B8EC-CDC1-4054-9C0E-152FA612545E}"/>
    <cellStyle name="Note 3 2 3 9" xfId="4915" xr:uid="{00000000-0005-0000-0000-000092210000}"/>
    <cellStyle name="Note 3 2 3 9 2" xfId="13350" xr:uid="{A375120B-C446-4C06-96EF-95D866D4E5D1}"/>
    <cellStyle name="Note 3 2 4" xfId="1015" xr:uid="{00000000-0005-0000-0000-000093210000}"/>
    <cellStyle name="Note 3 2 4 2" xfId="3247" xr:uid="{00000000-0005-0000-0000-000094210000}"/>
    <cellStyle name="Note 3 2 4 2 2" xfId="7470" xr:uid="{00000000-0005-0000-0000-000095210000}"/>
    <cellStyle name="Note 3 2 4 2 2 2" xfId="15905" xr:uid="{255A5644-58D5-4432-A852-71F963A88CDC}"/>
    <cellStyle name="Note 3 2 4 2 3" xfId="11687" xr:uid="{FC2E5913-F018-4607-9887-64D1529085C8}"/>
    <cellStyle name="Note 3 2 4 3" xfId="5325" xr:uid="{00000000-0005-0000-0000-000096210000}"/>
    <cellStyle name="Note 3 2 4 3 2" xfId="13760" xr:uid="{090CB87E-6774-4926-9C8B-3769560EE500}"/>
    <cellStyle name="Note 3 2 4 4" xfId="9542" xr:uid="{E75E4DE0-BF52-4A87-891F-6FF4E714ED60}"/>
    <cellStyle name="Note 3 2 5" xfId="1430" xr:uid="{00000000-0005-0000-0000-000097210000}"/>
    <cellStyle name="Note 3 2 5 2" xfId="3660" xr:uid="{00000000-0005-0000-0000-000098210000}"/>
    <cellStyle name="Note 3 2 5 2 2" xfId="7883" xr:uid="{00000000-0005-0000-0000-000099210000}"/>
    <cellStyle name="Note 3 2 5 2 2 2" xfId="16318" xr:uid="{FDDFEB7E-0054-46E8-AB6C-A0BCCB9563A3}"/>
    <cellStyle name="Note 3 2 5 2 3" xfId="12100" xr:uid="{B82B4256-9E97-448C-9B49-126F9DD21E89}"/>
    <cellStyle name="Note 3 2 5 3" xfId="5738" xr:uid="{00000000-0005-0000-0000-00009A210000}"/>
    <cellStyle name="Note 3 2 5 3 2" xfId="14173" xr:uid="{3EA830AD-1E77-489D-A0A6-F5CD423FF85B}"/>
    <cellStyle name="Note 3 2 5 4" xfId="9955" xr:uid="{C877CFB2-C9A9-4C50-B63D-778F47D4A82E}"/>
    <cellStyle name="Note 3 2 6" xfId="1844" xr:uid="{00000000-0005-0000-0000-00009B210000}"/>
    <cellStyle name="Note 3 2 6 2" xfId="4073" xr:uid="{00000000-0005-0000-0000-00009C210000}"/>
    <cellStyle name="Note 3 2 6 2 2" xfId="8296" xr:uid="{00000000-0005-0000-0000-00009D210000}"/>
    <cellStyle name="Note 3 2 6 2 2 2" xfId="16731" xr:uid="{CC61BF89-6BDF-4443-8707-0811E6DB4782}"/>
    <cellStyle name="Note 3 2 6 2 3" xfId="12513" xr:uid="{8420373D-11AB-407A-84E9-991CA7D50E95}"/>
    <cellStyle name="Note 3 2 6 3" xfId="6151" xr:uid="{00000000-0005-0000-0000-00009E210000}"/>
    <cellStyle name="Note 3 2 6 3 2" xfId="14586" xr:uid="{23F53134-730B-4456-BD61-759407FA7D12}"/>
    <cellStyle name="Note 3 2 6 4" xfId="10368" xr:uid="{BAB18378-6EAD-4D6E-A0B4-ADE700363181}"/>
    <cellStyle name="Note 3 2 7" xfId="2257" xr:uid="{00000000-0005-0000-0000-00009F210000}"/>
    <cellStyle name="Note 3 2 7 2" xfId="4486" xr:uid="{00000000-0005-0000-0000-0000A0210000}"/>
    <cellStyle name="Note 3 2 7 2 2" xfId="8709" xr:uid="{00000000-0005-0000-0000-0000A1210000}"/>
    <cellStyle name="Note 3 2 7 2 2 2" xfId="17144" xr:uid="{261AE3D4-F040-4625-8FD2-9D044375355F}"/>
    <cellStyle name="Note 3 2 7 2 3" xfId="12926" xr:uid="{840B0E7C-3242-4E52-B273-3D5554D1F775}"/>
    <cellStyle name="Note 3 2 7 3" xfId="6564" xr:uid="{00000000-0005-0000-0000-0000A2210000}"/>
    <cellStyle name="Note 3 2 7 3 2" xfId="14999" xr:uid="{E08CFA04-A3D9-4142-AAD1-CA1486799A61}"/>
    <cellStyle name="Note 3 2 7 4" xfId="10781" xr:uid="{ADA80D7B-C721-4F45-A269-89DF9D69A33E}"/>
    <cellStyle name="Note 3 2 8" xfId="2693" xr:uid="{00000000-0005-0000-0000-0000A3210000}"/>
    <cellStyle name="Note 3 2 8 2" xfId="6977" xr:uid="{00000000-0005-0000-0000-0000A4210000}"/>
    <cellStyle name="Note 3 2 8 2 2" xfId="15412" xr:uid="{71553364-3492-4EC5-B15B-367BD0C2B7EE}"/>
    <cellStyle name="Note 3 2 8 3" xfId="11194" xr:uid="{E1705E54-083F-4538-B57B-25E5E53D1147}"/>
    <cellStyle name="Note 3 2 9" xfId="2752" xr:uid="{00000000-0005-0000-0000-0000A5210000}"/>
    <cellStyle name="Note 3 3" xfId="559" xr:uid="{00000000-0005-0000-0000-0000A6210000}"/>
    <cellStyle name="Note 3 3 10" xfId="4916" xr:uid="{00000000-0005-0000-0000-0000A7210000}"/>
    <cellStyle name="Note 3 3 10 2" xfId="13351" xr:uid="{D2872CE5-5F3E-48F6-AD04-85C752DA2A6E}"/>
    <cellStyle name="Note 3 3 11" xfId="9133" xr:uid="{284E3C9C-F2EF-44FE-AC4A-8E45DB527E99}"/>
    <cellStyle name="Note 3 3 2" xfId="560" xr:uid="{00000000-0005-0000-0000-0000A8210000}"/>
    <cellStyle name="Note 3 3 2 10" xfId="9134" xr:uid="{0B60255F-C608-4D09-86B3-97914EEF80BF}"/>
    <cellStyle name="Note 3 3 2 2" xfId="1020" xr:uid="{00000000-0005-0000-0000-0000A9210000}"/>
    <cellStyle name="Note 3 3 2 2 2" xfId="3252" xr:uid="{00000000-0005-0000-0000-0000AA210000}"/>
    <cellStyle name="Note 3 3 2 2 2 2" xfId="7475" xr:uid="{00000000-0005-0000-0000-0000AB210000}"/>
    <cellStyle name="Note 3 3 2 2 2 2 2" xfId="15910" xr:uid="{08CB470C-2467-41E8-A985-ED66E83ABB18}"/>
    <cellStyle name="Note 3 3 2 2 2 3" xfId="11692" xr:uid="{D706760F-5FE4-485D-8F27-92965CEF19EA}"/>
    <cellStyle name="Note 3 3 2 2 3" xfId="5330" xr:uid="{00000000-0005-0000-0000-0000AC210000}"/>
    <cellStyle name="Note 3 3 2 2 3 2" xfId="13765" xr:uid="{B17112CC-9E7F-4FFF-8CBB-310FB5F26521}"/>
    <cellStyle name="Note 3 3 2 2 4" xfId="9547" xr:uid="{1BA540C5-E8A7-4FC1-A578-9291FE9F5345}"/>
    <cellStyle name="Note 3 3 2 3" xfId="1435" xr:uid="{00000000-0005-0000-0000-0000AD210000}"/>
    <cellStyle name="Note 3 3 2 3 2" xfId="3665" xr:uid="{00000000-0005-0000-0000-0000AE210000}"/>
    <cellStyle name="Note 3 3 2 3 2 2" xfId="7888" xr:uid="{00000000-0005-0000-0000-0000AF210000}"/>
    <cellStyle name="Note 3 3 2 3 2 2 2" xfId="16323" xr:uid="{A6538307-DC0B-4E0A-A216-F961F2A25B60}"/>
    <cellStyle name="Note 3 3 2 3 2 3" xfId="12105" xr:uid="{2CA92A54-257E-4876-8F90-63F05A7F2302}"/>
    <cellStyle name="Note 3 3 2 3 3" xfId="5743" xr:uid="{00000000-0005-0000-0000-0000B0210000}"/>
    <cellStyle name="Note 3 3 2 3 3 2" xfId="14178" xr:uid="{BD4E120E-F8E2-44E6-A336-4609D47C52F6}"/>
    <cellStyle name="Note 3 3 2 3 4" xfId="9960" xr:uid="{1E8EEFCC-E9B2-4317-8B15-C3D99D64FEFE}"/>
    <cellStyle name="Note 3 3 2 4" xfId="1849" xr:uid="{00000000-0005-0000-0000-0000B1210000}"/>
    <cellStyle name="Note 3 3 2 4 2" xfId="4078" xr:uid="{00000000-0005-0000-0000-0000B2210000}"/>
    <cellStyle name="Note 3 3 2 4 2 2" xfId="8301" xr:uid="{00000000-0005-0000-0000-0000B3210000}"/>
    <cellStyle name="Note 3 3 2 4 2 2 2" xfId="16736" xr:uid="{AFDC6778-CE47-46A4-BDC2-3D22F8015A07}"/>
    <cellStyle name="Note 3 3 2 4 2 3" xfId="12518" xr:uid="{17568EA8-4552-45FC-8266-3CC9829E791A}"/>
    <cellStyle name="Note 3 3 2 4 3" xfId="6156" xr:uid="{00000000-0005-0000-0000-0000B4210000}"/>
    <cellStyle name="Note 3 3 2 4 3 2" xfId="14591" xr:uid="{D3371C31-04B7-45C0-BF9B-047721B6B1A7}"/>
    <cellStyle name="Note 3 3 2 4 4" xfId="10373" xr:uid="{B715658E-A1A8-43F8-936D-FB98C68274C7}"/>
    <cellStyle name="Note 3 3 2 5" xfId="2262" xr:uid="{00000000-0005-0000-0000-0000B5210000}"/>
    <cellStyle name="Note 3 3 2 5 2" xfId="4491" xr:uid="{00000000-0005-0000-0000-0000B6210000}"/>
    <cellStyle name="Note 3 3 2 5 2 2" xfId="8714" xr:uid="{00000000-0005-0000-0000-0000B7210000}"/>
    <cellStyle name="Note 3 3 2 5 2 2 2" xfId="17149" xr:uid="{77FEC93A-6E1C-46F7-AEF7-0D09C23A3A7D}"/>
    <cellStyle name="Note 3 3 2 5 2 3" xfId="12931" xr:uid="{5B234E4D-E2AF-4853-AC55-5E196151B06D}"/>
    <cellStyle name="Note 3 3 2 5 3" xfId="6569" xr:uid="{00000000-0005-0000-0000-0000B8210000}"/>
    <cellStyle name="Note 3 3 2 5 3 2" xfId="15004" xr:uid="{C6E9CF22-9274-4194-B80B-8CD873F8BF7D}"/>
    <cellStyle name="Note 3 3 2 5 4" xfId="10786" xr:uid="{A069CD12-159A-4E64-8612-B6FB6EB0CD44}"/>
    <cellStyle name="Note 3 3 2 6" xfId="2698" xr:uid="{00000000-0005-0000-0000-0000B9210000}"/>
    <cellStyle name="Note 3 3 2 6 2" xfId="6982" xr:uid="{00000000-0005-0000-0000-0000BA210000}"/>
    <cellStyle name="Note 3 3 2 6 2 2" xfId="15417" xr:uid="{0240E353-5242-46F7-BD97-F67F01A69BFB}"/>
    <cellStyle name="Note 3 3 2 6 3" xfId="11199" xr:uid="{9F82EB58-A29D-4BC7-B83B-F2DB0FFABDD1}"/>
    <cellStyle name="Note 3 3 2 7" xfId="2757" xr:uid="{00000000-0005-0000-0000-0000BB210000}"/>
    <cellStyle name="Note 3 3 2 8" xfId="2838" xr:uid="{00000000-0005-0000-0000-0000BC210000}"/>
    <cellStyle name="Note 3 3 2 8 2" xfId="7062" xr:uid="{00000000-0005-0000-0000-0000BD210000}"/>
    <cellStyle name="Note 3 3 2 8 2 2" xfId="15497" xr:uid="{B90A8405-87E2-4414-94B5-74040BB0D869}"/>
    <cellStyle name="Note 3 3 2 8 3" xfId="11279" xr:uid="{9F042AE3-C7C6-4871-8D89-93BC32BA7324}"/>
    <cellStyle name="Note 3 3 2 9" xfId="4917" xr:uid="{00000000-0005-0000-0000-0000BE210000}"/>
    <cellStyle name="Note 3 3 2 9 2" xfId="13352" xr:uid="{A25890A8-CDBA-4CF7-80B0-C9818BD448E5}"/>
    <cellStyle name="Note 3 3 3" xfId="1019" xr:uid="{00000000-0005-0000-0000-0000BF210000}"/>
    <cellStyle name="Note 3 3 3 2" xfId="3251" xr:uid="{00000000-0005-0000-0000-0000C0210000}"/>
    <cellStyle name="Note 3 3 3 2 2" xfId="7474" xr:uid="{00000000-0005-0000-0000-0000C1210000}"/>
    <cellStyle name="Note 3 3 3 2 2 2" xfId="15909" xr:uid="{8AE25769-DCC9-4CF7-AB9F-027802BC7BC0}"/>
    <cellStyle name="Note 3 3 3 2 3" xfId="11691" xr:uid="{99DD5269-27EF-48F2-9E2F-B5BE49FF40F2}"/>
    <cellStyle name="Note 3 3 3 3" xfId="5329" xr:uid="{00000000-0005-0000-0000-0000C2210000}"/>
    <cellStyle name="Note 3 3 3 3 2" xfId="13764" xr:uid="{B5F1A71D-3488-44AA-B9ED-CBC4142B0360}"/>
    <cellStyle name="Note 3 3 3 4" xfId="9546" xr:uid="{D5FC459F-EE3F-4BDD-9C09-21BC35D7FE5B}"/>
    <cellStyle name="Note 3 3 4" xfId="1434" xr:uid="{00000000-0005-0000-0000-0000C3210000}"/>
    <cellStyle name="Note 3 3 4 2" xfId="3664" xr:uid="{00000000-0005-0000-0000-0000C4210000}"/>
    <cellStyle name="Note 3 3 4 2 2" xfId="7887" xr:uid="{00000000-0005-0000-0000-0000C5210000}"/>
    <cellStyle name="Note 3 3 4 2 2 2" xfId="16322" xr:uid="{4EC6BC8C-6620-4F25-A79F-5B02CB83A2A5}"/>
    <cellStyle name="Note 3 3 4 2 3" xfId="12104" xr:uid="{DD4BF545-F2B4-4CE7-BE37-28FD14C90780}"/>
    <cellStyle name="Note 3 3 4 3" xfId="5742" xr:uid="{00000000-0005-0000-0000-0000C6210000}"/>
    <cellStyle name="Note 3 3 4 3 2" xfId="14177" xr:uid="{058019B4-810C-4529-B167-9BB897B828A0}"/>
    <cellStyle name="Note 3 3 4 4" xfId="9959" xr:uid="{8D6D625E-B6E5-4DF5-885F-0B318654400D}"/>
    <cellStyle name="Note 3 3 5" xfId="1848" xr:uid="{00000000-0005-0000-0000-0000C7210000}"/>
    <cellStyle name="Note 3 3 5 2" xfId="4077" xr:uid="{00000000-0005-0000-0000-0000C8210000}"/>
    <cellStyle name="Note 3 3 5 2 2" xfId="8300" xr:uid="{00000000-0005-0000-0000-0000C9210000}"/>
    <cellStyle name="Note 3 3 5 2 2 2" xfId="16735" xr:uid="{54A2594A-8437-4BE8-A8CA-DA4E260BAFC8}"/>
    <cellStyle name="Note 3 3 5 2 3" xfId="12517" xr:uid="{30D84AD8-78E2-4920-838A-10A54D582427}"/>
    <cellStyle name="Note 3 3 5 3" xfId="6155" xr:uid="{00000000-0005-0000-0000-0000CA210000}"/>
    <cellStyle name="Note 3 3 5 3 2" xfId="14590" xr:uid="{BF25798E-1AEF-4FAD-88C9-25AE83180F90}"/>
    <cellStyle name="Note 3 3 5 4" xfId="10372" xr:uid="{D3BCE891-E5C8-4697-B47C-6703DF1EA3FB}"/>
    <cellStyle name="Note 3 3 6" xfId="2261" xr:uid="{00000000-0005-0000-0000-0000CB210000}"/>
    <cellStyle name="Note 3 3 6 2" xfId="4490" xr:uid="{00000000-0005-0000-0000-0000CC210000}"/>
    <cellStyle name="Note 3 3 6 2 2" xfId="8713" xr:uid="{00000000-0005-0000-0000-0000CD210000}"/>
    <cellStyle name="Note 3 3 6 2 2 2" xfId="17148" xr:uid="{63C0083B-39DD-4E53-8161-4B76289C876F}"/>
    <cellStyle name="Note 3 3 6 2 3" xfId="12930" xr:uid="{4C64C1A9-3319-486E-80C1-BECCB2626E41}"/>
    <cellStyle name="Note 3 3 6 3" xfId="6568" xr:uid="{00000000-0005-0000-0000-0000CE210000}"/>
    <cellStyle name="Note 3 3 6 3 2" xfId="15003" xr:uid="{3376DCC5-6C7B-4084-9FEC-66F33FCEFDB9}"/>
    <cellStyle name="Note 3 3 6 4" xfId="10785" xr:uid="{830AE8C1-B48F-4D62-A5B7-6D0C5D7965B5}"/>
    <cellStyle name="Note 3 3 7" xfId="2697" xr:uid="{00000000-0005-0000-0000-0000CF210000}"/>
    <cellStyle name="Note 3 3 7 2" xfId="6981" xr:uid="{00000000-0005-0000-0000-0000D0210000}"/>
    <cellStyle name="Note 3 3 7 2 2" xfId="15416" xr:uid="{568A944E-D9C0-4A10-A213-16C0E10D185C}"/>
    <cellStyle name="Note 3 3 7 3" xfId="11198" xr:uid="{988FB1D5-B06A-4506-8F24-B85158F5C991}"/>
    <cellStyle name="Note 3 3 8" xfId="2756" xr:uid="{00000000-0005-0000-0000-0000D1210000}"/>
    <cellStyle name="Note 3 3 9" xfId="2837" xr:uid="{00000000-0005-0000-0000-0000D2210000}"/>
    <cellStyle name="Note 3 3 9 2" xfId="7061" xr:uid="{00000000-0005-0000-0000-0000D3210000}"/>
    <cellStyle name="Note 3 3 9 2 2" xfId="15496" xr:uid="{50F1C39D-4E7B-4A53-9683-C48402F50428}"/>
    <cellStyle name="Note 3 3 9 3" xfId="11278" xr:uid="{A7CD0858-53E5-4B65-9996-865F2CF6AA1C}"/>
    <cellStyle name="Note 3 4" xfId="561" xr:uid="{00000000-0005-0000-0000-0000D4210000}"/>
    <cellStyle name="Note 3 4 10" xfId="9135" xr:uid="{9F9E6713-6631-4453-910E-C16300C876F9}"/>
    <cellStyle name="Note 3 4 2" xfId="1021" xr:uid="{00000000-0005-0000-0000-0000D5210000}"/>
    <cellStyle name="Note 3 4 2 2" xfId="3253" xr:uid="{00000000-0005-0000-0000-0000D6210000}"/>
    <cellStyle name="Note 3 4 2 2 2" xfId="7476" xr:uid="{00000000-0005-0000-0000-0000D7210000}"/>
    <cellStyle name="Note 3 4 2 2 2 2" xfId="15911" xr:uid="{87200E59-48CF-432E-9114-E4D41AFEDAB3}"/>
    <cellStyle name="Note 3 4 2 2 3" xfId="11693" xr:uid="{07993214-A387-46BD-BD2F-D51BB34B0C73}"/>
    <cellStyle name="Note 3 4 2 3" xfId="5331" xr:uid="{00000000-0005-0000-0000-0000D8210000}"/>
    <cellStyle name="Note 3 4 2 3 2" xfId="13766" xr:uid="{85CF7A6B-BAAD-4263-B892-1416BB86A753}"/>
    <cellStyle name="Note 3 4 2 4" xfId="9548" xr:uid="{2669800E-907E-4F60-9F2B-C3EEB3FE712A}"/>
    <cellStyle name="Note 3 4 3" xfId="1436" xr:uid="{00000000-0005-0000-0000-0000D9210000}"/>
    <cellStyle name="Note 3 4 3 2" xfId="3666" xr:uid="{00000000-0005-0000-0000-0000DA210000}"/>
    <cellStyle name="Note 3 4 3 2 2" xfId="7889" xr:uid="{00000000-0005-0000-0000-0000DB210000}"/>
    <cellStyle name="Note 3 4 3 2 2 2" xfId="16324" xr:uid="{D5C7AE2B-74C5-45DE-90A2-A3A74EA948C1}"/>
    <cellStyle name="Note 3 4 3 2 3" xfId="12106" xr:uid="{60E558F2-46FF-4DE0-932C-B5ABB368B407}"/>
    <cellStyle name="Note 3 4 3 3" xfId="5744" xr:uid="{00000000-0005-0000-0000-0000DC210000}"/>
    <cellStyle name="Note 3 4 3 3 2" xfId="14179" xr:uid="{85460881-24DD-44FF-AF71-86109597C698}"/>
    <cellStyle name="Note 3 4 3 4" xfId="9961" xr:uid="{73AC5957-2429-4BB1-8F60-5CE40CC2B0F0}"/>
    <cellStyle name="Note 3 4 4" xfId="1850" xr:uid="{00000000-0005-0000-0000-0000DD210000}"/>
    <cellStyle name="Note 3 4 4 2" xfId="4079" xr:uid="{00000000-0005-0000-0000-0000DE210000}"/>
    <cellStyle name="Note 3 4 4 2 2" xfId="8302" xr:uid="{00000000-0005-0000-0000-0000DF210000}"/>
    <cellStyle name="Note 3 4 4 2 2 2" xfId="16737" xr:uid="{707F6E12-037D-4F59-951D-9E3215EC5263}"/>
    <cellStyle name="Note 3 4 4 2 3" xfId="12519" xr:uid="{6ADBE50C-4D74-40E8-B702-3C8904BAF15A}"/>
    <cellStyle name="Note 3 4 4 3" xfId="6157" xr:uid="{00000000-0005-0000-0000-0000E0210000}"/>
    <cellStyle name="Note 3 4 4 3 2" xfId="14592" xr:uid="{6CE2A4A7-8460-4D42-8320-DF72A6D24EBA}"/>
    <cellStyle name="Note 3 4 4 4" xfId="10374" xr:uid="{1D758F71-2335-4BFF-A5BA-F0D83DF78FDB}"/>
    <cellStyle name="Note 3 4 5" xfId="2263" xr:uid="{00000000-0005-0000-0000-0000E1210000}"/>
    <cellStyle name="Note 3 4 5 2" xfId="4492" xr:uid="{00000000-0005-0000-0000-0000E2210000}"/>
    <cellStyle name="Note 3 4 5 2 2" xfId="8715" xr:uid="{00000000-0005-0000-0000-0000E3210000}"/>
    <cellStyle name="Note 3 4 5 2 2 2" xfId="17150" xr:uid="{97E4CE15-61B4-443C-B614-E5A81A4E5D7F}"/>
    <cellStyle name="Note 3 4 5 2 3" xfId="12932" xr:uid="{B26FD881-6204-404A-AF63-EE115EFD3250}"/>
    <cellStyle name="Note 3 4 5 3" xfId="6570" xr:uid="{00000000-0005-0000-0000-0000E4210000}"/>
    <cellStyle name="Note 3 4 5 3 2" xfId="15005" xr:uid="{C85B0E16-1F12-483E-8FBB-679F09D4F41F}"/>
    <cellStyle name="Note 3 4 5 4" xfId="10787" xr:uid="{26EE046A-DFD2-4ACA-BA24-26812FCC0D6C}"/>
    <cellStyle name="Note 3 4 6" xfId="2699" xr:uid="{00000000-0005-0000-0000-0000E5210000}"/>
    <cellStyle name="Note 3 4 6 2" xfId="6983" xr:uid="{00000000-0005-0000-0000-0000E6210000}"/>
    <cellStyle name="Note 3 4 6 2 2" xfId="15418" xr:uid="{556F0A46-C4E0-4DD3-B1A6-84F39E763953}"/>
    <cellStyle name="Note 3 4 6 3" xfId="11200" xr:uid="{8D19A7D9-BED0-4AA6-B4FA-5FE00E461435}"/>
    <cellStyle name="Note 3 4 7" xfId="2758" xr:uid="{00000000-0005-0000-0000-0000E7210000}"/>
    <cellStyle name="Note 3 4 8" xfId="2839" xr:uid="{00000000-0005-0000-0000-0000E8210000}"/>
    <cellStyle name="Note 3 4 8 2" xfId="7063" xr:uid="{00000000-0005-0000-0000-0000E9210000}"/>
    <cellStyle name="Note 3 4 8 2 2" xfId="15498" xr:uid="{D02DCA76-EF13-4B82-934D-EA5A428B9E8D}"/>
    <cellStyle name="Note 3 4 8 3" xfId="11280" xr:uid="{BA14D0D9-95C3-45A7-8DFD-37A7769F98A0}"/>
    <cellStyle name="Note 3 4 9" xfId="4918" xr:uid="{00000000-0005-0000-0000-0000EA210000}"/>
    <cellStyle name="Note 3 4 9 2" xfId="13353" xr:uid="{E7D376E5-CDAE-491E-9448-4053CD564CBF}"/>
    <cellStyle name="Note 3 5" xfId="562" xr:uid="{00000000-0005-0000-0000-0000EB210000}"/>
    <cellStyle name="Note 3 5 10" xfId="9136" xr:uid="{3127CFCC-F216-465B-B062-1C05B0BE1350}"/>
    <cellStyle name="Note 3 5 2" xfId="1022" xr:uid="{00000000-0005-0000-0000-0000EC210000}"/>
    <cellStyle name="Note 3 5 2 2" xfId="3254" xr:uid="{00000000-0005-0000-0000-0000ED210000}"/>
    <cellStyle name="Note 3 5 2 2 2" xfId="7477" xr:uid="{00000000-0005-0000-0000-0000EE210000}"/>
    <cellStyle name="Note 3 5 2 2 2 2" xfId="15912" xr:uid="{ED843A12-4401-4BDB-9E08-7EECAC597476}"/>
    <cellStyle name="Note 3 5 2 2 3" xfId="11694" xr:uid="{7285D70D-F295-4065-A23A-B5B7499DD18E}"/>
    <cellStyle name="Note 3 5 2 3" xfId="5332" xr:uid="{00000000-0005-0000-0000-0000EF210000}"/>
    <cellStyle name="Note 3 5 2 3 2" xfId="13767" xr:uid="{DAFF996A-64C0-488F-892F-76AC63F9DC52}"/>
    <cellStyle name="Note 3 5 2 4" xfId="9549" xr:uid="{B5B2A090-0F0D-4C7A-BBB7-EF2AD9423AD2}"/>
    <cellStyle name="Note 3 5 3" xfId="1437" xr:uid="{00000000-0005-0000-0000-0000F0210000}"/>
    <cellStyle name="Note 3 5 3 2" xfId="3667" xr:uid="{00000000-0005-0000-0000-0000F1210000}"/>
    <cellStyle name="Note 3 5 3 2 2" xfId="7890" xr:uid="{00000000-0005-0000-0000-0000F2210000}"/>
    <cellStyle name="Note 3 5 3 2 2 2" xfId="16325" xr:uid="{A5BF2B6B-A3D9-421E-B75F-7C9B5A71E511}"/>
    <cellStyle name="Note 3 5 3 2 3" xfId="12107" xr:uid="{5558814A-F25F-4607-A6EC-8B269AFCC737}"/>
    <cellStyle name="Note 3 5 3 3" xfId="5745" xr:uid="{00000000-0005-0000-0000-0000F3210000}"/>
    <cellStyle name="Note 3 5 3 3 2" xfId="14180" xr:uid="{4FC04811-6584-4CE5-9781-060F24F11255}"/>
    <cellStyle name="Note 3 5 3 4" xfId="9962" xr:uid="{CB1B28E1-F36C-4BA1-A115-3DFA8CFFCD10}"/>
    <cellStyle name="Note 3 5 4" xfId="1851" xr:uid="{00000000-0005-0000-0000-0000F4210000}"/>
    <cellStyle name="Note 3 5 4 2" xfId="4080" xr:uid="{00000000-0005-0000-0000-0000F5210000}"/>
    <cellStyle name="Note 3 5 4 2 2" xfId="8303" xr:uid="{00000000-0005-0000-0000-0000F6210000}"/>
    <cellStyle name="Note 3 5 4 2 2 2" xfId="16738" xr:uid="{9B11CEAC-D686-45DD-BFA6-275A81051DFC}"/>
    <cellStyle name="Note 3 5 4 2 3" xfId="12520" xr:uid="{20834929-F615-4491-AF5B-9418779A0FEC}"/>
    <cellStyle name="Note 3 5 4 3" xfId="6158" xr:uid="{00000000-0005-0000-0000-0000F7210000}"/>
    <cellStyle name="Note 3 5 4 3 2" xfId="14593" xr:uid="{5360D23D-1DCC-44A7-A771-F36C7B4496CF}"/>
    <cellStyle name="Note 3 5 4 4" xfId="10375" xr:uid="{EE1BF730-5EC7-409E-B091-AE08F50346F5}"/>
    <cellStyle name="Note 3 5 5" xfId="2264" xr:uid="{00000000-0005-0000-0000-0000F8210000}"/>
    <cellStyle name="Note 3 5 5 2" xfId="4493" xr:uid="{00000000-0005-0000-0000-0000F9210000}"/>
    <cellStyle name="Note 3 5 5 2 2" xfId="8716" xr:uid="{00000000-0005-0000-0000-0000FA210000}"/>
    <cellStyle name="Note 3 5 5 2 2 2" xfId="17151" xr:uid="{6EA7665D-6E0E-4913-8842-DEC6457E3E0B}"/>
    <cellStyle name="Note 3 5 5 2 3" xfId="12933" xr:uid="{76FD94D9-7FBD-4480-BAB6-747C17756127}"/>
    <cellStyle name="Note 3 5 5 3" xfId="6571" xr:uid="{00000000-0005-0000-0000-0000FB210000}"/>
    <cellStyle name="Note 3 5 5 3 2" xfId="15006" xr:uid="{E2BCAA16-BDA7-459C-9283-ECE2F640D60B}"/>
    <cellStyle name="Note 3 5 5 4" xfId="10788" xr:uid="{68674402-52DA-4976-AC8C-4E958568CF0B}"/>
    <cellStyle name="Note 3 5 6" xfId="2700" xr:uid="{00000000-0005-0000-0000-0000FC210000}"/>
    <cellStyle name="Note 3 5 6 2" xfId="6984" xr:uid="{00000000-0005-0000-0000-0000FD210000}"/>
    <cellStyle name="Note 3 5 6 2 2" xfId="15419" xr:uid="{844C2F28-1782-493E-BC92-90A3D44E0B6B}"/>
    <cellStyle name="Note 3 5 6 3" xfId="11201" xr:uid="{FF3B1DC3-1F0A-430E-8A7F-6EE79B816E00}"/>
    <cellStyle name="Note 3 5 7" xfId="2759" xr:uid="{00000000-0005-0000-0000-0000FE210000}"/>
    <cellStyle name="Note 3 5 8" xfId="2840" xr:uid="{00000000-0005-0000-0000-0000FF210000}"/>
    <cellStyle name="Note 3 5 8 2" xfId="7064" xr:uid="{00000000-0005-0000-0000-000000220000}"/>
    <cellStyle name="Note 3 5 8 2 2" xfId="15499" xr:uid="{C5B0D048-9AC6-4FD9-AEC7-649BE5613B50}"/>
    <cellStyle name="Note 3 5 8 3" xfId="11281" xr:uid="{A3718FEF-5538-4076-A3F9-9DE64D6E6FA9}"/>
    <cellStyle name="Note 3 5 9" xfId="4919" xr:uid="{00000000-0005-0000-0000-000001220000}"/>
    <cellStyle name="Note 3 5 9 2" xfId="13354" xr:uid="{33D80CDC-1662-43E1-958A-71424F412A23}"/>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3 2" xfId="12937" xr:uid="{471A406D-1B5B-43B3-9DA6-9E2F917E587A}"/>
    <cellStyle name="Percent 4" xfId="4503" xr:uid="{00000000-0005-0000-0000-000007220000}"/>
    <cellStyle name="Percent 4 2" xfId="8719" xr:uid="{00000000-0005-0000-0000-000008220000}"/>
    <cellStyle name="Percent 4 3" xfId="8722" xr:uid="{D09CD3FC-D632-4B66-A68A-5CC92F993799}"/>
    <cellStyle name="Percent 4 4" xfId="12940" xr:uid="{31C6015A-4079-4507-BE9B-84F2433D3505}"/>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2">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125509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367" zoomScaleNormal="100" zoomScaleSheetLayoutView="100" workbookViewId="0">
      <selection activeCell="D11" sqref="D11:AK13"/>
    </sheetView>
  </sheetViews>
  <sheetFormatPr defaultColWidth="0" defaultRowHeight="12.5" zeroHeight="1"/>
  <cols>
    <col min="1" max="5" width="2.453125" customWidth="1"/>
    <col min="6" max="6" width="3" customWidth="1"/>
    <col min="7" max="38" width="2.453125" customWidth="1"/>
    <col min="39" max="16384" width="2.453125" hidden="1"/>
  </cols>
  <sheetData>
    <row r="1" spans="1:38">
      <c r="A1" s="1811" t="s">
        <v>581</v>
      </c>
      <c r="B1" s="1811"/>
      <c r="C1" s="1811"/>
      <c r="D1" s="1811"/>
      <c r="E1" s="1811"/>
      <c r="F1" s="1811"/>
      <c r="G1" s="1811"/>
      <c r="H1" s="1811"/>
      <c r="I1" s="1811"/>
      <c r="J1" s="1811"/>
      <c r="K1" s="1811"/>
      <c r="L1" s="1811"/>
      <c r="M1" s="1811"/>
      <c r="N1" s="1811"/>
      <c r="O1" s="1811"/>
      <c r="P1" s="1811"/>
      <c r="Q1" s="1811"/>
      <c r="R1" s="1811"/>
      <c r="S1" s="1811"/>
      <c r="T1" s="1811"/>
      <c r="U1" s="1811"/>
      <c r="V1" s="1811"/>
      <c r="W1" s="1811"/>
      <c r="X1" s="1811"/>
      <c r="Y1" s="1811"/>
      <c r="Z1" s="1811"/>
      <c r="AA1" s="1811"/>
      <c r="AB1" s="1811"/>
      <c r="AC1" s="1811"/>
      <c r="AD1" s="1811"/>
      <c r="AE1" s="1811"/>
      <c r="AF1" s="1811"/>
      <c r="AG1" s="1811"/>
      <c r="AH1" s="1811"/>
      <c r="AI1" s="1811"/>
      <c r="AJ1" s="1811"/>
      <c r="AK1" s="1811"/>
      <c r="AL1" s="1811"/>
    </row>
    <row r="2" spans="1:38" ht="13" thickBot="1">
      <c r="A2" s="1812"/>
      <c r="B2" s="1812"/>
      <c r="C2" s="1812"/>
      <c r="D2" s="1812"/>
      <c r="E2" s="1812"/>
      <c r="F2" s="1812"/>
      <c r="G2" s="1812"/>
      <c r="H2" s="1812"/>
      <c r="I2" s="1812"/>
      <c r="J2" s="1812"/>
      <c r="K2" s="1812"/>
      <c r="L2" s="1812"/>
      <c r="M2" s="1812"/>
      <c r="N2" s="1812"/>
      <c r="O2" s="1812"/>
      <c r="P2" s="1812"/>
      <c r="Q2" s="1812"/>
      <c r="R2" s="1812"/>
      <c r="S2" s="1812"/>
      <c r="T2" s="1812"/>
      <c r="U2" s="1812"/>
      <c r="V2" s="1812"/>
      <c r="W2" s="1812"/>
      <c r="X2" s="1812"/>
      <c r="Y2" s="1812"/>
      <c r="Z2" s="1812"/>
      <c r="AA2" s="1812"/>
      <c r="AB2" s="1812"/>
      <c r="AC2" s="1812"/>
      <c r="AD2" s="1812"/>
      <c r="AE2" s="1812"/>
      <c r="AF2" s="1812"/>
      <c r="AG2" s="1812"/>
      <c r="AH2" s="1812"/>
      <c r="AI2" s="1812"/>
      <c r="AJ2" s="1812"/>
      <c r="AK2" s="1812"/>
      <c r="AL2" s="1812"/>
    </row>
    <row r="3" spans="1:38" ht="13" thickTop="1"/>
    <row r="4" spans="1:38" s="8" customFormat="1" ht="13">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5" customHeight="1">
      <c r="A7" s="327"/>
      <c r="B7" s="325"/>
      <c r="C7" s="326"/>
      <c r="D7" s="1813" t="s">
        <v>1383</v>
      </c>
      <c r="E7" s="1813"/>
      <c r="F7" s="1813"/>
      <c r="G7" s="1813"/>
      <c r="H7" s="1813"/>
      <c r="I7" s="1813"/>
      <c r="J7" s="1813"/>
      <c r="K7" s="1813"/>
      <c r="L7" s="1813"/>
      <c r="M7" s="1813"/>
      <c r="N7" s="1813"/>
      <c r="O7" s="1813"/>
      <c r="P7" s="1813"/>
      <c r="Q7" s="1813"/>
      <c r="R7" s="1813"/>
      <c r="S7" s="1813"/>
      <c r="T7" s="1813"/>
      <c r="U7" s="1813"/>
      <c r="V7" s="1813"/>
      <c r="W7" s="1813"/>
      <c r="X7" s="1813"/>
      <c r="Y7" s="1813"/>
      <c r="Z7" s="1813"/>
      <c r="AA7" s="1813"/>
      <c r="AB7" s="1813"/>
      <c r="AC7" s="1813"/>
      <c r="AD7" s="1813"/>
      <c r="AE7" s="1813"/>
      <c r="AF7" s="1813"/>
      <c r="AG7" s="1813"/>
      <c r="AH7" s="1813"/>
      <c r="AI7" s="1813"/>
      <c r="AJ7" s="1813"/>
      <c r="AK7" s="1813"/>
      <c r="AL7" s="744"/>
    </row>
    <row r="8" spans="1:38" ht="13">
      <c r="A8" s="327"/>
      <c r="B8" s="325"/>
      <c r="C8" s="326"/>
      <c r="D8" s="1813"/>
      <c r="E8" s="1813"/>
      <c r="F8" s="1813"/>
      <c r="G8" s="1813"/>
      <c r="H8" s="1813"/>
      <c r="I8" s="1813"/>
      <c r="J8" s="1813"/>
      <c r="K8" s="1813"/>
      <c r="L8" s="1813"/>
      <c r="M8" s="1813"/>
      <c r="N8" s="1813"/>
      <c r="O8" s="1813"/>
      <c r="P8" s="1813"/>
      <c r="Q8" s="1813"/>
      <c r="R8" s="1813"/>
      <c r="S8" s="1813"/>
      <c r="T8" s="1813"/>
      <c r="U8" s="1813"/>
      <c r="V8" s="1813"/>
      <c r="W8" s="1813"/>
      <c r="X8" s="1813"/>
      <c r="Y8" s="1813"/>
      <c r="Z8" s="1813"/>
      <c r="AA8" s="1813"/>
      <c r="AB8" s="1813"/>
      <c r="AC8" s="1813"/>
      <c r="AD8" s="1813"/>
      <c r="AE8" s="1813"/>
      <c r="AF8" s="1813"/>
      <c r="AG8" s="1813"/>
      <c r="AH8" s="1813"/>
      <c r="AI8" s="1813"/>
      <c r="AJ8" s="1813"/>
      <c r="AK8" s="1813"/>
      <c r="AL8" s="744"/>
    </row>
    <row r="9" spans="1:38" ht="13">
      <c r="A9" s="327"/>
      <c r="B9" s="325"/>
      <c r="C9" s="326"/>
      <c r="D9" s="1813"/>
      <c r="E9" s="1813"/>
      <c r="F9" s="1813"/>
      <c r="G9" s="1813"/>
      <c r="H9" s="1813"/>
      <c r="I9" s="1813"/>
      <c r="J9" s="1813"/>
      <c r="K9" s="1813"/>
      <c r="L9" s="1813"/>
      <c r="M9" s="1813"/>
      <c r="N9" s="1813"/>
      <c r="O9" s="1813"/>
      <c r="P9" s="1813"/>
      <c r="Q9" s="1813"/>
      <c r="R9" s="1813"/>
      <c r="S9" s="1813"/>
      <c r="T9" s="1813"/>
      <c r="U9" s="1813"/>
      <c r="V9" s="1813"/>
      <c r="W9" s="1813"/>
      <c r="X9" s="1813"/>
      <c r="Y9" s="1813"/>
      <c r="Z9" s="1813"/>
      <c r="AA9" s="1813"/>
      <c r="AB9" s="1813"/>
      <c r="AC9" s="1813"/>
      <c r="AD9" s="1813"/>
      <c r="AE9" s="1813"/>
      <c r="AF9" s="1813"/>
      <c r="AG9" s="1813"/>
      <c r="AH9" s="1813"/>
      <c r="AI9" s="1813"/>
      <c r="AJ9" s="1813"/>
      <c r="AK9" s="1813"/>
      <c r="AL9" s="744"/>
    </row>
    <row r="10" spans="1:38" ht="13">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13" t="s">
        <v>1387</v>
      </c>
      <c r="E11" s="1813"/>
      <c r="F11" s="1813"/>
      <c r="G11" s="1813"/>
      <c r="H11" s="1813"/>
      <c r="I11" s="1813"/>
      <c r="J11" s="1813"/>
      <c r="K11" s="1813"/>
      <c r="L11" s="1813"/>
      <c r="M11" s="1813"/>
      <c r="N11" s="1813"/>
      <c r="O11" s="1813"/>
      <c r="P11" s="1813"/>
      <c r="Q11" s="1813"/>
      <c r="R11" s="1813"/>
      <c r="S11" s="1813"/>
      <c r="T11" s="1813"/>
      <c r="U11" s="1813"/>
      <c r="V11" s="1813"/>
      <c r="W11" s="1813"/>
      <c r="X11" s="1813"/>
      <c r="Y11" s="1813"/>
      <c r="Z11" s="1813"/>
      <c r="AA11" s="1813"/>
      <c r="AB11" s="1813"/>
      <c r="AC11" s="1813"/>
      <c r="AD11" s="1813"/>
      <c r="AE11" s="1813"/>
      <c r="AF11" s="1813"/>
      <c r="AG11" s="1813"/>
      <c r="AH11" s="1813"/>
      <c r="AI11" s="1813"/>
      <c r="AJ11" s="1813"/>
      <c r="AK11" s="1813"/>
      <c r="AL11" s="744"/>
    </row>
    <row r="12" spans="1:38" ht="13">
      <c r="A12" s="327"/>
      <c r="B12" s="325"/>
      <c r="C12" s="326"/>
      <c r="D12" s="1813"/>
      <c r="E12" s="1813"/>
      <c r="F12" s="1813"/>
      <c r="G12" s="1813"/>
      <c r="H12" s="1813"/>
      <c r="I12" s="1813"/>
      <c r="J12" s="1813"/>
      <c r="K12" s="1813"/>
      <c r="L12" s="1813"/>
      <c r="M12" s="1813"/>
      <c r="N12" s="1813"/>
      <c r="O12" s="1813"/>
      <c r="P12" s="1813"/>
      <c r="Q12" s="1813"/>
      <c r="R12" s="1813"/>
      <c r="S12" s="1813"/>
      <c r="T12" s="1813"/>
      <c r="U12" s="1813"/>
      <c r="V12" s="1813"/>
      <c r="W12" s="1813"/>
      <c r="X12" s="1813"/>
      <c r="Y12" s="1813"/>
      <c r="Z12" s="1813"/>
      <c r="AA12" s="1813"/>
      <c r="AB12" s="1813"/>
      <c r="AC12" s="1813"/>
      <c r="AD12" s="1813"/>
      <c r="AE12" s="1813"/>
      <c r="AF12" s="1813"/>
      <c r="AG12" s="1813"/>
      <c r="AH12" s="1813"/>
      <c r="AI12" s="1813"/>
      <c r="AJ12" s="1813"/>
      <c r="AK12" s="1813"/>
      <c r="AL12" s="744"/>
    </row>
    <row r="13" spans="1:38" s="715" customFormat="1" ht="13">
      <c r="A13" s="327"/>
      <c r="B13" s="325"/>
      <c r="C13" s="326"/>
      <c r="D13" s="1813"/>
      <c r="E13" s="1813"/>
      <c r="F13" s="1813"/>
      <c r="G13" s="1813"/>
      <c r="H13" s="1813"/>
      <c r="I13" s="1813"/>
      <c r="J13" s="1813"/>
      <c r="K13" s="1813"/>
      <c r="L13" s="1813"/>
      <c r="M13" s="1813"/>
      <c r="N13" s="1813"/>
      <c r="O13" s="1813"/>
      <c r="P13" s="1813"/>
      <c r="Q13" s="1813"/>
      <c r="R13" s="1813"/>
      <c r="S13" s="1813"/>
      <c r="T13" s="1813"/>
      <c r="U13" s="1813"/>
      <c r="V13" s="1813"/>
      <c r="W13" s="1813"/>
      <c r="X13" s="1813"/>
      <c r="Y13" s="1813"/>
      <c r="Z13" s="1813"/>
      <c r="AA13" s="1813"/>
      <c r="AB13" s="1813"/>
      <c r="AC13" s="1813"/>
      <c r="AD13" s="1813"/>
      <c r="AE13" s="1813"/>
      <c r="AF13" s="1813"/>
      <c r="AG13" s="1813"/>
      <c r="AH13" s="1813"/>
      <c r="AI13" s="1813"/>
      <c r="AJ13" s="1813"/>
      <c r="AK13" s="1813"/>
      <c r="AL13" s="744"/>
    </row>
    <row r="14" spans="1:38" s="715" customFormat="1" ht="13.5" customHeight="1">
      <c r="A14" s="327"/>
      <c r="B14" s="325"/>
      <c r="C14" s="326"/>
      <c r="E14" s="1815" t="s">
        <v>2088</v>
      </c>
      <c r="F14" s="1815"/>
      <c r="G14" s="1815"/>
      <c r="H14" s="1815"/>
      <c r="I14" s="1815"/>
      <c r="J14" s="1815"/>
      <c r="K14" s="1815"/>
      <c r="L14" s="1815"/>
      <c r="M14" s="1815"/>
      <c r="N14" s="1815"/>
      <c r="O14" s="1815"/>
      <c r="P14" s="1815"/>
      <c r="Q14" s="1815"/>
      <c r="R14" s="1815"/>
      <c r="S14" s="1815"/>
      <c r="T14" s="1815"/>
      <c r="U14" s="1815"/>
      <c r="V14" s="1815"/>
      <c r="W14" s="1815"/>
      <c r="X14" s="1815"/>
      <c r="Y14" s="1815"/>
      <c r="Z14" s="1815"/>
      <c r="AA14" s="1815"/>
      <c r="AB14" s="1815"/>
      <c r="AC14" s="1815"/>
      <c r="AD14" s="1815"/>
      <c r="AE14" s="1815"/>
      <c r="AF14" s="1815"/>
      <c r="AG14" s="1815"/>
      <c r="AH14" s="1815"/>
      <c r="AI14" s="1815"/>
      <c r="AJ14" s="1815"/>
      <c r="AK14" s="1815"/>
      <c r="AL14" s="744"/>
    </row>
    <row r="15" spans="1:38" s="715" customFormat="1" ht="13.5" customHeight="1">
      <c r="A15" s="327"/>
      <c r="B15" s="325"/>
      <c r="C15" s="326"/>
      <c r="E15" s="1815"/>
      <c r="F15" s="1815"/>
      <c r="G15" s="1815"/>
      <c r="H15" s="1815"/>
      <c r="I15" s="1815"/>
      <c r="J15" s="1815"/>
      <c r="K15" s="1815"/>
      <c r="L15" s="1815"/>
      <c r="M15" s="1815"/>
      <c r="N15" s="1815"/>
      <c r="O15" s="1815"/>
      <c r="P15" s="1815"/>
      <c r="Q15" s="1815"/>
      <c r="R15" s="1815"/>
      <c r="S15" s="1815"/>
      <c r="T15" s="1815"/>
      <c r="U15" s="1815"/>
      <c r="V15" s="1815"/>
      <c r="W15" s="1815"/>
      <c r="X15" s="1815"/>
      <c r="Y15" s="1815"/>
      <c r="Z15" s="1815"/>
      <c r="AA15" s="1815"/>
      <c r="AB15" s="1815"/>
      <c r="AC15" s="1815"/>
      <c r="AD15" s="1815"/>
      <c r="AE15" s="1815"/>
      <c r="AF15" s="1815"/>
      <c r="AG15" s="1815"/>
      <c r="AH15" s="1815"/>
      <c r="AI15" s="1815"/>
      <c r="AJ15" s="1815"/>
      <c r="AK15" s="1815"/>
      <c r="AL15" s="744"/>
    </row>
    <row r="16" spans="1:38" s="715" customFormat="1" ht="13">
      <c r="A16" s="327"/>
      <c r="B16" s="325"/>
      <c r="C16" s="326"/>
      <c r="D16" s="744"/>
      <c r="E16" s="1815"/>
      <c r="F16" s="1815"/>
      <c r="G16" s="1815"/>
      <c r="H16" s="1815"/>
      <c r="I16" s="1815"/>
      <c r="J16" s="1815"/>
      <c r="K16" s="1815"/>
      <c r="L16" s="1815"/>
      <c r="M16" s="1815"/>
      <c r="N16" s="1815"/>
      <c r="O16" s="1815"/>
      <c r="P16" s="1815"/>
      <c r="Q16" s="1815"/>
      <c r="R16" s="1815"/>
      <c r="S16" s="1815"/>
      <c r="T16" s="1815"/>
      <c r="U16" s="1815"/>
      <c r="V16" s="1815"/>
      <c r="W16" s="1815"/>
      <c r="X16" s="1815"/>
      <c r="Y16" s="1815"/>
      <c r="Z16" s="1815"/>
      <c r="AA16" s="1815"/>
      <c r="AB16" s="1815"/>
      <c r="AC16" s="1815"/>
      <c r="AD16" s="1815"/>
      <c r="AE16" s="1815"/>
      <c r="AF16" s="1815"/>
      <c r="AG16" s="1815"/>
      <c r="AH16" s="1815"/>
      <c r="AI16" s="1815"/>
      <c r="AJ16" s="1815"/>
      <c r="AK16" s="1815"/>
      <c r="AL16" s="744"/>
    </row>
    <row r="17" spans="1:38" s="715" customFormat="1" ht="13">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5" customHeight="1">
      <c r="A18" s="327"/>
      <c r="B18" s="325"/>
      <c r="C18" s="326"/>
      <c r="D18" s="1815" t="s">
        <v>1514</v>
      </c>
      <c r="E18" s="1815"/>
      <c r="F18" s="1815"/>
      <c r="G18" s="1815"/>
      <c r="H18" s="1815"/>
      <c r="I18" s="1815"/>
      <c r="J18" s="1815"/>
      <c r="K18" s="1815"/>
      <c r="L18" s="1815"/>
      <c r="M18" s="1815"/>
      <c r="N18" s="1815"/>
      <c r="O18" s="1815"/>
      <c r="P18" s="1815"/>
      <c r="Q18" s="1815"/>
      <c r="R18" s="1815"/>
      <c r="S18" s="1815"/>
      <c r="T18" s="1815"/>
      <c r="U18" s="1815"/>
      <c r="V18" s="1815"/>
      <c r="W18" s="1815"/>
      <c r="X18" s="1815"/>
      <c r="Y18" s="1815"/>
      <c r="Z18" s="1815"/>
      <c r="AA18" s="1815"/>
      <c r="AB18" s="1815"/>
      <c r="AC18" s="1815"/>
      <c r="AD18" s="1815"/>
      <c r="AE18" s="1815"/>
      <c r="AF18" s="1815"/>
      <c r="AG18" s="1815"/>
      <c r="AH18" s="1815"/>
      <c r="AI18" s="1815"/>
      <c r="AJ18" s="1815"/>
      <c r="AK18" s="1815"/>
      <c r="AL18" s="325"/>
    </row>
    <row r="19" spans="1:38" ht="13">
      <c r="A19" s="327"/>
      <c r="B19" s="325"/>
      <c r="C19" s="326"/>
      <c r="D19" s="1815"/>
      <c r="E19" s="1815"/>
      <c r="F19" s="1815"/>
      <c r="G19" s="1815"/>
      <c r="H19" s="1815"/>
      <c r="I19" s="1815"/>
      <c r="J19" s="1815"/>
      <c r="K19" s="1815"/>
      <c r="L19" s="1815"/>
      <c r="M19" s="1815"/>
      <c r="N19" s="1815"/>
      <c r="O19" s="1815"/>
      <c r="P19" s="1815"/>
      <c r="Q19" s="1815"/>
      <c r="R19" s="1815"/>
      <c r="S19" s="1815"/>
      <c r="T19" s="1815"/>
      <c r="U19" s="1815"/>
      <c r="V19" s="1815"/>
      <c r="W19" s="1815"/>
      <c r="X19" s="1815"/>
      <c r="Y19" s="1815"/>
      <c r="Z19" s="1815"/>
      <c r="AA19" s="1815"/>
      <c r="AB19" s="1815"/>
      <c r="AC19" s="1815"/>
      <c r="AD19" s="1815"/>
      <c r="AE19" s="1815"/>
      <c r="AF19" s="1815"/>
      <c r="AG19" s="1815"/>
      <c r="AH19" s="1815"/>
      <c r="AI19" s="1815"/>
      <c r="AJ19" s="1815"/>
      <c r="AK19" s="1815"/>
      <c r="AL19" s="325"/>
    </row>
    <row r="20" spans="1:38" s="715" customFormat="1" ht="13">
      <c r="A20" s="327"/>
      <c r="B20" s="325"/>
      <c r="C20" s="326"/>
      <c r="D20" s="1815"/>
      <c r="E20" s="1815"/>
      <c r="F20" s="1815"/>
      <c r="G20" s="1815"/>
      <c r="H20" s="1815"/>
      <c r="I20" s="1815"/>
      <c r="J20" s="1815"/>
      <c r="K20" s="1815"/>
      <c r="L20" s="1815"/>
      <c r="M20" s="1815"/>
      <c r="N20" s="1815"/>
      <c r="O20" s="1815"/>
      <c r="P20" s="1815"/>
      <c r="Q20" s="1815"/>
      <c r="R20" s="1815"/>
      <c r="S20" s="1815"/>
      <c r="T20" s="1815"/>
      <c r="U20" s="1815"/>
      <c r="V20" s="1815"/>
      <c r="W20" s="1815"/>
      <c r="X20" s="1815"/>
      <c r="Y20" s="1815"/>
      <c r="Z20" s="1815"/>
      <c r="AA20" s="1815"/>
      <c r="AB20" s="1815"/>
      <c r="AC20" s="1815"/>
      <c r="AD20" s="1815"/>
      <c r="AE20" s="1815"/>
      <c r="AF20" s="1815"/>
      <c r="AG20" s="1815"/>
      <c r="AH20" s="1815"/>
      <c r="AI20" s="1815"/>
      <c r="AJ20" s="1815"/>
      <c r="AK20" s="1815"/>
      <c r="AL20" s="325"/>
    </row>
    <row r="21" spans="1:38" s="715" customFormat="1" ht="13.5" customHeight="1">
      <c r="A21" s="327"/>
      <c r="B21" s="325"/>
      <c r="C21" s="326"/>
      <c r="D21" s="1815"/>
      <c r="E21" s="1815"/>
      <c r="F21" s="1815"/>
      <c r="G21" s="1815"/>
      <c r="H21" s="1815"/>
      <c r="I21" s="1815"/>
      <c r="J21" s="1815"/>
      <c r="K21" s="1815"/>
      <c r="L21" s="1815"/>
      <c r="M21" s="1815"/>
      <c r="N21" s="1815"/>
      <c r="O21" s="1815"/>
      <c r="P21" s="1815"/>
      <c r="Q21" s="1815"/>
      <c r="R21" s="1815"/>
      <c r="S21" s="1815"/>
      <c r="T21" s="1815"/>
      <c r="U21" s="1815"/>
      <c r="V21" s="1815"/>
      <c r="W21" s="1815"/>
      <c r="X21" s="1815"/>
      <c r="Y21" s="1815"/>
      <c r="Z21" s="1815"/>
      <c r="AA21" s="1815"/>
      <c r="AB21" s="1815"/>
      <c r="AC21" s="1815"/>
      <c r="AD21" s="1815"/>
      <c r="AE21" s="1815"/>
      <c r="AF21" s="1815"/>
      <c r="AG21" s="1815"/>
      <c r="AH21" s="1815"/>
      <c r="AI21" s="1815"/>
      <c r="AJ21" s="1815"/>
      <c r="AK21" s="1815"/>
      <c r="AL21" s="325"/>
    </row>
    <row r="22" spans="1:38" s="715" customFormat="1" ht="13">
      <c r="A22" s="327"/>
      <c r="B22" s="325"/>
      <c r="C22" s="326"/>
      <c r="D22" s="1815"/>
      <c r="E22" s="1815"/>
      <c r="F22" s="1815"/>
      <c r="G22" s="1815"/>
      <c r="H22" s="1815"/>
      <c r="I22" s="1815"/>
      <c r="J22" s="1815"/>
      <c r="K22" s="1815"/>
      <c r="L22" s="1815"/>
      <c r="M22" s="1815"/>
      <c r="N22" s="1815"/>
      <c r="O22" s="1815"/>
      <c r="P22" s="1815"/>
      <c r="Q22" s="1815"/>
      <c r="R22" s="1815"/>
      <c r="S22" s="1815"/>
      <c r="T22" s="1815"/>
      <c r="U22" s="1815"/>
      <c r="V22" s="1815"/>
      <c r="W22" s="1815"/>
      <c r="X22" s="1815"/>
      <c r="Y22" s="1815"/>
      <c r="Z22" s="1815"/>
      <c r="AA22" s="1815"/>
      <c r="AB22" s="1815"/>
      <c r="AC22" s="1815"/>
      <c r="AD22" s="1815"/>
      <c r="AE22" s="1815"/>
      <c r="AF22" s="1815"/>
      <c r="AG22" s="1815"/>
      <c r="AH22" s="1815"/>
      <c r="AI22" s="1815"/>
      <c r="AJ22" s="1815"/>
      <c r="AK22" s="1815"/>
      <c r="AL22" s="325"/>
    </row>
    <row r="23" spans="1:38" s="715" customFormat="1" ht="13">
      <c r="A23" s="327"/>
      <c r="B23" s="325"/>
      <c r="C23" s="326"/>
      <c r="D23" s="1815"/>
      <c r="E23" s="1815"/>
      <c r="F23" s="1815"/>
      <c r="G23" s="1815"/>
      <c r="H23" s="1815"/>
      <c r="I23" s="1815"/>
      <c r="J23" s="1815"/>
      <c r="K23" s="1815"/>
      <c r="L23" s="1815"/>
      <c r="M23" s="1815"/>
      <c r="N23" s="1815"/>
      <c r="O23" s="1815"/>
      <c r="P23" s="1815"/>
      <c r="Q23" s="1815"/>
      <c r="R23" s="1815"/>
      <c r="S23" s="1815"/>
      <c r="T23" s="1815"/>
      <c r="U23" s="1815"/>
      <c r="V23" s="1815"/>
      <c r="W23" s="1815"/>
      <c r="X23" s="1815"/>
      <c r="Y23" s="1815"/>
      <c r="Z23" s="1815"/>
      <c r="AA23" s="1815"/>
      <c r="AB23" s="1815"/>
      <c r="AC23" s="1815"/>
      <c r="AD23" s="1815"/>
      <c r="AE23" s="1815"/>
      <c r="AF23" s="1815"/>
      <c r="AG23" s="1815"/>
      <c r="AH23" s="1815"/>
      <c r="AI23" s="1815"/>
      <c r="AJ23" s="1815"/>
      <c r="AK23" s="1815"/>
      <c r="AL23" s="325"/>
    </row>
    <row r="24" spans="1:38" ht="13">
      <c r="A24" s="327"/>
      <c r="B24" s="325"/>
      <c r="C24" s="326"/>
      <c r="D24" s="1815"/>
      <c r="E24" s="1815"/>
      <c r="F24" s="1815"/>
      <c r="G24" s="1815"/>
      <c r="H24" s="1815"/>
      <c r="I24" s="1815"/>
      <c r="J24" s="1815"/>
      <c r="K24" s="1815"/>
      <c r="L24" s="1815"/>
      <c r="M24" s="1815"/>
      <c r="N24" s="1815"/>
      <c r="O24" s="1815"/>
      <c r="P24" s="1815"/>
      <c r="Q24" s="1815"/>
      <c r="R24" s="1815"/>
      <c r="S24" s="1815"/>
      <c r="T24" s="1815"/>
      <c r="U24" s="1815"/>
      <c r="V24" s="1815"/>
      <c r="W24" s="1815"/>
      <c r="X24" s="1815"/>
      <c r="Y24" s="1815"/>
      <c r="Z24" s="1815"/>
      <c r="AA24" s="1815"/>
      <c r="AB24" s="1815"/>
      <c r="AC24" s="1815"/>
      <c r="AD24" s="1815"/>
      <c r="AE24" s="1815"/>
      <c r="AF24" s="1815"/>
      <c r="AG24" s="1815"/>
      <c r="AH24" s="1815"/>
      <c r="AI24" s="1815"/>
      <c r="AJ24" s="1815"/>
      <c r="AK24" s="1815"/>
      <c r="AL24" s="325"/>
    </row>
    <row r="25" spans="1:38" s="715" customFormat="1" ht="13">
      <c r="A25" s="327"/>
      <c r="B25" s="325"/>
      <c r="C25" s="326"/>
      <c r="D25" s="1815"/>
      <c r="E25" s="1815"/>
      <c r="F25" s="1815"/>
      <c r="G25" s="1815"/>
      <c r="H25" s="1815"/>
      <c r="I25" s="1815"/>
      <c r="J25" s="1815"/>
      <c r="K25" s="1815"/>
      <c r="L25" s="1815"/>
      <c r="M25" s="1815"/>
      <c r="N25" s="1815"/>
      <c r="O25" s="1815"/>
      <c r="P25" s="1815"/>
      <c r="Q25" s="1815"/>
      <c r="R25" s="1815"/>
      <c r="S25" s="1815"/>
      <c r="T25" s="1815"/>
      <c r="U25" s="1815"/>
      <c r="V25" s="1815"/>
      <c r="W25" s="1815"/>
      <c r="X25" s="1815"/>
      <c r="Y25" s="1815"/>
      <c r="Z25" s="1815"/>
      <c r="AA25" s="1815"/>
      <c r="AB25" s="1815"/>
      <c r="AC25" s="1815"/>
      <c r="AD25" s="1815"/>
      <c r="AE25" s="1815"/>
      <c r="AF25" s="1815"/>
      <c r="AG25" s="1815"/>
      <c r="AH25" s="1815"/>
      <c r="AI25" s="1815"/>
      <c r="AJ25" s="1815"/>
      <c r="AK25" s="1815"/>
      <c r="AL25" s="325"/>
    </row>
    <row r="26" spans="1:38" s="715" customFormat="1" ht="13">
      <c r="A26" s="327"/>
      <c r="B26" s="325"/>
      <c r="C26" s="326"/>
      <c r="D26" s="1815"/>
      <c r="E26" s="1815"/>
      <c r="F26" s="1815"/>
      <c r="G26" s="1815"/>
      <c r="H26" s="1815"/>
      <c r="I26" s="1815"/>
      <c r="J26" s="1815"/>
      <c r="K26" s="1815"/>
      <c r="L26" s="1815"/>
      <c r="M26" s="1815"/>
      <c r="N26" s="1815"/>
      <c r="O26" s="1815"/>
      <c r="P26" s="1815"/>
      <c r="Q26" s="1815"/>
      <c r="R26" s="1815"/>
      <c r="S26" s="1815"/>
      <c r="T26" s="1815"/>
      <c r="U26" s="1815"/>
      <c r="V26" s="1815"/>
      <c r="W26" s="1815"/>
      <c r="X26" s="1815"/>
      <c r="Y26" s="1815"/>
      <c r="Z26" s="1815"/>
      <c r="AA26" s="1815"/>
      <c r="AB26" s="1815"/>
      <c r="AC26" s="1815"/>
      <c r="AD26" s="1815"/>
      <c r="AE26" s="1815"/>
      <c r="AF26" s="1815"/>
      <c r="AG26" s="1815"/>
      <c r="AH26" s="1815"/>
      <c r="AI26" s="1815"/>
      <c r="AJ26" s="1815"/>
      <c r="AK26" s="1815"/>
      <c r="AL26" s="325"/>
    </row>
    <row r="27" spans="1:38" s="715" customFormat="1" ht="12" customHeight="1">
      <c r="A27" s="327"/>
      <c r="B27" s="325"/>
      <c r="C27" s="326"/>
      <c r="D27" s="1815"/>
      <c r="E27" s="1815"/>
      <c r="F27" s="1815"/>
      <c r="G27" s="1815"/>
      <c r="H27" s="1815"/>
      <c r="I27" s="1815"/>
      <c r="J27" s="1815"/>
      <c r="K27" s="1815"/>
      <c r="L27" s="1815"/>
      <c r="M27" s="1815"/>
      <c r="N27" s="1815"/>
      <c r="O27" s="1815"/>
      <c r="P27" s="1815"/>
      <c r="Q27" s="1815"/>
      <c r="R27" s="1815"/>
      <c r="S27" s="1815"/>
      <c r="T27" s="1815"/>
      <c r="U27" s="1815"/>
      <c r="V27" s="1815"/>
      <c r="W27" s="1815"/>
      <c r="X27" s="1815"/>
      <c r="Y27" s="1815"/>
      <c r="Z27" s="1815"/>
      <c r="AA27" s="1815"/>
      <c r="AB27" s="1815"/>
      <c r="AC27" s="1815"/>
      <c r="AD27" s="1815"/>
      <c r="AE27" s="1815"/>
      <c r="AF27" s="1815"/>
      <c r="AG27" s="1815"/>
      <c r="AH27" s="1815"/>
      <c r="AI27" s="1815"/>
      <c r="AJ27" s="1815"/>
      <c r="AK27" s="1815"/>
      <c r="AL27" s="325"/>
    </row>
    <row r="28" spans="1:38" s="715" customFormat="1" ht="13.5" customHeight="1">
      <c r="A28" s="327"/>
      <c r="B28" s="325"/>
      <c r="C28" s="326"/>
      <c r="E28" s="1815" t="s">
        <v>2089</v>
      </c>
      <c r="F28" s="1815"/>
      <c r="G28" s="1815"/>
      <c r="H28" s="1815"/>
      <c r="I28" s="1815"/>
      <c r="J28" s="1815"/>
      <c r="K28" s="1815"/>
      <c r="L28" s="1815"/>
      <c r="M28" s="1815"/>
      <c r="N28" s="1815"/>
      <c r="O28" s="1815"/>
      <c r="P28" s="1815"/>
      <c r="Q28" s="1815"/>
      <c r="R28" s="1815"/>
      <c r="S28" s="1815"/>
      <c r="T28" s="1815"/>
      <c r="U28" s="1815"/>
      <c r="V28" s="1815"/>
      <c r="W28" s="1815"/>
      <c r="X28" s="1815"/>
      <c r="Y28" s="1815"/>
      <c r="Z28" s="1815"/>
      <c r="AA28" s="1815"/>
      <c r="AB28" s="1815"/>
      <c r="AC28" s="1815"/>
      <c r="AD28" s="1815"/>
      <c r="AE28" s="1815"/>
      <c r="AF28" s="1815"/>
      <c r="AG28" s="1815"/>
      <c r="AH28" s="1815"/>
      <c r="AI28" s="1815"/>
      <c r="AJ28" s="1815"/>
      <c r="AK28" s="1815"/>
      <c r="AL28" s="325"/>
    </row>
    <row r="29" spans="1:38" s="715" customFormat="1" ht="13.5" customHeight="1">
      <c r="A29" s="327"/>
      <c r="B29" s="325"/>
      <c r="C29" s="326"/>
      <c r="E29" s="1815"/>
      <c r="F29" s="1815"/>
      <c r="G29" s="1815"/>
      <c r="H29" s="1815"/>
      <c r="I29" s="1815"/>
      <c r="J29" s="1815"/>
      <c r="K29" s="1815"/>
      <c r="L29" s="1815"/>
      <c r="M29" s="1815"/>
      <c r="N29" s="1815"/>
      <c r="O29" s="1815"/>
      <c r="P29" s="1815"/>
      <c r="Q29" s="1815"/>
      <c r="R29" s="1815"/>
      <c r="S29" s="1815"/>
      <c r="T29" s="1815"/>
      <c r="U29" s="1815"/>
      <c r="V29" s="1815"/>
      <c r="W29" s="1815"/>
      <c r="X29" s="1815"/>
      <c r="Y29" s="1815"/>
      <c r="Z29" s="1815"/>
      <c r="AA29" s="1815"/>
      <c r="AB29" s="1815"/>
      <c r="AC29" s="1815"/>
      <c r="AD29" s="1815"/>
      <c r="AE29" s="1815"/>
      <c r="AF29" s="1815"/>
      <c r="AG29" s="1815"/>
      <c r="AH29" s="1815"/>
      <c r="AI29" s="1815"/>
      <c r="AJ29" s="1815"/>
      <c r="AK29" s="1815"/>
      <c r="AL29" s="325"/>
    </row>
    <row r="30" spans="1:38" s="715" customFormat="1" ht="13">
      <c r="A30" s="327"/>
      <c r="B30" s="325"/>
      <c r="C30" s="326"/>
      <c r="D30" s="744"/>
      <c r="E30" s="1815"/>
      <c r="F30" s="1815"/>
      <c r="G30" s="1815"/>
      <c r="H30" s="1815"/>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15"/>
      <c r="AI30" s="1815"/>
      <c r="AJ30" s="1815"/>
      <c r="AK30" s="1815"/>
      <c r="AL30" s="325"/>
    </row>
    <row r="31" spans="1:38" s="715" customFormat="1" ht="13">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5" customHeight="1">
      <c r="A32" s="327"/>
      <c r="B32" s="325"/>
      <c r="C32" s="326"/>
      <c r="D32" s="1816" t="s">
        <v>1388</v>
      </c>
      <c r="E32" s="1816"/>
      <c r="F32" s="1816"/>
      <c r="G32" s="1816"/>
      <c r="H32" s="1816"/>
      <c r="I32" s="1816"/>
      <c r="J32" s="1816"/>
      <c r="K32" s="1816"/>
      <c r="L32" s="1816"/>
      <c r="M32" s="1816"/>
      <c r="N32" s="1816"/>
      <c r="O32" s="1816"/>
      <c r="P32" s="1816"/>
      <c r="Q32" s="1816"/>
      <c r="R32" s="1816"/>
      <c r="S32" s="1816"/>
      <c r="T32" s="1816"/>
      <c r="U32" s="1816"/>
      <c r="V32" s="1816"/>
      <c r="W32" s="1816"/>
      <c r="X32" s="1816"/>
      <c r="Y32" s="1816"/>
      <c r="Z32" s="1816"/>
      <c r="AA32" s="1816"/>
      <c r="AB32" s="1816"/>
      <c r="AC32" s="1816"/>
      <c r="AD32" s="1816"/>
      <c r="AE32" s="1816"/>
      <c r="AF32" s="1816"/>
      <c r="AG32" s="1816"/>
      <c r="AH32" s="1816"/>
      <c r="AI32" s="1816"/>
      <c r="AJ32" s="1816"/>
      <c r="AK32" s="1816"/>
      <c r="AL32" s="325"/>
    </row>
    <row r="33" spans="1:38" s="715" customFormat="1" ht="13">
      <c r="A33" s="327"/>
      <c r="B33" s="325"/>
      <c r="C33" s="326"/>
      <c r="D33" s="744"/>
      <c r="E33" s="1822" t="s">
        <v>2325</v>
      </c>
      <c r="F33" s="1822"/>
      <c r="G33" s="1822"/>
      <c r="H33" s="1822"/>
      <c r="I33" s="1822"/>
      <c r="J33" s="1822"/>
      <c r="K33" s="1822"/>
      <c r="L33" s="1822"/>
      <c r="M33" s="1822"/>
      <c r="N33" s="1822"/>
      <c r="O33" s="1822"/>
      <c r="P33" s="1822"/>
      <c r="Q33" s="1822"/>
      <c r="R33" s="1822"/>
      <c r="S33" s="1822"/>
      <c r="T33" s="1822"/>
      <c r="U33" s="1822"/>
      <c r="V33" s="1822"/>
      <c r="W33" s="1822"/>
      <c r="X33" s="1822"/>
      <c r="Y33" s="1822"/>
      <c r="Z33" s="1822"/>
      <c r="AA33" s="1822"/>
      <c r="AB33" s="1822"/>
      <c r="AC33" s="1822"/>
      <c r="AD33" s="1822"/>
      <c r="AE33" s="1822"/>
      <c r="AF33" s="1822"/>
      <c r="AG33" s="1822"/>
      <c r="AH33" s="1822"/>
      <c r="AI33" s="1822"/>
      <c r="AJ33" s="1822"/>
      <c r="AK33" s="1822"/>
      <c r="AL33" s="325"/>
    </row>
    <row r="34" spans="1:38" ht="13">
      <c r="A34" s="149"/>
      <c r="C34" s="5"/>
    </row>
    <row r="35" spans="1:38">
      <c r="A35" s="149"/>
      <c r="D35" s="1814" t="s">
        <v>2326</v>
      </c>
      <c r="E35" s="1814"/>
      <c r="F35" s="1814"/>
      <c r="G35" s="1814"/>
      <c r="H35" s="1814"/>
      <c r="I35" s="1814"/>
      <c r="J35" s="1814"/>
      <c r="K35" s="1814"/>
      <c r="L35" s="1814"/>
      <c r="M35" s="1814"/>
      <c r="N35" s="1814"/>
      <c r="O35" s="1814"/>
      <c r="P35" s="1814"/>
      <c r="Q35" s="1814"/>
      <c r="R35" s="1814"/>
      <c r="S35" s="1814"/>
      <c r="T35" s="1814"/>
      <c r="U35" s="1814"/>
      <c r="V35" s="1814"/>
      <c r="W35" s="1814"/>
      <c r="X35" s="1814"/>
      <c r="Y35" s="1814"/>
      <c r="Z35" s="1814"/>
      <c r="AA35" s="1814"/>
      <c r="AB35" s="1814"/>
      <c r="AC35" s="1814"/>
      <c r="AD35" s="1814"/>
      <c r="AE35" s="1814"/>
      <c r="AF35" s="1814"/>
      <c r="AG35" s="1814"/>
      <c r="AH35" s="1814"/>
      <c r="AI35" s="1814"/>
      <c r="AJ35" s="1814"/>
      <c r="AK35" s="1814"/>
    </row>
    <row r="36" spans="1:38">
      <c r="A36" s="149"/>
      <c r="D36" s="1814"/>
      <c r="E36" s="1814"/>
      <c r="F36" s="1814"/>
      <c r="G36" s="1814"/>
      <c r="H36" s="1814"/>
      <c r="I36" s="1814"/>
      <c r="J36" s="1814"/>
      <c r="K36" s="1814"/>
      <c r="L36" s="1814"/>
      <c r="M36" s="1814"/>
      <c r="N36" s="1814"/>
      <c r="O36" s="1814"/>
      <c r="P36" s="1814"/>
      <c r="Q36" s="1814"/>
      <c r="R36" s="1814"/>
      <c r="S36" s="1814"/>
      <c r="T36" s="1814"/>
      <c r="U36" s="1814"/>
      <c r="V36" s="1814"/>
      <c r="W36" s="1814"/>
      <c r="X36" s="1814"/>
      <c r="Y36" s="1814"/>
      <c r="Z36" s="1814"/>
      <c r="AA36" s="1814"/>
      <c r="AB36" s="1814"/>
      <c r="AC36" s="1814"/>
      <c r="AD36" s="1814"/>
      <c r="AE36" s="1814"/>
      <c r="AF36" s="1814"/>
      <c r="AG36" s="1814"/>
      <c r="AH36" s="1814"/>
      <c r="AI36" s="1814"/>
      <c r="AJ36" s="1814"/>
      <c r="AK36" s="1814"/>
    </row>
    <row r="37" spans="1:38" ht="13">
      <c r="A37" s="149"/>
      <c r="D37" s="250"/>
      <c r="E37" s="1821" t="s">
        <v>1087</v>
      </c>
      <c r="F37" s="1821"/>
      <c r="G37" s="1821"/>
      <c r="H37" s="1821"/>
      <c r="I37" s="1821"/>
      <c r="J37" s="1821"/>
      <c r="K37" s="1821"/>
      <c r="L37" s="1821"/>
      <c r="M37" s="1821"/>
      <c r="N37" s="1821"/>
      <c r="O37" s="1821"/>
      <c r="P37" s="1821"/>
      <c r="Q37" s="1821"/>
      <c r="R37" s="1821"/>
      <c r="S37" s="1821"/>
      <c r="T37" s="1821"/>
      <c r="U37" s="1821"/>
      <c r="V37" s="1821"/>
      <c r="W37" s="1821"/>
      <c r="X37" s="1821"/>
      <c r="Y37" s="1821"/>
      <c r="Z37" s="1821"/>
      <c r="AA37" s="1821"/>
      <c r="AB37" s="1821"/>
      <c r="AC37" s="1821"/>
      <c r="AD37" s="1821"/>
      <c r="AE37" s="1821"/>
      <c r="AF37" s="1821"/>
      <c r="AG37" s="1821"/>
      <c r="AH37" s="1821"/>
      <c r="AI37" s="1821"/>
      <c r="AJ37" s="1821"/>
      <c r="AK37" s="1821"/>
    </row>
    <row r="38" spans="1:38" ht="13">
      <c r="A38" s="149"/>
      <c r="D38" s="250"/>
      <c r="E38" s="1821" t="s">
        <v>1386</v>
      </c>
      <c r="F38" s="1821"/>
      <c r="G38" s="1821"/>
      <c r="H38" s="1821"/>
      <c r="I38" s="1821"/>
      <c r="J38" s="1821"/>
      <c r="K38" s="1821"/>
      <c r="L38" s="1821"/>
      <c r="M38" s="1821"/>
      <c r="N38" s="1821"/>
      <c r="O38" s="1821"/>
      <c r="P38" s="1821"/>
      <c r="Q38" s="1821"/>
      <c r="R38" s="1821"/>
      <c r="S38" s="1821"/>
      <c r="T38" s="1821"/>
      <c r="U38" s="1821"/>
      <c r="V38" s="1821"/>
      <c r="W38" s="1821"/>
      <c r="X38" s="1821"/>
      <c r="Y38" s="1821"/>
      <c r="Z38" s="1821"/>
      <c r="AA38" s="1821"/>
      <c r="AB38" s="1821"/>
      <c r="AC38" s="1821"/>
      <c r="AD38" s="1821"/>
      <c r="AE38" s="1821"/>
      <c r="AF38" s="1821"/>
      <c r="AG38" s="1821"/>
      <c r="AH38" s="1821"/>
      <c r="AI38" s="1821"/>
      <c r="AJ38" s="1821"/>
      <c r="AK38" s="1821"/>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5" customFormat="1" ht="13.5" customHeight="1">
      <c r="A42" s="149"/>
      <c r="B42"/>
      <c r="C42" s="5"/>
      <c r="D42" s="149"/>
      <c r="E42" s="149" t="s">
        <v>688</v>
      </c>
      <c r="F42" s="1815" t="s">
        <v>1353</v>
      </c>
    </row>
    <row r="43" spans="1:38" s="1815" customFormat="1" ht="13.5" customHeight="1">
      <c r="A43" s="149"/>
      <c r="B43" s="715"/>
      <c r="C43" s="5"/>
      <c r="D43" s="149"/>
      <c r="E43" s="149"/>
    </row>
    <row r="44" spans="1:38" ht="13">
      <c r="A44" s="149"/>
      <c r="C44" s="5"/>
      <c r="D44" s="149"/>
      <c r="E44" s="149"/>
      <c r="F44" s="151" t="s">
        <v>723</v>
      </c>
      <c r="G44" s="149" t="s">
        <v>180</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5" customHeight="1">
      <c r="A45" s="149"/>
      <c r="B45"/>
      <c r="C45" s="5"/>
      <c r="D45" s="149"/>
      <c r="E45" s="6" t="s">
        <v>357</v>
      </c>
      <c r="F45" s="1826" t="s">
        <v>1467</v>
      </c>
      <c r="G45" s="1826"/>
      <c r="H45" s="1826"/>
      <c r="I45" s="1826"/>
      <c r="J45" s="1826"/>
      <c r="K45" s="1826"/>
      <c r="L45" s="1826"/>
      <c r="M45" s="1826"/>
      <c r="N45" s="1826"/>
      <c r="O45" s="1826"/>
      <c r="P45" s="1826"/>
      <c r="Q45" s="1826"/>
      <c r="R45" s="1826"/>
      <c r="S45" s="1826"/>
      <c r="T45" s="1826"/>
      <c r="U45" s="1826"/>
      <c r="V45" s="1826"/>
      <c r="W45" s="1826"/>
      <c r="X45" s="1826"/>
      <c r="Y45" s="1826"/>
      <c r="Z45" s="1826"/>
      <c r="AA45" s="1826"/>
      <c r="AB45" s="1826"/>
      <c r="AC45" s="1826"/>
      <c r="AD45" s="1826"/>
      <c r="AE45" s="1826"/>
      <c r="AF45" s="1826"/>
      <c r="AG45" s="1826"/>
      <c r="AH45" s="1826"/>
      <c r="AI45" s="1826"/>
      <c r="AJ45" s="1826"/>
      <c r="AK45" s="1826"/>
      <c r="AL45" s="1826"/>
    </row>
    <row r="46" spans="1:38" s="768" customFormat="1" ht="13">
      <c r="A46" s="149"/>
      <c r="B46" s="715"/>
      <c r="C46" s="5"/>
      <c r="D46" s="149"/>
      <c r="E46" s="149"/>
      <c r="F46" s="1826"/>
      <c r="G46" s="1826"/>
      <c r="H46" s="1826"/>
      <c r="I46" s="1826"/>
      <c r="J46" s="1826"/>
      <c r="K46" s="1826"/>
      <c r="L46" s="1826"/>
      <c r="M46" s="1826"/>
      <c r="N46" s="1826"/>
      <c r="O46" s="1826"/>
      <c r="P46" s="1826"/>
      <c r="Q46" s="1826"/>
      <c r="R46" s="1826"/>
      <c r="S46" s="1826"/>
      <c r="T46" s="1826"/>
      <c r="U46" s="1826"/>
      <c r="V46" s="1826"/>
      <c r="W46" s="1826"/>
      <c r="X46" s="1826"/>
      <c r="Y46" s="1826"/>
      <c r="Z46" s="1826"/>
      <c r="AA46" s="1826"/>
      <c r="AB46" s="1826"/>
      <c r="AC46" s="1826"/>
      <c r="AD46" s="1826"/>
      <c r="AE46" s="1826"/>
      <c r="AF46" s="1826"/>
      <c r="AG46" s="1826"/>
      <c r="AH46" s="1826"/>
      <c r="AI46" s="1826"/>
      <c r="AJ46" s="1826"/>
      <c r="AK46" s="1826"/>
      <c r="AL46" s="1826"/>
    </row>
    <row r="47" spans="1:38" s="768" customFormat="1" ht="13.5" customHeight="1">
      <c r="A47" s="149"/>
      <c r="B47" s="715"/>
      <c r="C47" s="5"/>
      <c r="D47" s="149"/>
      <c r="E47" s="149"/>
      <c r="F47" s="1826"/>
      <c r="G47" s="1826"/>
      <c r="H47" s="1826"/>
      <c r="I47" s="1826"/>
      <c r="J47" s="1826"/>
      <c r="K47" s="1826"/>
      <c r="L47" s="1826"/>
      <c r="M47" s="1826"/>
      <c r="N47" s="1826"/>
      <c r="O47" s="1826"/>
      <c r="P47" s="1826"/>
      <c r="Q47" s="1826"/>
      <c r="R47" s="1826"/>
      <c r="S47" s="1826"/>
      <c r="T47" s="1826"/>
      <c r="U47" s="1826"/>
      <c r="V47" s="1826"/>
      <c r="W47" s="1826"/>
      <c r="X47" s="1826"/>
      <c r="Y47" s="1826"/>
      <c r="Z47" s="1826"/>
      <c r="AA47" s="1826"/>
      <c r="AB47" s="1826"/>
      <c r="AC47" s="1826"/>
      <c r="AD47" s="1826"/>
      <c r="AE47" s="1826"/>
      <c r="AF47" s="1826"/>
      <c r="AG47" s="1826"/>
      <c r="AH47" s="1826"/>
      <c r="AI47" s="1826"/>
      <c r="AJ47" s="1826"/>
      <c r="AK47" s="1826"/>
      <c r="AL47" s="1826"/>
    </row>
    <row r="48" spans="1:38" ht="13">
      <c r="A48" s="149"/>
      <c r="C48" s="5"/>
      <c r="D48" s="149"/>
      <c r="E48" s="149"/>
      <c r="F48" s="768" t="s">
        <v>723</v>
      </c>
      <c r="G48" s="6" t="s">
        <v>685</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5" customFormat="1" ht="13">
      <c r="A50" s="149"/>
      <c r="C50" s="5"/>
      <c r="D50" s="149"/>
      <c r="E50" s="6" t="s">
        <v>358</v>
      </c>
      <c r="F50" s="1815" t="s">
        <v>1468</v>
      </c>
      <c r="G50" s="1815"/>
      <c r="H50" s="1815"/>
      <c r="I50" s="1815"/>
      <c r="J50" s="1815"/>
      <c r="K50" s="1815"/>
      <c r="L50" s="1815"/>
      <c r="M50" s="1815"/>
      <c r="N50" s="1815"/>
      <c r="O50" s="1815"/>
      <c r="P50" s="1815"/>
      <c r="Q50" s="1815"/>
      <c r="R50" s="1815"/>
      <c r="S50" s="1815"/>
      <c r="T50" s="1815"/>
      <c r="U50" s="1815"/>
      <c r="V50" s="1815"/>
      <c r="W50" s="1815"/>
      <c r="X50" s="1815"/>
      <c r="Y50" s="1815"/>
      <c r="Z50" s="1815"/>
      <c r="AA50" s="1815"/>
      <c r="AB50" s="1815"/>
      <c r="AC50" s="1815"/>
      <c r="AD50" s="1815"/>
      <c r="AE50" s="1815"/>
      <c r="AF50" s="1815"/>
      <c r="AG50" s="1815"/>
      <c r="AH50" s="1815"/>
      <c r="AI50" s="1815"/>
      <c r="AJ50" s="1815"/>
      <c r="AK50" s="1815"/>
    </row>
    <row r="51" spans="1:38" ht="13">
      <c r="A51" s="149"/>
      <c r="C51" s="5"/>
      <c r="D51" s="149"/>
      <c r="E51" s="149"/>
      <c r="F51" s="1815"/>
      <c r="G51" s="1815"/>
      <c r="H51" s="1815"/>
      <c r="I51" s="1815"/>
      <c r="J51" s="1815"/>
      <c r="K51" s="1815"/>
      <c r="L51" s="1815"/>
      <c r="M51" s="1815"/>
      <c r="N51" s="1815"/>
      <c r="O51" s="1815"/>
      <c r="P51" s="1815"/>
      <c r="Q51" s="1815"/>
      <c r="R51" s="1815"/>
      <c r="S51" s="1815"/>
      <c r="T51" s="1815"/>
      <c r="U51" s="1815"/>
      <c r="V51" s="1815"/>
      <c r="W51" s="1815"/>
      <c r="X51" s="1815"/>
      <c r="Y51" s="1815"/>
      <c r="Z51" s="1815"/>
      <c r="AA51" s="1815"/>
      <c r="AB51" s="1815"/>
      <c r="AC51" s="1815"/>
      <c r="AD51" s="1815"/>
      <c r="AE51" s="1815"/>
      <c r="AF51" s="1815"/>
      <c r="AG51" s="1815"/>
      <c r="AH51" s="1815"/>
      <c r="AI51" s="1815"/>
      <c r="AJ51" s="1815"/>
      <c r="AK51" s="1815"/>
    </row>
    <row r="52" spans="1:38" ht="13">
      <c r="A52" s="149"/>
      <c r="C52" s="5"/>
      <c r="D52" s="149"/>
      <c r="F52" s="1815"/>
      <c r="G52" s="1815"/>
      <c r="H52" s="1815"/>
      <c r="I52" s="1815"/>
      <c r="J52" s="1815"/>
      <c r="K52" s="1815"/>
      <c r="L52" s="1815"/>
      <c r="M52" s="1815"/>
      <c r="N52" s="1815"/>
      <c r="O52" s="1815"/>
      <c r="P52" s="1815"/>
      <c r="Q52" s="1815"/>
      <c r="R52" s="1815"/>
      <c r="S52" s="1815"/>
      <c r="T52" s="1815"/>
      <c r="U52" s="1815"/>
      <c r="V52" s="1815"/>
      <c r="W52" s="1815"/>
      <c r="X52" s="1815"/>
      <c r="Y52" s="1815"/>
      <c r="Z52" s="1815"/>
      <c r="AA52" s="1815"/>
      <c r="AB52" s="1815"/>
      <c r="AC52" s="1815"/>
      <c r="AD52" s="1815"/>
      <c r="AE52" s="1815"/>
      <c r="AF52" s="1815"/>
      <c r="AG52" s="1815"/>
      <c r="AH52" s="1815"/>
      <c r="AI52" s="1815"/>
      <c r="AJ52" s="1815"/>
      <c r="AK52" s="1815"/>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688</v>
      </c>
      <c r="F55" s="6" t="s">
        <v>1390</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5" customHeight="1">
      <c r="A56" s="327"/>
      <c r="B56" s="325"/>
      <c r="C56" s="326"/>
      <c r="D56" s="326"/>
      <c r="E56" s="327"/>
      <c r="F56" s="331" t="s">
        <v>723</v>
      </c>
      <c r="G56" s="1817" t="s">
        <v>1389</v>
      </c>
      <c r="H56" s="1817"/>
      <c r="I56" s="1817"/>
      <c r="J56" s="1817"/>
      <c r="K56" s="1817"/>
      <c r="L56" s="1817"/>
      <c r="M56" s="1817"/>
      <c r="N56" s="1817"/>
      <c r="O56" s="1817"/>
      <c r="P56" s="1817"/>
      <c r="Q56" s="1817"/>
      <c r="R56" s="1817"/>
      <c r="S56" s="1817"/>
      <c r="T56" s="1817"/>
      <c r="U56" s="1817"/>
      <c r="V56" s="1817"/>
      <c r="W56" s="1817"/>
      <c r="X56" s="1817"/>
      <c r="Y56" s="1817"/>
      <c r="Z56" s="1817"/>
      <c r="AA56" s="1817"/>
      <c r="AB56" s="1817"/>
      <c r="AC56" s="1817"/>
      <c r="AD56" s="1817"/>
      <c r="AE56" s="1817"/>
      <c r="AF56" s="1817"/>
      <c r="AG56" s="1817"/>
      <c r="AH56" s="1817"/>
      <c r="AI56" s="1817"/>
      <c r="AJ56" s="1817"/>
      <c r="AK56" s="1817"/>
      <c r="AL56" s="325"/>
    </row>
    <row r="57" spans="1:38" s="715" customFormat="1" ht="13.5" customHeight="1">
      <c r="A57" s="327"/>
      <c r="B57" s="325"/>
      <c r="C57" s="326"/>
      <c r="D57" s="326"/>
      <c r="E57" s="327"/>
      <c r="F57" s="331"/>
      <c r="G57" s="775" t="s">
        <v>1391</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
      <c r="A58" s="327"/>
      <c r="B58" s="325"/>
      <c r="C58" s="326"/>
      <c r="D58" s="326"/>
      <c r="E58" s="327"/>
      <c r="F58" s="331"/>
      <c r="G58" s="1817" t="s">
        <v>608</v>
      </c>
      <c r="H58" s="1817"/>
      <c r="I58" s="1817"/>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5" customHeight="1">
      <c r="A59" s="327"/>
      <c r="B59" s="326"/>
      <c r="C59" s="326"/>
      <c r="D59" s="326"/>
      <c r="E59" s="327"/>
      <c r="F59" s="331" t="s">
        <v>540</v>
      </c>
      <c r="G59" s="1825" t="s">
        <v>1469</v>
      </c>
      <c r="H59" s="1825"/>
      <c r="I59" s="1825"/>
      <c r="J59" s="1825"/>
      <c r="K59" s="1825"/>
      <c r="L59" s="1825"/>
      <c r="M59" s="1825"/>
      <c r="N59" s="1825"/>
      <c r="O59" s="1825"/>
      <c r="P59" s="1825"/>
      <c r="Q59" s="1825"/>
      <c r="R59" s="1825"/>
      <c r="S59" s="1825"/>
      <c r="T59" s="1825"/>
      <c r="U59" s="1825"/>
      <c r="V59" s="1825"/>
      <c r="W59" s="1825"/>
      <c r="X59" s="1825"/>
      <c r="Y59" s="1825"/>
      <c r="Z59" s="1825"/>
      <c r="AA59" s="1825"/>
      <c r="AB59" s="1825"/>
      <c r="AC59" s="1825"/>
      <c r="AD59" s="1825"/>
      <c r="AE59" s="1825"/>
      <c r="AF59" s="1825"/>
      <c r="AG59" s="1825"/>
      <c r="AH59" s="1825"/>
      <c r="AI59" s="1825"/>
      <c r="AJ59" s="1825"/>
      <c r="AK59" s="1825"/>
      <c r="AL59" s="1825"/>
    </row>
    <row r="60" spans="1:38" s="2" customFormat="1" ht="13">
      <c r="A60" s="327"/>
      <c r="B60" s="325"/>
      <c r="C60" s="326"/>
      <c r="D60" s="326"/>
      <c r="E60" s="327"/>
      <c r="F60" s="331"/>
      <c r="G60" s="1825"/>
      <c r="H60" s="1825"/>
      <c r="I60" s="1825"/>
      <c r="J60" s="1825"/>
      <c r="K60" s="1825"/>
      <c r="L60" s="1825"/>
      <c r="M60" s="1825"/>
      <c r="N60" s="1825"/>
      <c r="O60" s="1825"/>
      <c r="P60" s="1825"/>
      <c r="Q60" s="1825"/>
      <c r="R60" s="1825"/>
      <c r="S60" s="1825"/>
      <c r="T60" s="1825"/>
      <c r="U60" s="1825"/>
      <c r="V60" s="1825"/>
      <c r="W60" s="1825"/>
      <c r="X60" s="1825"/>
      <c r="Y60" s="1825"/>
      <c r="Z60" s="1825"/>
      <c r="AA60" s="1825"/>
      <c r="AB60" s="1825"/>
      <c r="AC60" s="1825"/>
      <c r="AD60" s="1825"/>
      <c r="AE60" s="1825"/>
      <c r="AF60" s="1825"/>
      <c r="AG60" s="1825"/>
      <c r="AH60" s="1825"/>
      <c r="AI60" s="1825"/>
      <c r="AJ60" s="1825"/>
      <c r="AK60" s="1825"/>
      <c r="AL60" s="1825"/>
    </row>
    <row r="61" spans="1:38" ht="13">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723</v>
      </c>
      <c r="G66" s="1815" t="s">
        <v>1355</v>
      </c>
      <c r="H66" s="1815"/>
      <c r="I66" s="1815"/>
      <c r="J66" s="1815"/>
      <c r="K66" s="1815"/>
      <c r="L66" s="1815"/>
      <c r="M66" s="1815"/>
      <c r="N66" s="1815"/>
      <c r="O66" s="1815"/>
      <c r="P66" s="1815"/>
      <c r="Q66" s="1815"/>
      <c r="R66" s="1815"/>
      <c r="S66" s="1815"/>
      <c r="T66" s="1815"/>
      <c r="U66" s="1815"/>
      <c r="V66" s="1815"/>
      <c r="W66" s="1815"/>
      <c r="X66" s="1815"/>
      <c r="Y66" s="1815"/>
      <c r="Z66" s="1815"/>
      <c r="AA66" s="1815"/>
      <c r="AB66" s="1815"/>
      <c r="AC66" s="1815"/>
      <c r="AD66" s="1815"/>
      <c r="AE66" s="1815"/>
      <c r="AF66" s="1815"/>
      <c r="AG66" s="1815"/>
      <c r="AH66" s="1815"/>
      <c r="AI66" s="1815"/>
      <c r="AJ66" s="1815"/>
      <c r="AK66" s="1815"/>
    </row>
    <row r="67" spans="1:37" ht="13">
      <c r="A67" s="149"/>
      <c r="C67" s="5"/>
      <c r="D67" s="149"/>
      <c r="E67" s="149"/>
      <c r="F67" s="9"/>
      <c r="G67" s="1815"/>
      <c r="H67" s="1815"/>
      <c r="I67" s="1815"/>
      <c r="J67" s="1815"/>
      <c r="K67" s="1815"/>
      <c r="L67" s="1815"/>
      <c r="M67" s="1815"/>
      <c r="N67" s="1815"/>
      <c r="O67" s="1815"/>
      <c r="P67" s="1815"/>
      <c r="Q67" s="1815"/>
      <c r="R67" s="1815"/>
      <c r="S67" s="1815"/>
      <c r="T67" s="1815"/>
      <c r="U67" s="1815"/>
      <c r="V67" s="1815"/>
      <c r="W67" s="1815"/>
      <c r="X67" s="1815"/>
      <c r="Y67" s="1815"/>
      <c r="Z67" s="1815"/>
      <c r="AA67" s="1815"/>
      <c r="AB67" s="1815"/>
      <c r="AC67" s="1815"/>
      <c r="AD67" s="1815"/>
      <c r="AE67" s="1815"/>
      <c r="AF67" s="1815"/>
      <c r="AG67" s="1815"/>
      <c r="AH67" s="1815"/>
      <c r="AI67" s="1815"/>
      <c r="AJ67" s="1815"/>
      <c r="AK67" s="1815"/>
    </row>
    <row r="68" spans="1:37" ht="13">
      <c r="A68" s="149"/>
      <c r="C68" s="5"/>
      <c r="D68" s="149"/>
      <c r="E68" s="149"/>
      <c r="F68" s="9"/>
      <c r="G68" s="1815"/>
      <c r="H68" s="1815"/>
      <c r="I68" s="1815"/>
      <c r="J68" s="1815"/>
      <c r="K68" s="1815"/>
      <c r="L68" s="1815"/>
      <c r="M68" s="1815"/>
      <c r="N68" s="1815"/>
      <c r="O68" s="1815"/>
      <c r="P68" s="1815"/>
      <c r="Q68" s="1815"/>
      <c r="R68" s="1815"/>
      <c r="S68" s="1815"/>
      <c r="T68" s="1815"/>
      <c r="U68" s="1815"/>
      <c r="V68" s="1815"/>
      <c r="W68" s="1815"/>
      <c r="X68" s="1815"/>
      <c r="Y68" s="1815"/>
      <c r="Z68" s="1815"/>
      <c r="AA68" s="1815"/>
      <c r="AB68" s="1815"/>
      <c r="AC68" s="1815"/>
      <c r="AD68" s="1815"/>
      <c r="AE68" s="1815"/>
      <c r="AF68" s="1815"/>
      <c r="AG68" s="1815"/>
      <c r="AH68" s="1815"/>
      <c r="AI68" s="1815"/>
      <c r="AJ68" s="1815"/>
      <c r="AK68" s="1815"/>
    </row>
    <row r="69" spans="1:37" ht="13.5" customHeight="1">
      <c r="A69" s="149"/>
      <c r="C69" s="5"/>
      <c r="D69" s="149"/>
      <c r="E69" s="149"/>
      <c r="F69" s="9" t="s">
        <v>540</v>
      </c>
      <c r="G69" s="1815" t="s">
        <v>1356</v>
      </c>
      <c r="H69" s="1815"/>
      <c r="I69" s="1815"/>
      <c r="J69" s="1815"/>
      <c r="K69" s="1815"/>
      <c r="L69" s="1815"/>
      <c r="M69" s="1815"/>
      <c r="N69" s="1815"/>
      <c r="O69" s="1815"/>
      <c r="P69" s="1815"/>
      <c r="Q69" s="1815"/>
      <c r="R69" s="1815"/>
      <c r="S69" s="1815"/>
      <c r="T69" s="1815"/>
      <c r="U69" s="1815"/>
      <c r="V69" s="1815"/>
      <c r="W69" s="1815"/>
      <c r="X69" s="1815"/>
      <c r="Y69" s="1815"/>
      <c r="Z69" s="1815"/>
      <c r="AA69" s="1815"/>
      <c r="AB69" s="1815"/>
      <c r="AC69" s="1815"/>
      <c r="AD69" s="1815"/>
      <c r="AE69" s="1815"/>
      <c r="AF69" s="1815"/>
      <c r="AG69" s="1815"/>
      <c r="AH69" s="1815"/>
      <c r="AI69" s="1815"/>
      <c r="AJ69" s="1815"/>
      <c r="AK69" s="1815"/>
    </row>
    <row r="70" spans="1:37" ht="13">
      <c r="A70" s="149"/>
      <c r="C70" s="5"/>
      <c r="D70" s="149"/>
      <c r="E70" s="149"/>
      <c r="F70" s="379"/>
      <c r="G70" s="1815"/>
      <c r="H70" s="1815"/>
      <c r="I70" s="1815"/>
      <c r="J70" s="1815"/>
      <c r="K70" s="1815"/>
      <c r="L70" s="1815"/>
      <c r="M70" s="1815"/>
      <c r="N70" s="1815"/>
      <c r="O70" s="1815"/>
      <c r="P70" s="1815"/>
      <c r="Q70" s="1815"/>
      <c r="R70" s="1815"/>
      <c r="S70" s="1815"/>
      <c r="T70" s="1815"/>
      <c r="U70" s="1815"/>
      <c r="V70" s="1815"/>
      <c r="W70" s="1815"/>
      <c r="X70" s="1815"/>
      <c r="Y70" s="1815"/>
      <c r="Z70" s="1815"/>
      <c r="AA70" s="1815"/>
      <c r="AB70" s="1815"/>
      <c r="AC70" s="1815"/>
      <c r="AD70" s="1815"/>
      <c r="AE70" s="1815"/>
      <c r="AF70" s="1815"/>
      <c r="AG70" s="1815"/>
      <c r="AH70" s="1815"/>
      <c r="AI70" s="1815"/>
      <c r="AJ70" s="1815"/>
      <c r="AK70" s="1815"/>
    </row>
    <row r="71" spans="1:37" ht="13">
      <c r="A71" s="149"/>
      <c r="C71" s="5"/>
      <c r="D71" s="149"/>
      <c r="E71" s="149" t="s">
        <v>357</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
      <c r="A72" s="149"/>
      <c r="C72" s="5"/>
      <c r="D72" s="149"/>
      <c r="E72" s="149"/>
      <c r="F72" s="249" t="s">
        <v>723</v>
      </c>
      <c r="G72" s="1815" t="s">
        <v>1357</v>
      </c>
      <c r="H72" s="1815"/>
      <c r="I72" s="1815"/>
      <c r="J72" s="1815"/>
      <c r="K72" s="1815"/>
      <c r="L72" s="1815"/>
      <c r="M72" s="1815"/>
      <c r="N72" s="1815"/>
      <c r="O72" s="1815"/>
      <c r="P72" s="1815"/>
      <c r="Q72" s="1815"/>
      <c r="R72" s="1815"/>
      <c r="S72" s="1815"/>
      <c r="T72" s="1815"/>
      <c r="U72" s="1815"/>
      <c r="V72" s="1815"/>
      <c r="W72" s="1815"/>
      <c r="X72" s="1815"/>
      <c r="Y72" s="1815"/>
      <c r="Z72" s="1815"/>
      <c r="AA72" s="1815"/>
      <c r="AB72" s="1815"/>
      <c r="AC72" s="1815"/>
      <c r="AD72" s="1815"/>
      <c r="AE72" s="1815"/>
      <c r="AF72" s="1815"/>
      <c r="AG72" s="1815"/>
      <c r="AH72" s="1815"/>
      <c r="AI72" s="1815"/>
      <c r="AJ72" s="1815"/>
      <c r="AK72" s="1815"/>
    </row>
    <row r="73" spans="1:37" ht="13">
      <c r="A73" s="149"/>
      <c r="C73" s="5"/>
      <c r="D73" s="149"/>
      <c r="E73" s="149"/>
      <c r="F73" s="249"/>
      <c r="G73" s="1815"/>
      <c r="H73" s="1815"/>
      <c r="I73" s="1815"/>
      <c r="J73" s="1815"/>
      <c r="K73" s="1815"/>
      <c r="L73" s="1815"/>
      <c r="M73" s="1815"/>
      <c r="N73" s="1815"/>
      <c r="O73" s="1815"/>
      <c r="P73" s="1815"/>
      <c r="Q73" s="1815"/>
      <c r="R73" s="1815"/>
      <c r="S73" s="1815"/>
      <c r="T73" s="1815"/>
      <c r="U73" s="1815"/>
      <c r="V73" s="1815"/>
      <c r="W73" s="1815"/>
      <c r="X73" s="1815"/>
      <c r="Y73" s="1815"/>
      <c r="Z73" s="1815"/>
      <c r="AA73" s="1815"/>
      <c r="AB73" s="1815"/>
      <c r="AC73" s="1815"/>
      <c r="AD73" s="1815"/>
      <c r="AE73" s="1815"/>
      <c r="AF73" s="1815"/>
      <c r="AG73" s="1815"/>
      <c r="AH73" s="1815"/>
      <c r="AI73" s="1815"/>
      <c r="AJ73" s="1815"/>
      <c r="AK73" s="1815"/>
    </row>
    <row r="74" spans="1:37" ht="13">
      <c r="A74" s="149"/>
      <c r="C74" s="5"/>
      <c r="D74" s="149"/>
      <c r="E74" s="149"/>
      <c r="F74" s="249" t="s">
        <v>540</v>
      </c>
      <c r="G74" s="1815" t="s">
        <v>1358</v>
      </c>
      <c r="H74" s="1815"/>
      <c r="I74" s="1815"/>
      <c r="J74" s="1815"/>
      <c r="K74" s="1815"/>
      <c r="L74" s="1815"/>
      <c r="M74" s="1815"/>
      <c r="N74" s="1815"/>
      <c r="O74" s="1815"/>
      <c r="P74" s="1815"/>
      <c r="Q74" s="1815"/>
      <c r="R74" s="1815"/>
      <c r="S74" s="1815"/>
      <c r="T74" s="1815"/>
      <c r="U74" s="1815"/>
      <c r="V74" s="1815"/>
      <c r="W74" s="1815"/>
      <c r="X74" s="1815"/>
      <c r="Y74" s="1815"/>
      <c r="Z74" s="1815"/>
      <c r="AA74" s="1815"/>
      <c r="AB74" s="1815"/>
      <c r="AC74" s="1815"/>
      <c r="AD74" s="1815"/>
      <c r="AE74" s="1815"/>
      <c r="AF74" s="1815"/>
      <c r="AG74" s="1815"/>
      <c r="AH74" s="1815"/>
      <c r="AI74" s="1815"/>
      <c r="AJ74" s="1815"/>
      <c r="AK74" s="1815"/>
    </row>
    <row r="75" spans="1:37" ht="13">
      <c r="A75" s="149"/>
      <c r="C75" s="5"/>
      <c r="D75" s="149"/>
      <c r="E75" s="149"/>
      <c r="F75" s="249"/>
      <c r="G75" s="1815"/>
      <c r="H75" s="1815"/>
      <c r="I75" s="1815"/>
      <c r="J75" s="1815"/>
      <c r="K75" s="1815"/>
      <c r="L75" s="1815"/>
      <c r="M75" s="1815"/>
      <c r="N75" s="1815"/>
      <c r="O75" s="1815"/>
      <c r="P75" s="1815"/>
      <c r="Q75" s="1815"/>
      <c r="R75" s="1815"/>
      <c r="S75" s="1815"/>
      <c r="T75" s="1815"/>
      <c r="U75" s="1815"/>
      <c r="V75" s="1815"/>
      <c r="W75" s="1815"/>
      <c r="X75" s="1815"/>
      <c r="Y75" s="1815"/>
      <c r="Z75" s="1815"/>
      <c r="AA75" s="1815"/>
      <c r="AB75" s="1815"/>
      <c r="AC75" s="1815"/>
      <c r="AD75" s="1815"/>
      <c r="AE75" s="1815"/>
      <c r="AF75" s="1815"/>
      <c r="AG75" s="1815"/>
      <c r="AH75" s="1815"/>
      <c r="AI75" s="1815"/>
      <c r="AJ75" s="1815"/>
      <c r="AK75" s="1815"/>
    </row>
    <row r="76" spans="1:37" ht="13">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283</v>
      </c>
      <c r="G78" s="149" t="s">
        <v>1115</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ht="13">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15" t="s">
        <v>1359</v>
      </c>
      <c r="H82" s="1815"/>
      <c r="I82" s="1815"/>
      <c r="J82" s="1815"/>
      <c r="K82" s="1815"/>
      <c r="L82" s="1815"/>
      <c r="M82" s="1815"/>
      <c r="N82" s="1815"/>
      <c r="O82" s="1815"/>
      <c r="P82" s="1815"/>
      <c r="Q82" s="1815"/>
      <c r="R82" s="1815"/>
      <c r="S82" s="1815"/>
      <c r="T82" s="1815"/>
      <c r="U82" s="1815"/>
      <c r="V82" s="1815"/>
      <c r="W82" s="1815"/>
      <c r="X82" s="1815"/>
      <c r="Y82" s="1815"/>
      <c r="Z82" s="1815"/>
      <c r="AA82" s="1815"/>
      <c r="AB82" s="1815"/>
      <c r="AC82" s="1815"/>
      <c r="AD82" s="1815"/>
      <c r="AE82" s="1815"/>
      <c r="AF82" s="1815"/>
      <c r="AG82" s="1815"/>
      <c r="AH82" s="1815"/>
      <c r="AI82" s="1815"/>
      <c r="AJ82" s="1815"/>
      <c r="AK82" s="1815"/>
    </row>
    <row r="83" spans="1:37" ht="13">
      <c r="A83" s="149"/>
      <c r="C83" s="5"/>
      <c r="D83" s="149"/>
      <c r="E83" s="149"/>
      <c r="F83" s="149"/>
      <c r="G83" s="1815"/>
      <c r="H83" s="1815"/>
      <c r="I83" s="1815"/>
      <c r="J83" s="1815"/>
      <c r="K83" s="1815"/>
      <c r="L83" s="1815"/>
      <c r="M83" s="1815"/>
      <c r="N83" s="1815"/>
      <c r="O83" s="1815"/>
      <c r="P83" s="1815"/>
      <c r="Q83" s="1815"/>
      <c r="R83" s="1815"/>
      <c r="S83" s="1815"/>
      <c r="T83" s="1815"/>
      <c r="U83" s="1815"/>
      <c r="V83" s="1815"/>
      <c r="W83" s="1815"/>
      <c r="X83" s="1815"/>
      <c r="Y83" s="1815"/>
      <c r="Z83" s="1815"/>
      <c r="AA83" s="1815"/>
      <c r="AB83" s="1815"/>
      <c r="AC83" s="1815"/>
      <c r="AD83" s="1815"/>
      <c r="AE83" s="1815"/>
      <c r="AF83" s="1815"/>
      <c r="AG83" s="1815"/>
      <c r="AH83" s="1815"/>
      <c r="AI83" s="1815"/>
      <c r="AJ83" s="1815"/>
      <c r="AK83" s="1815"/>
    </row>
    <row r="84" spans="1:37" s="715" customFormat="1" ht="13">
      <c r="A84" s="149"/>
      <c r="C84" s="5"/>
      <c r="D84" s="149"/>
      <c r="E84" s="149"/>
      <c r="F84" s="149"/>
      <c r="G84" s="1815"/>
      <c r="H84" s="1815"/>
      <c r="I84" s="1815"/>
      <c r="J84" s="1815"/>
      <c r="K84" s="1815"/>
      <c r="L84" s="1815"/>
      <c r="M84" s="1815"/>
      <c r="N84" s="1815"/>
      <c r="O84" s="1815"/>
      <c r="P84" s="1815"/>
      <c r="Q84" s="1815"/>
      <c r="R84" s="1815"/>
      <c r="S84" s="1815"/>
      <c r="T84" s="1815"/>
      <c r="U84" s="1815"/>
      <c r="V84" s="1815"/>
      <c r="W84" s="1815"/>
      <c r="X84" s="1815"/>
      <c r="Y84" s="1815"/>
      <c r="Z84" s="1815"/>
      <c r="AA84" s="1815"/>
      <c r="AB84" s="1815"/>
      <c r="AC84" s="1815"/>
      <c r="AD84" s="1815"/>
      <c r="AE84" s="1815"/>
      <c r="AF84" s="1815"/>
      <c r="AG84" s="1815"/>
      <c r="AH84" s="1815"/>
      <c r="AI84" s="1815"/>
      <c r="AJ84" s="1815"/>
      <c r="AK84" s="1815"/>
    </row>
    <row r="85" spans="1:37" ht="13">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15" t="s">
        <v>1360</v>
      </c>
      <c r="H86" s="1815"/>
      <c r="I86" s="1815"/>
      <c r="J86" s="1815"/>
      <c r="K86" s="1815"/>
      <c r="L86" s="1815"/>
      <c r="M86" s="1815"/>
      <c r="N86" s="1815"/>
      <c r="O86" s="1815"/>
      <c r="P86" s="1815"/>
      <c r="Q86" s="1815"/>
      <c r="R86" s="1815"/>
      <c r="S86" s="1815"/>
      <c r="T86" s="1815"/>
      <c r="U86" s="1815"/>
      <c r="V86" s="1815"/>
      <c r="W86" s="1815"/>
      <c r="X86" s="1815"/>
      <c r="Y86" s="1815"/>
      <c r="Z86" s="1815"/>
      <c r="AA86" s="1815"/>
      <c r="AB86" s="1815"/>
      <c r="AC86" s="1815"/>
      <c r="AD86" s="1815"/>
      <c r="AE86" s="1815"/>
      <c r="AF86" s="1815"/>
      <c r="AG86" s="1815"/>
      <c r="AH86" s="1815"/>
      <c r="AI86" s="1815"/>
      <c r="AJ86" s="1815"/>
      <c r="AK86" s="1815"/>
    </row>
    <row r="87" spans="1:37" ht="13">
      <c r="A87" s="149"/>
      <c r="C87" s="5"/>
      <c r="D87" s="149"/>
      <c r="E87" s="149"/>
      <c r="F87" s="149"/>
      <c r="G87" s="1815"/>
      <c r="H87" s="1815"/>
      <c r="I87" s="1815"/>
      <c r="J87" s="1815"/>
      <c r="K87" s="1815"/>
      <c r="L87" s="1815"/>
      <c r="M87" s="1815"/>
      <c r="N87" s="1815"/>
      <c r="O87" s="1815"/>
      <c r="P87" s="1815"/>
      <c r="Q87" s="1815"/>
      <c r="R87" s="1815"/>
      <c r="S87" s="1815"/>
      <c r="T87" s="1815"/>
      <c r="U87" s="1815"/>
      <c r="V87" s="1815"/>
      <c r="W87" s="1815"/>
      <c r="X87" s="1815"/>
      <c r="Y87" s="1815"/>
      <c r="Z87" s="1815"/>
      <c r="AA87" s="1815"/>
      <c r="AB87" s="1815"/>
      <c r="AC87" s="1815"/>
      <c r="AD87" s="1815"/>
      <c r="AE87" s="1815"/>
      <c r="AF87" s="1815"/>
      <c r="AG87" s="1815"/>
      <c r="AH87" s="1815"/>
      <c r="AI87" s="1815"/>
      <c r="AJ87" s="1815"/>
      <c r="AK87" s="1815"/>
    </row>
    <row r="88" spans="1:37" ht="13">
      <c r="A88" s="149"/>
      <c r="C88" s="5"/>
      <c r="D88" s="149"/>
      <c r="E88" s="149"/>
      <c r="G88" s="1815"/>
      <c r="H88" s="1815"/>
      <c r="I88" s="1815"/>
      <c r="J88" s="1815"/>
      <c r="K88" s="1815"/>
      <c r="L88" s="1815"/>
      <c r="M88" s="1815"/>
      <c r="N88" s="1815"/>
      <c r="O88" s="1815"/>
      <c r="P88" s="1815"/>
      <c r="Q88" s="1815"/>
      <c r="R88" s="1815"/>
      <c r="S88" s="1815"/>
      <c r="T88" s="1815"/>
      <c r="U88" s="1815"/>
      <c r="V88" s="1815"/>
      <c r="W88" s="1815"/>
      <c r="X88" s="1815"/>
      <c r="Y88" s="1815"/>
      <c r="Z88" s="1815"/>
      <c r="AA88" s="1815"/>
      <c r="AB88" s="1815"/>
      <c r="AC88" s="1815"/>
      <c r="AD88" s="1815"/>
      <c r="AE88" s="1815"/>
      <c r="AF88" s="1815"/>
      <c r="AG88" s="1815"/>
      <c r="AH88" s="1815"/>
      <c r="AI88" s="1815"/>
      <c r="AJ88" s="1815"/>
      <c r="AK88" s="1815"/>
    </row>
    <row r="89" spans="1:37" ht="13">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23" t="s">
        <v>1361</v>
      </c>
      <c r="H90" s="1823"/>
      <c r="I90" s="1823"/>
      <c r="J90" s="1823"/>
      <c r="K90" s="1823"/>
      <c r="L90" s="1823"/>
      <c r="M90" s="1823"/>
      <c r="N90" s="1823"/>
      <c r="O90" s="1823"/>
      <c r="P90" s="1823"/>
      <c r="Q90" s="1823"/>
      <c r="R90" s="1823"/>
      <c r="S90" s="1823"/>
      <c r="T90" s="1823"/>
      <c r="U90" s="1823"/>
      <c r="V90" s="1823"/>
      <c r="W90" s="1823"/>
      <c r="X90" s="1823"/>
      <c r="Y90" s="1823"/>
      <c r="Z90" s="1823"/>
      <c r="AA90" s="1823"/>
      <c r="AB90" s="1823"/>
      <c r="AC90" s="1823"/>
      <c r="AD90" s="1823"/>
      <c r="AE90" s="1823"/>
      <c r="AF90" s="1823"/>
      <c r="AG90" s="1823"/>
      <c r="AH90" s="1823"/>
      <c r="AI90" s="1823"/>
      <c r="AJ90" s="1823"/>
      <c r="AK90" s="1823"/>
    </row>
    <row r="91" spans="1:37" s="715" customFormat="1" ht="13">
      <c r="A91" s="149"/>
      <c r="C91" s="5"/>
      <c r="D91" s="149"/>
      <c r="E91" s="149"/>
      <c r="G91" s="1823"/>
      <c r="H91" s="1823"/>
      <c r="I91" s="1823"/>
      <c r="J91" s="1823"/>
      <c r="K91" s="1823"/>
      <c r="L91" s="1823"/>
      <c r="M91" s="1823"/>
      <c r="N91" s="1823"/>
      <c r="O91" s="1823"/>
      <c r="P91" s="1823"/>
      <c r="Q91" s="1823"/>
      <c r="R91" s="1823"/>
      <c r="S91" s="1823"/>
      <c r="T91" s="1823"/>
      <c r="U91" s="1823"/>
      <c r="V91" s="1823"/>
      <c r="W91" s="1823"/>
      <c r="X91" s="1823"/>
      <c r="Y91" s="1823"/>
      <c r="Z91" s="1823"/>
      <c r="AA91" s="1823"/>
      <c r="AB91" s="1823"/>
      <c r="AC91" s="1823"/>
      <c r="AD91" s="1823"/>
      <c r="AE91" s="1823"/>
      <c r="AF91" s="1823"/>
      <c r="AG91" s="1823"/>
      <c r="AH91" s="1823"/>
      <c r="AI91" s="1823"/>
      <c r="AJ91" s="1823"/>
      <c r="AK91" s="1823"/>
    </row>
    <row r="92" spans="1:37" ht="13">
      <c r="A92" s="149"/>
      <c r="C92" s="5"/>
      <c r="D92" s="149"/>
      <c r="E92" s="149"/>
      <c r="G92" s="1823"/>
      <c r="H92" s="1823"/>
      <c r="I92" s="1823"/>
      <c r="J92" s="1823"/>
      <c r="K92" s="1823"/>
      <c r="L92" s="1823"/>
      <c r="M92" s="1823"/>
      <c r="N92" s="1823"/>
      <c r="O92" s="1823"/>
      <c r="P92" s="1823"/>
      <c r="Q92" s="1823"/>
      <c r="R92" s="1823"/>
      <c r="S92" s="1823"/>
      <c r="T92" s="1823"/>
      <c r="U92" s="1823"/>
      <c r="V92" s="1823"/>
      <c r="W92" s="1823"/>
      <c r="X92" s="1823"/>
      <c r="Y92" s="1823"/>
      <c r="Z92" s="1823"/>
      <c r="AA92" s="1823"/>
      <c r="AB92" s="1823"/>
      <c r="AC92" s="1823"/>
      <c r="AD92" s="1823"/>
      <c r="AE92" s="1823"/>
      <c r="AF92" s="1823"/>
      <c r="AG92" s="1823"/>
      <c r="AH92" s="1823"/>
      <c r="AI92" s="1823"/>
      <c r="AJ92" s="1823"/>
      <c r="AK92" s="1823"/>
    </row>
    <row r="93" spans="1:37" ht="13">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15" t="s">
        <v>1362</v>
      </c>
      <c r="H94" s="1815"/>
      <c r="I94" s="1815"/>
      <c r="J94" s="1815"/>
      <c r="K94" s="1815"/>
      <c r="L94" s="1815"/>
      <c r="M94" s="1815"/>
      <c r="N94" s="1815"/>
      <c r="O94" s="1815"/>
      <c r="P94" s="1815"/>
      <c r="Q94" s="1815"/>
      <c r="R94" s="1815"/>
      <c r="S94" s="1815"/>
      <c r="T94" s="1815"/>
      <c r="U94" s="1815"/>
      <c r="V94" s="1815"/>
      <c r="W94" s="1815"/>
      <c r="X94" s="1815"/>
      <c r="Y94" s="1815"/>
      <c r="Z94" s="1815"/>
      <c r="AA94" s="1815"/>
      <c r="AB94" s="1815"/>
      <c r="AC94" s="1815"/>
      <c r="AD94" s="1815"/>
      <c r="AE94" s="1815"/>
      <c r="AF94" s="1815"/>
      <c r="AG94" s="1815"/>
      <c r="AH94" s="1815"/>
      <c r="AI94" s="1815"/>
      <c r="AJ94" s="1815"/>
      <c r="AK94" s="1815"/>
    </row>
    <row r="95" spans="1:37" ht="13">
      <c r="A95" s="149"/>
      <c r="C95" s="5"/>
      <c r="D95" s="149"/>
      <c r="E95" s="149"/>
      <c r="G95" s="1815"/>
      <c r="H95" s="1815"/>
      <c r="I95" s="1815"/>
      <c r="J95" s="1815"/>
      <c r="K95" s="1815"/>
      <c r="L95" s="1815"/>
      <c r="M95" s="1815"/>
      <c r="N95" s="1815"/>
      <c r="O95" s="1815"/>
      <c r="P95" s="1815"/>
      <c r="Q95" s="1815"/>
      <c r="R95" s="1815"/>
      <c r="S95" s="1815"/>
      <c r="T95" s="1815"/>
      <c r="U95" s="1815"/>
      <c r="V95" s="1815"/>
      <c r="W95" s="1815"/>
      <c r="X95" s="1815"/>
      <c r="Y95" s="1815"/>
      <c r="Z95" s="1815"/>
      <c r="AA95" s="1815"/>
      <c r="AB95" s="1815"/>
      <c r="AC95" s="1815"/>
      <c r="AD95" s="1815"/>
      <c r="AE95" s="1815"/>
      <c r="AF95" s="1815"/>
      <c r="AG95" s="1815"/>
      <c r="AH95" s="1815"/>
      <c r="AI95" s="1815"/>
      <c r="AJ95" s="1815"/>
      <c r="AK95" s="1815"/>
    </row>
    <row r="96" spans="1:37" ht="13">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15" t="s">
        <v>1363</v>
      </c>
      <c r="H97" s="1815"/>
      <c r="I97" s="1815"/>
      <c r="J97" s="1815"/>
      <c r="K97" s="1815"/>
      <c r="L97" s="1815"/>
      <c r="M97" s="1815"/>
      <c r="N97" s="1815"/>
      <c r="O97" s="1815"/>
      <c r="P97" s="1815"/>
      <c r="Q97" s="1815"/>
      <c r="R97" s="1815"/>
      <c r="S97" s="1815"/>
      <c r="T97" s="1815"/>
      <c r="U97" s="1815"/>
      <c r="V97" s="1815"/>
      <c r="W97" s="1815"/>
      <c r="X97" s="1815"/>
      <c r="Y97" s="1815"/>
      <c r="Z97" s="1815"/>
      <c r="AA97" s="1815"/>
      <c r="AB97" s="1815"/>
      <c r="AC97" s="1815"/>
      <c r="AD97" s="1815"/>
      <c r="AE97" s="1815"/>
      <c r="AF97" s="1815"/>
      <c r="AG97" s="1815"/>
      <c r="AH97" s="1815"/>
      <c r="AI97" s="1815"/>
      <c r="AJ97" s="1815"/>
      <c r="AK97" s="1815"/>
    </row>
    <row r="98" spans="1:38" ht="13">
      <c r="A98" s="149"/>
      <c r="C98" s="183"/>
      <c r="D98" s="182"/>
      <c r="E98" s="182"/>
      <c r="F98" s="2"/>
      <c r="G98" s="1815"/>
      <c r="H98" s="1815"/>
      <c r="I98" s="1815"/>
      <c r="J98" s="1815"/>
      <c r="K98" s="1815"/>
      <c r="L98" s="1815"/>
      <c r="M98" s="1815"/>
      <c r="N98" s="1815"/>
      <c r="O98" s="1815"/>
      <c r="P98" s="1815"/>
      <c r="Q98" s="1815"/>
      <c r="R98" s="1815"/>
      <c r="S98" s="1815"/>
      <c r="T98" s="1815"/>
      <c r="U98" s="1815"/>
      <c r="V98" s="1815"/>
      <c r="W98" s="1815"/>
      <c r="X98" s="1815"/>
      <c r="Y98" s="1815"/>
      <c r="Z98" s="1815"/>
      <c r="AA98" s="1815"/>
      <c r="AB98" s="1815"/>
      <c r="AC98" s="1815"/>
      <c r="AD98" s="1815"/>
      <c r="AE98" s="1815"/>
      <c r="AF98" s="1815"/>
      <c r="AG98" s="1815"/>
      <c r="AH98" s="1815"/>
      <c r="AI98" s="1815"/>
      <c r="AJ98" s="1815"/>
      <c r="AK98" s="1815"/>
      <c r="AL98" s="2"/>
    </row>
    <row r="99" spans="1:38" ht="13">
      <c r="A99" s="149"/>
      <c r="C99" s="183"/>
      <c r="D99" s="182"/>
      <c r="E99" s="182"/>
      <c r="F99" s="2"/>
      <c r="G99" s="1815"/>
      <c r="H99" s="1815"/>
      <c r="I99" s="1815"/>
      <c r="J99" s="1815"/>
      <c r="K99" s="1815"/>
      <c r="L99" s="1815"/>
      <c r="M99" s="1815"/>
      <c r="N99" s="1815"/>
      <c r="O99" s="1815"/>
      <c r="P99" s="1815"/>
      <c r="Q99" s="1815"/>
      <c r="R99" s="1815"/>
      <c r="S99" s="1815"/>
      <c r="T99" s="1815"/>
      <c r="U99" s="1815"/>
      <c r="V99" s="1815"/>
      <c r="W99" s="1815"/>
      <c r="X99" s="1815"/>
      <c r="Y99" s="1815"/>
      <c r="Z99" s="1815"/>
      <c r="AA99" s="1815"/>
      <c r="AB99" s="1815"/>
      <c r="AC99" s="1815"/>
      <c r="AD99" s="1815"/>
      <c r="AE99" s="1815"/>
      <c r="AF99" s="1815"/>
      <c r="AG99" s="1815"/>
      <c r="AH99" s="1815"/>
      <c r="AI99" s="1815"/>
      <c r="AJ99" s="1815"/>
      <c r="AK99" s="1815"/>
      <c r="AL99" s="2"/>
    </row>
    <row r="100" spans="1:38" ht="13">
      <c r="A100" s="149"/>
      <c r="C100" s="2"/>
      <c r="D100" s="491"/>
      <c r="E100" s="1824" t="s">
        <v>1364</v>
      </c>
      <c r="F100" s="1824"/>
      <c r="G100" s="1824"/>
      <c r="H100" s="1824"/>
      <c r="I100" s="1824"/>
      <c r="J100" s="1824"/>
      <c r="K100" s="1824"/>
      <c r="L100" s="1824"/>
      <c r="M100" s="1824"/>
      <c r="N100" s="1824"/>
      <c r="O100" s="1824"/>
      <c r="P100" s="1824"/>
      <c r="Q100" s="1824"/>
      <c r="R100" s="1824"/>
      <c r="S100" s="1824"/>
      <c r="T100" s="1824"/>
      <c r="U100" s="1824"/>
      <c r="V100" s="1824"/>
      <c r="W100" s="1824"/>
      <c r="X100" s="1824"/>
      <c r="Y100" s="1824"/>
      <c r="Z100" s="1824"/>
      <c r="AA100" s="1824"/>
      <c r="AB100" s="1824"/>
      <c r="AC100" s="1824"/>
      <c r="AD100" s="1824"/>
      <c r="AE100" s="1824"/>
      <c r="AF100" s="1824"/>
      <c r="AG100" s="1824"/>
      <c r="AH100" s="1824"/>
      <c r="AI100" s="1824"/>
      <c r="AJ100" s="1824"/>
      <c r="AK100" s="1824"/>
      <c r="AL100" s="2"/>
    </row>
    <row r="101" spans="1:38" ht="13">
      <c r="A101" s="149"/>
      <c r="D101" s="153"/>
      <c r="E101" s="1824"/>
      <c r="F101" s="1824"/>
      <c r="G101" s="1824"/>
      <c r="H101" s="1824"/>
      <c r="I101" s="1824"/>
      <c r="J101" s="1824"/>
      <c r="K101" s="1824"/>
      <c r="L101" s="1824"/>
      <c r="M101" s="1824"/>
      <c r="N101" s="1824"/>
      <c r="O101" s="1824"/>
      <c r="P101" s="1824"/>
      <c r="Q101" s="1824"/>
      <c r="R101" s="1824"/>
      <c r="S101" s="1824"/>
      <c r="T101" s="1824"/>
      <c r="U101" s="1824"/>
      <c r="V101" s="1824"/>
      <c r="W101" s="1824"/>
      <c r="X101" s="1824"/>
      <c r="Y101" s="1824"/>
      <c r="Z101" s="1824"/>
      <c r="AA101" s="1824"/>
      <c r="AB101" s="1824"/>
      <c r="AC101" s="1824"/>
      <c r="AD101" s="1824"/>
      <c r="AE101" s="1824"/>
      <c r="AF101" s="1824"/>
      <c r="AG101" s="1824"/>
      <c r="AH101" s="1824"/>
      <c r="AI101" s="1824"/>
      <c r="AJ101" s="1824"/>
      <c r="AK101" s="1824"/>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450</v>
      </c>
      <c r="D105" s="9"/>
      <c r="E105" s="5"/>
      <c r="F105" s="5"/>
      <c r="G105" s="5" t="s">
        <v>1380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212</v>
      </c>
      <c r="E106" s="5" t="s">
        <v>1382</v>
      </c>
      <c r="F106" s="5"/>
      <c r="G106" s="5"/>
      <c r="H106" s="5"/>
      <c r="I106" s="5"/>
      <c r="J106" s="5"/>
      <c r="K106" s="5"/>
      <c r="L106" s="5"/>
      <c r="M106" s="5"/>
    </row>
    <row r="107" spans="1:38" ht="13">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ht="13">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ht="13">
      <c r="F119" s="149" t="s">
        <v>1116</v>
      </c>
      <c r="G119" s="149"/>
    </row>
    <row r="120" spans="1:38" ht="13">
      <c r="F120" s="153" t="s">
        <v>1381</v>
      </c>
      <c r="G120" s="153"/>
    </row>
    <row r="121" spans="1:38" ht="13">
      <c r="G121" s="153"/>
    </row>
    <row r="122" spans="1:38">
      <c r="E122" s="149" t="s">
        <v>819</v>
      </c>
      <c r="F122" s="152" t="s">
        <v>395</v>
      </c>
    </row>
    <row r="123" spans="1:38">
      <c r="E123" s="149"/>
      <c r="F123" s="149" t="s">
        <v>1107</v>
      </c>
    </row>
    <row r="124" spans="1:38" ht="13">
      <c r="B124" s="5"/>
      <c r="C124" s="5"/>
      <c r="F124" s="5"/>
    </row>
    <row r="125" spans="1:38" ht="13">
      <c r="B125" s="5"/>
      <c r="C125" s="5" t="s">
        <v>451</v>
      </c>
      <c r="G125" s="5" t="s">
        <v>396</v>
      </c>
    </row>
    <row r="126" spans="1:38" ht="13">
      <c r="B126" s="5"/>
      <c r="C126" s="5"/>
      <c r="D126" s="5" t="s">
        <v>212</v>
      </c>
      <c r="E126" s="154" t="s">
        <v>328</v>
      </c>
      <c r="F126" s="5"/>
      <c r="G126" s="5"/>
      <c r="H126" s="5"/>
      <c r="I126" s="5"/>
      <c r="J126" s="5"/>
    </row>
    <row r="127" spans="1:38" ht="13">
      <c r="B127" s="5"/>
      <c r="C127" s="5"/>
      <c r="E127" s="149" t="s">
        <v>997</v>
      </c>
      <c r="F127" s="149"/>
    </row>
    <row r="128" spans="1:38"/>
    <row r="129" spans="4:37" ht="13">
      <c r="D129" s="5" t="s">
        <v>350</v>
      </c>
      <c r="E129" s="5" t="s">
        <v>610</v>
      </c>
    </row>
    <row r="130" spans="4:37">
      <c r="E130" s="149" t="s">
        <v>997</v>
      </c>
      <c r="F130" s="149"/>
    </row>
    <row r="131" spans="4:37"/>
    <row r="132" spans="4:37" ht="13">
      <c r="D132" s="5" t="s">
        <v>607</v>
      </c>
      <c r="E132" s="5" t="s">
        <v>763</v>
      </c>
      <c r="G132" s="5"/>
      <c r="H132" s="5"/>
      <c r="I132" s="5"/>
      <c r="J132" s="5"/>
      <c r="K132" s="5"/>
      <c r="L132" s="5"/>
      <c r="M132" s="5"/>
      <c r="N132" s="5"/>
    </row>
    <row r="133" spans="4:37" s="715" customFormat="1" ht="13">
      <c r="D133" s="5"/>
      <c r="E133" s="882" t="s">
        <v>1482</v>
      </c>
      <c r="G133" s="5"/>
      <c r="H133" s="5"/>
      <c r="I133" s="5"/>
      <c r="J133" s="5"/>
      <c r="K133" s="5"/>
      <c r="L133" s="5"/>
      <c r="M133" s="5"/>
      <c r="N133" s="5"/>
    </row>
    <row r="134" spans="4:37" ht="12.75" customHeight="1">
      <c r="E134" s="882" t="s">
        <v>1480</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1481</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
      <c r="D137" s="5" t="s">
        <v>545</v>
      </c>
      <c r="E137" s="5" t="s">
        <v>548</v>
      </c>
      <c r="F137" s="5"/>
    </row>
    <row r="138" spans="4:37">
      <c r="E138" s="881" t="s">
        <v>1416</v>
      </c>
      <c r="F138" s="149"/>
    </row>
    <row r="139" spans="4:37">
      <c r="F139" s="149"/>
    </row>
    <row r="140" spans="4:37" ht="13">
      <c r="D140" s="5" t="s">
        <v>310</v>
      </c>
      <c r="E140" s="5" t="s">
        <v>976</v>
      </c>
      <c r="F140" s="5"/>
      <c r="G140" s="5"/>
      <c r="H140" s="5"/>
    </row>
    <row r="141" spans="4:37">
      <c r="E141" t="s">
        <v>117</v>
      </c>
      <c r="F141" t="s">
        <v>55</v>
      </c>
    </row>
    <row r="142" spans="4:37">
      <c r="E142" t="s">
        <v>118</v>
      </c>
      <c r="F142" t="s">
        <v>497</v>
      </c>
    </row>
    <row r="143" spans="4:37"/>
    <row r="144" spans="4:37" ht="13">
      <c r="D144" s="5" t="s">
        <v>449</v>
      </c>
      <c r="E144" s="5" t="s">
        <v>999</v>
      </c>
    </row>
    <row r="145" spans="3:7">
      <c r="E145" s="327" t="s">
        <v>1000</v>
      </c>
      <c r="F145" s="327"/>
    </row>
    <row r="146" spans="3:7"/>
    <row r="147" spans="3:7" ht="13">
      <c r="C147" s="5" t="s">
        <v>6</v>
      </c>
      <c r="G147" s="5" t="s">
        <v>397</v>
      </c>
    </row>
    <row r="148" spans="3:7" ht="13">
      <c r="D148" s="183" t="s">
        <v>212</v>
      </c>
      <c r="E148" s="183" t="s">
        <v>140</v>
      </c>
    </row>
    <row r="149" spans="3:7">
      <c r="D149" s="2"/>
      <c r="E149" t="s">
        <v>853</v>
      </c>
    </row>
    <row r="150" spans="3:7">
      <c r="D150" s="2"/>
      <c r="E150" s="2"/>
    </row>
    <row r="151" spans="3:7" ht="13">
      <c r="D151" s="183" t="s">
        <v>350</v>
      </c>
      <c r="E151" s="183" t="s">
        <v>555</v>
      </c>
      <c r="F151" s="5"/>
    </row>
    <row r="152" spans="3:7">
      <c r="D152" s="2"/>
      <c r="E152" s="149" t="s">
        <v>1001</v>
      </c>
      <c r="F152" s="149"/>
    </row>
    <row r="153" spans="3:7">
      <c r="D153" s="2"/>
      <c r="E153" s="2"/>
    </row>
    <row r="154" spans="3:7" ht="13">
      <c r="D154" s="183" t="s">
        <v>607</v>
      </c>
      <c r="E154" s="183" t="s">
        <v>584</v>
      </c>
    </row>
    <row r="155" spans="3:7">
      <c r="D155" s="2"/>
      <c r="E155" s="149" t="s">
        <v>1002</v>
      </c>
    </row>
    <row r="156" spans="3:7">
      <c r="D156" s="2"/>
      <c r="E156" s="149" t="s">
        <v>998</v>
      </c>
      <c r="G156" s="149"/>
    </row>
    <row r="157" spans="3:7">
      <c r="D157" s="2"/>
      <c r="E157" s="2"/>
    </row>
    <row r="158" spans="3:7" ht="13">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ht="13">
      <c r="D163" s="183" t="s">
        <v>310</v>
      </c>
      <c r="E163" s="183" t="s">
        <v>398</v>
      </c>
    </row>
    <row r="164" spans="3:20">
      <c r="D164" s="2"/>
      <c r="E164" s="149" t="s">
        <v>1005</v>
      </c>
      <c r="F164" s="149"/>
    </row>
    <row r="165" spans="3:20">
      <c r="D165" s="2"/>
      <c r="E165" s="2"/>
    </row>
    <row r="166" spans="3:20" ht="13">
      <c r="D166" s="183" t="s">
        <v>449</v>
      </c>
      <c r="E166" s="183" t="s">
        <v>176</v>
      </c>
    </row>
    <row r="167" spans="3:20">
      <c r="D167" s="2"/>
      <c r="E167" s="149" t="s">
        <v>1007</v>
      </c>
    </row>
    <row r="168" spans="3:20">
      <c r="D168" s="2"/>
      <c r="E168" s="149" t="s">
        <v>1006</v>
      </c>
    </row>
    <row r="169" spans="3:20">
      <c r="D169" s="2"/>
      <c r="E169" s="2"/>
    </row>
    <row r="170" spans="3:20" ht="13">
      <c r="D170" s="183" t="s">
        <v>588</v>
      </c>
      <c r="E170" s="183" t="s">
        <v>655</v>
      </c>
    </row>
    <row r="171" spans="3:20">
      <c r="D171" s="2"/>
      <c r="E171" s="2" t="s">
        <v>117</v>
      </c>
      <c r="F171" t="s">
        <v>765</v>
      </c>
    </row>
    <row r="172" spans="3:20">
      <c r="E172" s="2" t="s">
        <v>118</v>
      </c>
      <c r="F172" t="s">
        <v>304</v>
      </c>
    </row>
    <row r="173" spans="3:20">
      <c r="F173" s="149"/>
    </row>
    <row r="174" spans="3:20" ht="13">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610</v>
      </c>
    </row>
    <row r="178" spans="2:19" ht="13">
      <c r="D178" s="5" t="s">
        <v>212</v>
      </c>
      <c r="E178" s="5" t="s">
        <v>305</v>
      </c>
      <c r="G178" s="149"/>
      <c r="H178" s="149"/>
      <c r="I178" s="149"/>
      <c r="J178" s="149"/>
      <c r="K178" s="149"/>
      <c r="L178" s="149"/>
      <c r="M178" s="149"/>
      <c r="N178" s="149"/>
    </row>
    <row r="179" spans="2:19">
      <c r="E179" t="s">
        <v>117</v>
      </c>
      <c r="F179" s="149" t="s">
        <v>1008</v>
      </c>
    </row>
    <row r="180" spans="2:19" ht="13">
      <c r="F180" s="184" t="s">
        <v>1333</v>
      </c>
      <c r="I180" s="184"/>
    </row>
    <row r="181" spans="2:19" ht="13">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ht="13">
      <c r="D185" s="5" t="s">
        <v>350</v>
      </c>
      <c r="E185" s="50" t="s">
        <v>1108</v>
      </c>
    </row>
    <row r="186" spans="2:19">
      <c r="B186" s="149"/>
      <c r="C186" s="149"/>
      <c r="E186" s="149" t="s">
        <v>748</v>
      </c>
      <c r="F186" s="149"/>
      <c r="I186" s="149"/>
    </row>
    <row r="187" spans="2:19" ht="13">
      <c r="B187" s="149"/>
      <c r="C187" s="149"/>
      <c r="E187" s="149" t="s">
        <v>1106</v>
      </c>
      <c r="F187" s="184"/>
      <c r="G187" s="149"/>
      <c r="I187" s="184"/>
    </row>
    <row r="188" spans="2:19" ht="13">
      <c r="B188" s="149"/>
      <c r="C188" s="149"/>
      <c r="F188" s="184"/>
      <c r="G188" s="149"/>
      <c r="I188" s="184"/>
    </row>
    <row r="189" spans="2:19" ht="13">
      <c r="B189" s="149"/>
      <c r="C189" s="149"/>
      <c r="D189" s="5" t="s">
        <v>607</v>
      </c>
      <c r="E189" s="5" t="s">
        <v>3</v>
      </c>
      <c r="F189" s="184"/>
      <c r="G189" s="149"/>
      <c r="I189" s="184"/>
    </row>
    <row r="190" spans="2:19" ht="13">
      <c r="B190" s="149"/>
      <c r="C190" s="149"/>
      <c r="D190" s="5"/>
      <c r="E190" s="149" t="s">
        <v>306</v>
      </c>
      <c r="F190" s="149"/>
      <c r="G190" s="149"/>
      <c r="I190" s="184"/>
    </row>
    <row r="191" spans="2:19" ht="13">
      <c r="B191" s="149"/>
      <c r="C191" s="149"/>
      <c r="F191" s="184"/>
      <c r="G191" s="149"/>
      <c r="I191" s="184"/>
    </row>
    <row r="192" spans="2:19" ht="13">
      <c r="D192" s="5" t="s">
        <v>545</v>
      </c>
      <c r="E192" s="5" t="s">
        <v>116</v>
      </c>
    </row>
    <row r="193" spans="2:37" ht="13">
      <c r="B193" s="149"/>
      <c r="C193" s="5"/>
      <c r="E193" t="s">
        <v>117</v>
      </c>
      <c r="F193" s="149" t="s">
        <v>1117</v>
      </c>
      <c r="G193" s="149"/>
      <c r="H193" s="149"/>
      <c r="I193" s="149"/>
    </row>
    <row r="194" spans="2:37" ht="13">
      <c r="B194" s="149"/>
      <c r="C194" s="5"/>
      <c r="F194" s="149" t="s">
        <v>688</v>
      </c>
      <c r="G194" s="6" t="s">
        <v>1408</v>
      </c>
    </row>
    <row r="195" spans="2:37">
      <c r="B195" s="149"/>
      <c r="C195" s="149"/>
      <c r="F195" s="149" t="s">
        <v>357</v>
      </c>
      <c r="G195" s="155" t="s">
        <v>1409</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449</v>
      </c>
      <c r="E201" s="5" t="s">
        <v>125</v>
      </c>
      <c r="G201" s="149"/>
      <c r="H201" s="149"/>
      <c r="I201" s="149"/>
      <c r="J201" s="149"/>
      <c r="M201" s="149"/>
      <c r="N201" s="149"/>
      <c r="O201" s="149"/>
      <c r="P201" s="149"/>
      <c r="Q201" s="149"/>
      <c r="R201" s="149"/>
      <c r="S201" s="149"/>
    </row>
    <row r="202" spans="2:37" ht="13">
      <c r="B202" s="149"/>
      <c r="C202" s="149"/>
      <c r="D202" s="5"/>
      <c r="E202" s="149" t="s">
        <v>117</v>
      </c>
      <c r="F202" s="149" t="s">
        <v>1011</v>
      </c>
      <c r="M202" s="149"/>
      <c r="N202" s="149"/>
      <c r="O202" s="149"/>
      <c r="P202" s="149"/>
      <c r="Q202" s="149"/>
      <c r="R202" s="149"/>
      <c r="S202" s="149"/>
    </row>
    <row r="203" spans="2:37" ht="13">
      <c r="B203" s="149"/>
      <c r="C203" s="149"/>
      <c r="D203" s="5"/>
      <c r="E203" s="149" t="s">
        <v>118</v>
      </c>
      <c r="F203" s="149" t="s">
        <v>1118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614</v>
      </c>
      <c r="F206" s="149" t="s">
        <v>1013</v>
      </c>
      <c r="M206" s="149"/>
      <c r="N206" s="149"/>
      <c r="O206" s="149"/>
      <c r="P206" s="149"/>
      <c r="Q206" s="149"/>
      <c r="R206" s="149"/>
      <c r="S206" s="149"/>
    </row>
    <row r="207" spans="2:37" ht="13">
      <c r="B207" s="149"/>
      <c r="C207" s="149"/>
      <c r="D207" s="5"/>
      <c r="F207" t="s">
        <v>688</v>
      </c>
      <c r="G207" s="1815" t="s">
        <v>1365</v>
      </c>
      <c r="H207" s="1815"/>
      <c r="I207" s="1815"/>
      <c r="J207" s="1815"/>
      <c r="K207" s="1815"/>
      <c r="L207" s="1815"/>
      <c r="M207" s="1815"/>
      <c r="N207" s="1815"/>
      <c r="O207" s="1815"/>
      <c r="P207" s="1815"/>
      <c r="Q207" s="1815"/>
      <c r="R207" s="1815"/>
      <c r="S207" s="1815"/>
      <c r="T207" s="1815"/>
      <c r="U207" s="1815"/>
      <c r="V207" s="1815"/>
      <c r="W207" s="1815"/>
      <c r="X207" s="1815"/>
      <c r="Y207" s="1815"/>
      <c r="Z207" s="1815"/>
      <c r="AA207" s="1815"/>
      <c r="AB207" s="1815"/>
      <c r="AC207" s="1815"/>
      <c r="AD207" s="1815"/>
      <c r="AE207" s="1815"/>
      <c r="AF207" s="1815"/>
      <c r="AG207" s="1815"/>
      <c r="AH207" s="1815"/>
      <c r="AI207" s="1815"/>
      <c r="AJ207" s="1815"/>
      <c r="AK207" s="1815"/>
    </row>
    <row r="208" spans="2:37" ht="13">
      <c r="B208" s="149"/>
      <c r="C208" s="149"/>
      <c r="D208" s="5"/>
      <c r="G208" s="1815"/>
      <c r="H208" s="1815"/>
      <c r="I208" s="1815"/>
      <c r="J208" s="1815"/>
      <c r="K208" s="1815"/>
      <c r="L208" s="1815"/>
      <c r="M208" s="1815"/>
      <c r="N208" s="1815"/>
      <c r="O208" s="1815"/>
      <c r="P208" s="1815"/>
      <c r="Q208" s="1815"/>
      <c r="R208" s="1815"/>
      <c r="S208" s="1815"/>
      <c r="T208" s="1815"/>
      <c r="U208" s="1815"/>
      <c r="V208" s="1815"/>
      <c r="W208" s="1815"/>
      <c r="X208" s="1815"/>
      <c r="Y208" s="1815"/>
      <c r="Z208" s="1815"/>
      <c r="AA208" s="1815"/>
      <c r="AB208" s="1815"/>
      <c r="AC208" s="1815"/>
      <c r="AD208" s="1815"/>
      <c r="AE208" s="1815"/>
      <c r="AF208" s="1815"/>
      <c r="AG208" s="1815"/>
      <c r="AH208" s="1815"/>
      <c r="AI208" s="1815"/>
      <c r="AJ208" s="1815"/>
      <c r="AK208" s="1815"/>
    </row>
    <row r="209" spans="1:38" ht="13">
      <c r="B209" s="149"/>
      <c r="C209" s="149"/>
      <c r="D209" s="5"/>
      <c r="M209" s="149"/>
      <c r="N209" s="149"/>
      <c r="O209" s="149"/>
      <c r="P209" s="149"/>
      <c r="Q209" s="149"/>
      <c r="R209" s="149"/>
      <c r="S209" s="149"/>
    </row>
    <row r="210" spans="1:38" ht="13">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306</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450</v>
      </c>
      <c r="D225" s="149"/>
      <c r="E225" s="149"/>
      <c r="F225" s="149"/>
      <c r="G225" s="5" t="s">
        <v>481</v>
      </c>
      <c r="I225" s="149"/>
      <c r="J225" s="149"/>
      <c r="K225" s="149"/>
      <c r="M225" s="149"/>
      <c r="N225" s="149"/>
      <c r="O225" s="149"/>
      <c r="P225" s="149"/>
      <c r="Q225" s="149"/>
      <c r="R225" s="149"/>
      <c r="S225" s="149"/>
    </row>
    <row r="226" spans="2:19" ht="13">
      <c r="B226" s="5"/>
      <c r="E226" s="149" t="s">
        <v>117</v>
      </c>
      <c r="F226" s="149" t="s">
        <v>755</v>
      </c>
      <c r="G226" s="149"/>
      <c r="I226" s="149"/>
      <c r="J226" s="149"/>
      <c r="K226" s="149"/>
      <c r="L226" s="149"/>
      <c r="M226" s="149"/>
      <c r="N226" s="149"/>
      <c r="O226" s="149"/>
      <c r="P226" s="149"/>
      <c r="Q226" s="149"/>
      <c r="R226" s="149"/>
      <c r="S226" s="149"/>
    </row>
    <row r="227" spans="2:19" ht="13">
      <c r="B227" s="5"/>
      <c r="E227" s="149" t="s">
        <v>118</v>
      </c>
      <c r="F227" s="149" t="s">
        <v>715</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451</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756</v>
      </c>
      <c r="G230" s="149"/>
      <c r="I230" s="149"/>
      <c r="J230" s="149"/>
      <c r="K230" s="149"/>
      <c r="L230" s="149"/>
      <c r="M230" s="149"/>
      <c r="N230" s="149"/>
      <c r="O230" s="149"/>
      <c r="P230" s="149"/>
      <c r="Q230" s="149"/>
      <c r="R230" s="149"/>
      <c r="S230" s="149"/>
    </row>
    <row r="231" spans="2:19" ht="13">
      <c r="B231" s="5"/>
      <c r="E231" s="149"/>
      <c r="F231" s="149" t="s">
        <v>757</v>
      </c>
      <c r="G231" s="149"/>
      <c r="H231" s="149"/>
      <c r="I231" s="149"/>
      <c r="J231" s="149"/>
      <c r="K231" s="149"/>
      <c r="L231" s="149"/>
      <c r="M231" s="149"/>
      <c r="N231" s="149"/>
      <c r="O231" s="149"/>
      <c r="P231" s="149"/>
      <c r="Q231" s="149"/>
      <c r="R231" s="149"/>
      <c r="S231" s="149"/>
    </row>
    <row r="232" spans="2:19" ht="13">
      <c r="B232" s="5"/>
      <c r="D232" s="149"/>
      <c r="E232" s="149" t="s">
        <v>118</v>
      </c>
      <c r="F232" s="149" t="s">
        <v>715</v>
      </c>
      <c r="G232" s="149"/>
      <c r="I232" s="149"/>
      <c r="J232" s="149"/>
      <c r="K232" s="149"/>
      <c r="L232" s="149"/>
      <c r="M232" s="149"/>
      <c r="N232" s="149"/>
      <c r="O232" s="149"/>
      <c r="P232" s="149"/>
      <c r="Q232" s="149"/>
      <c r="R232" s="149"/>
      <c r="S232" s="149"/>
    </row>
    <row r="233" spans="2:19" ht="13">
      <c r="B233" s="5"/>
      <c r="E233" s="149" t="s">
        <v>124</v>
      </c>
      <c r="F233" s="152" t="s">
        <v>1028</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335</v>
      </c>
      <c r="F235" s="149"/>
      <c r="J235" s="149"/>
      <c r="K235" s="149"/>
      <c r="M235" s="149"/>
      <c r="N235" s="149"/>
      <c r="O235" s="149"/>
      <c r="P235" s="149"/>
      <c r="Q235" s="149"/>
      <c r="R235" s="149"/>
      <c r="S235" s="149"/>
    </row>
    <row r="236" spans="2:19" ht="13">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ht="13">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ht="13">
      <c r="B247" s="149"/>
      <c r="C247" s="149"/>
      <c r="D247" s="5"/>
      <c r="E247" s="149" t="s">
        <v>124</v>
      </c>
      <c r="F247" s="149" t="s">
        <v>336</v>
      </c>
      <c r="H247" s="149"/>
      <c r="I247" s="149"/>
      <c r="M247" s="149"/>
      <c r="N247" s="149"/>
      <c r="O247" s="149"/>
      <c r="P247" s="149"/>
      <c r="Q247" s="149"/>
      <c r="R247" s="149"/>
      <c r="S247" s="149"/>
    </row>
    <row r="248" spans="2:21" ht="13">
      <c r="B248" s="149"/>
      <c r="C248" s="149"/>
      <c r="D248" s="5"/>
      <c r="E248" s="5"/>
      <c r="F248" t="s">
        <v>688</v>
      </c>
      <c r="G248" s="149" t="s">
        <v>453</v>
      </c>
      <c r="I248" s="149"/>
      <c r="M248" s="149"/>
      <c r="N248" s="149"/>
      <c r="O248" s="149"/>
      <c r="P248" s="149"/>
      <c r="Q248" s="149"/>
      <c r="R248" s="149"/>
      <c r="S248" s="149"/>
    </row>
    <row r="249" spans="2:21" ht="13">
      <c r="B249" s="149"/>
      <c r="C249" s="149"/>
      <c r="D249" s="5"/>
      <c r="E249" s="5"/>
      <c r="F249" s="149"/>
      <c r="G249" s="149" t="s">
        <v>454</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400</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1334</v>
      </c>
      <c r="G253" s="149"/>
      <c r="I253" s="184"/>
      <c r="J253" s="149"/>
      <c r="K253" s="149"/>
      <c r="L253" s="149"/>
      <c r="M253" s="149"/>
      <c r="N253" s="149"/>
      <c r="O253" s="149"/>
      <c r="P253" s="149"/>
      <c r="Q253" s="149"/>
      <c r="R253" s="149"/>
      <c r="S253" s="149"/>
      <c r="T253" s="149"/>
      <c r="U253" s="149"/>
    </row>
    <row r="254" spans="2:21" ht="13">
      <c r="B254" s="5"/>
      <c r="C254" s="5"/>
      <c r="E254" s="149" t="s">
        <v>118</v>
      </c>
      <c r="F254" s="149" t="s">
        <v>1014</v>
      </c>
      <c r="I254" s="149"/>
      <c r="J254" s="149"/>
      <c r="K254" s="149"/>
      <c r="L254" s="149"/>
      <c r="M254" s="149"/>
      <c r="N254" s="149"/>
      <c r="O254" s="149"/>
      <c r="P254" s="149"/>
      <c r="Q254" s="149"/>
      <c r="R254" s="149"/>
      <c r="S254" s="149"/>
      <c r="T254" s="149"/>
      <c r="U254" s="149"/>
    </row>
    <row r="255" spans="2:21" ht="13">
      <c r="B255" s="5"/>
      <c r="C255" s="5"/>
      <c r="E255" s="149"/>
      <c r="F255" s="327" t="s">
        <v>688</v>
      </c>
      <c r="G255" s="327" t="s">
        <v>869</v>
      </c>
      <c r="I255" s="6"/>
      <c r="K255" s="155"/>
      <c r="L255" s="155"/>
      <c r="M255" s="155"/>
      <c r="N255" s="155"/>
      <c r="O255" s="155"/>
      <c r="P255" s="1"/>
      <c r="Q255" s="149"/>
      <c r="R255" s="149"/>
      <c r="S255" s="149"/>
      <c r="T255" s="149"/>
      <c r="U255" s="149"/>
    </row>
    <row r="256" spans="2:21" ht="13">
      <c r="B256" s="5"/>
      <c r="C256" s="5"/>
      <c r="E256" s="149"/>
      <c r="F256" s="325"/>
      <c r="G256" s="327" t="s">
        <v>870</v>
      </c>
      <c r="I256" s="6"/>
      <c r="K256" s="155"/>
      <c r="L256" s="155"/>
      <c r="M256" s="155"/>
      <c r="N256" s="155"/>
      <c r="O256" s="155"/>
      <c r="P256" s="155"/>
    </row>
    <row r="257" spans="2:21" ht="13">
      <c r="B257" s="5"/>
      <c r="C257" s="5"/>
      <c r="E257" s="149"/>
      <c r="F257" s="325" t="s">
        <v>357</v>
      </c>
      <c r="G257" s="327" t="s">
        <v>1020</v>
      </c>
      <c r="I257" s="149"/>
      <c r="K257" s="149"/>
      <c r="L257" s="149"/>
      <c r="M257" s="149"/>
      <c r="N257" s="149"/>
      <c r="O257" s="149"/>
      <c r="P257" s="155"/>
      <c r="Q257" s="1"/>
      <c r="R257" s="1"/>
      <c r="S257" s="1"/>
      <c r="T257" s="1"/>
      <c r="U257" s="1"/>
    </row>
    <row r="258" spans="2:21" ht="13">
      <c r="B258" s="5"/>
      <c r="C258" s="5"/>
      <c r="E258" s="149"/>
      <c r="F258" s="325"/>
      <c r="G258" s="327" t="s">
        <v>931</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212</v>
      </c>
      <c r="E260" s="5" t="s">
        <v>401</v>
      </c>
      <c r="G260" s="149"/>
      <c r="H260" s="149"/>
      <c r="I260" s="149"/>
      <c r="J260" s="149"/>
      <c r="K260" s="149"/>
      <c r="L260" s="149"/>
      <c r="M260" s="149"/>
      <c r="N260" s="149"/>
      <c r="O260" s="149"/>
      <c r="P260" s="149"/>
      <c r="Q260" s="149"/>
      <c r="R260" s="149"/>
      <c r="S260" s="149"/>
    </row>
    <row r="261" spans="2:21" ht="13">
      <c r="B261" s="5"/>
      <c r="C261" s="5"/>
      <c r="E261" s="149" t="s">
        <v>117</v>
      </c>
      <c r="F261" s="149" t="s">
        <v>258</v>
      </c>
      <c r="G261" s="149"/>
      <c r="I261" s="149"/>
      <c r="J261" s="149"/>
      <c r="K261" s="149"/>
      <c r="L261" s="149"/>
      <c r="M261" s="149"/>
      <c r="N261" s="149"/>
      <c r="O261" s="149"/>
      <c r="P261" s="149"/>
      <c r="Q261" s="149"/>
      <c r="R261" s="149"/>
      <c r="S261" s="149"/>
    </row>
    <row r="262" spans="2:21" ht="13">
      <c r="B262" s="5"/>
      <c r="C262" s="5"/>
      <c r="E262" s="149" t="s">
        <v>118</v>
      </c>
      <c r="F262" s="149" t="s">
        <v>860</v>
      </c>
      <c r="G262" s="149"/>
      <c r="I262" s="149"/>
      <c r="J262" s="149"/>
      <c r="K262" s="149"/>
      <c r="L262" s="149"/>
      <c r="M262" s="149"/>
      <c r="N262" s="149"/>
      <c r="O262" s="149"/>
      <c r="P262" s="149"/>
      <c r="Q262" s="149"/>
      <c r="R262" s="149"/>
      <c r="S262" s="149"/>
    </row>
    <row r="263" spans="2:21" ht="13">
      <c r="B263" s="5"/>
      <c r="C263" s="5"/>
      <c r="E263" s="149" t="s">
        <v>124</v>
      </c>
      <c r="F263" s="149" t="s">
        <v>259</v>
      </c>
      <c r="I263" s="149"/>
      <c r="J263" s="149"/>
      <c r="K263" s="149"/>
      <c r="L263" s="149"/>
      <c r="M263" s="149"/>
      <c r="N263" s="149"/>
      <c r="O263" s="149"/>
      <c r="P263" s="149"/>
      <c r="Q263" s="149"/>
      <c r="R263" s="149"/>
      <c r="S263" s="149"/>
    </row>
    <row r="264" spans="2:21" ht="13">
      <c r="B264" s="5"/>
      <c r="C264" s="5"/>
      <c r="E264" s="5"/>
      <c r="F264" s="149" t="s">
        <v>861</v>
      </c>
      <c r="I264" s="149"/>
      <c r="J264" s="149"/>
      <c r="K264" s="149"/>
      <c r="L264" s="149"/>
      <c r="M264" s="149"/>
      <c r="N264" s="149"/>
      <c r="O264" s="149"/>
      <c r="P264" s="149"/>
      <c r="Q264" s="149"/>
      <c r="R264" s="149"/>
      <c r="S264" s="149"/>
    </row>
    <row r="265" spans="2:21" ht="13">
      <c r="B265" s="5"/>
      <c r="C265" s="5"/>
      <c r="E265" s="149" t="s">
        <v>614</v>
      </c>
      <c r="F265" s="327" t="s">
        <v>871</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350</v>
      </c>
      <c r="E267" s="5" t="s">
        <v>76</v>
      </c>
      <c r="G267" s="149"/>
      <c r="H267" s="149"/>
      <c r="I267" s="149"/>
      <c r="J267" s="149"/>
      <c r="K267" s="149"/>
      <c r="L267" s="149"/>
      <c r="M267" s="149"/>
      <c r="N267" s="149"/>
      <c r="O267" s="149"/>
      <c r="P267" s="149"/>
      <c r="Q267" s="149"/>
      <c r="R267" s="149"/>
      <c r="S267" s="149"/>
    </row>
    <row r="268" spans="2:21" ht="13">
      <c r="B268" s="5"/>
      <c r="C268" s="5"/>
      <c r="E268" s="149" t="s">
        <v>1119</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607</v>
      </c>
      <c r="E270" s="5" t="s">
        <v>294</v>
      </c>
      <c r="G270" s="149"/>
    </row>
    <row r="271" spans="2:21" ht="13">
      <c r="B271" s="5"/>
      <c r="C271" s="5"/>
      <c r="E271" s="149" t="s">
        <v>260</v>
      </c>
      <c r="F271" s="149"/>
      <c r="G271" s="149"/>
      <c r="J271" s="149"/>
      <c r="K271" s="149"/>
      <c r="L271" s="149"/>
      <c r="M271" s="149"/>
      <c r="N271" s="149"/>
    </row>
    <row r="272" spans="2:21" ht="13">
      <c r="B272" s="5"/>
      <c r="C272" s="5"/>
      <c r="E272" s="149" t="s">
        <v>1021</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545</v>
      </c>
      <c r="E274" s="5" t="s">
        <v>645</v>
      </c>
      <c r="G274" s="149"/>
      <c r="H274" s="149"/>
      <c r="J274" s="149"/>
      <c r="K274" s="149"/>
      <c r="L274" s="149"/>
      <c r="M274" s="149"/>
      <c r="N274" s="149"/>
      <c r="O274" s="149"/>
      <c r="P274" s="149"/>
      <c r="Q274" s="149"/>
      <c r="R274" s="149"/>
      <c r="S274" s="149"/>
      <c r="T274" s="149"/>
      <c r="U274" s="149"/>
    </row>
    <row r="275" spans="2:21" ht="13">
      <c r="B275" s="5"/>
      <c r="D275" s="149"/>
      <c r="E275" s="149" t="s">
        <v>1111</v>
      </c>
      <c r="J275" s="149"/>
      <c r="K275" s="149"/>
      <c r="L275" s="149"/>
      <c r="M275" s="149"/>
      <c r="N275" s="149"/>
      <c r="O275" s="149"/>
      <c r="P275" s="149"/>
      <c r="Q275" s="149"/>
      <c r="R275" s="149"/>
      <c r="S275" s="149"/>
      <c r="T275" s="149"/>
      <c r="U275" s="149"/>
    </row>
    <row r="276" spans="2:21" ht="13">
      <c r="B276" s="5"/>
      <c r="D276" s="149"/>
      <c r="E276" s="149" t="s">
        <v>1015</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310</v>
      </c>
      <c r="E278" s="5" t="s">
        <v>295</v>
      </c>
      <c r="K278" s="149"/>
      <c r="L278" s="149"/>
      <c r="M278" s="149"/>
      <c r="N278" s="149"/>
      <c r="O278" s="149"/>
      <c r="P278" s="149"/>
      <c r="Q278" s="149"/>
      <c r="R278" s="149"/>
      <c r="S278" s="149"/>
      <c r="T278" s="149"/>
      <c r="U278" s="149"/>
    </row>
    <row r="279" spans="2:21" ht="13">
      <c r="B279" s="5"/>
      <c r="D279" s="5"/>
      <c r="E279" t="s">
        <v>261</v>
      </c>
      <c r="K279" s="149"/>
      <c r="L279" s="149"/>
      <c r="M279" s="149"/>
      <c r="N279" s="149"/>
      <c r="O279" s="149"/>
      <c r="P279" s="149"/>
      <c r="Q279" s="149"/>
      <c r="R279" s="149"/>
      <c r="S279" s="149"/>
    </row>
    <row r="280" spans="2:21" ht="13">
      <c r="B280" s="5"/>
      <c r="D280" s="149"/>
      <c r="E280" s="149" t="s">
        <v>1022</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449</v>
      </c>
      <c r="E282" s="5" t="s">
        <v>445</v>
      </c>
      <c r="G282" s="149"/>
      <c r="H282" s="149"/>
      <c r="I282" s="149"/>
      <c r="J282" s="149"/>
      <c r="K282" s="149"/>
      <c r="L282" s="149"/>
      <c r="M282" s="149"/>
      <c r="O282" s="149"/>
      <c r="P282" s="149"/>
      <c r="Q282" s="149"/>
      <c r="R282" s="149"/>
      <c r="S282" s="149"/>
    </row>
    <row r="283" spans="2:21" ht="13">
      <c r="B283" s="5"/>
      <c r="D283" s="5"/>
      <c r="E283" t="s">
        <v>262</v>
      </c>
      <c r="G283" s="149"/>
      <c r="H283" s="149"/>
      <c r="I283" s="149"/>
      <c r="J283" s="149"/>
      <c r="K283" s="149"/>
      <c r="L283" s="149"/>
      <c r="M283" s="149"/>
      <c r="P283" s="149"/>
      <c r="Q283" s="149"/>
      <c r="R283" s="149"/>
      <c r="S283" s="149"/>
    </row>
    <row r="284" spans="2:21" ht="13">
      <c r="B284" s="5"/>
      <c r="D284" s="5"/>
      <c r="E284" t="s">
        <v>263</v>
      </c>
      <c r="G284" s="149"/>
      <c r="H284" s="149"/>
      <c r="I284" s="149"/>
      <c r="J284" s="149"/>
      <c r="K284" s="149"/>
      <c r="L284" s="149"/>
      <c r="M284" s="149"/>
      <c r="P284" s="149"/>
      <c r="Q284" s="149"/>
      <c r="R284" s="149"/>
      <c r="S284" s="149"/>
    </row>
    <row r="285" spans="2:21" ht="13">
      <c r="B285" s="5"/>
      <c r="D285" s="5"/>
      <c r="E285" s="184" t="s">
        <v>1023</v>
      </c>
      <c r="F285" s="184"/>
      <c r="G285" s="149"/>
      <c r="H285" s="184"/>
      <c r="I285" s="184"/>
      <c r="J285" s="149"/>
      <c r="K285" s="149"/>
      <c r="L285" s="149"/>
      <c r="M285" s="149"/>
      <c r="P285" s="149"/>
      <c r="Q285" s="149"/>
      <c r="R285" s="149"/>
      <c r="S285" s="149"/>
    </row>
    <row r="286" spans="2:21" ht="13">
      <c r="B286" s="5"/>
      <c r="D286" s="5"/>
      <c r="E286" s="735" t="s">
        <v>930</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588</v>
      </c>
      <c r="E288" s="5" t="s">
        <v>589</v>
      </c>
      <c r="K288" s="149"/>
      <c r="L288" s="149"/>
      <c r="M288" s="149"/>
      <c r="N288" s="149"/>
    </row>
    <row r="289" spans="2:38" ht="13">
      <c r="B289" s="5"/>
      <c r="D289" s="149"/>
      <c r="E289" s="149" t="s">
        <v>117</v>
      </c>
      <c r="F289" s="149" t="s">
        <v>590</v>
      </c>
      <c r="G289" s="149"/>
      <c r="O289" s="149"/>
      <c r="P289" s="149"/>
      <c r="Q289" s="149"/>
      <c r="R289" s="149"/>
      <c r="S289" s="149"/>
      <c r="T289" s="149"/>
      <c r="U289" s="149"/>
      <c r="V289" s="149"/>
      <c r="W289" s="149"/>
    </row>
    <row r="290" spans="2:38" ht="13">
      <c r="B290" s="5"/>
      <c r="D290" s="149"/>
      <c r="E290" s="149"/>
      <c r="F290" s="184" t="s">
        <v>1335</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591</v>
      </c>
      <c r="G291" s="149"/>
      <c r="L291" s="149"/>
      <c r="M291" s="149"/>
      <c r="N291" s="149"/>
      <c r="O291" s="149"/>
      <c r="P291" s="149"/>
      <c r="Q291" s="149"/>
      <c r="R291" s="149"/>
      <c r="S291" s="149"/>
      <c r="T291" s="149"/>
      <c r="U291" s="149"/>
      <c r="V291" s="149"/>
      <c r="W291" s="149"/>
    </row>
    <row r="292" spans="2:38" ht="13">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688</v>
      </c>
      <c r="G293" s="149" t="s">
        <v>265</v>
      </c>
      <c r="K293" s="149"/>
      <c r="L293" s="149"/>
      <c r="M293" s="149"/>
      <c r="N293" s="149"/>
      <c r="O293" s="149"/>
      <c r="P293" s="149"/>
      <c r="Q293" s="149"/>
      <c r="R293" s="149"/>
      <c r="S293" s="149"/>
      <c r="T293" s="149"/>
      <c r="U293" s="149"/>
      <c r="V293" s="149"/>
      <c r="W293" s="149"/>
    </row>
    <row r="294" spans="2:38" ht="13">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ht="13">
      <c r="B295" s="5"/>
      <c r="D295" s="149"/>
      <c r="E295" s="149"/>
      <c r="F295" s="149" t="s">
        <v>358</v>
      </c>
      <c r="G295" s="149" t="s">
        <v>592</v>
      </c>
      <c r="K295" s="149"/>
      <c r="L295" s="149"/>
      <c r="M295" s="149"/>
      <c r="N295" s="149"/>
      <c r="O295" s="149"/>
      <c r="P295" s="149"/>
      <c r="Q295" s="149"/>
      <c r="R295" s="149"/>
      <c r="S295" s="149"/>
      <c r="T295" s="149"/>
      <c r="U295" s="149"/>
      <c r="V295" s="149"/>
      <c r="W295" s="149"/>
    </row>
    <row r="296" spans="2:38" ht="13">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ht="13">
      <c r="B297" s="5"/>
      <c r="D297" s="149"/>
      <c r="E297" s="149"/>
      <c r="F297" s="149" t="s">
        <v>267</v>
      </c>
      <c r="G297" s="149" t="s">
        <v>408</v>
      </c>
      <c r="K297" s="149"/>
      <c r="L297" s="149"/>
      <c r="M297" s="149"/>
      <c r="N297" s="149"/>
      <c r="O297" s="149"/>
      <c r="P297" s="149"/>
      <c r="Q297" s="149"/>
      <c r="R297" s="149"/>
      <c r="S297" s="149"/>
      <c r="T297" s="149"/>
      <c r="U297" s="149"/>
      <c r="V297" s="149"/>
      <c r="W297" s="149"/>
    </row>
    <row r="298" spans="2:38" ht="13">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
      <c r="B299" s="5"/>
      <c r="D299" s="149"/>
      <c r="E299" s="149" t="s">
        <v>614</v>
      </c>
      <c r="F299" s="149" t="s">
        <v>781</v>
      </c>
      <c r="G299" s="149"/>
      <c r="K299" s="149"/>
      <c r="L299" s="149"/>
      <c r="M299" s="149"/>
      <c r="N299" s="149"/>
      <c r="O299" s="149"/>
      <c r="P299" s="149"/>
      <c r="Q299" s="149"/>
      <c r="R299" s="149"/>
      <c r="S299" s="149"/>
      <c r="T299" s="149"/>
      <c r="U299" s="149"/>
      <c r="V299" s="149"/>
      <c r="W299" s="149"/>
    </row>
    <row r="300" spans="2:38" ht="13">
      <c r="B300" s="5"/>
      <c r="D300" s="149"/>
      <c r="E300" s="149" t="s">
        <v>819</v>
      </c>
      <c r="F300" s="149" t="s">
        <v>788</v>
      </c>
      <c r="G300" s="149"/>
      <c r="K300" s="149"/>
      <c r="L300" s="149"/>
      <c r="M300" s="149"/>
      <c r="N300" s="149"/>
      <c r="O300" s="149"/>
      <c r="P300" s="149"/>
      <c r="Q300" s="149"/>
      <c r="R300" s="149"/>
      <c r="S300" s="149"/>
      <c r="T300" s="149"/>
      <c r="U300" s="149"/>
      <c r="V300" s="149"/>
      <c r="W300" s="149"/>
    </row>
    <row r="301" spans="2:38" ht="13">
      <c r="B301" s="5"/>
      <c r="D301" s="149"/>
      <c r="E301" s="149"/>
      <c r="F301" s="248" t="s">
        <v>1038</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1039</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1040</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1024</v>
      </c>
      <c r="F306" s="149"/>
      <c r="K306" s="149"/>
      <c r="L306" s="149"/>
      <c r="M306" s="149"/>
      <c r="N306" s="149"/>
      <c r="O306" s="149"/>
      <c r="P306" s="149"/>
      <c r="Q306" s="149"/>
      <c r="R306" s="149"/>
      <c r="S306" s="149"/>
      <c r="T306" s="149"/>
      <c r="U306" s="149"/>
      <c r="V306" s="149"/>
      <c r="W306" s="149"/>
    </row>
    <row r="307" spans="2:23" ht="13">
      <c r="B307" s="5"/>
      <c r="D307" s="5"/>
      <c r="E307" s="149" t="s">
        <v>1022</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647</v>
      </c>
      <c r="I309" s="149"/>
      <c r="J309" s="149"/>
      <c r="K309" s="149"/>
      <c r="L309" s="149"/>
      <c r="M309" s="149"/>
      <c r="N309" s="149"/>
      <c r="O309" s="149"/>
      <c r="P309" s="149"/>
    </row>
    <row r="310" spans="2:23" ht="13">
      <c r="B310" s="5"/>
      <c r="D310" s="5" t="s">
        <v>212</v>
      </c>
      <c r="E310" s="5" t="s">
        <v>269</v>
      </c>
      <c r="G310" s="5"/>
      <c r="H310" s="5"/>
      <c r="I310" s="5"/>
      <c r="J310" s="5"/>
      <c r="K310" s="5"/>
      <c r="L310" s="5"/>
      <c r="M310" s="5"/>
      <c r="N310" s="5"/>
      <c r="O310" s="5"/>
      <c r="P310" s="5"/>
      <c r="Q310" s="5"/>
      <c r="R310" s="5"/>
    </row>
    <row r="311" spans="2:23" ht="13">
      <c r="B311" s="5"/>
      <c r="D311" s="5"/>
      <c r="E311" t="s">
        <v>270</v>
      </c>
      <c r="G311" s="149"/>
      <c r="I311" s="149"/>
      <c r="K311" s="149"/>
    </row>
    <row r="312" spans="2:23" ht="13">
      <c r="B312" s="5"/>
      <c r="D312" s="5"/>
      <c r="E312" s="149" t="s">
        <v>855</v>
      </c>
      <c r="F312" s="149"/>
      <c r="G312" s="149"/>
      <c r="I312" s="149"/>
      <c r="K312" s="149"/>
    </row>
    <row r="313" spans="2:23" ht="13">
      <c r="B313" s="5"/>
      <c r="D313" s="5"/>
      <c r="E313" s="149" t="s">
        <v>1025</v>
      </c>
      <c r="F313" s="149"/>
      <c r="G313" s="149"/>
      <c r="I313" s="149"/>
      <c r="K313" s="149"/>
    </row>
    <row r="314" spans="2:23" ht="13">
      <c r="B314" s="5"/>
      <c r="D314" s="5"/>
      <c r="E314" s="149" t="s">
        <v>856</v>
      </c>
      <c r="F314" s="149"/>
      <c r="G314" s="149"/>
      <c r="I314" s="149"/>
      <c r="K314" s="149"/>
    </row>
    <row r="315" spans="2:23" ht="13">
      <c r="B315" s="5"/>
      <c r="D315" s="5"/>
      <c r="G315" s="149"/>
      <c r="I315" s="149"/>
      <c r="K315" s="149"/>
    </row>
    <row r="316" spans="2:23" ht="13">
      <c r="B316" s="5"/>
      <c r="D316" s="5" t="s">
        <v>350</v>
      </c>
      <c r="E316" s="5" t="s">
        <v>790</v>
      </c>
      <c r="G316" s="149"/>
      <c r="H316" s="149"/>
      <c r="I316" s="149"/>
      <c r="J316" s="149"/>
      <c r="K316" s="149"/>
      <c r="P316" s="149"/>
      <c r="Q316" s="149"/>
      <c r="R316" s="149"/>
      <c r="S316" s="149"/>
    </row>
    <row r="317" spans="2:23" ht="13">
      <c r="B317" s="5"/>
      <c r="D317" s="5"/>
      <c r="E317" t="s">
        <v>271</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607</v>
      </c>
      <c r="E319" s="252" t="s">
        <v>774</v>
      </c>
      <c r="F319" s="22"/>
      <c r="G319" s="149"/>
      <c r="H319" s="149"/>
      <c r="I319" s="149"/>
      <c r="J319" s="149"/>
      <c r="K319" s="149"/>
      <c r="L319" s="149"/>
      <c r="M319" s="149"/>
      <c r="N319" s="149"/>
      <c r="O319" s="149"/>
      <c r="P319" s="149"/>
      <c r="Q319" s="149"/>
      <c r="R319" s="149"/>
      <c r="S319" s="149"/>
    </row>
    <row r="320" spans="2:23" ht="13">
      <c r="B320" s="5"/>
      <c r="E320" t="s">
        <v>771</v>
      </c>
      <c r="I320" s="149"/>
      <c r="J320" s="149"/>
      <c r="K320" s="149"/>
      <c r="L320" s="149"/>
      <c r="M320" s="149"/>
      <c r="N320" s="149"/>
      <c r="O320" s="149"/>
      <c r="P320" s="149"/>
      <c r="Q320" s="149"/>
      <c r="R320" s="149"/>
      <c r="S320" s="149"/>
    </row>
    <row r="321" spans="1:38" ht="13">
      <c r="B321" s="5"/>
      <c r="E321" t="s">
        <v>772</v>
      </c>
      <c r="I321" s="149"/>
      <c r="J321" s="149"/>
      <c r="K321" s="149"/>
      <c r="L321" s="149"/>
      <c r="M321" s="149"/>
      <c r="N321" s="149"/>
      <c r="O321" s="149"/>
      <c r="P321" s="149"/>
      <c r="Q321" s="149"/>
      <c r="R321" s="149"/>
      <c r="S321" s="149"/>
    </row>
    <row r="322" spans="1:38" ht="13">
      <c r="B322" s="5"/>
      <c r="E322" t="s">
        <v>773</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648</v>
      </c>
      <c r="I324" s="149"/>
      <c r="J324" s="149"/>
      <c r="K324" s="149"/>
      <c r="L324" s="149"/>
      <c r="M324" s="149"/>
      <c r="N324" s="149"/>
      <c r="O324" s="149"/>
      <c r="P324" s="149"/>
      <c r="Q324" s="149"/>
      <c r="R324" s="149"/>
      <c r="S324" s="149"/>
    </row>
    <row r="325" spans="1:38" ht="13">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ht="13">
      <c r="F328" s="184" t="s">
        <v>1336</v>
      </c>
      <c r="I328" s="184"/>
      <c r="J328" s="149"/>
      <c r="K328" s="149"/>
      <c r="L328" s="149"/>
      <c r="M328" s="149"/>
      <c r="N328" s="149"/>
      <c r="O328" s="149"/>
      <c r="P328" s="149"/>
      <c r="Q328" s="149"/>
      <c r="R328" s="149"/>
      <c r="S328" s="149"/>
    </row>
    <row r="329" spans="1:38" ht="13">
      <c r="F329" s="184" t="s">
        <v>1337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450</v>
      </c>
      <c r="G333" s="195" t="s">
        <v>23</v>
      </c>
      <c r="I333" s="183"/>
      <c r="J333" s="149"/>
      <c r="K333" s="149"/>
      <c r="L333" s="149"/>
      <c r="M333" s="149"/>
      <c r="N333" s="149"/>
      <c r="O333" s="149"/>
      <c r="P333" s="149"/>
      <c r="Q333" s="149"/>
      <c r="R333" s="149"/>
      <c r="S333" s="149"/>
    </row>
    <row r="334" spans="1:38" s="1" customFormat="1" ht="13">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778</v>
      </c>
      <c r="J335" s="149"/>
      <c r="K335" s="149"/>
      <c r="L335" s="149"/>
      <c r="M335" s="149"/>
      <c r="N335" s="149"/>
      <c r="O335" s="149"/>
      <c r="P335" s="149"/>
      <c r="Q335" s="149"/>
      <c r="R335" s="149"/>
      <c r="S335" s="149"/>
    </row>
    <row r="336" spans="1:38" ht="13">
      <c r="B336" s="5"/>
      <c r="E336" s="149"/>
      <c r="F336" s="149" t="s">
        <v>779</v>
      </c>
      <c r="J336" s="149"/>
      <c r="K336" s="149"/>
      <c r="L336" s="149"/>
      <c r="M336" s="149"/>
      <c r="N336" s="149"/>
      <c r="O336" s="149"/>
      <c r="P336" s="149"/>
      <c r="Q336" s="149"/>
      <c r="R336" s="149"/>
      <c r="S336" s="149"/>
    </row>
    <row r="337" spans="2:37" ht="13">
      <c r="B337" s="5"/>
      <c r="E337" s="149"/>
      <c r="F337" s="149" t="s">
        <v>780</v>
      </c>
      <c r="I337" s="149"/>
      <c r="J337" s="149"/>
      <c r="K337" s="149"/>
      <c r="L337" s="149"/>
      <c r="M337" s="149"/>
      <c r="N337" s="149"/>
      <c r="O337" s="149"/>
      <c r="P337" s="149"/>
      <c r="Q337" s="149"/>
      <c r="R337" s="149"/>
      <c r="S337" s="149"/>
    </row>
    <row r="338" spans="2:37" ht="13">
      <c r="B338" s="5"/>
      <c r="E338" s="149" t="s">
        <v>118</v>
      </c>
      <c r="F338" s="1815" t="s">
        <v>1340</v>
      </c>
      <c r="G338" s="1815"/>
      <c r="H338" s="1815"/>
      <c r="I338" s="1815"/>
      <c r="J338" s="1815"/>
      <c r="K338" s="1815"/>
      <c r="L338" s="1815"/>
      <c r="M338" s="1815"/>
      <c r="N338" s="1815"/>
      <c r="O338" s="1815"/>
      <c r="P338" s="1815"/>
      <c r="Q338" s="1815"/>
      <c r="R338" s="1815"/>
      <c r="S338" s="1815"/>
      <c r="T338" s="1815"/>
      <c r="U338" s="1815"/>
      <c r="V338" s="1815"/>
      <c r="W338" s="1815"/>
      <c r="X338" s="1815"/>
      <c r="Y338" s="1815"/>
      <c r="Z338" s="1815"/>
      <c r="AA338" s="1815"/>
      <c r="AB338" s="1815"/>
      <c r="AC338" s="1815"/>
      <c r="AD338" s="1815"/>
      <c r="AE338" s="1815"/>
      <c r="AF338" s="1815"/>
      <c r="AG338" s="1815"/>
      <c r="AH338" s="1815"/>
      <c r="AI338" s="1815"/>
      <c r="AJ338" s="1815"/>
      <c r="AK338" s="1815"/>
    </row>
    <row r="339" spans="2:37" ht="13">
      <c r="B339" s="5"/>
      <c r="E339" s="149"/>
      <c r="F339" s="1815"/>
      <c r="G339" s="1815"/>
      <c r="H339" s="1815"/>
      <c r="I339" s="1815"/>
      <c r="J339" s="1815"/>
      <c r="K339" s="1815"/>
      <c r="L339" s="1815"/>
      <c r="M339" s="1815"/>
      <c r="N339" s="1815"/>
      <c r="O339" s="1815"/>
      <c r="P339" s="1815"/>
      <c r="Q339" s="1815"/>
      <c r="R339" s="1815"/>
      <c r="S339" s="1815"/>
      <c r="T339" s="1815"/>
      <c r="U339" s="1815"/>
      <c r="V339" s="1815"/>
      <c r="W339" s="1815"/>
      <c r="X339" s="1815"/>
      <c r="Y339" s="1815"/>
      <c r="Z339" s="1815"/>
      <c r="AA339" s="1815"/>
      <c r="AB339" s="1815"/>
      <c r="AC339" s="1815"/>
      <c r="AD339" s="1815"/>
      <c r="AE339" s="1815"/>
      <c r="AF339" s="1815"/>
      <c r="AG339" s="1815"/>
      <c r="AH339" s="1815"/>
      <c r="AI339" s="1815"/>
      <c r="AJ339" s="1815"/>
      <c r="AK339" s="1815"/>
    </row>
    <row r="340" spans="2:37" ht="13">
      <c r="B340" s="5"/>
      <c r="E340" s="149"/>
      <c r="F340" s="1815"/>
      <c r="G340" s="1815"/>
      <c r="H340" s="1815"/>
      <c r="I340" s="1815"/>
      <c r="J340" s="1815"/>
      <c r="K340" s="1815"/>
      <c r="L340" s="1815"/>
      <c r="M340" s="1815"/>
      <c r="N340" s="1815"/>
      <c r="O340" s="1815"/>
      <c r="P340" s="1815"/>
      <c r="Q340" s="1815"/>
      <c r="R340" s="1815"/>
      <c r="S340" s="1815"/>
      <c r="T340" s="1815"/>
      <c r="U340" s="1815"/>
      <c r="V340" s="1815"/>
      <c r="W340" s="1815"/>
      <c r="X340" s="1815"/>
      <c r="Y340" s="1815"/>
      <c r="Z340" s="1815"/>
      <c r="AA340" s="1815"/>
      <c r="AB340" s="1815"/>
      <c r="AC340" s="1815"/>
      <c r="AD340" s="1815"/>
      <c r="AE340" s="1815"/>
      <c r="AF340" s="1815"/>
      <c r="AG340" s="1815"/>
      <c r="AH340" s="1815"/>
      <c r="AI340" s="1815"/>
      <c r="AJ340" s="1815"/>
      <c r="AK340" s="1815"/>
    </row>
    <row r="341" spans="2:37" ht="13">
      <c r="B341" s="5"/>
      <c r="F341" s="149"/>
      <c r="H341" s="149"/>
      <c r="I341" s="149"/>
      <c r="J341" s="149"/>
      <c r="K341" s="149"/>
      <c r="L341" s="149"/>
      <c r="M341" s="149"/>
      <c r="N341" s="149"/>
      <c r="O341" s="149"/>
      <c r="P341" s="149"/>
      <c r="Q341" s="149"/>
      <c r="R341" s="149"/>
      <c r="S341" s="149"/>
    </row>
    <row r="342" spans="2:37" s="715" customFormat="1" ht="13">
      <c r="B342" s="5"/>
      <c r="C342" s="183" t="s">
        <v>451</v>
      </c>
      <c r="G342" s="195" t="s">
        <v>1436</v>
      </c>
      <c r="I342" s="183"/>
      <c r="J342" s="149"/>
      <c r="K342" s="149"/>
      <c r="L342" s="149"/>
      <c r="M342" s="149"/>
      <c r="N342" s="149"/>
      <c r="O342" s="149"/>
      <c r="P342" s="149"/>
      <c r="Q342" s="149"/>
      <c r="R342" s="149"/>
      <c r="S342" s="149"/>
    </row>
    <row r="343" spans="2:37" s="715" customFormat="1" ht="13.5" customHeight="1">
      <c r="B343" s="5"/>
      <c r="E343" s="1817" t="s">
        <v>1443</v>
      </c>
      <c r="F343" s="1817"/>
      <c r="G343" s="1817"/>
      <c r="H343" s="1817"/>
      <c r="I343" s="1817"/>
      <c r="J343" s="1817"/>
      <c r="K343" s="1817"/>
      <c r="L343" s="1817"/>
      <c r="M343" s="1817"/>
      <c r="N343" s="1817"/>
      <c r="O343" s="1817"/>
      <c r="P343" s="1817"/>
      <c r="Q343" s="1817"/>
      <c r="R343" s="1817"/>
      <c r="S343" s="1817"/>
      <c r="T343" s="1817"/>
      <c r="U343" s="1817"/>
      <c r="V343" s="1817"/>
      <c r="W343" s="1817"/>
      <c r="X343" s="1817"/>
      <c r="Y343" s="1817"/>
      <c r="Z343" s="1817"/>
      <c r="AA343" s="1817"/>
      <c r="AB343" s="1817"/>
      <c r="AC343" s="1817"/>
      <c r="AD343" s="1817"/>
      <c r="AE343" s="1817"/>
      <c r="AF343" s="1817"/>
      <c r="AG343" s="1817"/>
      <c r="AH343" s="1817"/>
      <c r="AI343" s="1817"/>
      <c r="AJ343" s="1817"/>
      <c r="AK343" s="1817"/>
    </row>
    <row r="344" spans="2:37" s="715" customFormat="1" ht="13">
      <c r="B344" s="5"/>
      <c r="E344" s="1817"/>
      <c r="F344" s="1817"/>
      <c r="G344" s="1817"/>
      <c r="H344" s="1817"/>
      <c r="I344" s="1817"/>
      <c r="J344" s="1817"/>
      <c r="K344" s="1817"/>
      <c r="L344" s="1817"/>
      <c r="M344" s="1817"/>
      <c r="N344" s="1817"/>
      <c r="O344" s="1817"/>
      <c r="P344" s="1817"/>
      <c r="Q344" s="1817"/>
      <c r="R344" s="1817"/>
      <c r="S344" s="1817"/>
      <c r="T344" s="1817"/>
      <c r="U344" s="1817"/>
      <c r="V344" s="1817"/>
      <c r="W344" s="1817"/>
      <c r="X344" s="1817"/>
      <c r="Y344" s="1817"/>
      <c r="Z344" s="1817"/>
      <c r="AA344" s="1817"/>
      <c r="AB344" s="1817"/>
      <c r="AC344" s="1817"/>
      <c r="AD344" s="1817"/>
      <c r="AE344" s="1817"/>
      <c r="AF344" s="1817"/>
      <c r="AG344" s="1817"/>
      <c r="AH344" s="1817"/>
      <c r="AI344" s="1817"/>
      <c r="AJ344" s="1817"/>
      <c r="AK344" s="1817"/>
    </row>
    <row r="345" spans="2:37" s="715" customFormat="1" ht="13">
      <c r="B345" s="5"/>
      <c r="E345" s="1817"/>
      <c r="F345" s="1817"/>
      <c r="G345" s="1817"/>
      <c r="H345" s="1817"/>
      <c r="I345" s="1817"/>
      <c r="J345" s="1817"/>
      <c r="K345" s="1817"/>
      <c r="L345" s="1817"/>
      <c r="M345" s="1817"/>
      <c r="N345" s="1817"/>
      <c r="O345" s="1817"/>
      <c r="P345" s="1817"/>
      <c r="Q345" s="1817"/>
      <c r="R345" s="1817"/>
      <c r="S345" s="1817"/>
      <c r="T345" s="1817"/>
      <c r="U345" s="1817"/>
      <c r="V345" s="1817"/>
      <c r="W345" s="1817"/>
      <c r="X345" s="1817"/>
      <c r="Y345" s="1817"/>
      <c r="Z345" s="1817"/>
      <c r="AA345" s="1817"/>
      <c r="AB345" s="1817"/>
      <c r="AC345" s="1817"/>
      <c r="AD345" s="1817"/>
      <c r="AE345" s="1817"/>
      <c r="AF345" s="1817"/>
      <c r="AG345" s="1817"/>
      <c r="AH345" s="1817"/>
      <c r="AI345" s="1817"/>
      <c r="AJ345" s="1817"/>
      <c r="AK345" s="1817"/>
    </row>
    <row r="346" spans="2:37" s="715" customFormat="1" ht="13">
      <c r="B346" s="5"/>
      <c r="E346" s="1817"/>
      <c r="F346" s="1817"/>
      <c r="G346" s="1817"/>
      <c r="H346" s="1817"/>
      <c r="I346" s="1817"/>
      <c r="J346" s="1817"/>
      <c r="K346" s="1817"/>
      <c r="L346" s="1817"/>
      <c r="M346" s="1817"/>
      <c r="N346" s="1817"/>
      <c r="O346" s="1817"/>
      <c r="P346" s="1817"/>
      <c r="Q346" s="1817"/>
      <c r="R346" s="1817"/>
      <c r="S346" s="1817"/>
      <c r="T346" s="1817"/>
      <c r="U346" s="1817"/>
      <c r="V346" s="1817"/>
      <c r="W346" s="1817"/>
      <c r="X346" s="1817"/>
      <c r="Y346" s="1817"/>
      <c r="Z346" s="1817"/>
      <c r="AA346" s="1817"/>
      <c r="AB346" s="1817"/>
      <c r="AC346" s="1817"/>
      <c r="AD346" s="1817"/>
      <c r="AE346" s="1817"/>
      <c r="AF346" s="1817"/>
      <c r="AG346" s="1817"/>
      <c r="AH346" s="1817"/>
      <c r="AI346" s="1817"/>
      <c r="AJ346" s="1817"/>
      <c r="AK346" s="1817"/>
    </row>
    <row r="347" spans="2:37" s="715" customFormat="1" ht="13">
      <c r="B347" s="5"/>
      <c r="E347" s="1817"/>
      <c r="F347" s="1817"/>
      <c r="G347" s="1817"/>
      <c r="H347" s="1817"/>
      <c r="I347" s="1817"/>
      <c r="J347" s="1817"/>
      <c r="K347" s="1817"/>
      <c r="L347" s="1817"/>
      <c r="M347" s="1817"/>
      <c r="N347" s="1817"/>
      <c r="O347" s="1817"/>
      <c r="P347" s="1817"/>
      <c r="Q347" s="1817"/>
      <c r="R347" s="1817"/>
      <c r="S347" s="1817"/>
      <c r="T347" s="1817"/>
      <c r="U347" s="1817"/>
      <c r="V347" s="1817"/>
      <c r="W347" s="1817"/>
      <c r="X347" s="1817"/>
      <c r="Y347" s="1817"/>
      <c r="Z347" s="1817"/>
      <c r="AA347" s="1817"/>
      <c r="AB347" s="1817"/>
      <c r="AC347" s="1817"/>
      <c r="AD347" s="1817"/>
      <c r="AE347" s="1817"/>
      <c r="AF347" s="1817"/>
      <c r="AG347" s="1817"/>
      <c r="AH347" s="1817"/>
      <c r="AI347" s="1817"/>
      <c r="AJ347" s="1817"/>
      <c r="AK347" s="1817"/>
    </row>
    <row r="348" spans="2:37" s="715" customFormat="1" ht="13">
      <c r="B348" s="5"/>
      <c r="E348" s="6" t="s">
        <v>117</v>
      </c>
      <c r="F348" s="1815" t="s">
        <v>1445</v>
      </c>
      <c r="G348" s="1815"/>
      <c r="H348" s="1815"/>
      <c r="I348" s="1815"/>
      <c r="J348" s="1815"/>
      <c r="K348" s="1815"/>
      <c r="L348" s="1815"/>
      <c r="M348" s="1815"/>
      <c r="N348" s="1815"/>
      <c r="O348" s="1815"/>
      <c r="P348" s="1815"/>
      <c r="Q348" s="1815"/>
      <c r="R348" s="1815"/>
      <c r="S348" s="1815"/>
      <c r="T348" s="1815"/>
      <c r="U348" s="1815"/>
      <c r="V348" s="1815"/>
      <c r="W348" s="1815"/>
      <c r="X348" s="1815"/>
      <c r="Y348" s="1815"/>
      <c r="Z348" s="1815"/>
      <c r="AA348" s="1815"/>
      <c r="AB348" s="1815"/>
      <c r="AC348" s="1815"/>
      <c r="AD348" s="1815"/>
      <c r="AE348" s="1815"/>
      <c r="AF348" s="1815"/>
      <c r="AG348" s="1815"/>
      <c r="AH348" s="1815"/>
      <c r="AI348" s="1815"/>
      <c r="AJ348" s="1815"/>
      <c r="AK348" s="1815"/>
    </row>
    <row r="349" spans="2:37" s="715" customFormat="1" ht="13">
      <c r="B349" s="5"/>
      <c r="E349" s="6"/>
      <c r="F349" s="1815"/>
      <c r="G349" s="1815"/>
      <c r="H349" s="1815"/>
      <c r="I349" s="1815"/>
      <c r="J349" s="1815"/>
      <c r="K349" s="1815"/>
      <c r="L349" s="1815"/>
      <c r="M349" s="1815"/>
      <c r="N349" s="1815"/>
      <c r="O349" s="1815"/>
      <c r="P349" s="1815"/>
      <c r="Q349" s="1815"/>
      <c r="R349" s="1815"/>
      <c r="S349" s="1815"/>
      <c r="T349" s="1815"/>
      <c r="U349" s="1815"/>
      <c r="V349" s="1815"/>
      <c r="W349" s="1815"/>
      <c r="X349" s="1815"/>
      <c r="Y349" s="1815"/>
      <c r="Z349" s="1815"/>
      <c r="AA349" s="1815"/>
      <c r="AB349" s="1815"/>
      <c r="AC349" s="1815"/>
      <c r="AD349" s="1815"/>
      <c r="AE349" s="1815"/>
      <c r="AF349" s="1815"/>
      <c r="AG349" s="1815"/>
      <c r="AH349" s="1815"/>
      <c r="AI349" s="1815"/>
      <c r="AJ349" s="1815"/>
      <c r="AK349" s="1815"/>
    </row>
    <row r="350" spans="2:37" s="715" customFormat="1" ht="13">
      <c r="B350" s="5"/>
      <c r="E350" s="6"/>
      <c r="F350" s="1815"/>
      <c r="G350" s="1815"/>
      <c r="H350" s="1815"/>
      <c r="I350" s="1815"/>
      <c r="J350" s="1815"/>
      <c r="K350" s="1815"/>
      <c r="L350" s="1815"/>
      <c r="M350" s="1815"/>
      <c r="N350" s="1815"/>
      <c r="O350" s="1815"/>
      <c r="P350" s="1815"/>
      <c r="Q350" s="1815"/>
      <c r="R350" s="1815"/>
      <c r="S350" s="1815"/>
      <c r="T350" s="1815"/>
      <c r="U350" s="1815"/>
      <c r="V350" s="1815"/>
      <c r="W350" s="1815"/>
      <c r="X350" s="1815"/>
      <c r="Y350" s="1815"/>
      <c r="Z350" s="1815"/>
      <c r="AA350" s="1815"/>
      <c r="AB350" s="1815"/>
      <c r="AC350" s="1815"/>
      <c r="AD350" s="1815"/>
      <c r="AE350" s="1815"/>
      <c r="AF350" s="1815"/>
      <c r="AG350" s="1815"/>
      <c r="AH350" s="1815"/>
      <c r="AI350" s="1815"/>
      <c r="AJ350" s="1815"/>
      <c r="AK350" s="1815"/>
    </row>
    <row r="351" spans="2:37" s="715" customFormat="1" ht="13">
      <c r="B351" s="5"/>
      <c r="E351" s="6"/>
      <c r="F351" s="1815"/>
      <c r="G351" s="1815"/>
      <c r="H351" s="1815"/>
      <c r="I351" s="1815"/>
      <c r="J351" s="1815"/>
      <c r="K351" s="1815"/>
      <c r="L351" s="1815"/>
      <c r="M351" s="1815"/>
      <c r="N351" s="1815"/>
      <c r="O351" s="1815"/>
      <c r="P351" s="1815"/>
      <c r="Q351" s="1815"/>
      <c r="R351" s="1815"/>
      <c r="S351" s="1815"/>
      <c r="T351" s="1815"/>
      <c r="U351" s="1815"/>
      <c r="V351" s="1815"/>
      <c r="W351" s="1815"/>
      <c r="X351" s="1815"/>
      <c r="Y351" s="1815"/>
      <c r="Z351" s="1815"/>
      <c r="AA351" s="1815"/>
      <c r="AB351" s="1815"/>
      <c r="AC351" s="1815"/>
      <c r="AD351" s="1815"/>
      <c r="AE351" s="1815"/>
      <c r="AF351" s="1815"/>
      <c r="AG351" s="1815"/>
      <c r="AH351" s="1815"/>
      <c r="AI351" s="1815"/>
      <c r="AJ351" s="1815"/>
      <c r="AK351" s="1815"/>
    </row>
    <row r="352" spans="2:37" s="715" customFormat="1" ht="13">
      <c r="B352" s="5"/>
      <c r="E352" s="6" t="s">
        <v>118</v>
      </c>
      <c r="F352" s="1815" t="s">
        <v>1444</v>
      </c>
      <c r="G352" s="1815"/>
      <c r="H352" s="1815"/>
      <c r="I352" s="1815"/>
      <c r="J352" s="1815"/>
      <c r="K352" s="1815"/>
      <c r="L352" s="1815"/>
      <c r="M352" s="1815"/>
      <c r="N352" s="1815"/>
      <c r="O352" s="1815"/>
      <c r="P352" s="1815"/>
      <c r="Q352" s="1815"/>
      <c r="R352" s="1815"/>
      <c r="S352" s="1815"/>
      <c r="T352" s="1815"/>
      <c r="U352" s="1815"/>
      <c r="V352" s="1815"/>
      <c r="W352" s="1815"/>
      <c r="X352" s="1815"/>
      <c r="Y352" s="1815"/>
      <c r="Z352" s="1815"/>
      <c r="AA352" s="1815"/>
      <c r="AB352" s="1815"/>
      <c r="AC352" s="1815"/>
      <c r="AD352" s="1815"/>
      <c r="AE352" s="1815"/>
      <c r="AF352" s="1815"/>
      <c r="AG352" s="1815"/>
      <c r="AH352" s="1815"/>
      <c r="AI352" s="1815"/>
      <c r="AJ352" s="1815"/>
      <c r="AK352" s="1815"/>
    </row>
    <row r="353" spans="1:38" s="715" customFormat="1" ht="13">
      <c r="B353" s="5"/>
      <c r="F353" s="1815"/>
      <c r="G353" s="1815"/>
      <c r="H353" s="1815"/>
      <c r="I353" s="1815"/>
      <c r="J353" s="1815"/>
      <c r="K353" s="1815"/>
      <c r="L353" s="1815"/>
      <c r="M353" s="1815"/>
      <c r="N353" s="1815"/>
      <c r="O353" s="1815"/>
      <c r="P353" s="1815"/>
      <c r="Q353" s="1815"/>
      <c r="R353" s="1815"/>
      <c r="S353" s="1815"/>
      <c r="T353" s="1815"/>
      <c r="U353" s="1815"/>
      <c r="V353" s="1815"/>
      <c r="W353" s="1815"/>
      <c r="X353" s="1815"/>
      <c r="Y353" s="1815"/>
      <c r="Z353" s="1815"/>
      <c r="AA353" s="1815"/>
      <c r="AB353" s="1815"/>
      <c r="AC353" s="1815"/>
      <c r="AD353" s="1815"/>
      <c r="AE353" s="1815"/>
      <c r="AF353" s="1815"/>
      <c r="AG353" s="1815"/>
      <c r="AH353" s="1815"/>
      <c r="AI353" s="1815"/>
      <c r="AJ353" s="1815"/>
      <c r="AK353" s="1815"/>
    </row>
    <row r="354" spans="1:38" s="715" customFormat="1" ht="13">
      <c r="B354" s="5"/>
      <c r="F354" s="1815"/>
      <c r="G354" s="1815"/>
      <c r="H354" s="1815"/>
      <c r="I354" s="1815"/>
      <c r="J354" s="1815"/>
      <c r="K354" s="1815"/>
      <c r="L354" s="1815"/>
      <c r="M354" s="1815"/>
      <c r="N354" s="1815"/>
      <c r="O354" s="1815"/>
      <c r="P354" s="1815"/>
      <c r="Q354" s="1815"/>
      <c r="R354" s="1815"/>
      <c r="S354" s="1815"/>
      <c r="T354" s="1815"/>
      <c r="U354" s="1815"/>
      <c r="V354" s="1815"/>
      <c r="W354" s="1815"/>
      <c r="X354" s="1815"/>
      <c r="Y354" s="1815"/>
      <c r="Z354" s="1815"/>
      <c r="AA354" s="1815"/>
      <c r="AB354" s="1815"/>
      <c r="AC354" s="1815"/>
      <c r="AD354" s="1815"/>
      <c r="AE354" s="1815"/>
      <c r="AF354" s="1815"/>
      <c r="AG354" s="1815"/>
      <c r="AH354" s="1815"/>
      <c r="AI354" s="1815"/>
      <c r="AJ354" s="1815"/>
      <c r="AK354" s="1815"/>
    </row>
    <row r="355" spans="1:38" s="715" customFormat="1" ht="13">
      <c r="B355" s="5"/>
      <c r="F355" s="149"/>
      <c r="H355" s="149"/>
      <c r="I355" s="149"/>
      <c r="J355" s="149"/>
      <c r="K355" s="149"/>
      <c r="L355" s="149"/>
      <c r="M355" s="149"/>
      <c r="N355" s="149"/>
      <c r="O355" s="149"/>
      <c r="P355" s="149"/>
      <c r="Q355" s="149"/>
      <c r="R355" s="149"/>
      <c r="S355" s="149"/>
    </row>
    <row r="356" spans="1:38" ht="13">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5" customHeight="1">
      <c r="B358" s="5"/>
      <c r="C358" s="17" t="s">
        <v>1422</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
      <c r="B360" s="5"/>
      <c r="D360" s="5" t="s">
        <v>212</v>
      </c>
      <c r="E360" s="5" t="s">
        <v>127</v>
      </c>
      <c r="I360" s="149"/>
      <c r="J360" s="149"/>
      <c r="K360" s="149"/>
      <c r="L360" s="149"/>
      <c r="M360" s="149"/>
      <c r="N360" s="149"/>
      <c r="O360" s="149"/>
      <c r="P360" s="149"/>
      <c r="Q360" s="149"/>
      <c r="R360" s="149"/>
      <c r="S360" s="149"/>
    </row>
    <row r="361" spans="1:38" ht="13">
      <c r="B361" s="5"/>
      <c r="E361" t="s">
        <v>117</v>
      </c>
      <c r="F361" s="149" t="s">
        <v>782</v>
      </c>
      <c r="I361" s="149"/>
      <c r="J361" s="149"/>
      <c r="K361" s="149"/>
      <c r="L361" s="149"/>
      <c r="M361" s="149"/>
      <c r="N361" s="149"/>
      <c r="O361" s="149"/>
      <c r="P361" s="149"/>
      <c r="Q361" s="149"/>
      <c r="R361" s="149"/>
      <c r="S361" s="149"/>
    </row>
    <row r="362" spans="1:38" ht="13">
      <c r="B362" s="5"/>
      <c r="F362" s="149" t="s">
        <v>783</v>
      </c>
      <c r="I362" s="149"/>
      <c r="J362" s="149"/>
      <c r="K362" s="149"/>
      <c r="L362" s="149"/>
      <c r="M362" s="149"/>
      <c r="N362" s="149"/>
      <c r="O362" s="149"/>
      <c r="P362" s="149"/>
      <c r="Q362" s="149"/>
      <c r="R362" s="149"/>
      <c r="S362" s="149"/>
    </row>
    <row r="363" spans="1:38" ht="13">
      <c r="B363" s="5"/>
      <c r="F363" s="149" t="s">
        <v>933</v>
      </c>
      <c r="G363" s="149"/>
      <c r="K363" s="149"/>
      <c r="L363" s="149"/>
      <c r="M363" s="149"/>
      <c r="N363" s="149"/>
      <c r="O363" s="149"/>
      <c r="P363" s="149"/>
      <c r="Q363" s="149"/>
      <c r="R363" s="149"/>
      <c r="S363" s="149"/>
    </row>
    <row r="364" spans="1:38" ht="13">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784</v>
      </c>
      <c r="I365" s="149"/>
      <c r="J365" s="149"/>
      <c r="K365" s="149"/>
      <c r="L365" s="149"/>
      <c r="M365" s="149"/>
      <c r="N365" s="149"/>
      <c r="O365" s="149"/>
      <c r="P365" s="149"/>
      <c r="Q365" s="149"/>
      <c r="R365" s="149"/>
      <c r="S365" s="149"/>
    </row>
    <row r="366" spans="1:38" ht="13">
      <c r="B366" s="5"/>
      <c r="F366" s="149" t="s">
        <v>785</v>
      </c>
      <c r="J366" s="149"/>
      <c r="K366" s="149"/>
      <c r="L366" s="149"/>
      <c r="M366" s="149"/>
      <c r="N366" s="149"/>
      <c r="O366" s="149"/>
      <c r="P366" s="149"/>
      <c r="Q366" s="149"/>
      <c r="R366" s="149"/>
      <c r="S366" s="149"/>
    </row>
    <row r="367" spans="1:38" s="715" customFormat="1" ht="13">
      <c r="B367" s="5"/>
      <c r="E367" s="1818" t="s">
        <v>1434</v>
      </c>
      <c r="F367" s="1818"/>
      <c r="G367" s="1818"/>
      <c r="H367" s="1818"/>
      <c r="I367" s="1818"/>
      <c r="J367" s="1818"/>
      <c r="K367" s="1818"/>
      <c r="L367" s="1818"/>
      <c r="M367" s="1818"/>
      <c r="N367" s="1818"/>
      <c r="O367" s="1818"/>
      <c r="P367" s="1818"/>
      <c r="Q367" s="1818"/>
      <c r="R367" s="1818"/>
      <c r="S367" s="1818"/>
      <c r="T367" s="1818"/>
      <c r="U367" s="1818"/>
      <c r="V367" s="1818"/>
      <c r="W367" s="1818"/>
      <c r="X367" s="1818"/>
      <c r="Y367" s="1818"/>
      <c r="Z367" s="1818"/>
      <c r="AA367" s="1818"/>
      <c r="AB367" s="1818"/>
      <c r="AC367" s="1818"/>
      <c r="AD367" s="1818"/>
      <c r="AE367" s="1818"/>
      <c r="AF367" s="1818"/>
      <c r="AG367" s="1818"/>
      <c r="AH367" s="1818"/>
      <c r="AI367" s="1818"/>
      <c r="AJ367" s="1818"/>
      <c r="AK367" s="1818"/>
      <c r="AL367" s="1818"/>
    </row>
    <row r="368" spans="1:38" s="715" customFormat="1" ht="13">
      <c r="B368" s="5"/>
      <c r="E368" s="1818"/>
      <c r="F368" s="1818"/>
      <c r="G368" s="1818"/>
      <c r="H368" s="1818"/>
      <c r="I368" s="1818"/>
      <c r="J368" s="1818"/>
      <c r="K368" s="1818"/>
      <c r="L368" s="1818"/>
      <c r="M368" s="1818"/>
      <c r="N368" s="1818"/>
      <c r="O368" s="1818"/>
      <c r="P368" s="1818"/>
      <c r="Q368" s="1818"/>
      <c r="R368" s="1818"/>
      <c r="S368" s="1818"/>
      <c r="T368" s="1818"/>
      <c r="U368" s="1818"/>
      <c r="V368" s="1818"/>
      <c r="W368" s="1818"/>
      <c r="X368" s="1818"/>
      <c r="Y368" s="1818"/>
      <c r="Z368" s="1818"/>
      <c r="AA368" s="1818"/>
      <c r="AB368" s="1818"/>
      <c r="AC368" s="1818"/>
      <c r="AD368" s="1818"/>
      <c r="AE368" s="1818"/>
      <c r="AF368" s="1818"/>
      <c r="AG368" s="1818"/>
      <c r="AH368" s="1818"/>
      <c r="AI368" s="1818"/>
      <c r="AJ368" s="1818"/>
      <c r="AK368" s="1818"/>
      <c r="AL368" s="1818"/>
    </row>
    <row r="369" spans="1:38" s="1820" customFormat="1" ht="13">
      <c r="A369"/>
      <c r="B369" s="5"/>
      <c r="C369"/>
      <c r="D369"/>
      <c r="E369" s="1819" t="s">
        <v>1483</v>
      </c>
    </row>
    <row r="370" spans="1:38" s="1820" customFormat="1" ht="13">
      <c r="A370" s="675"/>
      <c r="B370" s="183"/>
      <c r="C370" s="183"/>
      <c r="D370" s="675"/>
    </row>
    <row r="371" spans="1:38" s="715" customFormat="1" ht="13">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607</v>
      </c>
      <c r="E376" s="183" t="s">
        <v>287</v>
      </c>
      <c r="J376" s="182"/>
      <c r="K376" s="182"/>
      <c r="L376" s="182"/>
      <c r="M376" s="182"/>
      <c r="N376" s="182"/>
      <c r="O376" s="182"/>
      <c r="P376" s="182"/>
      <c r="Q376" s="182"/>
      <c r="R376" s="182"/>
      <c r="S376" s="182"/>
    </row>
    <row r="377" spans="1:38" s="2" customFormat="1" ht="13">
      <c r="B377" s="183"/>
      <c r="E377" s="182" t="s">
        <v>117</v>
      </c>
      <c r="F377" s="182" t="s">
        <v>256</v>
      </c>
      <c r="G377" s="182"/>
      <c r="I377" s="182"/>
      <c r="J377" s="182"/>
      <c r="K377" s="182"/>
      <c r="L377" s="182"/>
      <c r="M377" s="182"/>
      <c r="N377" s="182"/>
      <c r="O377" s="182"/>
      <c r="P377" s="182"/>
      <c r="Q377" s="182"/>
      <c r="R377" s="182"/>
      <c r="S377" s="182"/>
    </row>
    <row r="378" spans="1:38" s="2" customFormat="1" ht="13">
      <c r="B378" s="183"/>
      <c r="E378" s="182"/>
      <c r="F378" s="248" t="s">
        <v>1338</v>
      </c>
      <c r="G378" s="182"/>
      <c r="I378" s="248"/>
      <c r="J378" s="182"/>
      <c r="K378" s="182"/>
      <c r="L378" s="182"/>
      <c r="M378" s="182"/>
      <c r="N378" s="182"/>
      <c r="O378" s="182"/>
      <c r="P378" s="182"/>
      <c r="Q378" s="182"/>
      <c r="R378" s="182"/>
      <c r="S378" s="182"/>
    </row>
    <row r="379" spans="1:38" ht="13">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
      <c r="A381" s="715"/>
      <c r="B381" s="5"/>
      <c r="C381" s="715"/>
      <c r="D381" s="5" t="s">
        <v>545</v>
      </c>
      <c r="E381" s="5" t="s">
        <v>1484</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
      <c r="A382" s="715"/>
      <c r="B382" s="5"/>
      <c r="C382" s="715"/>
      <c r="D382" s="5"/>
      <c r="E382" s="6" t="s">
        <v>786</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
      <c r="A383" s="715"/>
      <c r="B383" s="5"/>
      <c r="C383" s="715"/>
      <c r="D383" s="5"/>
      <c r="E383" s="6" t="s">
        <v>1341</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
      <c r="A385" s="715"/>
      <c r="B385" s="5"/>
      <c r="C385" s="715"/>
      <c r="D385" s="5" t="s">
        <v>310</v>
      </c>
      <c r="E385" s="5" t="s">
        <v>289</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
      <c r="A386" s="675"/>
      <c r="B386" s="183"/>
      <c r="C386" s="675"/>
      <c r="D386" s="675"/>
      <c r="E386" s="676" t="s">
        <v>117</v>
      </c>
      <c r="F386" s="676" t="s">
        <v>1485</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
      <c r="A387" s="675"/>
      <c r="B387" s="183"/>
      <c r="C387" s="675"/>
      <c r="D387" s="675"/>
      <c r="E387" s="676"/>
      <c r="F387" s="248" t="s">
        <v>1338</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
      <c r="A388" s="675"/>
      <c r="B388" s="183"/>
      <c r="C388" s="675"/>
      <c r="D388" s="675"/>
      <c r="E388" s="676" t="s">
        <v>118</v>
      </c>
      <c r="F388" s="1816" t="s">
        <v>1494</v>
      </c>
      <c r="G388" s="1816"/>
      <c r="H388" s="1816"/>
      <c r="I388" s="1816"/>
      <c r="J388" s="1816"/>
      <c r="K388" s="1816"/>
      <c r="L388" s="1816"/>
      <c r="M388" s="1816"/>
      <c r="N388" s="1816"/>
      <c r="O388" s="1816"/>
      <c r="P388" s="1816"/>
      <c r="Q388" s="1816"/>
      <c r="R388" s="1816"/>
      <c r="S388" s="1816"/>
      <c r="T388" s="1816"/>
      <c r="U388" s="1816"/>
      <c r="V388" s="1816"/>
      <c r="W388" s="1816"/>
      <c r="X388" s="1816"/>
      <c r="Y388" s="1816"/>
      <c r="Z388" s="1816"/>
      <c r="AA388" s="1816"/>
      <c r="AB388" s="1816"/>
      <c r="AC388" s="1816"/>
      <c r="AD388" s="1816"/>
      <c r="AE388" s="1816"/>
      <c r="AF388" s="1816"/>
      <c r="AG388" s="1816"/>
      <c r="AH388" s="1816"/>
      <c r="AI388" s="1816"/>
      <c r="AJ388" s="1816"/>
      <c r="AK388" s="1816"/>
      <c r="AL388" s="675"/>
    </row>
    <row r="389" spans="1:38" s="715" customFormat="1" ht="13">
      <c r="A389" s="675"/>
      <c r="B389" s="183"/>
      <c r="C389" s="675"/>
      <c r="D389" s="675"/>
      <c r="E389" s="676"/>
      <c r="F389" s="1816"/>
      <c r="G389" s="1816"/>
      <c r="H389" s="1816"/>
      <c r="I389" s="1816"/>
      <c r="J389" s="1816"/>
      <c r="K389" s="1816"/>
      <c r="L389" s="1816"/>
      <c r="M389" s="1816"/>
      <c r="N389" s="1816"/>
      <c r="O389" s="1816"/>
      <c r="P389" s="1816"/>
      <c r="Q389" s="1816"/>
      <c r="R389" s="1816"/>
      <c r="S389" s="1816"/>
      <c r="T389" s="1816"/>
      <c r="U389" s="1816"/>
      <c r="V389" s="1816"/>
      <c r="W389" s="1816"/>
      <c r="X389" s="1816"/>
      <c r="Y389" s="1816"/>
      <c r="Z389" s="1816"/>
      <c r="AA389" s="1816"/>
      <c r="AB389" s="1816"/>
      <c r="AC389" s="1816"/>
      <c r="AD389" s="1816"/>
      <c r="AE389" s="1816"/>
      <c r="AF389" s="1816"/>
      <c r="AG389" s="1816"/>
      <c r="AH389" s="1816"/>
      <c r="AI389" s="1816"/>
      <c r="AJ389" s="1816"/>
      <c r="AK389" s="1816"/>
      <c r="AL389" s="675"/>
    </row>
    <row r="390" spans="1:38" s="715" customFormat="1" ht="13">
      <c r="A390" s="675"/>
      <c r="B390" s="183"/>
      <c r="C390" s="675"/>
      <c r="D390" s="675"/>
      <c r="E390" s="676"/>
      <c r="F390" s="1816"/>
      <c r="G390" s="1816"/>
      <c r="H390" s="1816"/>
      <c r="I390" s="1816"/>
      <c r="J390" s="1816"/>
      <c r="K390" s="1816"/>
      <c r="L390" s="1816"/>
      <c r="M390" s="1816"/>
      <c r="N390" s="1816"/>
      <c r="O390" s="1816"/>
      <c r="P390" s="1816"/>
      <c r="Q390" s="1816"/>
      <c r="R390" s="1816"/>
      <c r="S390" s="1816"/>
      <c r="T390" s="1816"/>
      <c r="U390" s="1816"/>
      <c r="V390" s="1816"/>
      <c r="W390" s="1816"/>
      <c r="X390" s="1816"/>
      <c r="Y390" s="1816"/>
      <c r="Z390" s="1816"/>
      <c r="AA390" s="1816"/>
      <c r="AB390" s="1816"/>
      <c r="AC390" s="1816"/>
      <c r="AD390" s="1816"/>
      <c r="AE390" s="1816"/>
      <c r="AF390" s="1816"/>
      <c r="AG390" s="1816"/>
      <c r="AH390" s="1816"/>
      <c r="AI390" s="1816"/>
      <c r="AJ390" s="1816"/>
      <c r="AK390" s="1816"/>
      <c r="AL390" s="675"/>
    </row>
    <row r="391" spans="1:38" s="715" customFormat="1" ht="13">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
      <c r="A392" s="675"/>
      <c r="B392" s="183"/>
      <c r="C392" s="183"/>
      <c r="D392" s="5" t="s">
        <v>449</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5"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
      <c r="B394" s="5"/>
      <c r="E394" t="s">
        <v>1341</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IbANLsk92fCpsRNUqNTa9ldkAM1gbrLlBq8rSAq5akmebXribGaSGh5g1/ftkIWGDpFkmwcbycJJ2DqVKH+OAg==" saltValue="XevP4Nz/5AVN8UquoW2aU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796875" defaultRowHeight="14"/>
  <cols>
    <col min="1" max="1" width="3.453125" style="1331" customWidth="1"/>
    <col min="2" max="2" width="1.453125" style="1331" customWidth="1"/>
    <col min="3" max="3" width="2.453125" style="1331" customWidth="1"/>
    <col min="4" max="4" width="40.453125" style="1331" customWidth="1"/>
    <col min="5" max="5" width="13.453125" style="1331" customWidth="1"/>
    <col min="6" max="6" width="2.453125" style="1335" customWidth="1"/>
    <col min="7" max="7" width="10.453125" style="1331" customWidth="1"/>
    <col min="8" max="8" width="2.453125" style="1335" customWidth="1"/>
    <col min="9" max="9" width="10.453125" style="1331" customWidth="1"/>
    <col min="10" max="10" width="1.453125" style="1331" customWidth="1"/>
    <col min="11" max="11" width="47.453125" style="1332" customWidth="1"/>
    <col min="12" max="16384" width="9.1796875" style="1331"/>
  </cols>
  <sheetData>
    <row r="1" spans="1:11" ht="30" customHeight="1">
      <c r="A1" s="3285" t="s">
        <v>1871</v>
      </c>
      <c r="B1" s="3285"/>
      <c r="C1" s="3285"/>
      <c r="D1" s="3285"/>
      <c r="E1" s="3285"/>
      <c r="F1" s="3285"/>
      <c r="G1" s="3285"/>
      <c r="H1" s="3285"/>
      <c r="I1" s="3285"/>
    </row>
    <row r="2" spans="1:11">
      <c r="A2" s="1333"/>
      <c r="B2" s="1333"/>
      <c r="E2" s="1334"/>
      <c r="I2" s="1336"/>
      <c r="K2" s="1337"/>
    </row>
    <row r="3" spans="1:11">
      <c r="A3" s="1338" t="s">
        <v>1578</v>
      </c>
      <c r="B3" s="1338"/>
      <c r="C3" s="1331" t="s">
        <v>2099</v>
      </c>
      <c r="E3" s="1725">
        <f>ROUND(Application!AM564+'Basis &amp; Credits'!AB77,0)</f>
        <v>40465765</v>
      </c>
      <c r="F3" s="1339"/>
      <c r="K3" s="1410"/>
    </row>
    <row r="4" spans="1:11" s="1340" customFormat="1" ht="15" customHeight="1">
      <c r="C4" s="1340" t="s">
        <v>1872</v>
      </c>
      <c r="E4" s="1416">
        <f>Application!AD1037</f>
        <v>0.3</v>
      </c>
      <c r="F4" s="1341"/>
      <c r="H4" s="1342"/>
      <c r="K4" s="1537"/>
    </row>
    <row r="5" spans="1:11" s="1343" customFormat="1" ht="15" customHeight="1">
      <c r="A5" s="3286"/>
      <c r="B5" s="3286"/>
      <c r="D5" s="1343" t="s">
        <v>2100</v>
      </c>
      <c r="E5" s="1344">
        <f>IF('Points System'!C274="Yes",0.2,0)</f>
        <v>0</v>
      </c>
      <c r="F5" s="1341"/>
      <c r="H5" s="1342"/>
      <c r="K5" s="1538"/>
    </row>
    <row r="6" spans="1:11" s="1343" customFormat="1" ht="15" customHeight="1">
      <c r="A6" s="1446"/>
      <c r="B6" s="1446"/>
      <c r="D6" s="1343" t="s">
        <v>2101</v>
      </c>
      <c r="E6" s="1344" t="str">
        <f>IF(AND((Application!W464&gt;=(0.5*Application!G753)),Application!D210="Special Needs",(OR(Application!M354="Yes",Application!M355="Yes"))),0.2," ")</f>
        <v xml:space="preserve"> </v>
      </c>
      <c r="F6" s="1341"/>
      <c r="H6" s="1342"/>
      <c r="K6" s="1538"/>
    </row>
    <row r="7" spans="1:11">
      <c r="A7" s="1333"/>
      <c r="B7" s="1333"/>
      <c r="C7" s="1331" t="s">
        <v>2103</v>
      </c>
      <c r="E7" s="1414">
        <f>E3-(E3*(E4+(MAX(E5,E6))))</f>
        <v>28326035.5</v>
      </c>
      <c r="F7" s="1339"/>
      <c r="I7" s="1345"/>
      <c r="K7" s="1539"/>
    </row>
    <row r="8" spans="1:11">
      <c r="A8" s="1333"/>
      <c r="B8" s="1333"/>
      <c r="E8" s="1345"/>
      <c r="F8" s="1346"/>
      <c r="G8" s="1347"/>
      <c r="H8" s="1348"/>
      <c r="I8" s="1345"/>
    </row>
    <row r="9" spans="1:11" s="1351" customFormat="1" ht="15" customHeight="1">
      <c r="A9" s="1349"/>
      <c r="B9" s="1349"/>
      <c r="C9" s="1350"/>
      <c r="E9" s="1352" t="s">
        <v>1873</v>
      </c>
      <c r="F9" s="1353"/>
      <c r="G9" s="1354" t="s">
        <v>1874</v>
      </c>
      <c r="H9" s="1348"/>
      <c r="I9" s="1354" t="s">
        <v>1875</v>
      </c>
      <c r="K9" s="1355"/>
    </row>
    <row r="10" spans="1:11">
      <c r="A10" s="1338" t="s">
        <v>1580</v>
      </c>
      <c r="B10" s="1338"/>
      <c r="C10" s="1331" t="s">
        <v>1876</v>
      </c>
      <c r="E10" s="1356" t="s">
        <v>1877</v>
      </c>
      <c r="F10" s="1348"/>
      <c r="G10" s="1356" t="s">
        <v>1878</v>
      </c>
      <c r="H10" s="1348"/>
      <c r="I10" s="1356" t="s">
        <v>1877</v>
      </c>
    </row>
    <row r="11" spans="1:11">
      <c r="A11" s="1333"/>
      <c r="B11" s="1333"/>
      <c r="C11" s="1357" t="s">
        <v>1879</v>
      </c>
      <c r="D11" s="1357"/>
      <c r="E11" s="1411">
        <f>Application!BN635+Application!BN644+Application!CS658</f>
        <v>80</v>
      </c>
      <c r="G11" s="1358">
        <v>0.9</v>
      </c>
      <c r="H11" s="1359"/>
      <c r="I11" s="1360">
        <f>E11*G11</f>
        <v>72</v>
      </c>
      <c r="J11" s="1351"/>
      <c r="K11" s="1355"/>
    </row>
    <row r="12" spans="1:11">
      <c r="A12" s="1333"/>
      <c r="B12" s="1333"/>
      <c r="C12" s="1351" t="s">
        <v>1880</v>
      </c>
      <c r="D12" s="1351"/>
      <c r="E12" s="1411">
        <f>Application!BS635+Application!BS644+Application!CX658</f>
        <v>0</v>
      </c>
      <c r="G12" s="1358">
        <v>1</v>
      </c>
      <c r="H12" s="1359"/>
      <c r="I12" s="1360">
        <f>E12*G12</f>
        <v>0</v>
      </c>
      <c r="J12" s="1351"/>
    </row>
    <row r="13" spans="1:11">
      <c r="A13" s="1333"/>
      <c r="B13" s="1333"/>
      <c r="C13" s="1351" t="s">
        <v>1881</v>
      </c>
      <c r="D13" s="1351"/>
      <c r="E13" s="1411">
        <f>Application!BX635+Application!BX644+Application!DC658</f>
        <v>32</v>
      </c>
      <c r="G13" s="1358">
        <v>1.25</v>
      </c>
      <c r="H13" s="1359"/>
      <c r="I13" s="1360">
        <f>E13*G13</f>
        <v>40</v>
      </c>
      <c r="J13" s="1351"/>
    </row>
    <row r="14" spans="1:11">
      <c r="A14" s="1333"/>
      <c r="B14" s="1333"/>
      <c r="C14" s="1351" t="s">
        <v>1882</v>
      </c>
      <c r="D14" s="1351"/>
      <c r="E14" s="1411">
        <f>Application!CC635+Application!CC644+Application!DH658</f>
        <v>0</v>
      </c>
      <c r="G14" s="1358">
        <f>1.5+0.25*0</f>
        <v>1.5</v>
      </c>
      <c r="H14" s="1359"/>
      <c r="I14" s="1360">
        <f>IF(E14/E16&lt;=30%,E14*G14,TRUNC(0.3*E16)*G14+(E14-TRUNC(0.3*E16))*G13)</f>
        <v>0</v>
      </c>
      <c r="J14" s="1351"/>
    </row>
    <row r="15" spans="1:11">
      <c r="A15" s="1333"/>
      <c r="B15" s="1333"/>
      <c r="C15" s="1351" t="s">
        <v>1883</v>
      </c>
      <c r="D15" s="1351"/>
      <c r="E15" s="1412">
        <f>Application!CH635+Application!CM635+Application!CH644+Application!CM644+Application!DM658+Application!DR658</f>
        <v>0</v>
      </c>
      <c r="G15" s="1358">
        <f>1.75+0.25*0</f>
        <v>1.75</v>
      </c>
      <c r="H15" s="1359"/>
      <c r="I15" s="1361">
        <f>IF(E15/E16&lt;=10%,E15*G15,TRUNC(0.1*E16)*G15+(E15-TRUNC(0.1*E16))*G13)</f>
        <v>0</v>
      </c>
      <c r="J15" s="1351"/>
    </row>
    <row r="16" spans="1:11">
      <c r="A16" s="1333"/>
      <c r="B16" s="1333"/>
      <c r="E16" s="1334">
        <f>SUM(E11:E15)</f>
        <v>112</v>
      </c>
      <c r="G16" s="1334"/>
      <c r="I16" s="1415">
        <f>SUM(I11:I15)</f>
        <v>112</v>
      </c>
    </row>
    <row r="17" spans="1:9">
      <c r="A17" s="1333"/>
      <c r="B17" s="1333"/>
      <c r="E17" s="1334"/>
      <c r="I17" s="1362"/>
    </row>
    <row r="18" spans="1:9">
      <c r="A18" s="1338" t="s">
        <v>1583</v>
      </c>
      <c r="B18" s="1338"/>
      <c r="C18" s="1363" t="s">
        <v>1884</v>
      </c>
      <c r="D18" s="1335"/>
      <c r="E18" s="1364">
        <f>E7/I16</f>
        <v>252911.03125</v>
      </c>
      <c r="F18" s="1365"/>
      <c r="G18" s="1366"/>
      <c r="H18" s="1367"/>
      <c r="I18" s="1362"/>
    </row>
    <row r="21" spans="1:9" ht="14.25" customHeight="1">
      <c r="A21" s="3287" t="s">
        <v>2478</v>
      </c>
      <c r="B21" s="3287"/>
      <c r="C21" s="3287"/>
      <c r="D21" s="3287"/>
      <c r="E21" s="3287"/>
      <c r="F21" s="3287"/>
      <c r="G21" s="3287"/>
      <c r="H21" s="3287"/>
      <c r="I21" s="3287"/>
    </row>
    <row r="22" spans="1:9">
      <c r="A22" s="3287"/>
      <c r="B22" s="3287"/>
      <c r="C22" s="3287"/>
      <c r="D22" s="3287"/>
      <c r="E22" s="3287"/>
      <c r="F22" s="3287"/>
      <c r="G22" s="3287"/>
      <c r="H22" s="3287"/>
      <c r="I22" s="3287"/>
    </row>
    <row r="23" spans="1:9">
      <c r="A23" s="3287"/>
      <c r="B23" s="3287"/>
      <c r="C23" s="3287"/>
      <c r="D23" s="3287"/>
      <c r="E23" s="3287"/>
      <c r="F23" s="3287"/>
      <c r="G23" s="3287"/>
      <c r="H23" s="3287"/>
      <c r="I23" s="3287"/>
    </row>
    <row r="25" spans="1:9" ht="20.25" customHeight="1">
      <c r="A25" s="1331" t="s">
        <v>2102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73" zoomScale="120" zoomScaleNormal="120" zoomScaleSheetLayoutView="100" workbookViewId="0">
      <selection activeCell="N3" sqref="N3"/>
    </sheetView>
  </sheetViews>
  <sheetFormatPr defaultColWidth="0" defaultRowHeight="0" customHeight="1" zeroHeight="1"/>
  <cols>
    <col min="1" max="1" width="1.453125" style="788" customWidth="1"/>
    <col min="2" max="2" width="0.81640625" style="788" customWidth="1"/>
    <col min="3" max="18" width="2.453125" style="788" customWidth="1"/>
    <col min="19" max="19" width="4" style="788" customWidth="1"/>
    <col min="20" max="39" width="2.453125" style="788" customWidth="1"/>
    <col min="40" max="40" width="1.453125" style="788" customWidth="1"/>
    <col min="41" max="76" width="2.453125" style="788" hidden="1"/>
    <col min="77" max="256" width="2.453125" style="615" hidden="1"/>
    <col min="257" max="257" width="1.453125" style="615" hidden="1" customWidth="1"/>
    <col min="258" max="258" width="0.81640625" style="615" hidden="1" customWidth="1"/>
    <col min="259" max="274" width="2.453125" style="615" hidden="1" customWidth="1"/>
    <col min="275" max="275" width="4" style="615" hidden="1" customWidth="1"/>
    <col min="276" max="295" width="2.453125" style="615" hidden="1" customWidth="1"/>
    <col min="296" max="296" width="1.453125" style="615" hidden="1" customWidth="1"/>
    <col min="297" max="512" width="2.453125" style="615" hidden="1"/>
    <col min="513" max="513" width="1.453125" style="615" hidden="1" customWidth="1"/>
    <col min="514" max="514" width="0.81640625" style="615" hidden="1" customWidth="1"/>
    <col min="515" max="530" width="2.453125" style="615" hidden="1" customWidth="1"/>
    <col min="531" max="531" width="4" style="615" hidden="1" customWidth="1"/>
    <col min="532" max="551" width="2.453125" style="615" hidden="1" customWidth="1"/>
    <col min="552" max="552" width="1.453125" style="615" hidden="1" customWidth="1"/>
    <col min="553" max="768" width="2.453125" style="615" hidden="1"/>
    <col min="769" max="769" width="1.453125" style="615" hidden="1" customWidth="1"/>
    <col min="770" max="770" width="0.81640625" style="615" hidden="1" customWidth="1"/>
    <col min="771" max="786" width="2.453125" style="615" hidden="1" customWidth="1"/>
    <col min="787" max="787" width="4" style="615" hidden="1" customWidth="1"/>
    <col min="788" max="807" width="2.453125" style="615" hidden="1" customWidth="1"/>
    <col min="808" max="808" width="1.453125" style="615" hidden="1" customWidth="1"/>
    <col min="809" max="1024" width="2.453125" style="615" hidden="1"/>
    <col min="1025" max="1025" width="1.453125" style="615" hidden="1" customWidth="1"/>
    <col min="1026" max="1026" width="0.81640625" style="615" hidden="1" customWidth="1"/>
    <col min="1027" max="1042" width="2.453125" style="615" hidden="1" customWidth="1"/>
    <col min="1043" max="1043" width="4" style="615" hidden="1" customWidth="1"/>
    <col min="1044" max="1063" width="2.453125" style="615" hidden="1" customWidth="1"/>
    <col min="1064" max="1064" width="1.453125" style="615" hidden="1" customWidth="1"/>
    <col min="1065" max="1280" width="2.453125" style="615" hidden="1"/>
    <col min="1281" max="1281" width="1.453125" style="615" hidden="1" customWidth="1"/>
    <col min="1282" max="1282" width="0.81640625" style="615" hidden="1" customWidth="1"/>
    <col min="1283" max="1298" width="2.453125" style="615" hidden="1" customWidth="1"/>
    <col min="1299" max="1299" width="4" style="615" hidden="1" customWidth="1"/>
    <col min="1300" max="1319" width="2.453125" style="615" hidden="1" customWidth="1"/>
    <col min="1320" max="1320" width="1.453125" style="615" hidden="1" customWidth="1"/>
    <col min="1321" max="1536" width="2.453125" style="615" hidden="1"/>
    <col min="1537" max="1537" width="1.453125" style="615" hidden="1" customWidth="1"/>
    <col min="1538" max="1538" width="0.81640625" style="615" hidden="1" customWidth="1"/>
    <col min="1539" max="1554" width="2.453125" style="615" hidden="1" customWidth="1"/>
    <col min="1555" max="1555" width="4" style="615" hidden="1" customWidth="1"/>
    <col min="1556" max="1575" width="2.453125" style="615" hidden="1" customWidth="1"/>
    <col min="1576" max="1576" width="1.453125" style="615" hidden="1" customWidth="1"/>
    <col min="1577" max="1792" width="2.453125" style="615" hidden="1"/>
    <col min="1793" max="1793" width="1.453125" style="615" hidden="1" customWidth="1"/>
    <col min="1794" max="1794" width="0.81640625" style="615" hidden="1" customWidth="1"/>
    <col min="1795" max="1810" width="2.453125" style="615" hidden="1" customWidth="1"/>
    <col min="1811" max="1811" width="4" style="615" hidden="1" customWidth="1"/>
    <col min="1812" max="1831" width="2.453125" style="615" hidden="1" customWidth="1"/>
    <col min="1832" max="1832" width="1.453125" style="615" hidden="1" customWidth="1"/>
    <col min="1833" max="2048" width="2.453125" style="615" hidden="1"/>
    <col min="2049" max="2049" width="1.453125" style="615" hidden="1" customWidth="1"/>
    <col min="2050" max="2050" width="0.81640625" style="615" hidden="1" customWidth="1"/>
    <col min="2051" max="2066" width="2.453125" style="615" hidden="1" customWidth="1"/>
    <col min="2067" max="2067" width="4" style="615" hidden="1" customWidth="1"/>
    <col min="2068" max="2087" width="2.453125" style="615" hidden="1" customWidth="1"/>
    <col min="2088" max="2088" width="1.453125" style="615" hidden="1" customWidth="1"/>
    <col min="2089" max="2304" width="2.453125" style="615" hidden="1"/>
    <col min="2305" max="2305" width="1.453125" style="615" hidden="1" customWidth="1"/>
    <col min="2306" max="2306" width="0.81640625" style="615" hidden="1" customWidth="1"/>
    <col min="2307" max="2322" width="2.453125" style="615" hidden="1" customWidth="1"/>
    <col min="2323" max="2323" width="4" style="615" hidden="1" customWidth="1"/>
    <col min="2324" max="2343" width="2.453125" style="615" hidden="1" customWidth="1"/>
    <col min="2344" max="2344" width="1.453125" style="615" hidden="1" customWidth="1"/>
    <col min="2345" max="2560" width="2.453125" style="615" hidden="1"/>
    <col min="2561" max="2561" width="1.453125" style="615" hidden="1" customWidth="1"/>
    <col min="2562" max="2562" width="0.81640625" style="615" hidden="1" customWidth="1"/>
    <col min="2563" max="2578" width="2.453125" style="615" hidden="1" customWidth="1"/>
    <col min="2579" max="2579" width="4" style="615" hidden="1" customWidth="1"/>
    <col min="2580" max="2599" width="2.453125" style="615" hidden="1" customWidth="1"/>
    <col min="2600" max="2600" width="1.453125" style="615" hidden="1" customWidth="1"/>
    <col min="2601" max="2816" width="2.453125" style="615" hidden="1"/>
    <col min="2817" max="2817" width="1.453125" style="615" hidden="1" customWidth="1"/>
    <col min="2818" max="2818" width="0.81640625" style="615" hidden="1" customWidth="1"/>
    <col min="2819" max="2834" width="2.453125" style="615" hidden="1" customWidth="1"/>
    <col min="2835" max="2835" width="4" style="615" hidden="1" customWidth="1"/>
    <col min="2836" max="2855" width="2.453125" style="615" hidden="1" customWidth="1"/>
    <col min="2856" max="2856" width="1.453125" style="615" hidden="1" customWidth="1"/>
    <col min="2857" max="3072" width="2.453125" style="615" hidden="1"/>
    <col min="3073" max="3073" width="1.453125" style="615" hidden="1" customWidth="1"/>
    <col min="3074" max="3074" width="0.81640625" style="615" hidden="1" customWidth="1"/>
    <col min="3075" max="3090" width="2.453125" style="615" hidden="1" customWidth="1"/>
    <col min="3091" max="3091" width="4" style="615" hidden="1" customWidth="1"/>
    <col min="3092" max="3111" width="2.453125" style="615" hidden="1" customWidth="1"/>
    <col min="3112" max="3112" width="1.453125" style="615" hidden="1" customWidth="1"/>
    <col min="3113" max="3328" width="2.453125" style="615" hidden="1"/>
    <col min="3329" max="3329" width="1.453125" style="615" hidden="1" customWidth="1"/>
    <col min="3330" max="3330" width="0.81640625" style="615" hidden="1" customWidth="1"/>
    <col min="3331" max="3346" width="2.453125" style="615" hidden="1" customWidth="1"/>
    <col min="3347" max="3347" width="4" style="615" hidden="1" customWidth="1"/>
    <col min="3348" max="3367" width="2.453125" style="615" hidden="1" customWidth="1"/>
    <col min="3368" max="3368" width="1.453125" style="615" hidden="1" customWidth="1"/>
    <col min="3369" max="3584" width="2.453125" style="615" hidden="1"/>
    <col min="3585" max="3585" width="1.453125" style="615" hidden="1" customWidth="1"/>
    <col min="3586" max="3586" width="0.81640625" style="615" hidden="1" customWidth="1"/>
    <col min="3587" max="3602" width="2.453125" style="615" hidden="1" customWidth="1"/>
    <col min="3603" max="3603" width="4" style="615" hidden="1" customWidth="1"/>
    <col min="3604" max="3623" width="2.453125" style="615" hidden="1" customWidth="1"/>
    <col min="3624" max="3624" width="1.453125" style="615" hidden="1" customWidth="1"/>
    <col min="3625" max="3840" width="2.453125" style="615" hidden="1"/>
    <col min="3841" max="3841" width="1.453125" style="615" hidden="1" customWidth="1"/>
    <col min="3842" max="3842" width="0.81640625" style="615" hidden="1" customWidth="1"/>
    <col min="3843" max="3858" width="2.453125" style="615" hidden="1" customWidth="1"/>
    <col min="3859" max="3859" width="4" style="615" hidden="1" customWidth="1"/>
    <col min="3860" max="3879" width="2.453125" style="615" hidden="1" customWidth="1"/>
    <col min="3880" max="3880" width="1.453125" style="615" hidden="1" customWidth="1"/>
    <col min="3881" max="4096" width="2.453125" style="615" hidden="1"/>
    <col min="4097" max="4097" width="1.453125" style="615" hidden="1" customWidth="1"/>
    <col min="4098" max="4098" width="0.81640625" style="615" hidden="1" customWidth="1"/>
    <col min="4099" max="4114" width="2.453125" style="615" hidden="1" customWidth="1"/>
    <col min="4115" max="4115" width="4" style="615" hidden="1" customWidth="1"/>
    <col min="4116" max="4135" width="2.453125" style="615" hidden="1" customWidth="1"/>
    <col min="4136" max="4136" width="1.453125" style="615" hidden="1" customWidth="1"/>
    <col min="4137" max="4352" width="2.453125" style="615" hidden="1"/>
    <col min="4353" max="4353" width="1.453125" style="615" hidden="1" customWidth="1"/>
    <col min="4354" max="4354" width="0.81640625" style="615" hidden="1" customWidth="1"/>
    <col min="4355" max="4370" width="2.453125" style="615" hidden="1" customWidth="1"/>
    <col min="4371" max="4371" width="4" style="615" hidden="1" customWidth="1"/>
    <col min="4372" max="4391" width="2.453125" style="615" hidden="1" customWidth="1"/>
    <col min="4392" max="4392" width="1.453125" style="615" hidden="1" customWidth="1"/>
    <col min="4393" max="4608" width="2.453125" style="615" hidden="1"/>
    <col min="4609" max="4609" width="1.453125" style="615" hidden="1" customWidth="1"/>
    <col min="4610" max="4610" width="0.81640625" style="615" hidden="1" customWidth="1"/>
    <col min="4611" max="4626" width="2.453125" style="615" hidden="1" customWidth="1"/>
    <col min="4627" max="4627" width="4" style="615" hidden="1" customWidth="1"/>
    <col min="4628" max="4647" width="2.453125" style="615" hidden="1" customWidth="1"/>
    <col min="4648" max="4648" width="1.453125" style="615" hidden="1" customWidth="1"/>
    <col min="4649" max="4864" width="2.453125" style="615" hidden="1"/>
    <col min="4865" max="4865" width="1.453125" style="615" hidden="1" customWidth="1"/>
    <col min="4866" max="4866" width="0.81640625" style="615" hidden="1" customWidth="1"/>
    <col min="4867" max="4882" width="2.453125" style="615" hidden="1" customWidth="1"/>
    <col min="4883" max="4883" width="4" style="615" hidden="1" customWidth="1"/>
    <col min="4884" max="4903" width="2.453125" style="615" hidden="1" customWidth="1"/>
    <col min="4904" max="4904" width="1.453125" style="615" hidden="1" customWidth="1"/>
    <col min="4905" max="5120" width="2.453125" style="615" hidden="1"/>
    <col min="5121" max="5121" width="1.453125" style="615" hidden="1" customWidth="1"/>
    <col min="5122" max="5122" width="0.81640625" style="615" hidden="1" customWidth="1"/>
    <col min="5123" max="5138" width="2.453125" style="615" hidden="1" customWidth="1"/>
    <col min="5139" max="5139" width="4" style="615" hidden="1" customWidth="1"/>
    <col min="5140" max="5159" width="2.453125" style="615" hidden="1" customWidth="1"/>
    <col min="5160" max="5160" width="1.453125" style="615" hidden="1" customWidth="1"/>
    <col min="5161" max="5376" width="2.453125" style="615" hidden="1"/>
    <col min="5377" max="5377" width="1.453125" style="615" hidden="1" customWidth="1"/>
    <col min="5378" max="5378" width="0.81640625" style="615" hidden="1" customWidth="1"/>
    <col min="5379" max="5394" width="2.453125" style="615" hidden="1" customWidth="1"/>
    <col min="5395" max="5395" width="4" style="615" hidden="1" customWidth="1"/>
    <col min="5396" max="5415" width="2.453125" style="615" hidden="1" customWidth="1"/>
    <col min="5416" max="5416" width="1.453125" style="615" hidden="1" customWidth="1"/>
    <col min="5417" max="5632" width="2.453125" style="615" hidden="1"/>
    <col min="5633" max="5633" width="1.453125" style="615" hidden="1" customWidth="1"/>
    <col min="5634" max="5634" width="0.81640625" style="615" hidden="1" customWidth="1"/>
    <col min="5635" max="5650" width="2.453125" style="615" hidden="1" customWidth="1"/>
    <col min="5651" max="5651" width="4" style="615" hidden="1" customWidth="1"/>
    <col min="5652" max="5671" width="2.453125" style="615" hidden="1" customWidth="1"/>
    <col min="5672" max="5672" width="1.453125" style="615" hidden="1" customWidth="1"/>
    <col min="5673" max="5888" width="2.453125" style="615" hidden="1"/>
    <col min="5889" max="5889" width="1.453125" style="615" hidden="1" customWidth="1"/>
    <col min="5890" max="5890" width="0.81640625" style="615" hidden="1" customWidth="1"/>
    <col min="5891" max="5906" width="2.453125" style="615" hidden="1" customWidth="1"/>
    <col min="5907" max="5907" width="4" style="615" hidden="1" customWidth="1"/>
    <col min="5908" max="5927" width="2.453125" style="615" hidden="1" customWidth="1"/>
    <col min="5928" max="5928" width="1.453125" style="615" hidden="1" customWidth="1"/>
    <col min="5929" max="6144" width="2.453125" style="615" hidden="1"/>
    <col min="6145" max="6145" width="1.453125" style="615" hidden="1" customWidth="1"/>
    <col min="6146" max="6146" width="0.81640625" style="615" hidden="1" customWidth="1"/>
    <col min="6147" max="6162" width="2.453125" style="615" hidden="1" customWidth="1"/>
    <col min="6163" max="6163" width="4" style="615" hidden="1" customWidth="1"/>
    <col min="6164" max="6183" width="2.453125" style="615" hidden="1" customWidth="1"/>
    <col min="6184" max="6184" width="1.453125" style="615" hidden="1" customWidth="1"/>
    <col min="6185" max="6400" width="2.453125" style="615" hidden="1"/>
    <col min="6401" max="6401" width="1.453125" style="615" hidden="1" customWidth="1"/>
    <col min="6402" max="6402" width="0.81640625" style="615" hidden="1" customWidth="1"/>
    <col min="6403" max="6418" width="2.453125" style="615" hidden="1" customWidth="1"/>
    <col min="6419" max="6419" width="4" style="615" hidden="1" customWidth="1"/>
    <col min="6420" max="6439" width="2.453125" style="615" hidden="1" customWidth="1"/>
    <col min="6440" max="6440" width="1.453125" style="615" hidden="1" customWidth="1"/>
    <col min="6441" max="6656" width="2.453125" style="615" hidden="1"/>
    <col min="6657" max="6657" width="1.453125" style="615" hidden="1" customWidth="1"/>
    <col min="6658" max="6658" width="0.81640625" style="615" hidden="1" customWidth="1"/>
    <col min="6659" max="6674" width="2.453125" style="615" hidden="1" customWidth="1"/>
    <col min="6675" max="6675" width="4" style="615" hidden="1" customWidth="1"/>
    <col min="6676" max="6695" width="2.453125" style="615" hidden="1" customWidth="1"/>
    <col min="6696" max="6696" width="1.453125" style="615" hidden="1" customWidth="1"/>
    <col min="6697" max="6912" width="2.453125" style="615" hidden="1"/>
    <col min="6913" max="6913" width="1.453125" style="615" hidden="1" customWidth="1"/>
    <col min="6914" max="6914" width="0.81640625" style="615" hidden="1" customWidth="1"/>
    <col min="6915" max="6930" width="2.453125" style="615" hidden="1" customWidth="1"/>
    <col min="6931" max="6931" width="4" style="615" hidden="1" customWidth="1"/>
    <col min="6932" max="6951" width="2.453125" style="615" hidden="1" customWidth="1"/>
    <col min="6952" max="6952" width="1.453125" style="615" hidden="1" customWidth="1"/>
    <col min="6953" max="7168" width="2.453125" style="615" hidden="1"/>
    <col min="7169" max="7169" width="1.453125" style="615" hidden="1" customWidth="1"/>
    <col min="7170" max="7170" width="0.81640625" style="615" hidden="1" customWidth="1"/>
    <col min="7171" max="7186" width="2.453125" style="615" hidden="1" customWidth="1"/>
    <col min="7187" max="7187" width="4" style="615" hidden="1" customWidth="1"/>
    <col min="7188" max="7207" width="2.453125" style="615" hidden="1" customWidth="1"/>
    <col min="7208" max="7208" width="1.453125" style="615" hidden="1" customWidth="1"/>
    <col min="7209" max="7424" width="2.453125" style="615" hidden="1"/>
    <col min="7425" max="7425" width="1.453125" style="615" hidden="1" customWidth="1"/>
    <col min="7426" max="7426" width="0.81640625" style="615" hidden="1" customWidth="1"/>
    <col min="7427" max="7442" width="2.453125" style="615" hidden="1" customWidth="1"/>
    <col min="7443" max="7443" width="4" style="615" hidden="1" customWidth="1"/>
    <col min="7444" max="7463" width="2.453125" style="615" hidden="1" customWidth="1"/>
    <col min="7464" max="7464" width="1.453125" style="615" hidden="1" customWidth="1"/>
    <col min="7465" max="7680" width="2.453125" style="615" hidden="1"/>
    <col min="7681" max="7681" width="1.453125" style="615" hidden="1" customWidth="1"/>
    <col min="7682" max="7682" width="0.81640625" style="615" hidden="1" customWidth="1"/>
    <col min="7683" max="7698" width="2.453125" style="615" hidden="1" customWidth="1"/>
    <col min="7699" max="7699" width="4" style="615" hidden="1" customWidth="1"/>
    <col min="7700" max="7719" width="2.453125" style="615" hidden="1" customWidth="1"/>
    <col min="7720" max="7720" width="1.453125" style="615" hidden="1" customWidth="1"/>
    <col min="7721" max="7936" width="2.453125" style="615" hidden="1"/>
    <col min="7937" max="7937" width="1.453125" style="615" hidden="1" customWidth="1"/>
    <col min="7938" max="7938" width="0.81640625" style="615" hidden="1" customWidth="1"/>
    <col min="7939" max="7954" width="2.453125" style="615" hidden="1" customWidth="1"/>
    <col min="7955" max="7955" width="4" style="615" hidden="1" customWidth="1"/>
    <col min="7956" max="7975" width="2.453125" style="615" hidden="1" customWidth="1"/>
    <col min="7976" max="7976" width="1.453125" style="615" hidden="1" customWidth="1"/>
    <col min="7977" max="8192" width="2.453125" style="615" hidden="1"/>
    <col min="8193" max="8193" width="1.453125" style="615" hidden="1" customWidth="1"/>
    <col min="8194" max="8194" width="0.81640625" style="615" hidden="1" customWidth="1"/>
    <col min="8195" max="8210" width="2.453125" style="615" hidden="1" customWidth="1"/>
    <col min="8211" max="8211" width="4" style="615" hidden="1" customWidth="1"/>
    <col min="8212" max="8231" width="2.453125" style="615" hidden="1" customWidth="1"/>
    <col min="8232" max="8232" width="1.453125" style="615" hidden="1" customWidth="1"/>
    <col min="8233" max="8448" width="2.453125" style="615" hidden="1"/>
    <col min="8449" max="8449" width="1.453125" style="615" hidden="1" customWidth="1"/>
    <col min="8450" max="8450" width="0.81640625" style="615" hidden="1" customWidth="1"/>
    <col min="8451" max="8466" width="2.453125" style="615" hidden="1" customWidth="1"/>
    <col min="8467" max="8467" width="4" style="615" hidden="1" customWidth="1"/>
    <col min="8468" max="8487" width="2.453125" style="615" hidden="1" customWidth="1"/>
    <col min="8488" max="8488" width="1.453125" style="615" hidden="1" customWidth="1"/>
    <col min="8489" max="8704" width="2.453125" style="615" hidden="1"/>
    <col min="8705" max="8705" width="1.453125" style="615" hidden="1" customWidth="1"/>
    <col min="8706" max="8706" width="0.81640625" style="615" hidden="1" customWidth="1"/>
    <col min="8707" max="8722" width="2.453125" style="615" hidden="1" customWidth="1"/>
    <col min="8723" max="8723" width="4" style="615" hidden="1" customWidth="1"/>
    <col min="8724" max="8743" width="2.453125" style="615" hidden="1" customWidth="1"/>
    <col min="8744" max="8744" width="1.453125" style="615" hidden="1" customWidth="1"/>
    <col min="8745" max="8960" width="2.453125" style="615" hidden="1"/>
    <col min="8961" max="8961" width="1.453125" style="615" hidden="1" customWidth="1"/>
    <col min="8962" max="8962" width="0.81640625" style="615" hidden="1" customWidth="1"/>
    <col min="8963" max="8978" width="2.453125" style="615" hidden="1" customWidth="1"/>
    <col min="8979" max="8979" width="4" style="615" hidden="1" customWidth="1"/>
    <col min="8980" max="8999" width="2.453125" style="615" hidden="1" customWidth="1"/>
    <col min="9000" max="9000" width="1.453125" style="615" hidden="1" customWidth="1"/>
    <col min="9001" max="9216" width="2.453125" style="615" hidden="1"/>
    <col min="9217" max="9217" width="1.453125" style="615" hidden="1" customWidth="1"/>
    <col min="9218" max="9218" width="0.81640625" style="615" hidden="1" customWidth="1"/>
    <col min="9219" max="9234" width="2.453125" style="615" hidden="1" customWidth="1"/>
    <col min="9235" max="9235" width="4" style="615" hidden="1" customWidth="1"/>
    <col min="9236" max="9255" width="2.453125" style="615" hidden="1" customWidth="1"/>
    <col min="9256" max="9256" width="1.453125" style="615" hidden="1" customWidth="1"/>
    <col min="9257" max="9472" width="2.453125" style="615" hidden="1"/>
    <col min="9473" max="9473" width="1.453125" style="615" hidden="1" customWidth="1"/>
    <col min="9474" max="9474" width="0.81640625" style="615" hidden="1" customWidth="1"/>
    <col min="9475" max="9490" width="2.453125" style="615" hidden="1" customWidth="1"/>
    <col min="9491" max="9491" width="4" style="615" hidden="1" customWidth="1"/>
    <col min="9492" max="9511" width="2.453125" style="615" hidden="1" customWidth="1"/>
    <col min="9512" max="9512" width="1.453125" style="615" hidden="1" customWidth="1"/>
    <col min="9513" max="9728" width="2.453125" style="615" hidden="1"/>
    <col min="9729" max="9729" width="1.453125" style="615" hidden="1" customWidth="1"/>
    <col min="9730" max="9730" width="0.81640625" style="615" hidden="1" customWidth="1"/>
    <col min="9731" max="9746" width="2.453125" style="615" hidden="1" customWidth="1"/>
    <col min="9747" max="9747" width="4" style="615" hidden="1" customWidth="1"/>
    <col min="9748" max="9767" width="2.453125" style="615" hidden="1" customWidth="1"/>
    <col min="9768" max="9768" width="1.453125" style="615" hidden="1" customWidth="1"/>
    <col min="9769" max="9984" width="2.453125" style="615" hidden="1"/>
    <col min="9985" max="9985" width="1.453125" style="615" hidden="1" customWidth="1"/>
    <col min="9986" max="9986" width="0.81640625" style="615" hidden="1" customWidth="1"/>
    <col min="9987" max="10002" width="2.453125" style="615" hidden="1" customWidth="1"/>
    <col min="10003" max="10003" width="4" style="615" hidden="1" customWidth="1"/>
    <col min="10004" max="10023" width="2.453125" style="615" hidden="1" customWidth="1"/>
    <col min="10024" max="10024" width="1.453125" style="615" hidden="1" customWidth="1"/>
    <col min="10025" max="10240" width="2.453125" style="615" hidden="1"/>
    <col min="10241" max="10241" width="1.453125" style="615" hidden="1" customWidth="1"/>
    <col min="10242" max="10242" width="0.81640625" style="615" hidden="1" customWidth="1"/>
    <col min="10243" max="10258" width="2.453125" style="615" hidden="1" customWidth="1"/>
    <col min="10259" max="10259" width="4" style="615" hidden="1" customWidth="1"/>
    <col min="10260" max="10279" width="2.453125" style="615" hidden="1" customWidth="1"/>
    <col min="10280" max="10280" width="1.453125" style="615" hidden="1" customWidth="1"/>
    <col min="10281" max="10496" width="2.453125" style="615" hidden="1"/>
    <col min="10497" max="10497" width="1.453125" style="615" hidden="1" customWidth="1"/>
    <col min="10498" max="10498" width="0.81640625" style="615" hidden="1" customWidth="1"/>
    <col min="10499" max="10514" width="2.453125" style="615" hidden="1" customWidth="1"/>
    <col min="10515" max="10515" width="4" style="615" hidden="1" customWidth="1"/>
    <col min="10516" max="10535" width="2.453125" style="615" hidden="1" customWidth="1"/>
    <col min="10536" max="10536" width="1.453125" style="615" hidden="1" customWidth="1"/>
    <col min="10537" max="10752" width="2.453125" style="615" hidden="1"/>
    <col min="10753" max="10753" width="1.453125" style="615" hidden="1" customWidth="1"/>
    <col min="10754" max="10754" width="0.81640625" style="615" hidden="1" customWidth="1"/>
    <col min="10755" max="10770" width="2.453125" style="615" hidden="1" customWidth="1"/>
    <col min="10771" max="10771" width="4" style="615" hidden="1" customWidth="1"/>
    <col min="10772" max="10791" width="2.453125" style="615" hidden="1" customWidth="1"/>
    <col min="10792" max="10792" width="1.453125" style="615" hidden="1" customWidth="1"/>
    <col min="10793" max="11008" width="2.453125" style="615" hidden="1"/>
    <col min="11009" max="11009" width="1.453125" style="615" hidden="1" customWidth="1"/>
    <col min="11010" max="11010" width="0.81640625" style="615" hidden="1" customWidth="1"/>
    <col min="11011" max="11026" width="2.453125" style="615" hidden="1" customWidth="1"/>
    <col min="11027" max="11027" width="4" style="615" hidden="1" customWidth="1"/>
    <col min="11028" max="11047" width="2.453125" style="615" hidden="1" customWidth="1"/>
    <col min="11048" max="11048" width="1.453125" style="615" hidden="1" customWidth="1"/>
    <col min="11049" max="11264" width="2.453125" style="615" hidden="1"/>
    <col min="11265" max="11265" width="1.453125" style="615" hidden="1" customWidth="1"/>
    <col min="11266" max="11266" width="0.81640625" style="615" hidden="1" customWidth="1"/>
    <col min="11267" max="11282" width="2.453125" style="615" hidden="1" customWidth="1"/>
    <col min="11283" max="11283" width="4" style="615" hidden="1" customWidth="1"/>
    <col min="11284" max="11303" width="2.453125" style="615" hidden="1" customWidth="1"/>
    <col min="11304" max="11304" width="1.453125" style="615" hidden="1" customWidth="1"/>
    <col min="11305" max="11520" width="2.453125" style="615" hidden="1"/>
    <col min="11521" max="11521" width="1.453125" style="615" hidden="1" customWidth="1"/>
    <col min="11522" max="11522" width="0.81640625" style="615" hidden="1" customWidth="1"/>
    <col min="11523" max="11538" width="2.453125" style="615" hidden="1" customWidth="1"/>
    <col min="11539" max="11539" width="4" style="615" hidden="1" customWidth="1"/>
    <col min="11540" max="11559" width="2.453125" style="615" hidden="1" customWidth="1"/>
    <col min="11560" max="11560" width="1.453125" style="615" hidden="1" customWidth="1"/>
    <col min="11561" max="11776" width="2.453125" style="615" hidden="1"/>
    <col min="11777" max="11777" width="1.453125" style="615" hidden="1" customWidth="1"/>
    <col min="11778" max="11778" width="0.81640625" style="615" hidden="1" customWidth="1"/>
    <col min="11779" max="11794" width="2.453125" style="615" hidden="1" customWidth="1"/>
    <col min="11795" max="11795" width="4" style="615" hidden="1" customWidth="1"/>
    <col min="11796" max="11815" width="2.453125" style="615" hidden="1" customWidth="1"/>
    <col min="11816" max="11816" width="1.453125" style="615" hidden="1" customWidth="1"/>
    <col min="11817" max="12032" width="2.453125" style="615" hidden="1"/>
    <col min="12033" max="12033" width="1.453125" style="615" hidden="1" customWidth="1"/>
    <col min="12034" max="12034" width="0.81640625" style="615" hidden="1" customWidth="1"/>
    <col min="12035" max="12050" width="2.453125" style="615" hidden="1" customWidth="1"/>
    <col min="12051" max="12051" width="4" style="615" hidden="1" customWidth="1"/>
    <col min="12052" max="12071" width="2.453125" style="615" hidden="1" customWidth="1"/>
    <col min="12072" max="12072" width="1.453125" style="615" hidden="1" customWidth="1"/>
    <col min="12073" max="12288" width="2.453125" style="615" hidden="1"/>
    <col min="12289" max="12289" width="1.453125" style="615" hidden="1" customWidth="1"/>
    <col min="12290" max="12290" width="0.81640625" style="615" hidden="1" customWidth="1"/>
    <col min="12291" max="12306" width="2.453125" style="615" hidden="1" customWidth="1"/>
    <col min="12307" max="12307" width="4" style="615" hidden="1" customWidth="1"/>
    <col min="12308" max="12327" width="2.453125" style="615" hidden="1" customWidth="1"/>
    <col min="12328" max="12328" width="1.453125" style="615" hidden="1" customWidth="1"/>
    <col min="12329" max="12544" width="2.453125" style="615" hidden="1"/>
    <col min="12545" max="12545" width="1.453125" style="615" hidden="1" customWidth="1"/>
    <col min="12546" max="12546" width="0.81640625" style="615" hidden="1" customWidth="1"/>
    <col min="12547" max="12562" width="2.453125" style="615" hidden="1" customWidth="1"/>
    <col min="12563" max="12563" width="4" style="615" hidden="1" customWidth="1"/>
    <col min="12564" max="12583" width="2.453125" style="615" hidden="1" customWidth="1"/>
    <col min="12584" max="12584" width="1.453125" style="615" hidden="1" customWidth="1"/>
    <col min="12585" max="12800" width="2.453125" style="615" hidden="1"/>
    <col min="12801" max="12801" width="1.453125" style="615" hidden="1" customWidth="1"/>
    <col min="12802" max="12802" width="0.81640625" style="615" hidden="1" customWidth="1"/>
    <col min="12803" max="12818" width="2.453125" style="615" hidden="1" customWidth="1"/>
    <col min="12819" max="12819" width="4" style="615" hidden="1" customWidth="1"/>
    <col min="12820" max="12839" width="2.453125" style="615" hidden="1" customWidth="1"/>
    <col min="12840" max="12840" width="1.453125" style="615" hidden="1" customWidth="1"/>
    <col min="12841" max="13056" width="2.453125" style="615" hidden="1"/>
    <col min="13057" max="13057" width="1.453125" style="615" hidden="1" customWidth="1"/>
    <col min="13058" max="13058" width="0.81640625" style="615" hidden="1" customWidth="1"/>
    <col min="13059" max="13074" width="2.453125" style="615" hidden="1" customWidth="1"/>
    <col min="13075" max="13075" width="4" style="615" hidden="1" customWidth="1"/>
    <col min="13076" max="13095" width="2.453125" style="615" hidden="1" customWidth="1"/>
    <col min="13096" max="13096" width="1.453125" style="615" hidden="1" customWidth="1"/>
    <col min="13097" max="13312" width="2.453125" style="615" hidden="1"/>
    <col min="13313" max="13313" width="1.453125" style="615" hidden="1" customWidth="1"/>
    <col min="13314" max="13314" width="0.81640625" style="615" hidden="1" customWidth="1"/>
    <col min="13315" max="13330" width="2.453125" style="615" hidden="1" customWidth="1"/>
    <col min="13331" max="13331" width="4" style="615" hidden="1" customWidth="1"/>
    <col min="13332" max="13351" width="2.453125" style="615" hidden="1" customWidth="1"/>
    <col min="13352" max="13352" width="1.453125" style="615" hidden="1" customWidth="1"/>
    <col min="13353" max="13568" width="2.453125" style="615" hidden="1"/>
    <col min="13569" max="13569" width="1.453125" style="615" hidden="1" customWidth="1"/>
    <col min="13570" max="13570" width="0.81640625" style="615" hidden="1" customWidth="1"/>
    <col min="13571" max="13586" width="2.453125" style="615" hidden="1" customWidth="1"/>
    <col min="13587" max="13587" width="4" style="615" hidden="1" customWidth="1"/>
    <col min="13588" max="13607" width="2.453125" style="615" hidden="1" customWidth="1"/>
    <col min="13608" max="13608" width="1.453125" style="615" hidden="1" customWidth="1"/>
    <col min="13609" max="13824" width="2.453125" style="615" hidden="1"/>
    <col min="13825" max="13825" width="1.453125" style="615" hidden="1" customWidth="1"/>
    <col min="13826" max="13826" width="0.81640625" style="615" hidden="1" customWidth="1"/>
    <col min="13827" max="13842" width="2.453125" style="615" hidden="1" customWidth="1"/>
    <col min="13843" max="13843" width="4" style="615" hidden="1" customWidth="1"/>
    <col min="13844" max="13863" width="2.453125" style="615" hidden="1" customWidth="1"/>
    <col min="13864" max="13864" width="1.453125" style="615" hidden="1" customWidth="1"/>
    <col min="13865" max="14080" width="2.453125" style="615" hidden="1"/>
    <col min="14081" max="14081" width="1.453125" style="615" hidden="1" customWidth="1"/>
    <col min="14082" max="14082" width="0.81640625" style="615" hidden="1" customWidth="1"/>
    <col min="14083" max="14098" width="2.453125" style="615" hidden="1" customWidth="1"/>
    <col min="14099" max="14099" width="4" style="615" hidden="1" customWidth="1"/>
    <col min="14100" max="14119" width="2.453125" style="615" hidden="1" customWidth="1"/>
    <col min="14120" max="14120" width="1.453125" style="615" hidden="1" customWidth="1"/>
    <col min="14121" max="14336" width="2.453125" style="615" hidden="1"/>
    <col min="14337" max="14337" width="1.453125" style="615" hidden="1" customWidth="1"/>
    <col min="14338" max="14338" width="0.81640625" style="615" hidden="1" customWidth="1"/>
    <col min="14339" max="14354" width="2.453125" style="615" hidden="1" customWidth="1"/>
    <col min="14355" max="14355" width="4" style="615" hidden="1" customWidth="1"/>
    <col min="14356" max="14375" width="2.453125" style="615" hidden="1" customWidth="1"/>
    <col min="14376" max="14376" width="1.453125" style="615" hidden="1" customWidth="1"/>
    <col min="14377" max="14592" width="2.453125" style="615" hidden="1"/>
    <col min="14593" max="14593" width="1.453125" style="615" hidden="1" customWidth="1"/>
    <col min="14594" max="14594" width="0.81640625" style="615" hidden="1" customWidth="1"/>
    <col min="14595" max="14610" width="2.453125" style="615" hidden="1" customWidth="1"/>
    <col min="14611" max="14611" width="4" style="615" hidden="1" customWidth="1"/>
    <col min="14612" max="14631" width="2.453125" style="615" hidden="1" customWidth="1"/>
    <col min="14632" max="14632" width="1.453125" style="615" hidden="1" customWidth="1"/>
    <col min="14633" max="14848" width="2.453125" style="615" hidden="1"/>
    <col min="14849" max="14849" width="1.453125" style="615" hidden="1" customWidth="1"/>
    <col min="14850" max="14850" width="0.81640625" style="615" hidden="1" customWidth="1"/>
    <col min="14851" max="14866" width="2.453125" style="615" hidden="1" customWidth="1"/>
    <col min="14867" max="14867" width="4" style="615" hidden="1" customWidth="1"/>
    <col min="14868" max="14887" width="2.453125" style="615" hidden="1" customWidth="1"/>
    <col min="14888" max="14888" width="1.453125" style="615" hidden="1" customWidth="1"/>
    <col min="14889" max="15104" width="2.453125" style="615" hidden="1"/>
    <col min="15105" max="15105" width="1.453125" style="615" hidden="1" customWidth="1"/>
    <col min="15106" max="15106" width="0.81640625" style="615" hidden="1" customWidth="1"/>
    <col min="15107" max="15122" width="2.453125" style="615" hidden="1" customWidth="1"/>
    <col min="15123" max="15123" width="4" style="615" hidden="1" customWidth="1"/>
    <col min="15124" max="15143" width="2.453125" style="615" hidden="1" customWidth="1"/>
    <col min="15144" max="15144" width="1.453125" style="615" hidden="1" customWidth="1"/>
    <col min="15145" max="15360" width="2.453125" style="615" hidden="1"/>
    <col min="15361" max="15361" width="1.453125" style="615" hidden="1" customWidth="1"/>
    <col min="15362" max="15362" width="0.81640625" style="615" hidden="1" customWidth="1"/>
    <col min="15363" max="15378" width="2.453125" style="615" hidden="1" customWidth="1"/>
    <col min="15379" max="15379" width="4" style="615" hidden="1" customWidth="1"/>
    <col min="15380" max="15399" width="2.453125" style="615" hidden="1" customWidth="1"/>
    <col min="15400" max="15400" width="1.453125" style="615" hidden="1" customWidth="1"/>
    <col min="15401" max="15616" width="2.453125" style="615" hidden="1"/>
    <col min="15617" max="15617" width="1.453125" style="615" hidden="1" customWidth="1"/>
    <col min="15618" max="15618" width="0.81640625" style="615" hidden="1" customWidth="1"/>
    <col min="15619" max="15634" width="2.453125" style="615" hidden="1" customWidth="1"/>
    <col min="15635" max="15635" width="4" style="615" hidden="1" customWidth="1"/>
    <col min="15636" max="15655" width="2.453125" style="615" hidden="1" customWidth="1"/>
    <col min="15656" max="15656" width="1.453125" style="615" hidden="1" customWidth="1"/>
    <col min="15657" max="15872" width="2.453125" style="615" hidden="1"/>
    <col min="15873" max="15873" width="1.453125" style="615" hidden="1" customWidth="1"/>
    <col min="15874" max="15874" width="0.81640625" style="615" hidden="1" customWidth="1"/>
    <col min="15875" max="15890" width="2.453125" style="615" hidden="1" customWidth="1"/>
    <col min="15891" max="15891" width="4" style="615" hidden="1" customWidth="1"/>
    <col min="15892" max="15911" width="2.453125" style="615" hidden="1" customWidth="1"/>
    <col min="15912" max="15912" width="1.453125" style="615" hidden="1" customWidth="1"/>
    <col min="15913" max="16128" width="2.453125" style="615" hidden="1"/>
    <col min="16129" max="16129" width="1.453125" style="615" hidden="1" customWidth="1"/>
    <col min="16130" max="16130" width="0.81640625" style="615" hidden="1" customWidth="1"/>
    <col min="16131" max="16146" width="2.453125" style="615" hidden="1" customWidth="1"/>
    <col min="16147" max="16147" width="4" style="615" hidden="1" customWidth="1"/>
    <col min="16148" max="16167" width="2.453125" style="615" hidden="1" customWidth="1"/>
    <col min="16168" max="16168" width="1.453125" style="615" hidden="1" customWidth="1"/>
    <col min="16169" max="16384" width="2.453125" style="615" hidden="1"/>
  </cols>
  <sheetData>
    <row r="1" spans="1:98" ht="12.75" customHeight="1">
      <c r="A1" s="3344" t="s">
        <v>1515</v>
      </c>
      <c r="B1" s="3344"/>
      <c r="C1" s="3344"/>
      <c r="D1" s="3344"/>
      <c r="E1" s="3344"/>
      <c r="F1" s="3344"/>
      <c r="G1" s="3344"/>
      <c r="H1" s="3344"/>
      <c r="I1" s="3344"/>
      <c r="J1" s="3344"/>
      <c r="K1" s="3344"/>
      <c r="L1" s="3344"/>
      <c r="M1" s="3344"/>
      <c r="N1" s="3344"/>
      <c r="O1" s="3344"/>
      <c r="P1" s="3344"/>
      <c r="Q1" s="3344"/>
      <c r="R1" s="3344"/>
      <c r="S1" s="3344"/>
      <c r="T1" s="3344"/>
      <c r="U1" s="3344"/>
      <c r="V1" s="3344"/>
      <c r="W1" s="3344"/>
      <c r="X1" s="3344"/>
      <c r="Y1" s="3344"/>
      <c r="Z1" s="3344"/>
      <c r="AA1" s="3344"/>
      <c r="AB1" s="3344"/>
      <c r="AC1" s="3344"/>
      <c r="AD1" s="3344"/>
      <c r="AE1" s="3344"/>
      <c r="AF1" s="3344"/>
      <c r="AG1" s="3344"/>
      <c r="AH1" s="3344"/>
      <c r="AI1" s="3344"/>
      <c r="AJ1" s="3344"/>
      <c r="AK1" s="3344"/>
      <c r="AL1" s="3344"/>
      <c r="AM1" s="3344"/>
      <c r="AN1" s="334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 thickBot="1">
      <c r="A2" s="3345"/>
      <c r="B2" s="3345"/>
      <c r="C2" s="3345"/>
      <c r="D2" s="3345"/>
      <c r="E2" s="3345"/>
      <c r="F2" s="3345"/>
      <c r="G2" s="3345"/>
      <c r="H2" s="3345"/>
      <c r="I2" s="3345"/>
      <c r="J2" s="3345"/>
      <c r="K2" s="3345"/>
      <c r="L2" s="3345"/>
      <c r="M2" s="3345"/>
      <c r="N2" s="3345"/>
      <c r="O2" s="3345"/>
      <c r="P2" s="3345"/>
      <c r="Q2" s="3345"/>
      <c r="R2" s="3345"/>
      <c r="S2" s="3345"/>
      <c r="T2" s="3345"/>
      <c r="U2" s="3345"/>
      <c r="V2" s="3345"/>
      <c r="W2" s="3345"/>
      <c r="X2" s="3345"/>
      <c r="Y2" s="3345"/>
      <c r="Z2" s="3345"/>
      <c r="AA2" s="3345"/>
      <c r="AB2" s="3345"/>
      <c r="AC2" s="3345"/>
      <c r="AD2" s="3345"/>
      <c r="AE2" s="3345"/>
      <c r="AF2" s="3345"/>
      <c r="AG2" s="3345"/>
      <c r="AH2" s="3345"/>
      <c r="AI2" s="3345"/>
      <c r="AJ2" s="3345"/>
      <c r="AK2" s="3345"/>
      <c r="AL2" s="3345"/>
      <c r="AM2" s="3345"/>
      <c r="AN2" s="3345"/>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
      <c r="A5" s="620" t="s">
        <v>327</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
      <c r="A6" s="620"/>
      <c r="B6" s="615"/>
      <c r="C6" s="670" t="s">
        <v>1446</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5" customHeight="1">
      <c r="A7" s="615"/>
      <c r="B7" s="621"/>
      <c r="C7" s="622"/>
      <c r="D7" s="622"/>
      <c r="E7" s="622"/>
      <c r="F7" s="622"/>
      <c r="G7" s="622"/>
      <c r="H7" s="622"/>
      <c r="I7" s="622"/>
      <c r="J7" s="622"/>
      <c r="K7" s="622"/>
      <c r="L7" s="622"/>
      <c r="M7" s="622"/>
      <c r="N7" s="622"/>
      <c r="O7" s="622"/>
      <c r="P7" s="622"/>
      <c r="Q7" s="622"/>
      <c r="R7" s="622"/>
      <c r="S7" s="622"/>
      <c r="T7" s="3319" t="str">
        <f xml:space="preserve"> IF(T25=100%,'Sources and Basis Breakdown'!G2,'Sources and Basis Breakdown'!F2)</f>
        <v>30% PVC for New Const/
Rehabilitation
DDA/QCT
Building(s)</v>
      </c>
      <c r="U7" s="3319"/>
      <c r="V7" s="3319"/>
      <c r="W7" s="3319"/>
      <c r="X7" s="3319"/>
      <c r="Y7" s="3319" t="str">
        <f>IF(T25=100%," ",'Sources and Basis Breakdown'!G2)</f>
        <v>30% PVC for New Const/
Rehabilitation
NON-DDA/
NON-QCT Building(s)</v>
      </c>
      <c r="Z7" s="3319"/>
      <c r="AA7" s="3319"/>
      <c r="AB7" s="3319"/>
      <c r="AC7" s="3319"/>
      <c r="AD7" s="3319" t="str">
        <f xml:space="preserve"> IF(T25=100%, 'Sources and Basis Breakdown'!J2,'Sources and Basis Breakdown'!I2)</f>
        <v>30% PVC for Acquisition
DDA/QCT Building(s)</v>
      </c>
      <c r="AE7" s="3319"/>
      <c r="AF7" s="3319"/>
      <c r="AG7" s="3319"/>
      <c r="AH7" s="3319"/>
      <c r="AI7" s="3319" t="str">
        <f>IF(T25=100%," ",'Sources and Basis Breakdown'!J2)</f>
        <v>30% PVC for Acquisition
NON-DDA/
NON-QCT Building(s)</v>
      </c>
      <c r="AJ7" s="3319"/>
      <c r="AK7" s="3319"/>
      <c r="AL7" s="3319"/>
      <c r="AM7" s="3319"/>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19"/>
      <c r="U8" s="3319"/>
      <c r="V8" s="3319"/>
      <c r="W8" s="3319"/>
      <c r="X8" s="3319"/>
      <c r="Y8" s="3319"/>
      <c r="Z8" s="3319"/>
      <c r="AA8" s="3319"/>
      <c r="AB8" s="3319"/>
      <c r="AC8" s="3319"/>
      <c r="AD8" s="3319"/>
      <c r="AE8" s="3319"/>
      <c r="AF8" s="3319"/>
      <c r="AG8" s="3319"/>
      <c r="AH8" s="3319"/>
      <c r="AI8" s="3319"/>
      <c r="AJ8" s="3319"/>
      <c r="AK8" s="3319"/>
      <c r="AL8" s="3319"/>
      <c r="AM8" s="3319"/>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5">
      <c r="A9" s="615"/>
      <c r="B9" s="623"/>
      <c r="C9" s="624"/>
      <c r="D9" s="624"/>
      <c r="E9" s="624"/>
      <c r="F9" s="624"/>
      <c r="G9" s="624"/>
      <c r="H9" s="624"/>
      <c r="I9" s="624"/>
      <c r="J9" s="624"/>
      <c r="K9" s="624"/>
      <c r="L9" s="624"/>
      <c r="M9" s="624"/>
      <c r="N9" s="624"/>
      <c r="O9" s="624"/>
      <c r="P9" s="624"/>
      <c r="Q9" s="624"/>
      <c r="R9" s="624"/>
      <c r="S9" s="624"/>
      <c r="T9" s="3319"/>
      <c r="U9" s="3319"/>
      <c r="V9" s="3319"/>
      <c r="W9" s="3319"/>
      <c r="X9" s="3319"/>
      <c r="Y9" s="3319"/>
      <c r="Z9" s="3319"/>
      <c r="AA9" s="3319"/>
      <c r="AB9" s="3319"/>
      <c r="AC9" s="3319"/>
      <c r="AD9" s="3319"/>
      <c r="AE9" s="3319"/>
      <c r="AF9" s="3319"/>
      <c r="AG9" s="3319"/>
      <c r="AH9" s="3319"/>
      <c r="AI9" s="3319"/>
      <c r="AJ9" s="3319"/>
      <c r="AK9" s="3319"/>
      <c r="AL9" s="3319"/>
      <c r="AM9" s="3319"/>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5" customHeight="1">
      <c r="A10" s="615"/>
      <c r="B10" s="625"/>
      <c r="C10" s="626"/>
      <c r="D10" s="626"/>
      <c r="E10" s="626"/>
      <c r="F10" s="626"/>
      <c r="G10" s="626"/>
      <c r="H10" s="626"/>
      <c r="I10" s="626"/>
      <c r="J10" s="626"/>
      <c r="K10" s="626"/>
      <c r="L10" s="626"/>
      <c r="M10" s="626"/>
      <c r="N10" s="626"/>
      <c r="O10" s="626"/>
      <c r="P10" s="626"/>
      <c r="Q10" s="626"/>
      <c r="R10" s="626"/>
      <c r="S10" s="626"/>
      <c r="T10" s="3319"/>
      <c r="U10" s="3319"/>
      <c r="V10" s="3319"/>
      <c r="W10" s="3319"/>
      <c r="X10" s="3319"/>
      <c r="Y10" s="3319"/>
      <c r="Z10" s="3319"/>
      <c r="AA10" s="3319"/>
      <c r="AB10" s="3319"/>
      <c r="AC10" s="3319"/>
      <c r="AD10" s="3319"/>
      <c r="AE10" s="3319"/>
      <c r="AF10" s="3319"/>
      <c r="AG10" s="3319"/>
      <c r="AH10" s="3319"/>
      <c r="AI10" s="3319"/>
      <c r="AJ10" s="3319"/>
      <c r="AK10" s="3319"/>
      <c r="AL10" s="3319"/>
      <c r="AM10" s="3319"/>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
      <c r="A11" s="615"/>
      <c r="B11" s="3301" t="s">
        <v>392</v>
      </c>
      <c r="C11" s="3302"/>
      <c r="D11" s="3302"/>
      <c r="E11" s="3302"/>
      <c r="F11" s="3302"/>
      <c r="G11" s="3302"/>
      <c r="H11" s="3302"/>
      <c r="I11" s="3302"/>
      <c r="J11" s="3302"/>
      <c r="K11" s="3302"/>
      <c r="L11" s="3302"/>
      <c r="M11" s="3302"/>
      <c r="N11" s="3302"/>
      <c r="O11" s="3302"/>
      <c r="P11" s="3302"/>
      <c r="Q11" s="3302"/>
      <c r="R11" s="3302"/>
      <c r="S11" s="3303"/>
      <c r="T11" s="3346">
        <f>IF('Sources and Basis Breakdown'!F107=0,'Sources and Basis Breakdown'!E107,'Sources and Basis Breakdown'!F107)</f>
        <v>74816465</v>
      </c>
      <c r="U11" s="3347"/>
      <c r="V11" s="3347"/>
      <c r="W11" s="3347"/>
      <c r="X11" s="3347"/>
      <c r="Y11" s="3346">
        <f>IF(Y7=" ",0,IF('Sources and Basis Breakdown'!G107+'Sources and Basis Breakdown'!F107='Sources and Basis Breakdown'!E107,'Sources and Basis Breakdown'!G107,0))</f>
        <v>0</v>
      </c>
      <c r="Z11" s="3347"/>
      <c r="AA11" s="3347"/>
      <c r="AB11" s="3347"/>
      <c r="AC11" s="3347"/>
      <c r="AD11" s="3347">
        <f>IF('Sources and Basis Breakdown'!I107=0,'Sources and Basis Breakdown'!H107,'Sources and Basis Breakdown'!I107)</f>
        <v>0</v>
      </c>
      <c r="AE11" s="3347"/>
      <c r="AF11" s="3347"/>
      <c r="AG11" s="3347"/>
      <c r="AH11" s="3347"/>
      <c r="AI11" s="3347">
        <f>IF(Y7=" ",0,IF('Sources and Basis Breakdown'!I107+'Sources and Basis Breakdown'!J107='Sources and Basis Breakdown'!H107,'Sources and Basis Breakdown'!J107,0))</f>
        <v>0</v>
      </c>
      <c r="AJ11" s="3347"/>
      <c r="AK11" s="3347"/>
      <c r="AL11" s="3347"/>
      <c r="AM11" s="3347"/>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
      <c r="A12" s="615"/>
      <c r="B12" s="3350" t="s">
        <v>528</v>
      </c>
      <c r="C12" s="3351"/>
      <c r="D12" s="3351"/>
      <c r="E12" s="3351"/>
      <c r="F12" s="3351"/>
      <c r="G12" s="3351"/>
      <c r="H12" s="3351"/>
      <c r="I12" s="3351"/>
      <c r="J12" s="3351"/>
      <c r="K12" s="3351"/>
      <c r="L12" s="3351"/>
      <c r="M12" s="3351"/>
      <c r="N12" s="3351"/>
      <c r="O12" s="3351"/>
      <c r="P12" s="3351"/>
      <c r="Q12" s="3351"/>
      <c r="R12" s="3351"/>
      <c r="S12" s="3352"/>
      <c r="T12" s="3339"/>
      <c r="U12" s="3340"/>
      <c r="V12" s="3340"/>
      <c r="W12" s="3340"/>
      <c r="X12" s="3341"/>
      <c r="Y12" s="3339"/>
      <c r="Z12" s="3340"/>
      <c r="AA12" s="3340"/>
      <c r="AB12" s="3340"/>
      <c r="AC12" s="3341"/>
      <c r="AD12" s="3339"/>
      <c r="AE12" s="3340"/>
      <c r="AF12" s="3340"/>
      <c r="AG12" s="3340"/>
      <c r="AH12" s="3341"/>
      <c r="AI12" s="3339"/>
      <c r="AJ12" s="3340"/>
      <c r="AK12" s="3340"/>
      <c r="AL12" s="3340"/>
      <c r="AM12" s="3341"/>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5">
      <c r="A13" s="615"/>
      <c r="B13" s="667"/>
      <c r="C13" s="3353" t="s">
        <v>529</v>
      </c>
      <c r="D13" s="3353"/>
      <c r="E13" s="3353"/>
      <c r="F13" s="3353"/>
      <c r="G13" s="3353"/>
      <c r="H13" s="3353"/>
      <c r="I13" s="3353"/>
      <c r="J13" s="3353"/>
      <c r="K13" s="3353"/>
      <c r="L13" s="3353"/>
      <c r="M13" s="3353"/>
      <c r="N13" s="3353"/>
      <c r="O13" s="3353"/>
      <c r="P13" s="3353"/>
      <c r="Q13" s="3353"/>
      <c r="R13" s="3353"/>
      <c r="S13" s="3354"/>
      <c r="T13" s="3342"/>
      <c r="U13" s="3343"/>
      <c r="V13" s="3343"/>
      <c r="W13" s="3343"/>
      <c r="X13" s="3343"/>
      <c r="Y13" s="3342"/>
      <c r="Z13" s="3343"/>
      <c r="AA13" s="3343"/>
      <c r="AB13" s="3343"/>
      <c r="AC13" s="3343"/>
      <c r="AD13" s="3343"/>
      <c r="AE13" s="3343"/>
      <c r="AF13" s="3343"/>
      <c r="AG13" s="3343"/>
      <c r="AH13" s="3343"/>
      <c r="AI13" s="3343"/>
      <c r="AJ13" s="3343"/>
      <c r="AK13" s="3343"/>
      <c r="AL13" s="3343"/>
      <c r="AM13" s="3343"/>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5">
      <c r="A14" s="615"/>
      <c r="B14" s="667"/>
      <c r="C14" s="3353" t="s">
        <v>530</v>
      </c>
      <c r="D14" s="3353"/>
      <c r="E14" s="3353"/>
      <c r="F14" s="3353"/>
      <c r="G14" s="3353"/>
      <c r="H14" s="3353"/>
      <c r="I14" s="3353"/>
      <c r="J14" s="3353"/>
      <c r="K14" s="3353"/>
      <c r="L14" s="3353"/>
      <c r="M14" s="3353"/>
      <c r="N14" s="3353"/>
      <c r="O14" s="3353"/>
      <c r="P14" s="3353"/>
      <c r="Q14" s="3353"/>
      <c r="R14" s="3353"/>
      <c r="S14" s="3354"/>
      <c r="T14" s="3328"/>
      <c r="U14" s="3329"/>
      <c r="V14" s="3329"/>
      <c r="W14" s="3329"/>
      <c r="X14" s="3329"/>
      <c r="Y14" s="3328"/>
      <c r="Z14" s="3329"/>
      <c r="AA14" s="3329"/>
      <c r="AB14" s="3329"/>
      <c r="AC14" s="3329"/>
      <c r="AD14" s="3329"/>
      <c r="AE14" s="3329"/>
      <c r="AF14" s="3329"/>
      <c r="AG14" s="3329"/>
      <c r="AH14" s="3329"/>
      <c r="AI14" s="3329"/>
      <c r="AJ14" s="3329"/>
      <c r="AK14" s="3329"/>
      <c r="AL14" s="3329"/>
      <c r="AM14" s="3329"/>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5">
      <c r="A15" s="615"/>
      <c r="B15" s="667"/>
      <c r="C15" s="3353" t="s">
        <v>531</v>
      </c>
      <c r="D15" s="3353"/>
      <c r="E15" s="3353"/>
      <c r="F15" s="3353"/>
      <c r="G15" s="3353"/>
      <c r="H15" s="3353"/>
      <c r="I15" s="3353"/>
      <c r="J15" s="3353"/>
      <c r="K15" s="3353"/>
      <c r="L15" s="3353"/>
      <c r="M15" s="3353"/>
      <c r="N15" s="3353"/>
      <c r="O15" s="3353"/>
      <c r="P15" s="3353"/>
      <c r="Q15" s="3353"/>
      <c r="R15" s="3353"/>
      <c r="S15" s="3354"/>
      <c r="T15" s="3328"/>
      <c r="U15" s="3329"/>
      <c r="V15" s="3329"/>
      <c r="W15" s="3329"/>
      <c r="X15" s="3329"/>
      <c r="Y15" s="3328"/>
      <c r="Z15" s="3329"/>
      <c r="AA15" s="3329"/>
      <c r="AB15" s="3329"/>
      <c r="AC15" s="3329"/>
      <c r="AD15" s="3329"/>
      <c r="AE15" s="3329"/>
      <c r="AF15" s="3329"/>
      <c r="AG15" s="3329"/>
      <c r="AH15" s="3329"/>
      <c r="AI15" s="3329"/>
      <c r="AJ15" s="3329"/>
      <c r="AK15" s="3329"/>
      <c r="AL15" s="3329"/>
      <c r="AM15" s="3329"/>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5">
      <c r="A16" s="615"/>
      <c r="B16" s="667"/>
      <c r="C16" s="3353" t="s">
        <v>862</v>
      </c>
      <c r="D16" s="3353"/>
      <c r="E16" s="3353"/>
      <c r="F16" s="3353"/>
      <c r="G16" s="3353"/>
      <c r="H16" s="3353"/>
      <c r="I16" s="3353"/>
      <c r="J16" s="3353"/>
      <c r="K16" s="3353"/>
      <c r="L16" s="3353"/>
      <c r="M16" s="3353"/>
      <c r="N16" s="3353"/>
      <c r="O16" s="3353"/>
      <c r="P16" s="3353"/>
      <c r="Q16" s="3353"/>
      <c r="R16" s="3353"/>
      <c r="S16" s="3354"/>
      <c r="T16" s="3328"/>
      <c r="U16" s="3329"/>
      <c r="V16" s="3329"/>
      <c r="W16" s="3329"/>
      <c r="X16" s="3329"/>
      <c r="Y16" s="3328"/>
      <c r="Z16" s="3329"/>
      <c r="AA16" s="3329"/>
      <c r="AB16" s="3329"/>
      <c r="AC16" s="3329"/>
      <c r="AD16" s="3329"/>
      <c r="AE16" s="3329"/>
      <c r="AF16" s="3329"/>
      <c r="AG16" s="3329"/>
      <c r="AH16" s="3329"/>
      <c r="AI16" s="3329"/>
      <c r="AJ16" s="3329"/>
      <c r="AK16" s="3329"/>
      <c r="AL16" s="3329"/>
      <c r="AM16" s="3329"/>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5">
      <c r="A17" s="615"/>
      <c r="B17" s="667"/>
      <c r="C17" s="3353" t="s">
        <v>532</v>
      </c>
      <c r="D17" s="3353"/>
      <c r="E17" s="3353"/>
      <c r="F17" s="3353"/>
      <c r="G17" s="3353"/>
      <c r="H17" s="3353"/>
      <c r="I17" s="3353"/>
      <c r="J17" s="3353"/>
      <c r="K17" s="3353"/>
      <c r="L17" s="3353"/>
      <c r="M17" s="3353"/>
      <c r="N17" s="3353"/>
      <c r="O17" s="3353"/>
      <c r="P17" s="3353"/>
      <c r="Q17" s="3353"/>
      <c r="R17" s="3353"/>
      <c r="S17" s="3354"/>
      <c r="T17" s="3328"/>
      <c r="U17" s="3329"/>
      <c r="V17" s="3329"/>
      <c r="W17" s="3329"/>
      <c r="X17" s="3329"/>
      <c r="Y17" s="3328"/>
      <c r="Z17" s="3329"/>
      <c r="AA17" s="3329"/>
      <c r="AB17" s="3329"/>
      <c r="AC17" s="3329"/>
      <c r="AD17" s="3329"/>
      <c r="AE17" s="3329"/>
      <c r="AF17" s="3329"/>
      <c r="AG17" s="3329"/>
      <c r="AH17" s="3329"/>
      <c r="AI17" s="3329"/>
      <c r="AJ17" s="3329"/>
      <c r="AK17" s="3329"/>
      <c r="AL17" s="3329"/>
      <c r="AM17" s="3329"/>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5">
      <c r="A18" s="615"/>
      <c r="B18" s="668"/>
      <c r="C18" s="3348" t="s">
        <v>1036</v>
      </c>
      <c r="D18" s="3348"/>
      <c r="E18" s="3348"/>
      <c r="F18" s="3348"/>
      <c r="G18" s="3348"/>
      <c r="H18" s="3348"/>
      <c r="I18" s="3348"/>
      <c r="J18" s="3348"/>
      <c r="K18" s="3348"/>
      <c r="L18" s="3348"/>
      <c r="M18" s="3348"/>
      <c r="N18" s="3348"/>
      <c r="O18" s="3348"/>
      <c r="P18" s="3348"/>
      <c r="Q18" s="3348"/>
      <c r="R18" s="3348"/>
      <c r="S18" s="3349"/>
      <c r="T18" s="3328"/>
      <c r="U18" s="3329"/>
      <c r="V18" s="3329"/>
      <c r="W18" s="3329"/>
      <c r="X18" s="3329"/>
      <c r="Y18" s="3328"/>
      <c r="Z18" s="3329"/>
      <c r="AA18" s="3329"/>
      <c r="AB18" s="3329"/>
      <c r="AC18" s="3329"/>
      <c r="AD18" s="3329"/>
      <c r="AE18" s="3329"/>
      <c r="AF18" s="3329"/>
      <c r="AG18" s="3329"/>
      <c r="AH18" s="3329"/>
      <c r="AI18" s="3329"/>
      <c r="AJ18" s="3329"/>
      <c r="AK18" s="3329"/>
      <c r="AL18" s="3329"/>
      <c r="AM18" s="3329"/>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5">
      <c r="A19" s="615"/>
      <c r="B19" s="668"/>
      <c r="C19" s="3348" t="s">
        <v>1036</v>
      </c>
      <c r="D19" s="3348"/>
      <c r="E19" s="3348"/>
      <c r="F19" s="3348"/>
      <c r="G19" s="3348"/>
      <c r="H19" s="3348"/>
      <c r="I19" s="3348"/>
      <c r="J19" s="3348"/>
      <c r="K19" s="3348"/>
      <c r="L19" s="3348"/>
      <c r="M19" s="3348"/>
      <c r="N19" s="3348"/>
      <c r="O19" s="3348"/>
      <c r="P19" s="3348"/>
      <c r="Q19" s="3348"/>
      <c r="R19" s="3348"/>
      <c r="S19" s="3349"/>
      <c r="T19" s="3328"/>
      <c r="U19" s="3329"/>
      <c r="V19" s="3329"/>
      <c r="W19" s="3329"/>
      <c r="X19" s="3329"/>
      <c r="Y19" s="3328"/>
      <c r="Z19" s="3329"/>
      <c r="AA19" s="3329"/>
      <c r="AB19" s="3329"/>
      <c r="AC19" s="3329"/>
      <c r="AD19" s="3329"/>
      <c r="AE19" s="3329"/>
      <c r="AF19" s="3329"/>
      <c r="AG19" s="3329"/>
      <c r="AH19" s="3329"/>
      <c r="AI19" s="3329"/>
      <c r="AJ19" s="3329"/>
      <c r="AK19" s="3329"/>
      <c r="AL19" s="3329"/>
      <c r="AM19" s="3329"/>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
      <c r="A20" s="615"/>
      <c r="B20" s="3301" t="s">
        <v>533</v>
      </c>
      <c r="C20" s="3302"/>
      <c r="D20" s="3302"/>
      <c r="E20" s="3302"/>
      <c r="F20" s="3302"/>
      <c r="G20" s="3302"/>
      <c r="H20" s="3302"/>
      <c r="I20" s="3302"/>
      <c r="J20" s="3302"/>
      <c r="K20" s="3302"/>
      <c r="L20" s="3302"/>
      <c r="M20" s="3302"/>
      <c r="N20" s="3302"/>
      <c r="O20" s="3302"/>
      <c r="P20" s="3302"/>
      <c r="Q20" s="3302"/>
      <c r="R20" s="3302"/>
      <c r="S20" s="3303"/>
      <c r="T20" s="3318">
        <f>SUM(T13:X19)</f>
        <v>0</v>
      </c>
      <c r="U20" s="3321"/>
      <c r="V20" s="3321"/>
      <c r="W20" s="3321"/>
      <c r="X20" s="3321"/>
      <c r="Y20" s="3318">
        <f>SUM(Y13:AC19)</f>
        <v>0</v>
      </c>
      <c r="Z20" s="3321"/>
      <c r="AA20" s="3321"/>
      <c r="AB20" s="3321"/>
      <c r="AC20" s="3321"/>
      <c r="AD20" s="3316">
        <f>SUM(AD13:AH19)</f>
        <v>0</v>
      </c>
      <c r="AE20" s="3317"/>
      <c r="AF20" s="3317"/>
      <c r="AG20" s="3317"/>
      <c r="AH20" s="3318"/>
      <c r="AI20" s="3316">
        <f>SUM(AI13:AM19)</f>
        <v>0</v>
      </c>
      <c r="AJ20" s="3317"/>
      <c r="AK20" s="3317"/>
      <c r="AL20" s="3317"/>
      <c r="AM20" s="3318"/>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
      <c r="A21" s="615"/>
      <c r="B21" s="3301" t="s">
        <v>1488</v>
      </c>
      <c r="C21" s="3302"/>
      <c r="D21" s="3302"/>
      <c r="E21" s="3302"/>
      <c r="F21" s="3302"/>
      <c r="G21" s="3302"/>
      <c r="H21" s="3302"/>
      <c r="I21" s="3302"/>
      <c r="J21" s="3302"/>
      <c r="K21" s="3302"/>
      <c r="L21" s="3302"/>
      <c r="M21" s="3302"/>
      <c r="N21" s="3302"/>
      <c r="O21" s="3302"/>
      <c r="P21" s="3302"/>
      <c r="Q21" s="3302"/>
      <c r="R21" s="3302"/>
      <c r="S21" s="3303"/>
      <c r="T21" s="3328"/>
      <c r="U21" s="3329"/>
      <c r="V21" s="3329"/>
      <c r="W21" s="3329"/>
      <c r="X21" s="3329"/>
      <c r="Y21" s="3328"/>
      <c r="Z21" s="3329"/>
      <c r="AA21" s="3329"/>
      <c r="AB21" s="3329"/>
      <c r="AC21" s="3329"/>
      <c r="AD21" s="3339"/>
      <c r="AE21" s="3340"/>
      <c r="AF21" s="3340"/>
      <c r="AG21" s="3340"/>
      <c r="AH21" s="3341"/>
      <c r="AI21" s="3339"/>
      <c r="AJ21" s="3340"/>
      <c r="AK21" s="3340"/>
      <c r="AL21" s="3340"/>
      <c r="AM21" s="3341"/>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
      <c r="A22" s="615"/>
      <c r="B22" s="3301" t="s">
        <v>534</v>
      </c>
      <c r="C22" s="3302"/>
      <c r="D22" s="3302"/>
      <c r="E22" s="3302"/>
      <c r="F22" s="3302"/>
      <c r="G22" s="3302"/>
      <c r="H22" s="3302"/>
      <c r="I22" s="3302"/>
      <c r="J22" s="3302"/>
      <c r="K22" s="3302"/>
      <c r="L22" s="3302"/>
      <c r="M22" s="3302"/>
      <c r="N22" s="3302"/>
      <c r="O22" s="3302"/>
      <c r="P22" s="3302"/>
      <c r="Q22" s="3302"/>
      <c r="R22" s="3302"/>
      <c r="S22" s="3303"/>
      <c r="T22" s="3324">
        <f>(T20+T21)*-1</f>
        <v>0</v>
      </c>
      <c r="U22" s="3325"/>
      <c r="V22" s="3325"/>
      <c r="W22" s="3325"/>
      <c r="X22" s="3325"/>
      <c r="Y22" s="3324">
        <f>(Y20+Y21)*-1</f>
        <v>0</v>
      </c>
      <c r="Z22" s="3325"/>
      <c r="AA22" s="3325"/>
      <c r="AB22" s="3325"/>
      <c r="AC22" s="3325"/>
      <c r="AD22" s="3326">
        <f>(AD20)*-1</f>
        <v>0</v>
      </c>
      <c r="AE22" s="3327"/>
      <c r="AF22" s="3327"/>
      <c r="AG22" s="3327"/>
      <c r="AH22" s="3324"/>
      <c r="AI22" s="3326">
        <f>(AI20)*-1</f>
        <v>0</v>
      </c>
      <c r="AJ22" s="3327"/>
      <c r="AK22" s="3327"/>
      <c r="AL22" s="3327"/>
      <c r="AM22" s="3324"/>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
      <c r="A23" s="616"/>
      <c r="B23" s="3357" t="s">
        <v>535</v>
      </c>
      <c r="C23" s="3358"/>
      <c r="D23" s="3358"/>
      <c r="E23" s="3358"/>
      <c r="F23" s="3358"/>
      <c r="G23" s="3358"/>
      <c r="H23" s="3358"/>
      <c r="I23" s="3358"/>
      <c r="J23" s="3358"/>
      <c r="K23" s="3358"/>
      <c r="L23" s="3358"/>
      <c r="M23" s="3358"/>
      <c r="N23" s="3358"/>
      <c r="O23" s="3358"/>
      <c r="P23" s="3358"/>
      <c r="Q23" s="3358"/>
      <c r="R23" s="3358"/>
      <c r="S23" s="3359"/>
      <c r="T23" s="3318">
        <f>T11+T22</f>
        <v>74816465</v>
      </c>
      <c r="U23" s="3321"/>
      <c r="V23" s="3321"/>
      <c r="W23" s="3321"/>
      <c r="X23" s="3321"/>
      <c r="Y23" s="3318">
        <f>Y11+Y22</f>
        <v>0</v>
      </c>
      <c r="Z23" s="3321"/>
      <c r="AA23" s="3321"/>
      <c r="AB23" s="3321"/>
      <c r="AC23" s="3321"/>
      <c r="AD23" s="3318">
        <f>AD11+AD22</f>
        <v>0</v>
      </c>
      <c r="AE23" s="3321"/>
      <c r="AF23" s="3321"/>
      <c r="AG23" s="3321"/>
      <c r="AH23" s="3321"/>
      <c r="AI23" s="3318">
        <f>AI11+AI22</f>
        <v>0</v>
      </c>
      <c r="AJ23" s="3321"/>
      <c r="AK23" s="3321"/>
      <c r="AL23" s="3321"/>
      <c r="AM23" s="3321"/>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
      <c r="A24" s="615"/>
      <c r="B24" s="3301" t="s">
        <v>1037</v>
      </c>
      <c r="C24" s="3302"/>
      <c r="D24" s="3302"/>
      <c r="E24" s="3302"/>
      <c r="F24" s="3302"/>
      <c r="G24" s="3302"/>
      <c r="H24" s="3302"/>
      <c r="I24" s="3302"/>
      <c r="J24" s="3302"/>
      <c r="K24" s="3302"/>
      <c r="L24" s="3302"/>
      <c r="M24" s="3302"/>
      <c r="N24" s="3302"/>
      <c r="O24" s="3302"/>
      <c r="P24" s="3302"/>
      <c r="Q24" s="3302"/>
      <c r="R24" s="3302"/>
      <c r="S24" s="3303"/>
      <c r="T24" s="3316">
        <f>Application!AJ1032</f>
        <v>138813360</v>
      </c>
      <c r="U24" s="3317"/>
      <c r="V24" s="3317"/>
      <c r="W24" s="3317"/>
      <c r="X24" s="3317"/>
      <c r="Y24" s="3317"/>
      <c r="Z24" s="3317"/>
      <c r="AA24" s="3317"/>
      <c r="AB24" s="3317"/>
      <c r="AC24" s="3317"/>
      <c r="AD24" s="3317"/>
      <c r="AE24" s="3317"/>
      <c r="AF24" s="3317"/>
      <c r="AG24" s="3317"/>
      <c r="AH24" s="3317"/>
      <c r="AI24" s="3317"/>
      <c r="AJ24" s="3317"/>
      <c r="AK24" s="3317"/>
      <c r="AL24" s="3317"/>
      <c r="AM24" s="3318"/>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5">
      <c r="A25" s="615"/>
      <c r="B25" s="3360" t="s">
        <v>1489</v>
      </c>
      <c r="C25" s="3361"/>
      <c r="D25" s="3361"/>
      <c r="E25" s="3361"/>
      <c r="F25" s="3361"/>
      <c r="G25" s="3361"/>
      <c r="H25" s="3361"/>
      <c r="I25" s="3361"/>
      <c r="J25" s="3361"/>
      <c r="K25" s="3361"/>
      <c r="L25" s="3361"/>
      <c r="M25" s="3361"/>
      <c r="N25" s="3361"/>
      <c r="O25" s="3361"/>
      <c r="P25" s="3361"/>
      <c r="Q25" s="3361"/>
      <c r="R25" s="3361"/>
      <c r="S25" s="3362"/>
      <c r="T25" s="3334">
        <f>IF(OR(Application!T195="yes",Application!T194="yes"),1.3,1)</f>
        <v>1.3</v>
      </c>
      <c r="U25" s="3335"/>
      <c r="V25" s="3335"/>
      <c r="W25" s="3335"/>
      <c r="X25" s="3335"/>
      <c r="Y25" s="3334">
        <v>1</v>
      </c>
      <c r="Z25" s="3335"/>
      <c r="AA25" s="3335"/>
      <c r="AB25" s="3335"/>
      <c r="AC25" s="3335"/>
      <c r="AD25" s="3334">
        <v>1</v>
      </c>
      <c r="AE25" s="3335"/>
      <c r="AF25" s="3335"/>
      <c r="AG25" s="3335"/>
      <c r="AH25" s="3336"/>
      <c r="AI25" s="3334">
        <v>1</v>
      </c>
      <c r="AJ25" s="3335"/>
      <c r="AK25" s="3335"/>
      <c r="AL25" s="3335"/>
      <c r="AM25" s="3336"/>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
      <c r="A26" s="615"/>
      <c r="B26" s="3301" t="s">
        <v>536</v>
      </c>
      <c r="C26" s="3302"/>
      <c r="D26" s="3302"/>
      <c r="E26" s="3302"/>
      <c r="F26" s="3302"/>
      <c r="G26" s="3302"/>
      <c r="H26" s="3302"/>
      <c r="I26" s="3302"/>
      <c r="J26" s="3302"/>
      <c r="K26" s="3302"/>
      <c r="L26" s="3302"/>
      <c r="M26" s="3302"/>
      <c r="N26" s="3302"/>
      <c r="O26" s="3302"/>
      <c r="P26" s="3302"/>
      <c r="Q26" s="3302"/>
      <c r="R26" s="3302"/>
      <c r="S26" s="3303"/>
      <c r="T26" s="3337">
        <f>T23*T25</f>
        <v>97261404.5</v>
      </c>
      <c r="U26" s="3338"/>
      <c r="V26" s="3338"/>
      <c r="W26" s="3338"/>
      <c r="X26" s="3338"/>
      <c r="Y26" s="3337">
        <f>Y23*Y25</f>
        <v>0</v>
      </c>
      <c r="Z26" s="3338"/>
      <c r="AA26" s="3338"/>
      <c r="AB26" s="3338"/>
      <c r="AC26" s="3338"/>
      <c r="AD26" s="3337">
        <f>AD23*AD25</f>
        <v>0</v>
      </c>
      <c r="AE26" s="3338"/>
      <c r="AF26" s="3338"/>
      <c r="AG26" s="3338"/>
      <c r="AH26" s="3338"/>
      <c r="AI26" s="3337">
        <f>AI23*AI25</f>
        <v>0</v>
      </c>
      <c r="AJ26" s="3338"/>
      <c r="AK26" s="3338"/>
      <c r="AL26" s="3338"/>
      <c r="AM26" s="3338"/>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5">
      <c r="A27" s="627"/>
      <c r="B27" s="3363" t="s">
        <v>446</v>
      </c>
      <c r="C27" s="3364"/>
      <c r="D27" s="3364"/>
      <c r="E27" s="3364"/>
      <c r="F27" s="3364"/>
      <c r="G27" s="3364"/>
      <c r="H27" s="3364"/>
      <c r="I27" s="3364"/>
      <c r="J27" s="3364"/>
      <c r="K27" s="3364"/>
      <c r="L27" s="3364"/>
      <c r="M27" s="3364"/>
      <c r="N27" s="3364"/>
      <c r="O27" s="3364"/>
      <c r="P27" s="3364"/>
      <c r="Q27" s="3364"/>
      <c r="R27" s="3364"/>
      <c r="S27" s="3365"/>
      <c r="T27" s="3332">
        <f>Application!$AG$444</f>
        <v>1</v>
      </c>
      <c r="U27" s="3333"/>
      <c r="V27" s="3333"/>
      <c r="W27" s="3333"/>
      <c r="X27" s="3333"/>
      <c r="Y27" s="3332">
        <f>Application!$AG$444</f>
        <v>1</v>
      </c>
      <c r="Z27" s="3333"/>
      <c r="AA27" s="3333"/>
      <c r="AB27" s="3333"/>
      <c r="AC27" s="3333"/>
      <c r="AD27" s="3332">
        <f>Application!$AG$444</f>
        <v>1</v>
      </c>
      <c r="AE27" s="3333"/>
      <c r="AF27" s="3333"/>
      <c r="AG27" s="3333"/>
      <c r="AH27" s="3333"/>
      <c r="AI27" s="3332">
        <f>Application!$AG$444</f>
        <v>1</v>
      </c>
      <c r="AJ27" s="3333"/>
      <c r="AK27" s="3333"/>
      <c r="AL27" s="3333"/>
      <c r="AM27" s="3333"/>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301" t="s">
        <v>537</v>
      </c>
      <c r="C28" s="3302"/>
      <c r="D28" s="3302"/>
      <c r="E28" s="3302"/>
      <c r="F28" s="3302"/>
      <c r="G28" s="3302"/>
      <c r="H28" s="3302"/>
      <c r="I28" s="3302"/>
      <c r="J28" s="3302"/>
      <c r="K28" s="3302"/>
      <c r="L28" s="3302"/>
      <c r="M28" s="3302"/>
      <c r="N28" s="3302"/>
      <c r="O28" s="3302"/>
      <c r="P28" s="3302"/>
      <c r="Q28" s="3302"/>
      <c r="R28" s="3302"/>
      <c r="S28" s="3303"/>
      <c r="T28" s="3330">
        <f>IF(ISERROR((T26*T27)),0,(T26*T27))</f>
        <v>97261404.5</v>
      </c>
      <c r="U28" s="3331"/>
      <c r="V28" s="3331"/>
      <c r="W28" s="3331"/>
      <c r="X28" s="3331"/>
      <c r="Y28" s="3330">
        <f>IF(ISERROR((Y26*Y27)),0,(Y26*Y27))</f>
        <v>0</v>
      </c>
      <c r="Z28" s="3331"/>
      <c r="AA28" s="3331"/>
      <c r="AB28" s="3331"/>
      <c r="AC28" s="3331"/>
      <c r="AD28" s="3330">
        <f>IF(ISERROR((AD26*AD27)),0,(AD26*AD27))</f>
        <v>0</v>
      </c>
      <c r="AE28" s="3331"/>
      <c r="AF28" s="3331"/>
      <c r="AG28" s="3331"/>
      <c r="AH28" s="3331"/>
      <c r="AI28" s="3330">
        <f>IF(ISERROR((AI26*AI27)),0,(AI26*AI27))</f>
        <v>0</v>
      </c>
      <c r="AJ28" s="3331"/>
      <c r="AK28" s="3331"/>
      <c r="AL28" s="3331"/>
      <c r="AM28" s="3331"/>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
      <c r="A29" s="615"/>
      <c r="B29" s="3301" t="s">
        <v>554</v>
      </c>
      <c r="C29" s="3302"/>
      <c r="D29" s="3302"/>
      <c r="E29" s="3302"/>
      <c r="F29" s="3302"/>
      <c r="G29" s="3302"/>
      <c r="H29" s="3302"/>
      <c r="I29" s="3302"/>
      <c r="J29" s="3302"/>
      <c r="K29" s="3302"/>
      <c r="L29" s="3302"/>
      <c r="M29" s="3302"/>
      <c r="N29" s="3302"/>
      <c r="O29" s="3302"/>
      <c r="P29" s="3302"/>
      <c r="Q29" s="3302"/>
      <c r="R29" s="3302"/>
      <c r="S29" s="3303"/>
      <c r="T29" s="3316">
        <f>T28+Y28+AD28+AI28</f>
        <v>97261404.5</v>
      </c>
      <c r="U29" s="3317"/>
      <c r="V29" s="3317"/>
      <c r="W29" s="3317"/>
      <c r="X29" s="3317"/>
      <c r="Y29" s="3317"/>
      <c r="Z29" s="3317"/>
      <c r="AA29" s="3317"/>
      <c r="AB29" s="3317"/>
      <c r="AC29" s="3317"/>
      <c r="AD29" s="3317"/>
      <c r="AE29" s="3317"/>
      <c r="AF29" s="3317"/>
      <c r="AG29" s="3317"/>
      <c r="AH29" s="3317"/>
      <c r="AI29" s="3317"/>
      <c r="AJ29" s="3317"/>
      <c r="AK29" s="3317"/>
      <c r="AL29" s="3317"/>
      <c r="AM29" s="3318"/>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23" t="s">
        <v>1491</v>
      </c>
      <c r="C30" s="3323"/>
      <c r="D30" s="3323"/>
      <c r="E30" s="3323"/>
      <c r="F30" s="3323"/>
      <c r="G30" s="3323"/>
      <c r="H30" s="3323"/>
      <c r="I30" s="3323"/>
      <c r="J30" s="3323"/>
      <c r="K30" s="3323"/>
      <c r="L30" s="3323"/>
      <c r="M30" s="3323"/>
      <c r="N30" s="3323"/>
      <c r="O30" s="3323"/>
      <c r="P30" s="3323"/>
      <c r="Q30" s="3323"/>
      <c r="R30" s="3323"/>
      <c r="S30" s="3323"/>
      <c r="T30" s="3323"/>
      <c r="U30" s="3323"/>
      <c r="V30" s="3323"/>
      <c r="W30" s="3323"/>
      <c r="X30" s="3323"/>
      <c r="Y30" s="3323"/>
      <c r="Z30" s="3323"/>
      <c r="AA30" s="3323"/>
      <c r="AB30" s="3323"/>
      <c r="AC30" s="3323"/>
      <c r="AD30" s="3323"/>
      <c r="AE30" s="3323"/>
      <c r="AF30" s="3323"/>
      <c r="AG30" s="3323"/>
      <c r="AH30" s="3323"/>
      <c r="AI30" s="3323"/>
      <c r="AJ30" s="3323"/>
      <c r="AK30" s="3323"/>
      <c r="AL30" s="3323"/>
      <c r="AM30" s="3323"/>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23" t="s">
        <v>1490</v>
      </c>
      <c r="C31" s="3323"/>
      <c r="D31" s="3323"/>
      <c r="E31" s="3323"/>
      <c r="F31" s="3323"/>
      <c r="G31" s="3323"/>
      <c r="H31" s="3323"/>
      <c r="I31" s="3323"/>
      <c r="J31" s="3323"/>
      <c r="K31" s="3323"/>
      <c r="L31" s="3323"/>
      <c r="M31" s="3323"/>
      <c r="N31" s="3323"/>
      <c r="O31" s="3323"/>
      <c r="P31" s="3323"/>
      <c r="Q31" s="3323"/>
      <c r="R31" s="3323"/>
      <c r="S31" s="3323"/>
      <c r="T31" s="3323"/>
      <c r="U31" s="3323"/>
      <c r="V31" s="3323"/>
      <c r="W31" s="3323"/>
      <c r="X31" s="3323"/>
      <c r="Y31" s="3323"/>
      <c r="Z31" s="3323"/>
      <c r="AA31" s="3323"/>
      <c r="AB31" s="3323"/>
      <c r="AC31" s="3323"/>
      <c r="AD31" s="3323"/>
      <c r="AE31" s="3323"/>
      <c r="AF31" s="3323"/>
      <c r="AG31" s="3323"/>
      <c r="AH31" s="3323"/>
      <c r="AI31" s="3323"/>
      <c r="AJ31" s="3323"/>
      <c r="AK31" s="3323"/>
      <c r="AL31" s="3323"/>
      <c r="AM31" s="3323"/>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5">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
      <c r="A34" s="620" t="s">
        <v>609</v>
      </c>
      <c r="B34" s="615"/>
      <c r="C34" s="620" t="s">
        <v>599</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19" t="s">
        <v>1339</v>
      </c>
      <c r="Z35" s="3319"/>
      <c r="AA35" s="3319"/>
      <c r="AB35" s="3319"/>
      <c r="AC35" s="3319"/>
      <c r="AD35" s="3320" t="s">
        <v>379</v>
      </c>
      <c r="AE35" s="3320"/>
      <c r="AF35" s="3320"/>
      <c r="AG35" s="3320"/>
      <c r="AH35" s="3320"/>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19"/>
      <c r="Z36" s="3319"/>
      <c r="AA36" s="3319"/>
      <c r="AB36" s="3319"/>
      <c r="AC36" s="3319"/>
      <c r="AD36" s="3320"/>
      <c r="AE36" s="3320"/>
      <c r="AF36" s="3320"/>
      <c r="AG36" s="3320"/>
      <c r="AH36" s="3320"/>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19"/>
      <c r="Z37" s="3319"/>
      <c r="AA37" s="3319"/>
      <c r="AB37" s="3319"/>
      <c r="AC37" s="3319"/>
      <c r="AD37" s="3320"/>
      <c r="AE37" s="3320"/>
      <c r="AF37" s="3320"/>
      <c r="AG37" s="3320"/>
      <c r="AH37" s="3320"/>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301" t="s">
        <v>537</v>
      </c>
      <c r="C38" s="3302"/>
      <c r="D38" s="3302"/>
      <c r="E38" s="3302"/>
      <c r="F38" s="3302"/>
      <c r="G38" s="3302"/>
      <c r="H38" s="3302"/>
      <c r="I38" s="3302"/>
      <c r="J38" s="3302"/>
      <c r="K38" s="3302"/>
      <c r="L38" s="3302"/>
      <c r="M38" s="3302"/>
      <c r="N38" s="3302"/>
      <c r="O38" s="3302"/>
      <c r="P38" s="3302"/>
      <c r="Q38" s="3302"/>
      <c r="R38" s="3302"/>
      <c r="S38" s="3302"/>
      <c r="T38" s="3302"/>
      <c r="U38" s="3302"/>
      <c r="V38" s="3302"/>
      <c r="W38" s="3302"/>
      <c r="X38" s="3303"/>
      <c r="Y38" s="3321">
        <f>IF(T24&gt;=(T23+Y23+AD23+AI23),T28+Y28,0)</f>
        <v>97261404.5</v>
      </c>
      <c r="Z38" s="3321"/>
      <c r="AA38" s="3321"/>
      <c r="AB38" s="3321"/>
      <c r="AC38" s="3321"/>
      <c r="AD38" s="3321">
        <f>IF(T24&gt;=(T23+Y23+AD23+AI23),AD28+AI28,0)</f>
        <v>0</v>
      </c>
      <c r="AE38" s="3321"/>
      <c r="AF38" s="3321"/>
      <c r="AG38" s="3321"/>
      <c r="AH38" s="3321"/>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
      <c r="A39" s="615"/>
      <c r="B39" s="3301" t="s">
        <v>2098</v>
      </c>
      <c r="C39" s="3302"/>
      <c r="D39" s="3302"/>
      <c r="E39" s="3302"/>
      <c r="F39" s="3302"/>
      <c r="G39" s="3302"/>
      <c r="H39" s="3302"/>
      <c r="I39" s="3302"/>
      <c r="J39" s="3302"/>
      <c r="K39" s="3302"/>
      <c r="L39" s="3302"/>
      <c r="M39" s="3302"/>
      <c r="N39" s="3302"/>
      <c r="O39" s="3302"/>
      <c r="P39" s="3302"/>
      <c r="Q39" s="3302"/>
      <c r="R39" s="3302"/>
      <c r="S39" s="3302"/>
      <c r="T39" s="3302"/>
      <c r="U39" s="3302"/>
      <c r="V39" s="3302"/>
      <c r="W39" s="3302"/>
      <c r="X39" s="3303"/>
      <c r="Y39" s="3322">
        <v>0.04</v>
      </c>
      <c r="Z39" s="3322"/>
      <c r="AA39" s="3322"/>
      <c r="AB39" s="3322"/>
      <c r="AC39" s="3322"/>
      <c r="AD39" s="3322">
        <v>0.04</v>
      </c>
      <c r="AE39" s="3322"/>
      <c r="AF39" s="3322"/>
      <c r="AG39" s="3322"/>
      <c r="AH39" s="3322"/>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301" t="s">
        <v>675</v>
      </c>
      <c r="C40" s="3302"/>
      <c r="D40" s="3302"/>
      <c r="E40" s="3302"/>
      <c r="F40" s="3302"/>
      <c r="G40" s="3302"/>
      <c r="H40" s="3302"/>
      <c r="I40" s="3302"/>
      <c r="J40" s="3302"/>
      <c r="K40" s="3302"/>
      <c r="L40" s="3302"/>
      <c r="M40" s="3302"/>
      <c r="N40" s="3302"/>
      <c r="O40" s="3302"/>
      <c r="P40" s="3302"/>
      <c r="Q40" s="3302"/>
      <c r="R40" s="3302"/>
      <c r="S40" s="3302"/>
      <c r="T40" s="3302"/>
      <c r="U40" s="3302"/>
      <c r="V40" s="3302"/>
      <c r="W40" s="3302"/>
      <c r="X40" s="3303"/>
      <c r="Y40" s="3321">
        <f>ROUND(Y38*Y39,0)</f>
        <v>3890456</v>
      </c>
      <c r="Z40" s="3321"/>
      <c r="AA40" s="3321"/>
      <c r="AB40" s="3321"/>
      <c r="AC40" s="3321"/>
      <c r="AD40" s="3318">
        <f>ROUND(AD38*AD39,0)</f>
        <v>0</v>
      </c>
      <c r="AE40" s="3321"/>
      <c r="AF40" s="3321"/>
      <c r="AG40" s="3321"/>
      <c r="AH40" s="3321"/>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
      <c r="A41" s="615"/>
      <c r="B41" s="3301" t="s">
        <v>676</v>
      </c>
      <c r="C41" s="3302"/>
      <c r="D41" s="3302"/>
      <c r="E41" s="3302"/>
      <c r="F41" s="3302"/>
      <c r="G41" s="3302"/>
      <c r="H41" s="3302"/>
      <c r="I41" s="3302"/>
      <c r="J41" s="3302"/>
      <c r="K41" s="3302"/>
      <c r="L41" s="3302"/>
      <c r="M41" s="3302"/>
      <c r="N41" s="3302"/>
      <c r="O41" s="3302"/>
      <c r="P41" s="3302"/>
      <c r="Q41" s="3302"/>
      <c r="R41" s="3302"/>
      <c r="S41" s="3302"/>
      <c r="T41" s="3302"/>
      <c r="U41" s="3302"/>
      <c r="V41" s="3302"/>
      <c r="W41" s="3302"/>
      <c r="X41" s="3303"/>
      <c r="Y41" s="3366">
        <f>Y40+AD40</f>
        <v>3890456</v>
      </c>
      <c r="Z41" s="3367"/>
      <c r="AA41" s="3367"/>
      <c r="AB41" s="3367"/>
      <c r="AC41" s="3367"/>
      <c r="AD41" s="3367"/>
      <c r="AE41" s="3367"/>
      <c r="AF41" s="3367"/>
      <c r="AG41" s="3367"/>
      <c r="AH41" s="3368"/>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5"/>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c r="AF42" s="1535"/>
      <c r="AG42" s="1535"/>
      <c r="AH42" s="1535"/>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15" t="s">
        <v>1504</v>
      </c>
      <c r="B44" s="3315"/>
      <c r="C44" s="3315"/>
      <c r="D44" s="3315"/>
      <c r="E44" s="3315"/>
      <c r="F44" s="3315"/>
      <c r="G44" s="3315"/>
      <c r="H44" s="3315"/>
      <c r="I44" s="3315"/>
      <c r="J44" s="3315"/>
      <c r="K44" s="3315"/>
      <c r="L44" s="3315"/>
      <c r="M44" s="3315"/>
      <c r="N44" s="3315"/>
      <c r="O44" s="3315"/>
      <c r="P44" s="3315"/>
      <c r="Q44" s="3315"/>
      <c r="R44" s="3315"/>
      <c r="S44" s="3315"/>
      <c r="T44" s="3315"/>
      <c r="U44" s="3315"/>
      <c r="V44" s="3315"/>
      <c r="W44" s="3315"/>
      <c r="X44" s="3315"/>
      <c r="Y44" s="3315"/>
      <c r="Z44" s="3315"/>
      <c r="AA44" s="3315"/>
      <c r="AB44" s="3315"/>
      <c r="AC44" s="3315"/>
      <c r="AD44" s="3315"/>
      <c r="AE44" s="3315"/>
      <c r="AF44" s="3315"/>
      <c r="AG44" s="3315"/>
      <c r="AH44" s="3315"/>
      <c r="AI44" s="3315"/>
      <c r="AJ44" s="3315"/>
      <c r="AK44" s="3315"/>
      <c r="AL44" s="3315"/>
      <c r="AM44" s="3315"/>
      <c r="AN44" s="3315"/>
      <c r="AO44" s="3315"/>
      <c r="AP44" s="3315"/>
      <c r="AQ44" s="3315"/>
      <c r="AR44" s="3315"/>
      <c r="AS44" s="3315"/>
      <c r="AT44" s="3315"/>
      <c r="AU44" s="3315"/>
      <c r="AV44" s="3315"/>
      <c r="AW44" s="3315"/>
      <c r="AX44" s="3315"/>
      <c r="AY44" s="3315"/>
      <c r="AZ44" s="3315"/>
      <c r="BA44" s="3315"/>
      <c r="BB44" s="3315"/>
      <c r="BC44" s="3315"/>
      <c r="BD44" s="3315"/>
      <c r="BE44" s="3315"/>
      <c r="BF44" s="3315"/>
      <c r="BG44" s="3315"/>
      <c r="BH44" s="3315"/>
      <c r="BI44" s="3315"/>
      <c r="BJ44" s="3315"/>
      <c r="BK44" s="3315"/>
      <c r="BL44" s="3315"/>
      <c r="BM44" s="3315"/>
      <c r="BN44" s="3315"/>
      <c r="BO44" s="3315"/>
      <c r="BP44" s="3315"/>
      <c r="BQ44" s="3315"/>
      <c r="BR44" s="3315"/>
      <c r="BS44" s="3315"/>
      <c r="BT44" s="3315"/>
      <c r="BU44" s="3315"/>
      <c r="BV44" s="3315"/>
      <c r="BW44" s="3315"/>
      <c r="BX44" s="331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0" t="s">
        <v>619</v>
      </c>
      <c r="B46" s="615"/>
      <c r="C46" s="620" t="s">
        <v>287</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
      <c r="A47" s="615"/>
      <c r="B47" s="615"/>
      <c r="C47" s="615"/>
      <c r="D47" s="620" t="s">
        <v>288</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09">
        <f>'Sources and Uses Budget'!B105-'Sources and Uses Budget'!B15</f>
        <v>80665059</v>
      </c>
      <c r="AC47" s="3310"/>
      <c r="AD47" s="3310"/>
      <c r="AE47" s="3310"/>
      <c r="AF47" s="3311"/>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09">
        <f>Application!AO649-MIN('Sources and Uses Budget'!B15,Application!AG394)</f>
        <v>44282929</v>
      </c>
      <c r="AC48" s="3310"/>
      <c r="AD48" s="3310"/>
      <c r="AE48" s="3310"/>
      <c r="AF48" s="3311"/>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09">
        <f>AB47-AB48</f>
        <v>36382130</v>
      </c>
      <c r="AC49" s="3310"/>
      <c r="AD49" s="3310"/>
      <c r="AE49" s="3310"/>
      <c r="AF49" s="3311"/>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
      <c r="A50" s="615"/>
      <c r="B50" s="615"/>
      <c r="C50" s="615"/>
      <c r="D50" s="620" t="s">
        <v>716</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97">
        <f>AB49/(Y41*10)</f>
        <v>0.93516364148572817</v>
      </c>
      <c r="AC50" s="3298"/>
      <c r="AD50" s="3298"/>
      <c r="AE50" s="3298"/>
      <c r="AF50" s="3299"/>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08" t="s">
        <v>2291</v>
      </c>
      <c r="F51" s="3308"/>
      <c r="G51" s="3308"/>
      <c r="H51" s="3308"/>
      <c r="I51" s="3308"/>
      <c r="J51" s="3308"/>
      <c r="K51" s="3308"/>
      <c r="L51" s="3308"/>
      <c r="M51" s="3308"/>
      <c r="N51" s="3308"/>
      <c r="O51" s="3308"/>
      <c r="P51" s="3308"/>
      <c r="Q51" s="3308"/>
      <c r="R51" s="3308"/>
      <c r="S51" s="3308"/>
      <c r="T51" s="3308"/>
      <c r="U51" s="3308"/>
      <c r="V51" s="3308"/>
      <c r="W51" s="3308"/>
      <c r="X51" s="3308"/>
      <c r="Y51" s="3308"/>
      <c r="Z51" s="3308"/>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08"/>
      <c r="F52" s="3308"/>
      <c r="G52" s="3308"/>
      <c r="H52" s="3308"/>
      <c r="I52" s="3308"/>
      <c r="J52" s="3308"/>
      <c r="K52" s="3308"/>
      <c r="L52" s="3308"/>
      <c r="M52" s="3308"/>
      <c r="N52" s="3308"/>
      <c r="O52" s="3308"/>
      <c r="P52" s="3308"/>
      <c r="Q52" s="3308"/>
      <c r="R52" s="3308"/>
      <c r="S52" s="3308"/>
      <c r="T52" s="3308"/>
      <c r="U52" s="3308"/>
      <c r="V52" s="3308"/>
      <c r="W52" s="3308"/>
      <c r="X52" s="3308"/>
      <c r="Y52" s="3308"/>
      <c r="Z52" s="3308"/>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340</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09">
        <f>ROUND(IF(ISERROR((AB49/AB50)),0,(AB49/AB50)),0)</f>
        <v>38904560</v>
      </c>
      <c r="AC54" s="3310"/>
      <c r="AD54" s="3310"/>
      <c r="AE54" s="3310"/>
      <c r="AF54" s="3311"/>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341</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09">
        <f>(AB54/10)</f>
        <v>3890456</v>
      </c>
      <c r="AC55" s="3310"/>
      <c r="AD55" s="3310"/>
      <c r="AE55" s="3310"/>
      <c r="AF55" s="3311"/>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
      <c r="A56" s="615"/>
      <c r="B56" s="615"/>
      <c r="C56" s="615"/>
      <c r="D56" s="620" t="s">
        <v>795</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12">
        <f>(IF((Y41&lt;AB55),Y41,AB55))</f>
        <v>3890456</v>
      </c>
      <c r="AC56" s="3313"/>
      <c r="AD56" s="3313"/>
      <c r="AE56" s="3313"/>
      <c r="AF56" s="3314"/>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
      <c r="A57" s="615"/>
      <c r="B57" s="615"/>
      <c r="C57" s="615"/>
      <c r="D57" s="620" t="s">
        <v>794</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09">
        <f>ROUND((10*AB56*AB50),0)</f>
        <v>36382130</v>
      </c>
      <c r="AC57" s="3310"/>
      <c r="AD57" s="3310"/>
      <c r="AE57" s="3310"/>
      <c r="AF57" s="3311"/>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793</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93">
        <f>AB49-AB57</f>
        <v>0</v>
      </c>
      <c r="AC59" s="3293"/>
      <c r="AD59" s="3293"/>
      <c r="AE59" s="3293"/>
      <c r="AF59" s="3293"/>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15" t="str">
        <f>IF(Application!AP204="yes","Farmworker State Credit", "State Credit" )</f>
        <v>State Credit</v>
      </c>
      <c r="B61" s="3315"/>
      <c r="C61" s="3315"/>
      <c r="D61" s="3315"/>
      <c r="E61" s="3315"/>
      <c r="F61" s="3315"/>
      <c r="G61" s="3315"/>
      <c r="H61" s="3315"/>
      <c r="I61" s="3315"/>
      <c r="J61" s="3315"/>
      <c r="K61" s="3315"/>
      <c r="L61" s="3315"/>
      <c r="M61" s="3315"/>
      <c r="N61" s="3315"/>
      <c r="O61" s="3315"/>
      <c r="P61" s="3315"/>
      <c r="Q61" s="3315"/>
      <c r="R61" s="3315"/>
      <c r="S61" s="3315"/>
      <c r="T61" s="3315"/>
      <c r="U61" s="3315"/>
      <c r="V61" s="3315"/>
      <c r="W61" s="3315"/>
      <c r="X61" s="3315"/>
      <c r="Y61" s="3315"/>
      <c r="Z61" s="3315"/>
      <c r="AA61" s="3315"/>
      <c r="AB61" s="3315"/>
      <c r="AC61" s="3315"/>
      <c r="AD61" s="3315"/>
      <c r="AE61" s="3315"/>
      <c r="AF61" s="3315"/>
      <c r="AG61" s="3315"/>
      <c r="AH61" s="3315"/>
      <c r="AI61" s="3315"/>
      <c r="AJ61" s="3315"/>
      <c r="AK61" s="3315"/>
      <c r="AL61" s="3315"/>
      <c r="AM61" s="3315"/>
      <c r="AN61" s="3315"/>
      <c r="AO61" s="3315"/>
      <c r="AP61" s="3315"/>
      <c r="AQ61" s="3315"/>
      <c r="AR61" s="3315"/>
      <c r="AS61" s="3315"/>
      <c r="AT61" s="3315"/>
      <c r="AU61" s="3315"/>
      <c r="AV61" s="3315"/>
      <c r="AW61" s="3315"/>
      <c r="AX61" s="3315"/>
      <c r="AY61" s="3315"/>
      <c r="AZ61" s="3315"/>
      <c r="BA61" s="3315"/>
      <c r="BB61" s="3315"/>
      <c r="BC61" s="3315"/>
      <c r="BD61" s="3315"/>
      <c r="BE61" s="3315"/>
      <c r="BF61" s="3315"/>
      <c r="BG61" s="3315"/>
      <c r="BH61" s="3315"/>
      <c r="BI61" s="3315"/>
      <c r="BJ61" s="3315"/>
      <c r="BK61" s="3315"/>
      <c r="BL61" s="3315"/>
      <c r="BM61" s="3315"/>
      <c r="BN61" s="3315"/>
      <c r="BO61" s="3315"/>
      <c r="BP61" s="3315"/>
      <c r="BQ61" s="3315"/>
      <c r="BR61" s="3315"/>
      <c r="BS61" s="3315"/>
      <c r="BT61" s="3315"/>
      <c r="BU61" s="3315"/>
      <c r="BV61" s="3315"/>
      <c r="BW61" s="3315"/>
      <c r="BX61" s="331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0" t="s">
        <v>622</v>
      </c>
      <c r="B63" s="615"/>
      <c r="C63" s="326" t="s">
        <v>1472</v>
      </c>
      <c r="D63" s="615"/>
      <c r="E63" s="615"/>
      <c r="F63" s="615"/>
      <c r="G63" s="615"/>
      <c r="H63" s="615"/>
      <c r="I63" s="615"/>
      <c r="J63" s="615"/>
      <c r="K63" s="615"/>
      <c r="L63" s="615"/>
      <c r="M63" s="615"/>
      <c r="N63" s="615"/>
      <c r="O63" s="615"/>
      <c r="P63" s="615"/>
      <c r="Q63" s="615"/>
      <c r="R63" s="615"/>
      <c r="S63" s="615"/>
      <c r="T63" s="615"/>
      <c r="U63" s="615"/>
      <c r="V63" s="615"/>
      <c r="W63" s="615"/>
      <c r="X63" s="615"/>
      <c r="Y63" s="3304" t="s">
        <v>1061</v>
      </c>
      <c r="Z63" s="3304"/>
      <c r="AA63" s="3304"/>
      <c r="AB63" s="3304"/>
      <c r="AC63" s="3304"/>
      <c r="AD63" s="3304" t="s">
        <v>379</v>
      </c>
      <c r="AE63" s="3304"/>
      <c r="AF63" s="3304"/>
      <c r="AG63" s="3304"/>
      <c r="AH63" s="3304"/>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
      <c r="A64" s="615"/>
      <c r="B64" s="615"/>
      <c r="C64" s="640"/>
      <c r="D64" s="641" t="s">
        <v>1473</v>
      </c>
      <c r="E64" s="642"/>
      <c r="F64" s="642"/>
      <c r="G64" s="642"/>
      <c r="H64" s="642"/>
      <c r="I64" s="642"/>
      <c r="J64" s="642"/>
      <c r="K64" s="642"/>
      <c r="L64" s="643"/>
      <c r="M64" s="643"/>
      <c r="N64" s="643"/>
      <c r="O64" s="643"/>
      <c r="P64" s="643"/>
      <c r="Q64" s="643"/>
      <c r="R64" s="643"/>
      <c r="S64" s="643"/>
      <c r="T64" s="643"/>
      <c r="U64" s="643"/>
      <c r="V64" s="643"/>
      <c r="W64" s="643"/>
      <c r="X64" s="643"/>
      <c r="Y64" s="3305">
        <f>IF(Application!Z204="(select)",0,((T23*T27)+Y28))</f>
        <v>74816465</v>
      </c>
      <c r="Z64" s="3306"/>
      <c r="AA64" s="3306"/>
      <c r="AB64" s="3306"/>
      <c r="AC64" s="3307"/>
      <c r="AD64" s="3305">
        <f>IF(AND(Application!AP204="yes",Application!M357="yes"),AD28+AI28,0)</f>
        <v>0</v>
      </c>
      <c r="AE64" s="3306"/>
      <c r="AF64" s="3306"/>
      <c r="AG64" s="3306"/>
      <c r="AH64" s="3307"/>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7" t="s">
        <v>2289</v>
      </c>
      <c r="F65" s="1536"/>
      <c r="G65" s="1536"/>
      <c r="H65" s="1536"/>
      <c r="I65" s="1536"/>
      <c r="J65" s="1536"/>
      <c r="K65" s="1536"/>
      <c r="L65" s="1536"/>
      <c r="M65" s="1536"/>
      <c r="N65" s="1536"/>
      <c r="O65" s="1536"/>
      <c r="P65" s="1536"/>
      <c r="Q65" s="1536"/>
      <c r="R65" s="1536"/>
      <c r="S65" s="1536"/>
      <c r="T65" s="1536"/>
      <c r="U65" s="1536"/>
      <c r="V65" s="1536"/>
      <c r="W65" s="1536"/>
      <c r="X65" s="1536"/>
      <c r="Y65" s="1536"/>
      <c r="Z65" s="1536"/>
      <c r="AA65" s="1536"/>
      <c r="AB65" s="1536"/>
      <c r="AC65" s="1536"/>
      <c r="AD65" s="1536"/>
      <c r="AE65" s="1536"/>
      <c r="AF65" s="1536"/>
      <c r="AG65" s="1536"/>
      <c r="AH65" s="1536"/>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7" t="s">
        <v>2290</v>
      </c>
      <c r="F66" s="1536"/>
      <c r="G66" s="1536"/>
      <c r="H66" s="1536"/>
      <c r="I66" s="1536"/>
      <c r="J66" s="1536"/>
      <c r="K66" s="1536"/>
      <c r="L66" s="1536"/>
      <c r="M66" s="1536"/>
      <c r="N66" s="1536"/>
      <c r="O66" s="1536"/>
      <c r="P66" s="1536"/>
      <c r="Q66" s="1536"/>
      <c r="R66" s="1536"/>
      <c r="S66" s="1536"/>
      <c r="T66" s="1536"/>
      <c r="U66" s="1536"/>
      <c r="V66" s="1536"/>
      <c r="W66" s="1536"/>
      <c r="X66" s="1536"/>
      <c r="Y66" s="1536"/>
      <c r="Z66" s="1536"/>
      <c r="AA66" s="1536"/>
      <c r="AB66" s="1536"/>
      <c r="AC66" s="1536"/>
      <c r="AD66" s="1536"/>
      <c r="AE66" s="1536"/>
      <c r="AF66" s="1536"/>
      <c r="AG66" s="1536"/>
      <c r="AH66" s="1536"/>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
      <c r="A67" s="615"/>
      <c r="B67" s="615"/>
      <c r="C67" s="620"/>
      <c r="D67" s="620" t="s">
        <v>275</v>
      </c>
      <c r="E67" s="644"/>
      <c r="F67" s="644"/>
      <c r="G67" s="644"/>
      <c r="H67" s="644"/>
      <c r="I67" s="644"/>
      <c r="J67" s="644"/>
      <c r="K67" s="644"/>
      <c r="L67" s="644"/>
      <c r="M67" s="644"/>
      <c r="N67" s="644"/>
      <c r="O67" s="644"/>
      <c r="P67" s="644"/>
      <c r="Q67" s="644"/>
      <c r="R67" s="644"/>
      <c r="S67" s="644"/>
      <c r="T67" s="644"/>
      <c r="U67" s="644"/>
      <c r="V67" s="644"/>
      <c r="W67" s="644"/>
      <c r="X67" s="644"/>
      <c r="Y67" s="3294">
        <f>IF(Application!AP204="yes",0.75,IF(Application!Z203="15% set-aside",0.13,IF(Application!Z203="15% set-aside with qualifying low value rehab",0.95,0.3)))</f>
        <v>0.3</v>
      </c>
      <c r="Z67" s="3294"/>
      <c r="AA67" s="3294"/>
      <c r="AB67" s="3294"/>
      <c r="AC67" s="3294"/>
      <c r="AD67" s="3294">
        <f>IF(Application!AP204="yes",0.75,IF(Application!Z203="15% set-aside with qualifying low value rehab", 0.95,0.13))</f>
        <v>0.13</v>
      </c>
      <c r="AE67" s="3294"/>
      <c r="AF67" s="3294"/>
      <c r="AG67" s="3294"/>
      <c r="AH67" s="3294"/>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
      <c r="A68" s="615"/>
      <c r="B68" s="615"/>
      <c r="C68" s="620"/>
      <c r="D68" s="334" t="s">
        <v>1474</v>
      </c>
      <c r="E68" s="615"/>
      <c r="F68" s="615"/>
      <c r="G68" s="615"/>
      <c r="H68" s="615"/>
      <c r="I68" s="615"/>
      <c r="J68" s="615"/>
      <c r="K68" s="615"/>
      <c r="L68" s="615"/>
      <c r="M68" s="615"/>
      <c r="N68" s="615"/>
      <c r="O68" s="615"/>
      <c r="P68" s="615"/>
      <c r="Q68" s="615"/>
      <c r="R68" s="615"/>
      <c r="S68" s="615"/>
      <c r="T68" s="615"/>
      <c r="U68" s="615"/>
      <c r="V68" s="615"/>
      <c r="W68" s="615"/>
      <c r="X68" s="615"/>
      <c r="Y68" s="3295">
        <f>ROUND(Y64*Y67,0)</f>
        <v>22444940</v>
      </c>
      <c r="Z68" s="3296"/>
      <c r="AA68" s="3296"/>
      <c r="AB68" s="3296"/>
      <c r="AC68" s="3296"/>
      <c r="AD68" s="3295" t="str">
        <f>IF(Application!D210="At-Risk",AD64*AD67,"$0")</f>
        <v>$0</v>
      </c>
      <c r="AE68" s="3296"/>
      <c r="AF68" s="3296"/>
      <c r="AG68" s="3296"/>
      <c r="AH68" s="3296"/>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
      <c r="A70" s="620" t="s">
        <v>623</v>
      </c>
      <c r="B70" s="615"/>
      <c r="C70" s="334" t="s">
        <v>289</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
      <c r="A71" s="640"/>
      <c r="B71" s="616"/>
      <c r="C71" s="640"/>
      <c r="D71" s="330" t="s">
        <v>1475</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97"/>
      <c r="AC71" s="3298"/>
      <c r="AD71" s="3298"/>
      <c r="AE71" s="3298"/>
      <c r="AF71" s="3299"/>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00" t="s">
        <v>1476</v>
      </c>
      <c r="F72" s="3300"/>
      <c r="G72" s="3300"/>
      <c r="H72" s="3300"/>
      <c r="I72" s="3300"/>
      <c r="J72" s="3300"/>
      <c r="K72" s="3300"/>
      <c r="L72" s="3300"/>
      <c r="M72" s="3300"/>
      <c r="N72" s="3300"/>
      <c r="O72" s="3300"/>
      <c r="P72" s="3300"/>
      <c r="Q72" s="3300"/>
      <c r="R72" s="3300"/>
      <c r="S72" s="3300"/>
      <c r="T72" s="3300"/>
      <c r="U72" s="3300"/>
      <c r="V72" s="3300"/>
      <c r="W72" s="3300"/>
      <c r="X72" s="3300"/>
      <c r="Y72" s="3300"/>
      <c r="Z72" s="3300"/>
      <c r="AA72" s="3300"/>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00"/>
      <c r="F73" s="3300"/>
      <c r="G73" s="3300"/>
      <c r="H73" s="3300"/>
      <c r="I73" s="3300"/>
      <c r="J73" s="3300"/>
      <c r="K73" s="3300"/>
      <c r="L73" s="3300"/>
      <c r="M73" s="3300"/>
      <c r="N73" s="3300"/>
      <c r="O73" s="3300"/>
      <c r="P73" s="3300"/>
      <c r="Q73" s="3300"/>
      <c r="R73" s="3300"/>
      <c r="S73" s="3300"/>
      <c r="T73" s="3300"/>
      <c r="U73" s="3300"/>
      <c r="V73" s="3300"/>
      <c r="W73" s="3300"/>
      <c r="X73" s="3300"/>
      <c r="Y73" s="3300"/>
      <c r="Z73" s="3300"/>
      <c r="AA73" s="3300"/>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00"/>
      <c r="F74" s="3300"/>
      <c r="G74" s="3300"/>
      <c r="H74" s="3300"/>
      <c r="I74" s="3300"/>
      <c r="J74" s="3300"/>
      <c r="K74" s="3300"/>
      <c r="L74" s="3300"/>
      <c r="M74" s="3300"/>
      <c r="N74" s="3300"/>
      <c r="O74" s="3300"/>
      <c r="P74" s="3300"/>
      <c r="Q74" s="3300"/>
      <c r="R74" s="3300"/>
      <c r="S74" s="3300"/>
      <c r="T74" s="3300"/>
      <c r="U74" s="3300"/>
      <c r="V74" s="3300"/>
      <c r="W74" s="3300"/>
      <c r="X74" s="3300"/>
      <c r="Y74" s="3300"/>
      <c r="Z74" s="3300"/>
      <c r="AA74" s="3300"/>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1477</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88">
        <f>ROUND(IF(ISERROR((AB59/AB71)),0,(AB59/AB71)),0)</f>
        <v>0</v>
      </c>
      <c r="AC76" s="3288"/>
      <c r="AD76" s="3288"/>
      <c r="AE76" s="3288"/>
      <c r="AF76" s="3288"/>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1478</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89">
        <f>IF((Y68+AD68&lt;AB76),Y68+AD68,AB76)</f>
        <v>0</v>
      </c>
      <c r="AC77" s="3290"/>
      <c r="AD77" s="3290"/>
      <c r="AE77" s="3290"/>
      <c r="AF77" s="3291"/>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1479</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92">
        <f>AB77*AB71</f>
        <v>0</v>
      </c>
      <c r="AC78" s="3292"/>
      <c r="AD78" s="3292"/>
      <c r="AE78" s="3292"/>
      <c r="AF78" s="3292"/>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793</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93">
        <f>AB49-(AB57+AB78)</f>
        <v>0</v>
      </c>
      <c r="AC80" s="3293"/>
      <c r="AD80" s="3293"/>
      <c r="AE80" s="3293"/>
      <c r="AF80" s="3293"/>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15"/>
      <c r="B83" s="3315"/>
      <c r="C83" s="3315"/>
      <c r="D83" s="3315"/>
      <c r="E83" s="3315"/>
      <c r="F83" s="3315"/>
      <c r="G83" s="3315"/>
      <c r="H83" s="3315"/>
      <c r="I83" s="3315"/>
      <c r="J83" s="3315"/>
      <c r="K83" s="3315"/>
      <c r="L83" s="3315"/>
      <c r="M83" s="3315"/>
      <c r="N83" s="3315"/>
      <c r="O83" s="3315"/>
      <c r="P83" s="3315"/>
      <c r="Q83" s="3315"/>
      <c r="R83" s="3315"/>
      <c r="S83" s="3315"/>
      <c r="T83" s="3315"/>
      <c r="U83" s="3315"/>
      <c r="V83" s="3315"/>
      <c r="W83" s="3315"/>
      <c r="X83" s="3315"/>
      <c r="Y83" s="3315"/>
      <c r="Z83" s="3315"/>
      <c r="AA83" s="3315"/>
      <c r="AB83" s="3315"/>
      <c r="AC83" s="3315"/>
      <c r="AD83" s="3315"/>
      <c r="AE83" s="3315"/>
      <c r="AF83" s="3315"/>
      <c r="AG83" s="3315"/>
      <c r="AH83" s="3315"/>
      <c r="AI83" s="3315"/>
      <c r="AJ83" s="3315"/>
      <c r="AK83" s="3315"/>
      <c r="AL83" s="3315"/>
      <c r="AM83" s="3315"/>
      <c r="AN83" s="3315"/>
      <c r="AO83" s="3315"/>
      <c r="AP83" s="3315"/>
      <c r="AQ83" s="3315"/>
      <c r="AR83" s="3315"/>
      <c r="AS83" s="3315"/>
      <c r="AT83" s="3315"/>
      <c r="AU83" s="3315"/>
      <c r="AV83" s="3315"/>
      <c r="AW83" s="3315"/>
      <c r="AX83" s="3315"/>
      <c r="AY83" s="3315"/>
      <c r="AZ83" s="3315"/>
      <c r="BA83" s="3315"/>
      <c r="BB83" s="3315"/>
      <c r="BC83" s="3315"/>
      <c r="BD83" s="3315"/>
      <c r="BE83" s="3315"/>
      <c r="BF83" s="3315"/>
      <c r="BG83" s="3315"/>
      <c r="BH83" s="3315"/>
      <c r="BI83" s="3315"/>
      <c r="BJ83" s="3315"/>
      <c r="BK83" s="3315"/>
      <c r="BL83" s="3315"/>
      <c r="BM83" s="3315"/>
      <c r="BN83" s="3315"/>
      <c r="BO83" s="3315"/>
      <c r="BP83" s="3315"/>
      <c r="BQ83" s="3315"/>
      <c r="BR83" s="3315"/>
      <c r="BS83" s="3315"/>
      <c r="BT83" s="3315"/>
      <c r="BU83" s="3315"/>
      <c r="BV83" s="3315"/>
      <c r="BW83" s="3315"/>
      <c r="BX83" s="3315"/>
    </row>
    <row r="84" spans="1:98" ht="13" thickTop="1"/>
    <row r="85" spans="1:98" ht="13">
      <c r="A85" s="792"/>
      <c r="C85" s="334"/>
      <c r="Z85" s="617"/>
      <c r="AA85" s="617"/>
      <c r="AB85" s="617"/>
      <c r="AC85" s="617"/>
      <c r="AD85" s="617"/>
      <c r="AE85" s="617"/>
      <c r="AF85" s="617"/>
      <c r="AG85" s="617"/>
      <c r="AH85" s="617"/>
    </row>
    <row r="86" spans="1:98" ht="13">
      <c r="D86" s="334"/>
      <c r="Z86" s="617"/>
      <c r="AA86" s="617"/>
      <c r="AB86" s="3356"/>
      <c r="AC86" s="3356"/>
      <c r="AD86" s="3356"/>
      <c r="AE86" s="3356"/>
      <c r="AF86" s="3356"/>
      <c r="AG86" s="617"/>
      <c r="AH86" s="617"/>
    </row>
    <row r="87" spans="1:98" ht="13.5" thickBot="1">
      <c r="D87" s="334"/>
      <c r="Z87" s="617"/>
      <c r="AA87" s="617"/>
      <c r="AB87" s="3355"/>
      <c r="AC87" s="3355"/>
      <c r="AD87" s="3355"/>
      <c r="AE87" s="3355"/>
      <c r="AF87" s="3355"/>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 thickTop="1">
      <c r="Z88" s="617"/>
      <c r="AA88" s="617"/>
      <c r="AB88" s="617"/>
      <c r="AC88" s="617"/>
      <c r="AD88" s="617"/>
      <c r="AE88" s="617"/>
      <c r="AF88" s="617"/>
      <c r="AG88" s="617"/>
      <c r="AH88" s="617"/>
    </row>
    <row r="89" spans="1:98" ht="12.5" hidden="1"/>
    <row r="90" spans="1:98" ht="12.5" hidden="1"/>
    <row r="91" spans="1:98" ht="12.5" hidden="1"/>
    <row r="92" spans="1:98" ht="12.5" hidden="1"/>
    <row r="93" spans="1:98" ht="12.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80" zoomScaleNormal="80" zoomScaleSheetLayoutView="100" workbookViewId="0">
      <selection activeCell="E42" sqref="E42"/>
    </sheetView>
  </sheetViews>
  <sheetFormatPr defaultColWidth="0" defaultRowHeight="12.5" zeroHeight="1"/>
  <cols>
    <col min="1" max="1" width="3.453125" customWidth="1"/>
    <col min="2" max="2" width="27.453125" customWidth="1"/>
    <col min="3" max="3" width="9.1796875" style="347"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 min="35" max="35" width="0" hidden="1" customWidth="1"/>
    <col min="36" max="16384" width="8.81640625" hidden="1"/>
  </cols>
  <sheetData>
    <row r="1" spans="1:34" ht="18">
      <c r="A1" s="340" t="s">
        <v>935</v>
      </c>
      <c r="B1" s="340"/>
    </row>
    <row r="2" spans="1:34"/>
    <row r="3" spans="1:34" ht="15.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
      <c r="A4" s="354" t="s">
        <v>898</v>
      </c>
      <c r="C4" s="374">
        <v>1.0249999999999999</v>
      </c>
      <c r="E4" s="354">
        <f>Application!Y799</f>
        <v>1787424</v>
      </c>
      <c r="G4" s="354">
        <f>E4*$C$4</f>
        <v>1832109.5999999999</v>
      </c>
      <c r="I4" s="354">
        <f>G4*$C$4</f>
        <v>1877912.3399999996</v>
      </c>
      <c r="K4" s="354">
        <f>I4*$C$4</f>
        <v>1924860.1484999994</v>
      </c>
      <c r="M4" s="354">
        <f>K4*$C$4</f>
        <v>1972981.6522124992</v>
      </c>
      <c r="O4" s="354">
        <f>M4*$C$4</f>
        <v>2022306.1935178114</v>
      </c>
      <c r="Q4" s="354">
        <f>O4*$C$4</f>
        <v>2072863.8483557564</v>
      </c>
      <c r="S4" s="354">
        <f>Q4*$C$4</f>
        <v>2124685.4445646503</v>
      </c>
      <c r="U4" s="354">
        <f>S4*$C$4</f>
        <v>2177802.5806787666</v>
      </c>
      <c r="W4" s="354">
        <f>U4*$C$4</f>
        <v>2232247.6451957356</v>
      </c>
      <c r="Y4" s="354">
        <f>W4*$C$4</f>
        <v>2288053.8363256287</v>
      </c>
      <c r="AA4" s="354">
        <f>Y4*$C$4</f>
        <v>2345255.182233769</v>
      </c>
      <c r="AC4" s="354">
        <f>AA4*$C$4</f>
        <v>2403886.5617896132</v>
      </c>
      <c r="AE4" s="354">
        <f>AC4*$C$4</f>
        <v>2463983.7258343534</v>
      </c>
      <c r="AG4" s="354">
        <f>AE4*$C$4</f>
        <v>2525583.3189802119</v>
      </c>
    </row>
    <row r="5" spans="1:34" s="339" customFormat="1" ht="14">
      <c r="B5" s="339" t="s">
        <v>899</v>
      </c>
      <c r="C5" s="375">
        <f>IF(Application!$D$210="Special Needs",0.1,0.05)</f>
        <v>0.05</v>
      </c>
      <c r="E5" s="356">
        <f>-E4*$C$5</f>
        <v>-89371.200000000012</v>
      </c>
      <c r="F5" s="356"/>
      <c r="G5" s="356">
        <f>-G4*$C$5</f>
        <v>-91605.48</v>
      </c>
      <c r="H5" s="356"/>
      <c r="I5" s="356">
        <f>-I4*$C$5</f>
        <v>-93895.616999999984</v>
      </c>
      <c r="J5" s="356"/>
      <c r="K5" s="356">
        <f>-K4*$C$5</f>
        <v>-96243.007424999974</v>
      </c>
      <c r="L5" s="356"/>
      <c r="M5" s="356">
        <f>-M4*$C$5</f>
        <v>-98649.082610624959</v>
      </c>
      <c r="N5" s="356"/>
      <c r="O5" s="356">
        <f>-O4*$C$5</f>
        <v>-101115.30967589057</v>
      </c>
      <c r="P5" s="356"/>
      <c r="Q5" s="356">
        <f>-Q4*$C$5</f>
        <v>-103643.19241778782</v>
      </c>
      <c r="R5" s="356"/>
      <c r="S5" s="356">
        <f>-S4*$C$5</f>
        <v>-106234.27222823253</v>
      </c>
      <c r="T5" s="356"/>
      <c r="U5" s="356">
        <f>-U4*$C$5</f>
        <v>-108890.12903393834</v>
      </c>
      <c r="V5" s="356"/>
      <c r="W5" s="356">
        <f>-W4*$C$5</f>
        <v>-111612.38225978678</v>
      </c>
      <c r="X5" s="356"/>
      <c r="Y5" s="356">
        <f>-Y4*$C$5</f>
        <v>-114402.69181628144</v>
      </c>
      <c r="Z5" s="356"/>
      <c r="AA5" s="356">
        <f>-AA4*$C$5</f>
        <v>-117262.75911168846</v>
      </c>
      <c r="AB5" s="356"/>
      <c r="AC5" s="356">
        <f>-AC4*$C$5</f>
        <v>-120194.32808948067</v>
      </c>
      <c r="AD5" s="356"/>
      <c r="AE5" s="356">
        <f>-AE4*$C$5</f>
        <v>-123199.18629171768</v>
      </c>
      <c r="AF5" s="356"/>
      <c r="AG5" s="356">
        <f>-AG4*$C$5</f>
        <v>-126279.1659490106</v>
      </c>
    </row>
    <row r="6" spans="1:34" s="339" customFormat="1" ht="14">
      <c r="A6" s="339" t="s">
        <v>897</v>
      </c>
      <c r="C6" s="374">
        <v>1.0249999999999999</v>
      </c>
      <c r="E6" s="357">
        <f>Application!Z807</f>
        <v>312864</v>
      </c>
      <c r="F6" s="357"/>
      <c r="G6" s="357">
        <f>E6*$C$6</f>
        <v>320685.59999999998</v>
      </c>
      <c r="H6" s="357"/>
      <c r="I6" s="357">
        <f>G6*$C$6</f>
        <v>328702.73999999993</v>
      </c>
      <c r="J6" s="357"/>
      <c r="K6" s="357">
        <f>I6*$C$6</f>
        <v>336920.30849999993</v>
      </c>
      <c r="L6" s="357"/>
      <c r="M6" s="357">
        <f>K6*$C$6</f>
        <v>345343.31621249992</v>
      </c>
      <c r="N6" s="357"/>
      <c r="O6" s="357">
        <f>M6*$C$6</f>
        <v>353976.8991178124</v>
      </c>
      <c r="P6" s="357"/>
      <c r="Q6" s="357">
        <f>O6*$C$6</f>
        <v>362826.32159575768</v>
      </c>
      <c r="R6" s="357"/>
      <c r="S6" s="357">
        <f>Q6*$C$6</f>
        <v>371896.97963565157</v>
      </c>
      <c r="T6" s="357"/>
      <c r="U6" s="357">
        <f>S6*$C$6</f>
        <v>381194.40412654285</v>
      </c>
      <c r="V6" s="357"/>
      <c r="W6" s="357">
        <f>U6*$C$6</f>
        <v>390724.26422970637</v>
      </c>
      <c r="X6" s="357"/>
      <c r="Y6" s="357">
        <f>W6*$C$6</f>
        <v>400492.37083544902</v>
      </c>
      <c r="Z6" s="357"/>
      <c r="AA6" s="357">
        <f>Y6*$C$6</f>
        <v>410504.6801063352</v>
      </c>
      <c r="AB6" s="357"/>
      <c r="AC6" s="357">
        <f>AA6*$C$6</f>
        <v>420767.29710899357</v>
      </c>
      <c r="AD6" s="357"/>
      <c r="AE6" s="357">
        <f>AC6*$C$6</f>
        <v>431286.4795367184</v>
      </c>
      <c r="AF6" s="357"/>
      <c r="AG6" s="357">
        <f>AE6*$C$6</f>
        <v>442068.64152513631</v>
      </c>
    </row>
    <row r="7" spans="1:34" s="339" customFormat="1" ht="14">
      <c r="B7" s="339" t="s">
        <v>899</v>
      </c>
      <c r="C7" s="375">
        <f>IF(Application!$D$210="Special Needs",0.1,0.05)</f>
        <v>0.05</v>
      </c>
      <c r="E7" s="356">
        <f>-E6*$C$7</f>
        <v>-15643.2</v>
      </c>
      <c r="F7" s="356"/>
      <c r="G7" s="356">
        <f>-G6*$C$7</f>
        <v>-16034.279999999999</v>
      </c>
      <c r="H7" s="356"/>
      <c r="I7" s="356">
        <f>-I6*$C$7</f>
        <v>-16435.136999999999</v>
      </c>
      <c r="J7" s="356"/>
      <c r="K7" s="356">
        <f>-K6*$C$7</f>
        <v>-16846.015424999998</v>
      </c>
      <c r="L7" s="356"/>
      <c r="M7" s="356">
        <f>-M6*$C$7</f>
        <v>-17267.165810624996</v>
      </c>
      <c r="N7" s="356"/>
      <c r="O7" s="356">
        <f>-O6*$C$7</f>
        <v>-17698.844955890621</v>
      </c>
      <c r="P7" s="356"/>
      <c r="Q7" s="356">
        <f>-Q6*$C$7</f>
        <v>-18141.316079787885</v>
      </c>
      <c r="R7" s="356"/>
      <c r="S7" s="356">
        <f>-S6*$C$7</f>
        <v>-18594.848981782579</v>
      </c>
      <c r="T7" s="356"/>
      <c r="U7" s="356">
        <f>-U6*$C$7</f>
        <v>-19059.720206327143</v>
      </c>
      <c r="V7" s="356"/>
      <c r="W7" s="356">
        <f>-W6*$C$7</f>
        <v>-19536.213211485319</v>
      </c>
      <c r="X7" s="356"/>
      <c r="Y7" s="356">
        <f>-Y6*$C$7</f>
        <v>-20024.618541772452</v>
      </c>
      <c r="Z7" s="356"/>
      <c r="AA7" s="356">
        <f>-AA6*$C$7</f>
        <v>-20525.234005316761</v>
      </c>
      <c r="AB7" s="356"/>
      <c r="AC7" s="356">
        <f>-AC6*$C$7</f>
        <v>-21038.364855449679</v>
      </c>
      <c r="AD7" s="356"/>
      <c r="AE7" s="356">
        <f>-AE6*$C$7</f>
        <v>-21564.32397683592</v>
      </c>
      <c r="AF7" s="356"/>
      <c r="AG7" s="356">
        <f>-AG6*$C$7</f>
        <v>-22103.432076256817</v>
      </c>
    </row>
    <row r="8" spans="1:34" s="339" customFormat="1" ht="14">
      <c r="A8" s="339" t="s">
        <v>295</v>
      </c>
      <c r="C8" s="374">
        <v>1.0249999999999999</v>
      </c>
      <c r="E8" s="357">
        <f>Application!Z815</f>
        <v>6240</v>
      </c>
      <c r="F8" s="357"/>
      <c r="G8" s="357">
        <f>E8*$C$8</f>
        <v>6395.9999999999991</v>
      </c>
      <c r="H8" s="357"/>
      <c r="I8" s="357">
        <f>G8*$C$8</f>
        <v>6555.8999999999987</v>
      </c>
      <c r="J8" s="357"/>
      <c r="K8" s="357">
        <f>I8*$C$8</f>
        <v>6719.7974999999979</v>
      </c>
      <c r="L8" s="357"/>
      <c r="M8" s="357">
        <f>K8*$C$8</f>
        <v>6887.7924374999975</v>
      </c>
      <c r="N8" s="357"/>
      <c r="O8" s="357">
        <f>M8*$C$8</f>
        <v>7059.9872484374964</v>
      </c>
      <c r="P8" s="357"/>
      <c r="Q8" s="357">
        <f>O8*$C$8</f>
        <v>7236.486929648433</v>
      </c>
      <c r="R8" s="357"/>
      <c r="S8" s="357">
        <f>Q8*$C$8</f>
        <v>7417.3991028896435</v>
      </c>
      <c r="T8" s="357"/>
      <c r="U8" s="357">
        <f>S8*$C$8</f>
        <v>7602.8340804618838</v>
      </c>
      <c r="V8" s="357"/>
      <c r="W8" s="357">
        <f>U8*$C$8</f>
        <v>7792.9049324734306</v>
      </c>
      <c r="X8" s="357"/>
      <c r="Y8" s="357">
        <f>W8*$C$8</f>
        <v>7987.7275557852654</v>
      </c>
      <c r="Z8" s="357"/>
      <c r="AA8" s="357">
        <f>Y8*$C$8</f>
        <v>8187.4207446798964</v>
      </c>
      <c r="AB8" s="357"/>
      <c r="AC8" s="357">
        <f>AA8*$C$8</f>
        <v>8392.1062632968933</v>
      </c>
      <c r="AD8" s="357"/>
      <c r="AE8" s="357">
        <f>AC8*$C$8</f>
        <v>8601.9089198793154</v>
      </c>
      <c r="AF8" s="357"/>
      <c r="AG8" s="357">
        <f>AE8*$C$8</f>
        <v>8816.9566428762973</v>
      </c>
    </row>
    <row r="9" spans="1:34" s="339" customFormat="1" ht="14">
      <c r="B9" s="339" t="s">
        <v>899</v>
      </c>
      <c r="C9" s="375">
        <f>IF(Application!$D$210="Special Needs",0.1,0.05)</f>
        <v>0.05</v>
      </c>
      <c r="E9" s="373">
        <f>-E8*$C$9</f>
        <v>-312</v>
      </c>
      <c r="F9" s="356"/>
      <c r="G9" s="373">
        <f>-G8*$C$9</f>
        <v>-319.79999999999995</v>
      </c>
      <c r="H9" s="356"/>
      <c r="I9" s="373">
        <f>-I8*$C$9</f>
        <v>-327.79499999999996</v>
      </c>
      <c r="J9" s="356"/>
      <c r="K9" s="373">
        <f>-K8*$C$9</f>
        <v>-335.98987499999993</v>
      </c>
      <c r="L9" s="356"/>
      <c r="M9" s="373">
        <f>-M8*$C$9</f>
        <v>-344.38962187499988</v>
      </c>
      <c r="N9" s="356"/>
      <c r="O9" s="373">
        <f>-O8*$C$9</f>
        <v>-352.99936242187482</v>
      </c>
      <c r="P9" s="356"/>
      <c r="Q9" s="373">
        <f>-Q8*$C$9</f>
        <v>-361.82434648242167</v>
      </c>
      <c r="R9" s="356"/>
      <c r="S9" s="373">
        <f>-S8*$C$9</f>
        <v>-370.86995514448222</v>
      </c>
      <c r="T9" s="356"/>
      <c r="U9" s="373">
        <f>-U8*$C$9</f>
        <v>-380.14170402309423</v>
      </c>
      <c r="V9" s="356"/>
      <c r="W9" s="373">
        <f>-W8*$C$9</f>
        <v>-389.64524662367154</v>
      </c>
      <c r="X9" s="356"/>
      <c r="Y9" s="373">
        <f>-Y8*$C$9</f>
        <v>-399.38637778926329</v>
      </c>
      <c r="Z9" s="356"/>
      <c r="AA9" s="373">
        <f>-AA8*$C$9</f>
        <v>-409.37103723399485</v>
      </c>
      <c r="AB9" s="356"/>
      <c r="AC9" s="373">
        <f>-AC8*$C$9</f>
        <v>-419.60531316484469</v>
      </c>
      <c r="AD9" s="356"/>
      <c r="AE9" s="373">
        <f>-AE8*$C$9</f>
        <v>-430.09544599396577</v>
      </c>
      <c r="AF9" s="356"/>
      <c r="AG9" s="373">
        <f>-AG8*$C$9</f>
        <v>-440.84783214381491</v>
      </c>
    </row>
    <row r="10" spans="1:34" s="358" customFormat="1" ht="14">
      <c r="A10" s="358" t="s">
        <v>920</v>
      </c>
      <c r="C10" s="349"/>
      <c r="E10" s="358">
        <f>SUM(E4:E9)</f>
        <v>2001201.6</v>
      </c>
      <c r="G10" s="358">
        <f>SUM(G4:G9)</f>
        <v>2051231.6399999997</v>
      </c>
      <c r="I10" s="358">
        <f>SUM(I4:I9)</f>
        <v>2102512.4309999994</v>
      </c>
      <c r="K10" s="358">
        <f>SUM(K4:K9)</f>
        <v>2155075.2417749995</v>
      </c>
      <c r="M10" s="358">
        <f>SUM(M4:M9)</f>
        <v>2208952.1228193743</v>
      </c>
      <c r="O10" s="358">
        <f>SUM(O4:O9)</f>
        <v>2264175.9258898585</v>
      </c>
      <c r="Q10" s="358">
        <f>SUM(Q4:Q9)</f>
        <v>2320780.3240371044</v>
      </c>
      <c r="S10" s="358">
        <f>SUM(S4:S9)</f>
        <v>2378799.8321380317</v>
      </c>
      <c r="U10" s="358">
        <f>SUM(U4:U9)</f>
        <v>2438269.8279414829</v>
      </c>
      <c r="W10" s="358">
        <f>SUM(W4:W9)</f>
        <v>2499226.5736400201</v>
      </c>
      <c r="Y10" s="358">
        <f>SUM(Y4:Y9)</f>
        <v>2561707.23798102</v>
      </c>
      <c r="AA10" s="358">
        <f>SUM(AA4:AA9)</f>
        <v>2625749.918930545</v>
      </c>
      <c r="AC10" s="358">
        <f>SUM(AC4:AC9)</f>
        <v>2691393.6669038082</v>
      </c>
      <c r="AE10" s="358">
        <f>SUM(AE4:AE9)</f>
        <v>2758678.5085764038</v>
      </c>
      <c r="AG10" s="358">
        <f>SUM(AG4:AG9)</f>
        <v>2827645.4712908133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902</v>
      </c>
      <c r="C14" s="369"/>
      <c r="E14" s="354">
        <f>Application!W845</f>
        <v>223836</v>
      </c>
      <c r="G14" s="354">
        <f>E14*$C$13</f>
        <v>231670.25999999998</v>
      </c>
      <c r="I14" s="354">
        <f>G14*$C$13</f>
        <v>239778.71909999996</v>
      </c>
      <c r="K14" s="354">
        <f>I14*$C$13</f>
        <v>248170.97426849994</v>
      </c>
      <c r="M14" s="354">
        <f>K14*$C$13</f>
        <v>256856.9583678974</v>
      </c>
      <c r="O14" s="354">
        <f>M14*$C$13</f>
        <v>265846.95191077382</v>
      </c>
      <c r="Q14" s="354">
        <f>O14*$C$13</f>
        <v>275151.59522765089</v>
      </c>
      <c r="S14" s="354">
        <f>Q14*$C$13</f>
        <v>284781.90106061863</v>
      </c>
      <c r="U14" s="354">
        <f>S14*$C$13</f>
        <v>294749.26759774028</v>
      </c>
      <c r="W14" s="354">
        <f>U14*$C$13</f>
        <v>305065.49196366116</v>
      </c>
      <c r="Y14" s="354">
        <f>W14*$C$13</f>
        <v>315742.78418238927</v>
      </c>
      <c r="AA14" s="354">
        <f>Y14*$C$13</f>
        <v>326793.78162877285</v>
      </c>
      <c r="AC14" s="354">
        <f>AA14*$C$13</f>
        <v>338231.56398577988</v>
      </c>
      <c r="AE14" s="354">
        <f>AC14*$C$13</f>
        <v>350069.66872528213</v>
      </c>
      <c r="AG14" s="354">
        <f>AE14*$C$13</f>
        <v>362322.10713066696</v>
      </c>
    </row>
    <row r="15" spans="1:34" s="339" customFormat="1" ht="14">
      <c r="A15" s="339" t="s">
        <v>353</v>
      </c>
      <c r="C15" s="368"/>
      <c r="E15" s="357">
        <f>Application!W847</f>
        <v>87360</v>
      </c>
      <c r="F15" s="357"/>
      <c r="G15" s="357">
        <f t="shared" ref="G15:AG20" si="0">E15*$C$13</f>
        <v>90417.599999999991</v>
      </c>
      <c r="H15" s="357"/>
      <c r="I15" s="357">
        <f t="shared" si="0"/>
        <v>93582.215999999986</v>
      </c>
      <c r="J15" s="357"/>
      <c r="K15" s="357">
        <f t="shared" si="0"/>
        <v>96857.593559999979</v>
      </c>
      <c r="L15" s="357"/>
      <c r="M15" s="357">
        <f t="shared" si="0"/>
        <v>100247.60933459997</v>
      </c>
      <c r="N15" s="357"/>
      <c r="O15" s="357">
        <f t="shared" si="0"/>
        <v>103756.27566131097</v>
      </c>
      <c r="P15" s="357"/>
      <c r="Q15" s="357">
        <f t="shared" si="0"/>
        <v>107387.74530945685</v>
      </c>
      <c r="R15" s="357"/>
      <c r="S15" s="357">
        <f t="shared" si="0"/>
        <v>111146.31639528782</v>
      </c>
      <c r="T15" s="357"/>
      <c r="U15" s="357">
        <f t="shared" si="0"/>
        <v>115036.43746912289</v>
      </c>
      <c r="V15" s="357"/>
      <c r="W15" s="357">
        <f t="shared" si="0"/>
        <v>119062.71278054218</v>
      </c>
      <c r="X15" s="357"/>
      <c r="Y15" s="357">
        <f t="shared" si="0"/>
        <v>123229.90772786114</v>
      </c>
      <c r="Z15" s="357"/>
      <c r="AA15" s="357">
        <f t="shared" si="0"/>
        <v>127542.95449833627</v>
      </c>
      <c r="AB15" s="357"/>
      <c r="AC15" s="357">
        <f t="shared" si="0"/>
        <v>132006.95790577802</v>
      </c>
      <c r="AD15" s="357"/>
      <c r="AE15" s="357">
        <f t="shared" si="0"/>
        <v>136627.20143248024</v>
      </c>
      <c r="AF15" s="357"/>
      <c r="AG15" s="357">
        <f t="shared" si="0"/>
        <v>141409.15348261705</v>
      </c>
    </row>
    <row r="16" spans="1:34" s="339" customFormat="1" ht="14">
      <c r="A16" s="339" t="s">
        <v>592</v>
      </c>
      <c r="C16" s="368"/>
      <c r="E16" s="357">
        <f>Application!W853</f>
        <v>222960</v>
      </c>
      <c r="F16" s="357"/>
      <c r="G16" s="357">
        <f t="shared" si="0"/>
        <v>230763.59999999998</v>
      </c>
      <c r="H16" s="357"/>
      <c r="I16" s="357">
        <f t="shared" si="0"/>
        <v>238840.32599999997</v>
      </c>
      <c r="J16" s="357"/>
      <c r="K16" s="357">
        <f t="shared" si="0"/>
        <v>247199.73740999994</v>
      </c>
      <c r="L16" s="357"/>
      <c r="M16" s="357">
        <f t="shared" si="0"/>
        <v>255851.72821934993</v>
      </c>
      <c r="N16" s="357"/>
      <c r="O16" s="357">
        <f t="shared" si="0"/>
        <v>264806.53870702715</v>
      </c>
      <c r="P16" s="357"/>
      <c r="Q16" s="357">
        <f t="shared" si="0"/>
        <v>274074.76756177307</v>
      </c>
      <c r="R16" s="357"/>
      <c r="S16" s="357">
        <f t="shared" si="0"/>
        <v>283667.38442643511</v>
      </c>
      <c r="T16" s="357"/>
      <c r="U16" s="357">
        <f t="shared" si="0"/>
        <v>293595.74288136029</v>
      </c>
      <c r="V16" s="357"/>
      <c r="W16" s="357">
        <f t="shared" si="0"/>
        <v>303871.59388220788</v>
      </c>
      <c r="X16" s="357"/>
      <c r="Y16" s="357">
        <f t="shared" si="0"/>
        <v>314507.09966808511</v>
      </c>
      <c r="Z16" s="357"/>
      <c r="AA16" s="357">
        <f t="shared" si="0"/>
        <v>325514.84815646807</v>
      </c>
      <c r="AB16" s="357"/>
      <c r="AC16" s="357">
        <f t="shared" si="0"/>
        <v>336907.86784194445</v>
      </c>
      <c r="AD16" s="357"/>
      <c r="AE16" s="357">
        <f t="shared" si="0"/>
        <v>348699.64321641246</v>
      </c>
      <c r="AF16" s="357"/>
      <c r="AG16" s="357">
        <f t="shared" si="0"/>
        <v>360904.13072898687</v>
      </c>
    </row>
    <row r="17" spans="1:33" s="339" customFormat="1" ht="14">
      <c r="A17" s="339" t="s">
        <v>903</v>
      </c>
      <c r="C17" s="368"/>
      <c r="E17" s="357">
        <f>Application!W860</f>
        <v>365805</v>
      </c>
      <c r="F17" s="357"/>
      <c r="G17" s="357">
        <f t="shared" si="0"/>
        <v>378608.17499999999</v>
      </c>
      <c r="H17" s="357"/>
      <c r="I17" s="357">
        <f t="shared" si="0"/>
        <v>391859.46112499997</v>
      </c>
      <c r="J17" s="357"/>
      <c r="K17" s="357">
        <f t="shared" si="0"/>
        <v>405574.54226437496</v>
      </c>
      <c r="L17" s="357"/>
      <c r="M17" s="357">
        <f t="shared" si="0"/>
        <v>419769.65124362806</v>
      </c>
      <c r="N17" s="357"/>
      <c r="O17" s="357">
        <f t="shared" si="0"/>
        <v>434461.58903715503</v>
      </c>
      <c r="P17" s="357"/>
      <c r="Q17" s="357">
        <f t="shared" si="0"/>
        <v>449667.74465345545</v>
      </c>
      <c r="R17" s="357"/>
      <c r="S17" s="357">
        <f t="shared" si="0"/>
        <v>465406.11571632634</v>
      </c>
      <c r="T17" s="357"/>
      <c r="U17" s="357">
        <f t="shared" si="0"/>
        <v>481695.32976639771</v>
      </c>
      <c r="V17" s="357"/>
      <c r="W17" s="357">
        <f t="shared" si="0"/>
        <v>498554.66630822158</v>
      </c>
      <c r="X17" s="357"/>
      <c r="Y17" s="357">
        <f t="shared" si="0"/>
        <v>516004.0796290093</v>
      </c>
      <c r="Z17" s="357"/>
      <c r="AA17" s="357">
        <f t="shared" si="0"/>
        <v>534064.22241602454</v>
      </c>
      <c r="AB17" s="357"/>
      <c r="AC17" s="357">
        <f t="shared" si="0"/>
        <v>552756.47020058532</v>
      </c>
      <c r="AD17" s="357"/>
      <c r="AE17" s="357">
        <f t="shared" si="0"/>
        <v>572102.9466576057</v>
      </c>
      <c r="AF17" s="357"/>
      <c r="AG17" s="357">
        <f t="shared" si="0"/>
        <v>592126.54979062185</v>
      </c>
    </row>
    <row r="18" spans="1:33" s="339" customFormat="1" ht="14">
      <c r="A18" s="339" t="s">
        <v>160</v>
      </c>
      <c r="C18" s="368"/>
      <c r="E18" s="357">
        <f>Application!W861</f>
        <v>140000</v>
      </c>
      <c r="F18" s="357"/>
      <c r="G18" s="357">
        <f t="shared" si="0"/>
        <v>144900</v>
      </c>
      <c r="H18" s="357"/>
      <c r="I18" s="357">
        <f t="shared" si="0"/>
        <v>149971.5</v>
      </c>
      <c r="J18" s="357"/>
      <c r="K18" s="357">
        <f t="shared" si="0"/>
        <v>155220.5025</v>
      </c>
      <c r="L18" s="357"/>
      <c r="M18" s="357">
        <f t="shared" si="0"/>
        <v>160653.2200875</v>
      </c>
      <c r="N18" s="357"/>
      <c r="O18" s="357">
        <f t="shared" si="0"/>
        <v>166276.08279056248</v>
      </c>
      <c r="P18" s="357"/>
      <c r="Q18" s="357">
        <f t="shared" si="0"/>
        <v>172095.74568823216</v>
      </c>
      <c r="R18" s="357"/>
      <c r="S18" s="357">
        <f t="shared" si="0"/>
        <v>178119.09678732028</v>
      </c>
      <c r="T18" s="357"/>
      <c r="U18" s="357">
        <f t="shared" si="0"/>
        <v>184353.26517487646</v>
      </c>
      <c r="V18" s="357"/>
      <c r="W18" s="357">
        <f t="shared" si="0"/>
        <v>190805.62945599711</v>
      </c>
      <c r="X18" s="357"/>
      <c r="Y18" s="357">
        <f t="shared" si="0"/>
        <v>197483.826486957</v>
      </c>
      <c r="Z18" s="357"/>
      <c r="AA18" s="357">
        <f t="shared" si="0"/>
        <v>204395.76041400048</v>
      </c>
      <c r="AB18" s="357"/>
      <c r="AC18" s="357">
        <f t="shared" si="0"/>
        <v>211549.61202849049</v>
      </c>
      <c r="AD18" s="357"/>
      <c r="AE18" s="357">
        <f t="shared" si="0"/>
        <v>218953.84844948765</v>
      </c>
      <c r="AF18" s="357"/>
      <c r="AG18" s="357">
        <f t="shared" si="0"/>
        <v>226617.23314521971</v>
      </c>
    </row>
    <row r="19" spans="1:33" s="339" customFormat="1" ht="14">
      <c r="A19" s="339" t="s">
        <v>408</v>
      </c>
      <c r="C19" s="368"/>
      <c r="E19" s="357">
        <f>Application!W870</f>
        <v>170553</v>
      </c>
      <c r="F19" s="357"/>
      <c r="G19" s="357">
        <f t="shared" si="0"/>
        <v>176522.35499999998</v>
      </c>
      <c r="H19" s="357"/>
      <c r="I19" s="357">
        <f t="shared" si="0"/>
        <v>182700.63742499996</v>
      </c>
      <c r="J19" s="357"/>
      <c r="K19" s="357">
        <f t="shared" si="0"/>
        <v>189095.15973487493</v>
      </c>
      <c r="L19" s="357"/>
      <c r="M19" s="357">
        <f t="shared" si="0"/>
        <v>195713.49032559554</v>
      </c>
      <c r="N19" s="357"/>
      <c r="O19" s="357">
        <f t="shared" si="0"/>
        <v>202563.46248699137</v>
      </c>
      <c r="P19" s="357"/>
      <c r="Q19" s="357">
        <f t="shared" si="0"/>
        <v>209653.18367403606</v>
      </c>
      <c r="R19" s="357"/>
      <c r="S19" s="357">
        <f t="shared" si="0"/>
        <v>216991.04510262731</v>
      </c>
      <c r="T19" s="357"/>
      <c r="U19" s="357">
        <f t="shared" si="0"/>
        <v>224585.73168121924</v>
      </c>
      <c r="V19" s="357"/>
      <c r="W19" s="357">
        <f t="shared" si="0"/>
        <v>232446.23229006189</v>
      </c>
      <c r="X19" s="357"/>
      <c r="Y19" s="357">
        <f t="shared" si="0"/>
        <v>240581.85042021403</v>
      </c>
      <c r="Z19" s="357"/>
      <c r="AA19" s="357">
        <f t="shared" si="0"/>
        <v>249002.21518492152</v>
      </c>
      <c r="AB19" s="357"/>
      <c r="AC19" s="357">
        <f t="shared" si="0"/>
        <v>257717.29271639374</v>
      </c>
      <c r="AD19" s="357"/>
      <c r="AE19" s="357">
        <f t="shared" si="0"/>
        <v>266737.3979614675</v>
      </c>
      <c r="AF19" s="357"/>
      <c r="AG19" s="357">
        <f t="shared" si="0"/>
        <v>276073.20689011883</v>
      </c>
    </row>
    <row r="20" spans="1:33" s="339" customFormat="1" ht="14">
      <c r="A20" s="361" t="s">
        <v>2585</v>
      </c>
      <c r="B20" s="361"/>
      <c r="C20" s="368"/>
      <c r="E20" s="367">
        <f>Application!W877</f>
        <v>2500</v>
      </c>
      <c r="F20" s="357"/>
      <c r="G20" s="367">
        <f t="shared" si="0"/>
        <v>2587.5</v>
      </c>
      <c r="H20" s="357"/>
      <c r="I20" s="367">
        <f t="shared" si="0"/>
        <v>2678.0625</v>
      </c>
      <c r="J20" s="357"/>
      <c r="K20" s="367">
        <f t="shared" si="0"/>
        <v>2771.7946874999998</v>
      </c>
      <c r="L20" s="357"/>
      <c r="M20" s="367">
        <f t="shared" si="0"/>
        <v>2868.8075015624995</v>
      </c>
      <c r="N20" s="357"/>
      <c r="O20" s="367">
        <f t="shared" si="0"/>
        <v>2969.2157641171866</v>
      </c>
      <c r="P20" s="357"/>
      <c r="Q20" s="367">
        <f t="shared" si="0"/>
        <v>3073.138315861288</v>
      </c>
      <c r="R20" s="357"/>
      <c r="S20" s="367">
        <f t="shared" si="0"/>
        <v>3180.6981569164327</v>
      </c>
      <c r="T20" s="357"/>
      <c r="U20" s="367">
        <f t="shared" si="0"/>
        <v>3292.0225924085075</v>
      </c>
      <c r="V20" s="357"/>
      <c r="W20" s="367">
        <f t="shared" si="0"/>
        <v>3407.2433831428052</v>
      </c>
      <c r="X20" s="357"/>
      <c r="Y20" s="367">
        <f t="shared" si="0"/>
        <v>3526.4969015528031</v>
      </c>
      <c r="Z20" s="357"/>
      <c r="AA20" s="367">
        <f t="shared" si="0"/>
        <v>3649.9242931071508</v>
      </c>
      <c r="AB20" s="357"/>
      <c r="AC20" s="367">
        <f t="shared" si="0"/>
        <v>3777.6716433659008</v>
      </c>
      <c r="AD20" s="357"/>
      <c r="AE20" s="367">
        <f t="shared" si="0"/>
        <v>3909.8901508837071</v>
      </c>
      <c r="AF20" s="357"/>
      <c r="AG20" s="367">
        <f t="shared" si="0"/>
        <v>4046.7363061646365</v>
      </c>
    </row>
    <row r="21" spans="1:33" s="358" customFormat="1" ht="14">
      <c r="A21" s="358" t="s">
        <v>904</v>
      </c>
      <c r="C21" s="368"/>
      <c r="E21" s="358">
        <f>SUM(E14:E20)</f>
        <v>1213014</v>
      </c>
      <c r="G21" s="358">
        <f>SUM(G14:G20)</f>
        <v>1255469.49</v>
      </c>
      <c r="I21" s="358">
        <f>SUM(I14:I20)</f>
        <v>1299410.92215</v>
      </c>
      <c r="K21" s="358">
        <f>SUM(K14:K20)</f>
        <v>1344890.3044252498</v>
      </c>
      <c r="M21" s="358">
        <f>SUM(M14:M20)</f>
        <v>1391961.4650801332</v>
      </c>
      <c r="O21" s="358">
        <f>SUM(O14:O20)</f>
        <v>1440680.1163579379</v>
      </c>
      <c r="Q21" s="358">
        <f>SUM(Q14:Q20)</f>
        <v>1491103.9204304658</v>
      </c>
      <c r="S21" s="358">
        <f>SUM(S14:S20)</f>
        <v>1543292.5576455318</v>
      </c>
      <c r="U21" s="358">
        <f>SUM(U14:U20)</f>
        <v>1597307.7971631256</v>
      </c>
      <c r="W21" s="358">
        <f>SUM(W14:W20)</f>
        <v>1653213.5700638348</v>
      </c>
      <c r="Y21" s="358">
        <f>SUM(Y14:Y20)</f>
        <v>1711076.0450160687</v>
      </c>
      <c r="AA21" s="358">
        <f>SUM(AA14:AA20)</f>
        <v>1770963.7065916311</v>
      </c>
      <c r="AC21" s="358">
        <f>SUM(AC14:AC20)</f>
        <v>1832947.4363223379</v>
      </c>
      <c r="AE21" s="358">
        <f>SUM(AE14:AE20)</f>
        <v>1897100.5965936193</v>
      </c>
      <c r="AG21" s="358">
        <f>SUM(AG14:AG20)</f>
        <v>1963499.117474396</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2086</v>
      </c>
      <c r="C23" s="368"/>
      <c r="E23" s="1510">
        <v>15000</v>
      </c>
      <c r="F23" s="357"/>
      <c r="G23" s="1510">
        <v>15000</v>
      </c>
      <c r="H23" s="357"/>
      <c r="I23" s="1510">
        <v>15000</v>
      </c>
      <c r="J23" s="357"/>
      <c r="K23" s="1510">
        <v>15000</v>
      </c>
      <c r="L23" s="357"/>
      <c r="M23" s="1510">
        <v>15000</v>
      </c>
      <c r="N23" s="357"/>
      <c r="O23" s="1510">
        <v>15000</v>
      </c>
      <c r="P23" s="357"/>
      <c r="Q23" s="1510">
        <v>15000</v>
      </c>
      <c r="R23" s="357"/>
      <c r="S23" s="1510">
        <v>15000</v>
      </c>
      <c r="T23" s="357"/>
      <c r="U23" s="1510">
        <v>15000</v>
      </c>
      <c r="V23" s="357"/>
      <c r="W23" s="1510">
        <v>15000</v>
      </c>
      <c r="X23" s="357"/>
      <c r="Y23" s="1510">
        <v>15000</v>
      </c>
      <c r="Z23" s="357"/>
      <c r="AA23" s="1510">
        <v>15000</v>
      </c>
      <c r="AB23" s="357"/>
      <c r="AC23" s="1510">
        <v>15000</v>
      </c>
      <c r="AD23" s="357"/>
      <c r="AE23" s="1510">
        <v>15000</v>
      </c>
      <c r="AF23" s="357"/>
      <c r="AG23" s="1510">
        <v>15000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1347</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906</v>
      </c>
      <c r="C26" s="376">
        <v>1.0349999999999999</v>
      </c>
      <c r="E26" s="357">
        <f>Application!AC886</f>
        <v>106800</v>
      </c>
      <c r="F26" s="357"/>
      <c r="G26" s="357">
        <f>E26*$C$26</f>
        <v>110537.99999999999</v>
      </c>
      <c r="H26" s="357"/>
      <c r="I26" s="357">
        <f>G26*$C$26</f>
        <v>114406.82999999997</v>
      </c>
      <c r="J26" s="357"/>
      <c r="K26" s="357">
        <f>I26*$C$26</f>
        <v>118411.06904999996</v>
      </c>
      <c r="L26" s="357"/>
      <c r="M26" s="357">
        <f>K26*$C$26</f>
        <v>122555.45646674995</v>
      </c>
      <c r="N26" s="357"/>
      <c r="O26" s="357">
        <f>M26*$C$26</f>
        <v>126844.89744308619</v>
      </c>
      <c r="P26" s="357"/>
      <c r="Q26" s="357">
        <f>O26*$C$26</f>
        <v>131284.46885359418</v>
      </c>
      <c r="R26" s="357"/>
      <c r="S26" s="357">
        <f>Q26*$C$26</f>
        <v>135879.42526346998</v>
      </c>
      <c r="T26" s="357"/>
      <c r="U26" s="357">
        <f>S26*$C$26</f>
        <v>140635.20514769142</v>
      </c>
      <c r="V26" s="357"/>
      <c r="W26" s="357">
        <f>U26*$C$26</f>
        <v>145557.43732786062</v>
      </c>
      <c r="X26" s="357"/>
      <c r="Y26" s="357">
        <f>W26*$C$26</f>
        <v>150651.94763433572</v>
      </c>
      <c r="Z26" s="357"/>
      <c r="AA26" s="357">
        <f>Y26*$C$26</f>
        <v>155924.76580153746</v>
      </c>
      <c r="AB26" s="357"/>
      <c r="AC26" s="357">
        <f>AA26*$C$26</f>
        <v>161382.13260459126</v>
      </c>
      <c r="AD26" s="357"/>
      <c r="AE26" s="357">
        <f>AC26*$C$26</f>
        <v>167030.50724575194</v>
      </c>
      <c r="AF26" s="357"/>
      <c r="AG26" s="357">
        <f>AE26*$C$26</f>
        <v>172876.57499935324</v>
      </c>
    </row>
    <row r="27" spans="1:33" s="339" customFormat="1" ht="14">
      <c r="A27" s="339" t="s">
        <v>907</v>
      </c>
      <c r="C27" s="376"/>
      <c r="E27" s="357">
        <f>Application!AC887</f>
        <v>56000</v>
      </c>
      <c r="F27" s="357"/>
      <c r="G27" s="357">
        <f>$E$27</f>
        <v>56000</v>
      </c>
      <c r="H27" s="357"/>
      <c r="I27" s="357">
        <f>$E$27</f>
        <v>56000</v>
      </c>
      <c r="J27" s="357"/>
      <c r="K27" s="357">
        <f>$E$27</f>
        <v>56000</v>
      </c>
      <c r="L27" s="357"/>
      <c r="M27" s="357">
        <f>$E$27</f>
        <v>56000</v>
      </c>
      <c r="N27" s="357"/>
      <c r="O27" s="357">
        <f>$E$27</f>
        <v>56000</v>
      </c>
      <c r="P27" s="357"/>
      <c r="Q27" s="357">
        <f>$E$27</f>
        <v>56000</v>
      </c>
      <c r="R27" s="357"/>
      <c r="S27" s="357">
        <f>$E$27</f>
        <v>56000</v>
      </c>
      <c r="T27" s="357"/>
      <c r="U27" s="357">
        <f>$E$27</f>
        <v>56000</v>
      </c>
      <c r="V27" s="357"/>
      <c r="W27" s="357">
        <f>$E$27</f>
        <v>56000</v>
      </c>
      <c r="X27" s="357"/>
      <c r="Y27" s="357">
        <f>$E$27</f>
        <v>56000</v>
      </c>
      <c r="Z27" s="357"/>
      <c r="AA27" s="357">
        <f>$E$27</f>
        <v>56000</v>
      </c>
      <c r="AB27" s="357"/>
      <c r="AC27" s="357">
        <f>$E$27</f>
        <v>56000</v>
      </c>
      <c r="AD27" s="357"/>
      <c r="AE27" s="357">
        <f>$E$27</f>
        <v>56000</v>
      </c>
      <c r="AF27" s="357"/>
      <c r="AG27" s="357">
        <f>$E$27</f>
        <v>56000</v>
      </c>
    </row>
    <row r="28" spans="1:33" s="339" customFormat="1" ht="14">
      <c r="A28" s="339" t="s">
        <v>2084</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905</v>
      </c>
      <c r="C29" s="374">
        <v>1.02</v>
      </c>
      <c r="E29" s="357">
        <f>Application!AC889</f>
        <v>2500</v>
      </c>
      <c r="F29" s="357"/>
      <c r="G29" s="357">
        <f>E29*$C$29</f>
        <v>2550</v>
      </c>
      <c r="H29" s="357"/>
      <c r="I29" s="357">
        <f>G29*$C$29</f>
        <v>2601</v>
      </c>
      <c r="J29" s="357"/>
      <c r="K29" s="357">
        <f>I29*$C$29</f>
        <v>2653.02</v>
      </c>
      <c r="L29" s="357"/>
      <c r="M29" s="357">
        <f>K29*$C$29</f>
        <v>2706.0803999999998</v>
      </c>
      <c r="N29" s="357"/>
      <c r="O29" s="357">
        <f>M29*$C$29</f>
        <v>2760.2020079999998</v>
      </c>
      <c r="P29" s="357"/>
      <c r="Q29" s="357">
        <f>O29*$C$29</f>
        <v>2815.40604816</v>
      </c>
      <c r="R29" s="357"/>
      <c r="S29" s="357">
        <f>Q29*$C$29</f>
        <v>2871.7141691232</v>
      </c>
      <c r="T29" s="357"/>
      <c r="U29" s="357">
        <f>S29*$C$29</f>
        <v>2929.148452505664</v>
      </c>
      <c r="V29" s="357"/>
      <c r="W29" s="357">
        <f>U29*$C$29</f>
        <v>2987.7314215557772</v>
      </c>
      <c r="X29" s="357"/>
      <c r="Y29" s="357">
        <f>W29*$C$29</f>
        <v>3047.4860499868928</v>
      </c>
      <c r="Z29" s="357"/>
      <c r="AA29" s="357">
        <f>Y29*$C$29</f>
        <v>3108.4357709866308</v>
      </c>
      <c r="AB29" s="357"/>
      <c r="AC29" s="357">
        <f>AA29*$C$29</f>
        <v>3170.6044864063633</v>
      </c>
      <c r="AD29" s="357"/>
      <c r="AE29" s="357">
        <f>AC29*$C$29</f>
        <v>3234.0165761344906</v>
      </c>
      <c r="AF29" s="357"/>
      <c r="AG29" s="357">
        <f>AE29*$C$29</f>
        <v>3298.6969076571804</v>
      </c>
    </row>
    <row r="30" spans="1:33" s="339" customFormat="1" ht="14">
      <c r="A30" s="339" t="s">
        <v>2085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t="str">
        <f>Application!C891</f>
        <v>Other (Annual Issuer Fee):</v>
      </c>
      <c r="B31" s="361"/>
      <c r="C31" s="492">
        <v>1</v>
      </c>
      <c r="E31" s="357">
        <f>Application!AC891</f>
        <v>8583.75</v>
      </c>
      <c r="F31" s="357"/>
      <c r="G31" s="357">
        <f>E31*$C$31</f>
        <v>8583.75</v>
      </c>
      <c r="H31" s="357"/>
      <c r="I31" s="357">
        <f>G31*$C$31</f>
        <v>8583.75</v>
      </c>
      <c r="J31" s="357"/>
      <c r="K31" s="357">
        <f>I31*$C$31</f>
        <v>8583.75</v>
      </c>
      <c r="L31" s="357"/>
      <c r="M31" s="357">
        <f>K31*$C$31</f>
        <v>8583.75</v>
      </c>
      <c r="N31" s="357"/>
      <c r="O31" s="357">
        <f>M31*$C$31</f>
        <v>8583.75</v>
      </c>
      <c r="P31" s="357"/>
      <c r="Q31" s="357">
        <f>O31*$C$31</f>
        <v>8583.75</v>
      </c>
      <c r="R31" s="357"/>
      <c r="S31" s="357">
        <f>Q31*$C$31</f>
        <v>8583.75</v>
      </c>
      <c r="T31" s="357"/>
      <c r="U31" s="357">
        <f>S31*$C$31</f>
        <v>8583.75</v>
      </c>
      <c r="V31" s="357"/>
      <c r="W31" s="357">
        <f>U31*$C$31</f>
        <v>8583.75</v>
      </c>
      <c r="X31" s="357"/>
      <c r="Y31" s="357">
        <f>W31*$C$31</f>
        <v>8583.75</v>
      </c>
      <c r="Z31" s="357"/>
      <c r="AA31" s="357">
        <f>Y31*$C$31</f>
        <v>8583.75</v>
      </c>
      <c r="AB31" s="357"/>
      <c r="AC31" s="357">
        <f>AA31*$C$31</f>
        <v>8583.75</v>
      </c>
      <c r="AD31" s="357"/>
      <c r="AE31" s="357">
        <f>AC31*$C$31</f>
        <v>8583.75</v>
      </c>
      <c r="AF31" s="357"/>
      <c r="AG31" s="357">
        <f>AE31*$C$31</f>
        <v>8583.75</v>
      </c>
    </row>
    <row r="32" spans="1:33" s="339" customFormat="1" ht="14">
      <c r="A32" s="361" t="str">
        <f>Application!C892</f>
        <v>Other (Annual Trustee Fee):</v>
      </c>
      <c r="B32" s="361"/>
      <c r="C32" s="492">
        <v>1</v>
      </c>
      <c r="E32" s="357">
        <f>Application!AC892</f>
        <v>3500</v>
      </c>
      <c r="F32" s="357"/>
      <c r="G32" s="357">
        <f>E32*$C$32</f>
        <v>3500</v>
      </c>
      <c r="H32" s="357"/>
      <c r="I32" s="357">
        <f>G32*$C$32</f>
        <v>3500</v>
      </c>
      <c r="J32" s="357"/>
      <c r="K32" s="357">
        <f>I32*$C$32</f>
        <v>3500</v>
      </c>
      <c r="L32" s="357"/>
      <c r="M32" s="357">
        <f>K32*$C$32</f>
        <v>3500</v>
      </c>
      <c r="N32" s="357"/>
      <c r="O32" s="357">
        <f>M32*$C$32</f>
        <v>3500</v>
      </c>
      <c r="P32" s="357"/>
      <c r="Q32" s="357">
        <f>O32*$C$32</f>
        <v>3500</v>
      </c>
      <c r="R32" s="357"/>
      <c r="S32" s="357">
        <f>Q32*$C$32</f>
        <v>3500</v>
      </c>
      <c r="T32" s="357"/>
      <c r="U32" s="357">
        <f>S32*$C$32</f>
        <v>3500</v>
      </c>
      <c r="V32" s="357"/>
      <c r="W32" s="357">
        <f>U32*$C$32</f>
        <v>3500</v>
      </c>
      <c r="X32" s="357"/>
      <c r="Y32" s="357">
        <f>W32*$C$32</f>
        <v>3500</v>
      </c>
      <c r="Z32" s="357"/>
      <c r="AA32" s="357">
        <f>Y32*$C$32</f>
        <v>3500</v>
      </c>
      <c r="AB32" s="357"/>
      <c r="AC32" s="357">
        <f>AA32*$C$32</f>
        <v>3500</v>
      </c>
      <c r="AD32" s="357"/>
      <c r="AE32" s="357">
        <f>AC32*$C$32</f>
        <v>3500</v>
      </c>
      <c r="AF32" s="357"/>
      <c r="AG32" s="357">
        <f>AE32*$C$32</f>
        <v>3500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1405397.75</v>
      </c>
      <c r="G34" s="358">
        <f>SUM(G21:G32)</f>
        <v>1451641.24</v>
      </c>
      <c r="I34" s="358">
        <f>SUM(I21:I32)</f>
        <v>1499502.5021500001</v>
      </c>
      <c r="K34" s="358">
        <f>SUM(K21:K32)</f>
        <v>1549038.1434752499</v>
      </c>
      <c r="M34" s="358">
        <f>SUM(M21:M32)</f>
        <v>1600306.7519468833</v>
      </c>
      <c r="O34" s="358">
        <f>SUM(O21:O32)</f>
        <v>1653368.9658090242</v>
      </c>
      <c r="Q34" s="358">
        <f>SUM(Q21:Q32)</f>
        <v>1708287.5453322202</v>
      </c>
      <c r="S34" s="358">
        <f>SUM(S21:S32)</f>
        <v>1765127.4470781251</v>
      </c>
      <c r="U34" s="358">
        <f>SUM(U21:U32)</f>
        <v>1823955.9007633228</v>
      </c>
      <c r="W34" s="358">
        <f>SUM(W21:W32)</f>
        <v>1884842.4888132513</v>
      </c>
      <c r="Y34" s="358">
        <f>SUM(Y21:Y32)</f>
        <v>1947859.2287003915</v>
      </c>
      <c r="AA34" s="358">
        <f>SUM(AA21:AA32)</f>
        <v>2013080.6581641552</v>
      </c>
      <c r="AC34" s="358">
        <f>SUM(AC21:AC32)</f>
        <v>2080583.9234133356</v>
      </c>
      <c r="AE34" s="358">
        <f>SUM(AE21:AE32)</f>
        <v>2150448.870415506</v>
      </c>
      <c r="AG34" s="358">
        <f>SUM(AG21:AG32)</f>
        <v>2222758.1393814064</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908</v>
      </c>
      <c r="C36" s="359"/>
      <c r="E36" s="358">
        <f>E10-E34</f>
        <v>595803.85000000009</v>
      </c>
      <c r="G36" s="358">
        <f>G10-G34</f>
        <v>599590.39999999967</v>
      </c>
      <c r="I36" s="358">
        <f>I10-I34</f>
        <v>603009.92884999933</v>
      </c>
      <c r="K36" s="358">
        <f>K10-K34</f>
        <v>606037.09829974966</v>
      </c>
      <c r="M36" s="358">
        <f>M10-M34</f>
        <v>608645.37087249104</v>
      </c>
      <c r="O36" s="358">
        <f>O10-O34</f>
        <v>610806.96008083434</v>
      </c>
      <c r="Q36" s="358">
        <f>Q10-Q34</f>
        <v>612492.77870488423</v>
      </c>
      <c r="S36" s="358">
        <f>S10-S34</f>
        <v>613672.38505990664</v>
      </c>
      <c r="U36" s="358">
        <f>U10-U34</f>
        <v>614313.92717816005</v>
      </c>
      <c r="W36" s="358">
        <f>W10-W34</f>
        <v>614384.08482676884</v>
      </c>
      <c r="Y36" s="358">
        <f>Y10-Y34</f>
        <v>613848.00928062852</v>
      </c>
      <c r="AA36" s="358">
        <f>AA10-AA34</f>
        <v>612669.26076638978</v>
      </c>
      <c r="AC36" s="358">
        <f>AC10-AC34</f>
        <v>610809.74349047267</v>
      </c>
      <c r="AE36" s="358">
        <f>AE10-AE34</f>
        <v>608229.63816089788</v>
      </c>
      <c r="AG36" s="358">
        <f>AG10-AG34</f>
        <v>604887.33190940693</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Tax-Exempt Perm Loan</v>
      </c>
      <c r="B39" s="361"/>
      <c r="C39" s="355"/>
      <c r="E39" s="357">
        <f>Application!AF637</f>
        <v>432345.23859143339</v>
      </c>
      <c r="F39" s="357"/>
      <c r="G39" s="357">
        <f>$E$39</f>
        <v>432345.23859143339</v>
      </c>
      <c r="H39" s="357"/>
      <c r="I39" s="357">
        <f>$E$39</f>
        <v>432345.23859143339</v>
      </c>
      <c r="J39" s="357"/>
      <c r="K39" s="357">
        <f>$E$39</f>
        <v>432345.23859143339</v>
      </c>
      <c r="L39" s="357"/>
      <c r="M39" s="357">
        <f>$E$39</f>
        <v>432345.23859143339</v>
      </c>
      <c r="N39" s="357"/>
      <c r="O39" s="357">
        <f>$E$39</f>
        <v>432345.23859143339</v>
      </c>
      <c r="P39" s="357"/>
      <c r="Q39" s="357">
        <f>$E$39</f>
        <v>432345.23859143339</v>
      </c>
      <c r="R39" s="357"/>
      <c r="S39" s="357">
        <f>$E$39</f>
        <v>432345.23859143339</v>
      </c>
      <c r="T39" s="357"/>
      <c r="U39" s="357">
        <f>$E$39</f>
        <v>432345.23859143339</v>
      </c>
      <c r="V39" s="357"/>
      <c r="W39" s="357">
        <f>$E$39</f>
        <v>432345.23859143339</v>
      </c>
      <c r="X39" s="357"/>
      <c r="Y39" s="357">
        <f>$E$39</f>
        <v>432345.23859143339</v>
      </c>
      <c r="Z39" s="357"/>
      <c r="AA39" s="357">
        <f>$E$39</f>
        <v>432345.23859143339</v>
      </c>
      <c r="AB39" s="357"/>
      <c r="AC39" s="357">
        <f>$E$39</f>
        <v>432345.23859143339</v>
      </c>
      <c r="AD39" s="357"/>
      <c r="AE39" s="357">
        <f>$E$39</f>
        <v>432345.23859143339</v>
      </c>
      <c r="AF39" s="357"/>
      <c r="AG39" s="357">
        <f>$E$39</f>
        <v>432345.23859143339</v>
      </c>
    </row>
    <row r="40" spans="1:33" s="339" customFormat="1" ht="14">
      <c r="A40" s="360" t="s">
        <v>2586</v>
      </c>
      <c r="B40" s="361"/>
      <c r="C40" s="355"/>
      <c r="E40" s="357">
        <f>Application!AF638</f>
        <v>84000</v>
      </c>
      <c r="F40" s="357"/>
      <c r="G40" s="357">
        <f>$E$40</f>
        <v>84000</v>
      </c>
      <c r="H40" s="357"/>
      <c r="I40" s="357">
        <f>$E$40</f>
        <v>84000</v>
      </c>
      <c r="J40" s="357"/>
      <c r="K40" s="357">
        <f>$E$40</f>
        <v>84000</v>
      </c>
      <c r="L40" s="357"/>
      <c r="M40" s="357">
        <f>$E$40</f>
        <v>84000</v>
      </c>
      <c r="N40" s="357"/>
      <c r="O40" s="357">
        <f>$E$40</f>
        <v>84000</v>
      </c>
      <c r="P40" s="357"/>
      <c r="Q40" s="357">
        <f>$E$40</f>
        <v>84000</v>
      </c>
      <c r="R40" s="357"/>
      <c r="S40" s="357">
        <f>$E$40</f>
        <v>84000</v>
      </c>
      <c r="T40" s="357"/>
      <c r="U40" s="357">
        <f>$E$40</f>
        <v>84000</v>
      </c>
      <c r="V40" s="357"/>
      <c r="W40" s="357">
        <f>$E$40</f>
        <v>84000</v>
      </c>
      <c r="X40" s="357"/>
      <c r="Y40" s="357">
        <f>$E$40</f>
        <v>84000</v>
      </c>
      <c r="Z40" s="357"/>
      <c r="AA40" s="357">
        <f>$E$40</f>
        <v>84000</v>
      </c>
      <c r="AB40" s="357"/>
      <c r="AC40" s="357">
        <f>$E$40</f>
        <v>84000</v>
      </c>
      <c r="AD40" s="357"/>
      <c r="AE40" s="357">
        <f>$E$40</f>
        <v>84000</v>
      </c>
      <c r="AF40" s="357"/>
      <c r="AG40" s="357">
        <f>$E$40</f>
        <v>84000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909</v>
      </c>
      <c r="C42" s="359"/>
      <c r="E42" s="358">
        <f>SUM(E39:E41)</f>
        <v>516345.23859143339</v>
      </c>
      <c r="G42" s="358">
        <f>SUM(G39:G41)</f>
        <v>516345.23859143339</v>
      </c>
      <c r="I42" s="358">
        <f>SUM(I39:I41)</f>
        <v>516345.23859143339</v>
      </c>
      <c r="K42" s="358">
        <f>SUM(K39:K41)</f>
        <v>516345.23859143339</v>
      </c>
      <c r="M42" s="358">
        <f>SUM(M39:M41)</f>
        <v>516345.23859143339</v>
      </c>
      <c r="O42" s="358">
        <f>SUM(O39:O41)</f>
        <v>516345.23859143339</v>
      </c>
      <c r="Q42" s="358">
        <f>SUM(Q39:Q41)</f>
        <v>516345.23859143339</v>
      </c>
      <c r="S42" s="358">
        <f>SUM(S39:S41)</f>
        <v>516345.23859143339</v>
      </c>
      <c r="U42" s="358">
        <f>SUM(U39:U41)</f>
        <v>516345.23859143339</v>
      </c>
      <c r="W42" s="358">
        <f>SUM(W39:W41)</f>
        <v>516345.23859143339</v>
      </c>
      <c r="Y42" s="358">
        <f>SUM(Y39:Y41)</f>
        <v>516345.23859143339</v>
      </c>
      <c r="AA42" s="358">
        <f>SUM(AA39:AA41)</f>
        <v>516345.23859143339</v>
      </c>
      <c r="AC42" s="358">
        <f>SUM(AC39:AC41)</f>
        <v>516345.23859143339</v>
      </c>
      <c r="AE42" s="358">
        <f>SUM(AE39:AE41)</f>
        <v>516345.23859143339</v>
      </c>
      <c r="AG42" s="358">
        <f>SUM(AG39:AG41)</f>
        <v>516345.23859143339</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910</v>
      </c>
      <c r="C44" s="359"/>
      <c r="E44" s="358">
        <f>E36-E42</f>
        <v>79458.611408566707</v>
      </c>
      <c r="G44" s="358">
        <f>G36-G42</f>
        <v>83245.161408566288</v>
      </c>
      <c r="I44" s="358">
        <f>I36-I42</f>
        <v>86664.690258565941</v>
      </c>
      <c r="K44" s="358">
        <f>K36-K42</f>
        <v>89691.859708316275</v>
      </c>
      <c r="M44" s="358">
        <f>M36-M42</f>
        <v>92300.132281057653</v>
      </c>
      <c r="O44" s="358">
        <f>O36-O42</f>
        <v>94461.721489400952</v>
      </c>
      <c r="Q44" s="358">
        <f>Q36-Q42</f>
        <v>96147.540113450843</v>
      </c>
      <c r="S44" s="358">
        <f>S36-S42</f>
        <v>97327.146468473249</v>
      </c>
      <c r="U44" s="358">
        <f>U36-U42</f>
        <v>97968.688586726668</v>
      </c>
      <c r="W44" s="358">
        <f>W36-W42</f>
        <v>98038.846235335455</v>
      </c>
      <c r="Y44" s="358">
        <f>Y36-Y42</f>
        <v>97502.770689195138</v>
      </c>
      <c r="AA44" s="358">
        <f>AA36-AA42</f>
        <v>96324.022174956393</v>
      </c>
      <c r="AC44" s="358">
        <f>AC36-AC42</f>
        <v>94464.504899039282</v>
      </c>
      <c r="AE44" s="358">
        <f>AE36-AE42</f>
        <v>91884.399569464498</v>
      </c>
      <c r="AG44" s="358">
        <f>AG36-AG42</f>
        <v>88542.093317973544</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912</v>
      </c>
      <c r="C46" s="355"/>
      <c r="E46" s="362">
        <f>E44/(E4+E6+E8)</f>
        <v>3.772017813604505E-2</v>
      </c>
      <c r="G46" s="362">
        <f>G44/(G4+G6+G8)</f>
        <v>3.855386285779893E-2</v>
      </c>
      <c r="I46" s="362">
        <f>I44/(I4+I6+I8)</f>
        <v>3.9158605928659863E-2</v>
      </c>
      <c r="K46" s="362">
        <f>K44/(K4+K6+K8)</f>
        <v>3.9537954439456423E-2</v>
      </c>
      <c r="M46" s="362">
        <f>M44/(M4+M6+M8)</f>
        <v>3.969534910294422E-2</v>
      </c>
      <c r="O46" s="362">
        <f>O44/(O4+O6+O8)</f>
        <v>3.9634126654562923E-2</v>
      </c>
      <c r="Q46" s="362">
        <f>Q44/(Q4+Q6+Q8)</f>
        <v>3.9357522192745874E-2</v>
      </c>
      <c r="S46" s="362">
        <f>S44/(S4+S6+S8)</f>
        <v>3.8868671460240992E-2</v>
      </c>
      <c r="U46" s="362">
        <f>U44/(U4+U6+U8)</f>
        <v>3.8170613067859356E-2</v>
      </c>
      <c r="W46" s="362">
        <f>W44/(W4+W6+W8)</f>
        <v>3.7266290662042158E-2</v>
      </c>
      <c r="Y46" s="362">
        <f>Y44/(Y4+Y6+Y8)</f>
        <v>3.6158555037592348E-2</v>
      </c>
      <c r="AA46" s="362">
        <f>AA44/(AA4+AA6+AA8)</f>
        <v>3.4850166196893288E-2</v>
      </c>
      <c r="AC46" s="362">
        <f>AC44/(AC4+AC6+AC8)</f>
        <v>3.3343795356896307E-2</v>
      </c>
      <c r="AE46" s="362">
        <f>AE44/(AE4+AE6+AE8)</f>
        <v>3.1642026905134644E-2</v>
      </c>
      <c r="AG46" s="362">
        <f>AG44/(AG4+AG6+AG8)</f>
        <v>2.9747360305985099E-2</v>
      </c>
    </row>
    <row r="47" spans="1:33" s="362" customFormat="1" ht="14">
      <c r="A47" s="362" t="s">
        <v>913</v>
      </c>
      <c r="C47" s="355"/>
      <c r="E47" s="362">
        <f>E44/E42</f>
        <v>0.15388659654406078</v>
      </c>
      <c r="G47" s="362">
        <f>G44/G42</f>
        <v>0.16121996522260057</v>
      </c>
      <c r="I47" s="362">
        <f>I44/I42</f>
        <v>0.16784252817936954</v>
      </c>
      <c r="K47" s="362">
        <f>K44/K42</f>
        <v>0.17370521311088613</v>
      </c>
      <c r="M47" s="362">
        <f>M44/M42</f>
        <v>0.17875662518521188</v>
      </c>
      <c r="O47" s="362">
        <f>O44/O42</f>
        <v>0.18294295062560911</v>
      </c>
      <c r="Q47" s="362">
        <f>Q44/Q42</f>
        <v>0.18620785654136565</v>
      </c>
      <c r="S47" s="362">
        <f>S44/S42</f>
        <v>0.18849238686499237</v>
      </c>
      <c r="U47" s="362">
        <f>U44/U42</f>
        <v>0.18973485424980552</v>
      </c>
      <c r="W47" s="362">
        <f>W44/W42</f>
        <v>0.1898707277765958</v>
      </c>
      <c r="Y47" s="362">
        <f>Y44/Y42</f>
        <v>0.1888325163124934</v>
      </c>
      <c r="AA47" s="362">
        <f>AA44/AA42</f>
        <v>0.18654964735943727</v>
      </c>
      <c r="AC47" s="362">
        <f>AC44/AC42</f>
        <v>0.18294834122366307</v>
      </c>
      <c r="AE47" s="362">
        <f>AE44/AE42</f>
        <v>0.17795148033149491</v>
      </c>
      <c r="AG47" s="362">
        <f>AG44/AG42</f>
        <v>0.17147847351030562</v>
      </c>
    </row>
    <row r="48" spans="1:33" s="363" customFormat="1" ht="14">
      <c r="A48" s="363" t="s">
        <v>911</v>
      </c>
      <c r="C48" s="364"/>
      <c r="E48" s="363">
        <f>E36/E42</f>
        <v>1.1538865965440608</v>
      </c>
      <c r="G48" s="363">
        <f>G36/G42</f>
        <v>1.1612199652226005</v>
      </c>
      <c r="I48" s="363">
        <f>I36/I42</f>
        <v>1.1678425281793696</v>
      </c>
      <c r="K48" s="363">
        <f>K36/K42</f>
        <v>1.173705213110886</v>
      </c>
      <c r="M48" s="363">
        <f>M36/M42</f>
        <v>1.178756625185212</v>
      </c>
      <c r="O48" s="363">
        <f>O36/O42</f>
        <v>1.1829429506256091</v>
      </c>
      <c r="Q48" s="363">
        <f>Q36/Q42</f>
        <v>1.1862078565413656</v>
      </c>
      <c r="S48" s="363">
        <f>S36/S42</f>
        <v>1.1884923868649924</v>
      </c>
      <c r="U48" s="363">
        <f>U36/U42</f>
        <v>1.1897348542498054</v>
      </c>
      <c r="W48" s="363">
        <f>W36/W42</f>
        <v>1.1898707277765959</v>
      </c>
      <c r="Y48" s="363">
        <f>Y36/Y42</f>
        <v>1.1888325163124933</v>
      </c>
      <c r="AA48" s="363">
        <f>AA36/AA42</f>
        <v>1.1865496473594372</v>
      </c>
      <c r="AC48" s="363">
        <f>AC36/AC42</f>
        <v>1.182948341223663</v>
      </c>
      <c r="AE48" s="363">
        <f>AE36/AE42</f>
        <v>1.177951480331495</v>
      </c>
      <c r="AG48" s="363">
        <f>AG36/AG42</f>
        <v>1.1714784735103057</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580"/>
      <c r="E50" s="1579"/>
      <c r="F50" s="1579"/>
      <c r="G50" s="1579"/>
      <c r="H50" s="1579"/>
      <c r="I50" s="1579"/>
      <c r="J50" s="1579"/>
      <c r="K50" s="1579"/>
      <c r="L50" s="157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row>
    <row r="51" spans="1:35" s="6" customFormat="1">
      <c r="A51" s="3371" t="s">
        <v>1377</v>
      </c>
      <c r="B51" s="3371"/>
      <c r="C51" s="3371"/>
      <c r="D51" s="1579"/>
      <c r="E51" s="1579"/>
      <c r="F51" s="1579"/>
      <c r="G51" s="1579"/>
      <c r="H51" s="1579"/>
      <c r="I51" s="1579"/>
      <c r="J51" s="1579"/>
      <c r="K51" s="1579"/>
      <c r="L51" s="157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row>
    <row r="52" spans="1:35" s="1581" customFormat="1">
      <c r="A52" s="1581" t="s">
        <v>915</v>
      </c>
      <c r="C52" s="1582"/>
      <c r="E52" s="1583"/>
      <c r="G52" s="1579">
        <f>E52*$C$52</f>
        <v>0</v>
      </c>
      <c r="I52" s="1579">
        <f>G52*$C$52</f>
        <v>0</v>
      </c>
      <c r="K52" s="1579">
        <f>I52*$C$52</f>
        <v>0</v>
      </c>
      <c r="M52" s="1579">
        <f>K52*$C$52</f>
        <v>0</v>
      </c>
      <c r="O52" s="1579">
        <f>M52*$C$52</f>
        <v>0</v>
      </c>
      <c r="Q52" s="1579">
        <f>O52*$C$52</f>
        <v>0</v>
      </c>
      <c r="S52" s="1579">
        <f>Q52*$C$52</f>
        <v>0</v>
      </c>
      <c r="U52" s="1579">
        <f>S52*$C$52</f>
        <v>0</v>
      </c>
      <c r="W52" s="1579">
        <f>U52*$C$52</f>
        <v>0</v>
      </c>
      <c r="Y52" s="1579">
        <f>W52*$C$52</f>
        <v>0</v>
      </c>
      <c r="AA52" s="1579">
        <f>Y52*$C$52</f>
        <v>0</v>
      </c>
      <c r="AC52" s="1579">
        <f>AA52*$C$52</f>
        <v>0</v>
      </c>
      <c r="AE52" s="1579">
        <f>AC52*$C$52</f>
        <v>0</v>
      </c>
      <c r="AG52" s="1579">
        <f>AE52*$C$52</f>
        <v>0</v>
      </c>
    </row>
    <row r="53" spans="1:35" s="6" customFormat="1">
      <c r="A53" s="6" t="s">
        <v>916</v>
      </c>
      <c r="C53" s="1577"/>
      <c r="E53" s="1584"/>
      <c r="F53" s="1579"/>
      <c r="G53" s="1579">
        <f t="shared" ref="G53:AG56" si="1">E53*$C$52</f>
        <v>0</v>
      </c>
      <c r="H53" s="1579"/>
      <c r="I53" s="1579">
        <f t="shared" si="1"/>
        <v>0</v>
      </c>
      <c r="J53" s="1579"/>
      <c r="K53" s="1579">
        <f t="shared" si="1"/>
        <v>0</v>
      </c>
      <c r="L53" s="1579"/>
      <c r="M53" s="1579">
        <f t="shared" si="1"/>
        <v>0</v>
      </c>
      <c r="N53" s="1579"/>
      <c r="O53" s="1579">
        <f t="shared" si="1"/>
        <v>0</v>
      </c>
      <c r="P53" s="1579"/>
      <c r="Q53" s="1579">
        <f t="shared" si="1"/>
        <v>0</v>
      </c>
      <c r="R53" s="1579"/>
      <c r="S53" s="1579">
        <f t="shared" si="1"/>
        <v>0</v>
      </c>
      <c r="T53" s="1579"/>
      <c r="U53" s="1579">
        <f t="shared" si="1"/>
        <v>0</v>
      </c>
      <c r="V53" s="1579"/>
      <c r="W53" s="1579">
        <f t="shared" si="1"/>
        <v>0</v>
      </c>
      <c r="X53" s="1579"/>
      <c r="Y53" s="1579">
        <f t="shared" si="1"/>
        <v>0</v>
      </c>
      <c r="Z53" s="1579"/>
      <c r="AA53" s="1579">
        <f t="shared" si="1"/>
        <v>0</v>
      </c>
      <c r="AB53" s="1579"/>
      <c r="AC53" s="1579">
        <f t="shared" si="1"/>
        <v>0</v>
      </c>
      <c r="AD53" s="1579"/>
      <c r="AE53" s="1579">
        <f t="shared" si="1"/>
        <v>0</v>
      </c>
      <c r="AF53" s="1579"/>
      <c r="AG53" s="1579">
        <f t="shared" si="1"/>
        <v>0</v>
      </c>
      <c r="AH53" s="1579"/>
      <c r="AI53" s="1579"/>
    </row>
    <row r="54" spans="1:35" s="6" customFormat="1">
      <c r="A54" s="6" t="s">
        <v>917</v>
      </c>
      <c r="C54" s="1577"/>
      <c r="E54" s="1584"/>
      <c r="F54" s="1579"/>
      <c r="G54" s="1579">
        <f t="shared" si="1"/>
        <v>0</v>
      </c>
      <c r="H54" s="1579"/>
      <c r="I54" s="1579">
        <f t="shared" si="1"/>
        <v>0</v>
      </c>
      <c r="J54" s="1579"/>
      <c r="K54" s="1579">
        <f t="shared" si="1"/>
        <v>0</v>
      </c>
      <c r="L54" s="1579"/>
      <c r="M54" s="1579">
        <f t="shared" si="1"/>
        <v>0</v>
      </c>
      <c r="N54" s="1579"/>
      <c r="O54" s="1579">
        <f t="shared" si="1"/>
        <v>0</v>
      </c>
      <c r="P54" s="1579"/>
      <c r="Q54" s="1579">
        <f t="shared" si="1"/>
        <v>0</v>
      </c>
      <c r="R54" s="1579"/>
      <c r="S54" s="1579">
        <f t="shared" si="1"/>
        <v>0</v>
      </c>
      <c r="T54" s="1579"/>
      <c r="U54" s="1579">
        <f t="shared" si="1"/>
        <v>0</v>
      </c>
      <c r="V54" s="1579"/>
      <c r="W54" s="1579">
        <f t="shared" si="1"/>
        <v>0</v>
      </c>
      <c r="X54" s="1579"/>
      <c r="Y54" s="1579">
        <f t="shared" si="1"/>
        <v>0</v>
      </c>
      <c r="Z54" s="1579"/>
      <c r="AA54" s="1579">
        <f t="shared" si="1"/>
        <v>0</v>
      </c>
      <c r="AB54" s="1579"/>
      <c r="AC54" s="1579">
        <f t="shared" si="1"/>
        <v>0</v>
      </c>
      <c r="AD54" s="1579"/>
      <c r="AE54" s="1579">
        <f t="shared" si="1"/>
        <v>0</v>
      </c>
      <c r="AF54" s="1579"/>
      <c r="AG54" s="1579">
        <f t="shared" si="1"/>
        <v>0</v>
      </c>
      <c r="AH54" s="1579"/>
      <c r="AI54" s="1579"/>
    </row>
    <row r="55" spans="1:35" s="6" customFormat="1">
      <c r="A55" s="1585"/>
      <c r="B55" s="1585"/>
      <c r="C55" s="1577"/>
      <c r="E55" s="1584"/>
      <c r="F55" s="1579"/>
      <c r="G55" s="1579">
        <f t="shared" si="1"/>
        <v>0</v>
      </c>
      <c r="H55" s="1579"/>
      <c r="I55" s="1579">
        <f t="shared" si="1"/>
        <v>0</v>
      </c>
      <c r="J55" s="1579"/>
      <c r="K55" s="1579">
        <f t="shared" si="1"/>
        <v>0</v>
      </c>
      <c r="L55" s="1579"/>
      <c r="M55" s="1579">
        <f t="shared" si="1"/>
        <v>0</v>
      </c>
      <c r="N55" s="1579"/>
      <c r="O55" s="1579">
        <f t="shared" si="1"/>
        <v>0</v>
      </c>
      <c r="P55" s="1579"/>
      <c r="Q55" s="1579">
        <f t="shared" si="1"/>
        <v>0</v>
      </c>
      <c r="R55" s="1579"/>
      <c r="S55" s="1579">
        <f t="shared" si="1"/>
        <v>0</v>
      </c>
      <c r="T55" s="1579"/>
      <c r="U55" s="1579">
        <f t="shared" si="1"/>
        <v>0</v>
      </c>
      <c r="V55" s="1579"/>
      <c r="W55" s="1579">
        <f t="shared" si="1"/>
        <v>0</v>
      </c>
      <c r="X55" s="1579"/>
      <c r="Y55" s="1579">
        <f t="shared" si="1"/>
        <v>0</v>
      </c>
      <c r="Z55" s="1579"/>
      <c r="AA55" s="1579">
        <f t="shared" si="1"/>
        <v>0</v>
      </c>
      <c r="AB55" s="1579"/>
      <c r="AC55" s="1579">
        <f t="shared" si="1"/>
        <v>0</v>
      </c>
      <c r="AD55" s="1579"/>
      <c r="AE55" s="1579">
        <f t="shared" si="1"/>
        <v>0</v>
      </c>
      <c r="AF55" s="1579"/>
      <c r="AG55" s="1579">
        <f t="shared" si="1"/>
        <v>0</v>
      </c>
      <c r="AH55" s="1579"/>
      <c r="AI55" s="1579"/>
    </row>
    <row r="56" spans="1:35" s="6" customFormat="1">
      <c r="A56" s="1585"/>
      <c r="B56" s="1585"/>
      <c r="C56" s="1577"/>
      <c r="E56" s="1586"/>
      <c r="F56" s="1579"/>
      <c r="G56" s="1587">
        <f t="shared" si="1"/>
        <v>0</v>
      </c>
      <c r="H56" s="1579"/>
      <c r="I56" s="1587">
        <f t="shared" si="1"/>
        <v>0</v>
      </c>
      <c r="J56" s="1579"/>
      <c r="K56" s="1587">
        <f t="shared" si="1"/>
        <v>0</v>
      </c>
      <c r="L56" s="1579"/>
      <c r="M56" s="1587">
        <f t="shared" si="1"/>
        <v>0</v>
      </c>
      <c r="N56" s="1579"/>
      <c r="O56" s="1587">
        <f t="shared" si="1"/>
        <v>0</v>
      </c>
      <c r="P56" s="1579"/>
      <c r="Q56" s="1587">
        <f t="shared" si="1"/>
        <v>0</v>
      </c>
      <c r="R56" s="1579"/>
      <c r="S56" s="1587">
        <f t="shared" si="1"/>
        <v>0</v>
      </c>
      <c r="T56" s="1579"/>
      <c r="U56" s="1587">
        <f t="shared" si="1"/>
        <v>0</v>
      </c>
      <c r="V56" s="1579"/>
      <c r="W56" s="1587">
        <f t="shared" si="1"/>
        <v>0</v>
      </c>
      <c r="X56" s="1579"/>
      <c r="Y56" s="1587">
        <f t="shared" si="1"/>
        <v>0</v>
      </c>
      <c r="Z56" s="1579"/>
      <c r="AA56" s="1587">
        <f t="shared" si="1"/>
        <v>0</v>
      </c>
      <c r="AB56" s="1579"/>
      <c r="AC56" s="1587">
        <f t="shared" si="1"/>
        <v>0</v>
      </c>
      <c r="AD56" s="1579"/>
      <c r="AE56" s="1587">
        <f t="shared" si="1"/>
        <v>0</v>
      </c>
      <c r="AF56" s="1579"/>
      <c r="AG56" s="1587">
        <f t="shared" si="1"/>
        <v>0</v>
      </c>
      <c r="AH56" s="1579"/>
      <c r="AI56" s="1579"/>
    </row>
    <row r="57" spans="1:35" s="6" customFormat="1">
      <c r="A57" s="1581" t="s">
        <v>914</v>
      </c>
      <c r="C57" s="1580"/>
      <c r="E57" s="1579">
        <f>SUM(E52:E56)</f>
        <v>0</v>
      </c>
      <c r="F57" s="1579"/>
      <c r="G57" s="1579">
        <f>SUM(G52:G56)</f>
        <v>0</v>
      </c>
      <c r="H57" s="1579"/>
      <c r="I57" s="1579">
        <f>SUM(I52:I56)</f>
        <v>0</v>
      </c>
      <c r="J57" s="1579"/>
      <c r="K57" s="1579">
        <f>SUM(K52:K56)</f>
        <v>0</v>
      </c>
      <c r="L57" s="1579"/>
      <c r="M57" s="1579">
        <f>SUM(M52:M56)</f>
        <v>0</v>
      </c>
      <c r="N57" s="1579"/>
      <c r="O57" s="1579">
        <f>SUM(O52:O56)</f>
        <v>0</v>
      </c>
      <c r="P57" s="1579"/>
      <c r="Q57" s="1579">
        <f>SUM(Q52:Q56)</f>
        <v>0</v>
      </c>
      <c r="R57" s="1579"/>
      <c r="S57" s="1579">
        <f>SUM(S52:S56)</f>
        <v>0</v>
      </c>
      <c r="T57" s="1579"/>
      <c r="U57" s="1579">
        <f>SUM(U52:U56)</f>
        <v>0</v>
      </c>
      <c r="V57" s="1579"/>
      <c r="W57" s="1579">
        <f>SUM(W52:W56)</f>
        <v>0</v>
      </c>
      <c r="X57" s="1579"/>
      <c r="Y57" s="1579">
        <f>SUM(Y52:Y56)</f>
        <v>0</v>
      </c>
      <c r="Z57" s="1579"/>
      <c r="AA57" s="1579">
        <f>SUM(AA52:AA56)</f>
        <v>0</v>
      </c>
      <c r="AB57" s="1579"/>
      <c r="AC57" s="1579">
        <f>SUM(AC52:AC56)</f>
        <v>0</v>
      </c>
      <c r="AD57" s="1579"/>
      <c r="AE57" s="1579">
        <f>SUM(AE52:AE56)</f>
        <v>0</v>
      </c>
      <c r="AF57" s="1579"/>
      <c r="AG57" s="1579">
        <f>SUM(AG52:AG56)</f>
        <v>0</v>
      </c>
      <c r="AH57" s="1579"/>
      <c r="AI57" s="1579"/>
    </row>
    <row r="58" spans="1:35" s="6" customFormat="1" ht="12.75" customHeight="1">
      <c r="A58" s="1581"/>
      <c r="C58" s="1580"/>
      <c r="E58" s="1579"/>
      <c r="F58" s="1579"/>
      <c r="G58" s="1579"/>
      <c r="H58" s="1579"/>
      <c r="I58" s="1579"/>
      <c r="J58" s="1579"/>
      <c r="K58" s="1579"/>
      <c r="L58" s="157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row>
    <row r="59" spans="1:35" s="1581" customFormat="1">
      <c r="A59" s="1581" t="s">
        <v>919</v>
      </c>
      <c r="C59" s="1588"/>
      <c r="E59" s="1581">
        <f>E44-E57</f>
        <v>79458.611408566707</v>
      </c>
      <c r="G59" s="1581">
        <f>G44-G57</f>
        <v>83245.161408566288</v>
      </c>
      <c r="I59" s="1581">
        <f>I44-I57</f>
        <v>86664.690258565941</v>
      </c>
      <c r="K59" s="1581">
        <f>K44-K57</f>
        <v>89691.859708316275</v>
      </c>
      <c r="M59" s="1581">
        <f>M44-M57</f>
        <v>92300.132281057653</v>
      </c>
      <c r="O59" s="1581">
        <f>O44-O57</f>
        <v>94461.721489400952</v>
      </c>
      <c r="Q59" s="1581">
        <f>Q44-Q57</f>
        <v>96147.540113450843</v>
      </c>
      <c r="S59" s="1581">
        <f>S44-S57</f>
        <v>97327.146468473249</v>
      </c>
      <c r="U59" s="1581">
        <f>U44-U57</f>
        <v>97968.688586726668</v>
      </c>
      <c r="W59" s="1581">
        <f>W44-W57</f>
        <v>98038.846235335455</v>
      </c>
      <c r="Y59" s="1581">
        <f>Y44-Y57</f>
        <v>97502.770689195138</v>
      </c>
      <c r="AA59" s="1581">
        <f>AA44-AA57</f>
        <v>96324.022174956393</v>
      </c>
      <c r="AC59" s="1581">
        <f>AC44-AC57</f>
        <v>94464.504899039282</v>
      </c>
      <c r="AE59" s="1581">
        <f>AE44-AE57</f>
        <v>91884.399569464498</v>
      </c>
      <c r="AG59" s="1581">
        <f>AG44-AG57</f>
        <v>88542.093317973544</v>
      </c>
    </row>
    <row r="60" spans="1:35" s="6" customFormat="1" ht="8.25" customHeight="1">
      <c r="C60" s="1580"/>
      <c r="E60" s="1579"/>
      <c r="F60" s="1579"/>
      <c r="G60" s="1579"/>
      <c r="H60" s="1579"/>
      <c r="I60" s="1579"/>
      <c r="J60" s="1579"/>
      <c r="K60" s="1579"/>
      <c r="L60" s="1579"/>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row>
    <row r="61" spans="1:35" s="1581" customFormat="1">
      <c r="A61" s="1581" t="s">
        <v>918</v>
      </c>
      <c r="C61" s="1578">
        <v>0</v>
      </c>
      <c r="E61" s="1583">
        <f>E59*$C$61</f>
        <v>0</v>
      </c>
      <c r="G61" s="1589">
        <f>G59*$C$61</f>
        <v>0</v>
      </c>
      <c r="H61" s="1589"/>
      <c r="I61" s="1589">
        <f>I59*$C$61</f>
        <v>0</v>
      </c>
      <c r="J61" s="1589"/>
      <c r="K61" s="1589">
        <f>K59*$C$61</f>
        <v>0</v>
      </c>
      <c r="L61" s="1589"/>
      <c r="M61" s="1589">
        <f>M59*$C$61</f>
        <v>0</v>
      </c>
      <c r="N61" s="1589"/>
      <c r="O61" s="1589">
        <f>O59*$C$61</f>
        <v>0</v>
      </c>
      <c r="P61" s="1589"/>
      <c r="Q61" s="1589">
        <f>Q59*$C$61</f>
        <v>0</v>
      </c>
      <c r="R61" s="1589"/>
      <c r="S61" s="1589">
        <f>S59*$C$61</f>
        <v>0</v>
      </c>
      <c r="T61" s="1589"/>
      <c r="U61" s="1589">
        <f>U59*$C$61</f>
        <v>0</v>
      </c>
      <c r="V61" s="1589"/>
      <c r="W61" s="1589">
        <f>W59*$C$61</f>
        <v>0</v>
      </c>
      <c r="Y61" s="1589">
        <f>Y59*$C$61</f>
        <v>0</v>
      </c>
      <c r="AA61" s="1589">
        <f>AA59*$C$61</f>
        <v>0</v>
      </c>
      <c r="AC61" s="1589">
        <f>AC59*$C$61</f>
        <v>0</v>
      </c>
      <c r="AE61" s="1589">
        <f>AE59*$C$61</f>
        <v>0</v>
      </c>
      <c r="AG61" s="1589">
        <f>AG59*$C$61</f>
        <v>0</v>
      </c>
    </row>
    <row r="62" spans="1:35" s="1589" customFormat="1">
      <c r="A62" s="3371" t="s">
        <v>1377</v>
      </c>
      <c r="B62" s="3371"/>
      <c r="C62" s="3371"/>
    </row>
    <row r="63" spans="1:35" s="6" customFormat="1" ht="8.25" customHeight="1">
      <c r="C63" s="1580"/>
      <c r="E63" s="1579"/>
      <c r="F63" s="1579"/>
      <c r="G63" s="1579"/>
      <c r="H63" s="1579"/>
      <c r="I63" s="1579"/>
      <c r="J63" s="1579"/>
      <c r="K63" s="1579"/>
      <c r="L63" s="1579"/>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row>
    <row r="64" spans="1:35" s="6" customFormat="1">
      <c r="A64" s="6" t="s">
        <v>922</v>
      </c>
      <c r="C64" s="1578">
        <v>0.66666666666666663</v>
      </c>
      <c r="E64" s="1579"/>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c r="AI64" s="1579"/>
    </row>
    <row r="65" spans="1:33" s="1581" customFormat="1">
      <c r="A65" s="1583"/>
      <c r="B65" s="1583"/>
      <c r="C65" s="1582"/>
      <c r="E65" s="1583">
        <f>$E59*$C$64</f>
        <v>52972.407605711138</v>
      </c>
      <c r="G65" s="1579">
        <f>G59*$C$64</f>
        <v>55496.774272377523</v>
      </c>
      <c r="I65" s="1579">
        <f>I59*$C$64</f>
        <v>57776.460172377294</v>
      </c>
      <c r="K65" s="1579">
        <f>K59*$C$64</f>
        <v>59794.573138877517</v>
      </c>
      <c r="M65" s="1579">
        <f>M59*$C$64</f>
        <v>61533.421520705102</v>
      </c>
      <c r="O65" s="1579">
        <f>O59*$C$64</f>
        <v>62974.480992933968</v>
      </c>
      <c r="Q65" s="1579">
        <f>Q59*$C$64</f>
        <v>64098.360075633893</v>
      </c>
      <c r="S65" s="1579">
        <f>S59*$C$64</f>
        <v>64884.764312315499</v>
      </c>
      <c r="U65" s="1579">
        <f>U59*$C$64</f>
        <v>65312.459057817774</v>
      </c>
      <c r="W65" s="1579">
        <f>W59*$C$64</f>
        <v>65359.230823556965</v>
      </c>
      <c r="Y65" s="1579">
        <f>Y59*$C$64</f>
        <v>65001.847126130087</v>
      </c>
      <c r="AA65" s="1579">
        <f>AA59*$C$64</f>
        <v>64216.014783304257</v>
      </c>
      <c r="AC65" s="1579">
        <f>AC59*$C$64</f>
        <v>62976.336599359522</v>
      </c>
      <c r="AE65" s="1579">
        <f>AE59*$C$64</f>
        <v>61256.266379642999</v>
      </c>
      <c r="AG65" s="1579">
        <f>AG59*$C$64</f>
        <v>59028.06221198236</v>
      </c>
    </row>
    <row r="66" spans="1:33" s="1579" customFormat="1">
      <c r="A66" s="1584"/>
      <c r="B66" s="1584"/>
      <c r="C66" s="1590"/>
      <c r="E66" s="1583"/>
      <c r="G66" s="1579">
        <f>E66*$C$65</f>
        <v>0</v>
      </c>
      <c r="I66" s="1579">
        <f>G66*$C$65</f>
        <v>0</v>
      </c>
      <c r="K66" s="1579">
        <f>I66*$C$65</f>
        <v>0</v>
      </c>
      <c r="M66" s="1579">
        <f>K66*$C$65</f>
        <v>0</v>
      </c>
      <c r="O66" s="1579">
        <f>M66*$C$65</f>
        <v>0</v>
      </c>
      <c r="Q66" s="1579">
        <f>O66*$C$65</f>
        <v>0</v>
      </c>
      <c r="S66" s="1579">
        <f>Q66*$C$65</f>
        <v>0</v>
      </c>
      <c r="U66" s="1579">
        <f>S66*$C$65</f>
        <v>0</v>
      </c>
      <c r="W66" s="1579">
        <f>U66*$C$65</f>
        <v>0</v>
      </c>
      <c r="Y66" s="1579">
        <f>W66*$C$65</f>
        <v>0</v>
      </c>
      <c r="AA66" s="1579">
        <f>Y66*$C$65</f>
        <v>0</v>
      </c>
      <c r="AC66" s="1579">
        <f>AA66*$C$65</f>
        <v>0</v>
      </c>
      <c r="AE66" s="1579">
        <f>AC66*$C$65</f>
        <v>0</v>
      </c>
      <c r="AG66" s="1579">
        <f>AE66*$C$65</f>
        <v>0</v>
      </c>
    </row>
    <row r="67" spans="1:33" s="1579" customFormat="1">
      <c r="A67" s="1584"/>
      <c r="B67" s="1584"/>
      <c r="C67" s="1590"/>
      <c r="E67" s="1584"/>
      <c r="G67" s="1579">
        <f t="shared" ref="G67:AG68" si="2">E67*$C$65</f>
        <v>0</v>
      </c>
      <c r="I67" s="1579">
        <f t="shared" si="2"/>
        <v>0</v>
      </c>
      <c r="K67" s="1579">
        <f t="shared" si="2"/>
        <v>0</v>
      </c>
      <c r="M67" s="1579">
        <f t="shared" si="2"/>
        <v>0</v>
      </c>
      <c r="O67" s="1579">
        <f t="shared" si="2"/>
        <v>0</v>
      </c>
      <c r="Q67" s="1579">
        <f t="shared" si="2"/>
        <v>0</v>
      </c>
      <c r="S67" s="1579">
        <f t="shared" si="2"/>
        <v>0</v>
      </c>
      <c r="U67" s="1579">
        <f t="shared" si="2"/>
        <v>0</v>
      </c>
      <c r="W67" s="1579">
        <f t="shared" si="2"/>
        <v>0</v>
      </c>
      <c r="Y67" s="1579">
        <f t="shared" si="2"/>
        <v>0</v>
      </c>
      <c r="AA67" s="1579">
        <f t="shared" si="2"/>
        <v>0</v>
      </c>
      <c r="AC67" s="1579">
        <f t="shared" si="2"/>
        <v>0</v>
      </c>
      <c r="AE67" s="1579">
        <f t="shared" si="2"/>
        <v>0</v>
      </c>
      <c r="AG67" s="1579">
        <f t="shared" si="2"/>
        <v>0</v>
      </c>
    </row>
    <row r="68" spans="1:33" s="1579" customFormat="1">
      <c r="A68" s="1584"/>
      <c r="B68" s="1584"/>
      <c r="C68" s="1590"/>
      <c r="E68" s="1586"/>
      <c r="G68" s="1587">
        <f t="shared" si="2"/>
        <v>0</v>
      </c>
      <c r="I68" s="1587">
        <f t="shared" si="2"/>
        <v>0</v>
      </c>
      <c r="K68" s="1587">
        <f t="shared" si="2"/>
        <v>0</v>
      </c>
      <c r="M68" s="1587">
        <f t="shared" si="2"/>
        <v>0</v>
      </c>
      <c r="O68" s="1587">
        <f t="shared" si="2"/>
        <v>0</v>
      </c>
      <c r="Q68" s="1587">
        <f t="shared" si="2"/>
        <v>0</v>
      </c>
      <c r="S68" s="1587">
        <f t="shared" si="2"/>
        <v>0</v>
      </c>
      <c r="U68" s="1587">
        <f t="shared" si="2"/>
        <v>0</v>
      </c>
      <c r="W68" s="1587">
        <f t="shared" si="2"/>
        <v>0</v>
      </c>
      <c r="Y68" s="1587">
        <f t="shared" si="2"/>
        <v>0</v>
      </c>
      <c r="AA68" s="1587">
        <f t="shared" si="2"/>
        <v>0</v>
      </c>
      <c r="AC68" s="1587">
        <f t="shared" si="2"/>
        <v>0</v>
      </c>
      <c r="AE68" s="1587">
        <f t="shared" si="2"/>
        <v>0</v>
      </c>
      <c r="AG68" s="1587">
        <f t="shared" si="2"/>
        <v>0</v>
      </c>
    </row>
    <row r="69" spans="1:33" s="1591" customFormat="1">
      <c r="A69" s="1581" t="s">
        <v>914</v>
      </c>
      <c r="C69" s="1590"/>
      <c r="E69" s="1591">
        <f>SUM(E65:E68)</f>
        <v>52972.407605711138</v>
      </c>
      <c r="G69" s="1591">
        <f>SUM(G65:G68)</f>
        <v>55496.774272377523</v>
      </c>
      <c r="I69" s="1591">
        <f>SUM(I65:I68)</f>
        <v>57776.460172377294</v>
      </c>
      <c r="K69" s="1591">
        <f>SUM(K65:K68)</f>
        <v>59794.573138877517</v>
      </c>
      <c r="M69" s="1591">
        <f>SUM(M65:M68)</f>
        <v>61533.421520705102</v>
      </c>
      <c r="O69" s="1591">
        <f>SUM(O65:O68)</f>
        <v>62974.480992933968</v>
      </c>
      <c r="Q69" s="1591">
        <f>SUM(Q65:Q68)</f>
        <v>64098.360075633893</v>
      </c>
      <c r="S69" s="1591">
        <f>SUM(S65:S68)</f>
        <v>64884.764312315499</v>
      </c>
      <c r="U69" s="1591">
        <f>SUM(U65:U68)</f>
        <v>65312.459057817774</v>
      </c>
      <c r="W69" s="1591">
        <f>SUM(W65:W68)</f>
        <v>65359.230823556965</v>
      </c>
      <c r="Y69" s="1591">
        <f>SUM(Y65:Y68)</f>
        <v>65001.847126130087</v>
      </c>
      <c r="AA69" s="1591">
        <f>SUM(AA65:AA68)</f>
        <v>64216.014783304257</v>
      </c>
      <c r="AC69" s="1591">
        <f>SUM(AC65:AC68)</f>
        <v>62976.336599359522</v>
      </c>
      <c r="AE69" s="1591">
        <f>SUM(AE65:AE68)</f>
        <v>61256.266379642999</v>
      </c>
      <c r="AG69" s="1591">
        <f>SUM(AG65:AG68)</f>
        <v>59028.06221198236</v>
      </c>
    </row>
    <row r="70" spans="1:33" s="1591" customFormat="1">
      <c r="A70" s="1581"/>
      <c r="C70" s="1590"/>
    </row>
    <row r="71" spans="1:33" s="1591" customFormat="1">
      <c r="A71" s="1581" t="s">
        <v>2139</v>
      </c>
      <c r="C71" s="1590"/>
      <c r="E71" s="1581">
        <f>E59-E61-E69</f>
        <v>26486.203802855569</v>
      </c>
      <c r="G71" s="1581">
        <f>G59-G61-G69</f>
        <v>27748.387136188765</v>
      </c>
      <c r="I71" s="1581">
        <f>I59-I61-I69</f>
        <v>28888.230086188647</v>
      </c>
      <c r="K71" s="1581">
        <f>K59-K61-K69</f>
        <v>29897.286569438758</v>
      </c>
      <c r="M71" s="1581">
        <f>M59-M61-M69</f>
        <v>30766.710760352551</v>
      </c>
      <c r="O71" s="1581">
        <f>O59-O61-O69</f>
        <v>31487.240496466984</v>
      </c>
      <c r="Q71" s="1581">
        <f>Q59-Q61-Q69</f>
        <v>32049.18003781695</v>
      </c>
      <c r="S71" s="1581">
        <f>S59-S61-S69</f>
        <v>32442.38215615775</v>
      </c>
      <c r="U71" s="1581">
        <f>U59-U61-U69</f>
        <v>32656.229528908894</v>
      </c>
      <c r="W71" s="1581">
        <f>W59-W61-W69</f>
        <v>32679.61541177849</v>
      </c>
      <c r="Y71" s="1581">
        <f>Y59-Y61-Y69</f>
        <v>32500.923563065051</v>
      </c>
      <c r="AA71" s="1581">
        <f>AA59-AA61-AA69</f>
        <v>32108.007391652136</v>
      </c>
      <c r="AC71" s="1581">
        <f>AC59-AC61-AC69</f>
        <v>31488.168299679761</v>
      </c>
      <c r="AE71" s="1581">
        <f>AE59-AE61-AE69</f>
        <v>30628.133189821499</v>
      </c>
      <c r="AG71" s="1581">
        <f>AG59-AG61-AG69</f>
        <v>29514.031105991184</v>
      </c>
    </row>
    <row r="72" spans="1:33" s="1579" customFormat="1" ht="13">
      <c r="A72" s="912"/>
      <c r="C72" s="1592"/>
    </row>
    <row r="73" spans="1:33" s="351" customFormat="1" ht="13">
      <c r="A73" s="912"/>
      <c r="C73" s="352"/>
    </row>
    <row r="74" spans="1:33" s="351" customFormat="1">
      <c r="A74" s="1579" t="s">
        <v>2138</v>
      </c>
      <c r="C74" s="352"/>
    </row>
    <row r="75" spans="1:33" s="351" customFormat="1">
      <c r="C75" s="352"/>
    </row>
    <row r="76" spans="1:33" s="370" customFormat="1" ht="30" customHeight="1">
      <c r="A76" s="3369" t="s">
        <v>2137</v>
      </c>
      <c r="B76" s="3370"/>
      <c r="C76" s="3370"/>
      <c r="D76" s="3370"/>
      <c r="E76" s="3370"/>
      <c r="F76" s="3370"/>
      <c r="G76" s="3370"/>
      <c r="H76" s="3370"/>
      <c r="I76" s="3370"/>
      <c r="J76" s="3370"/>
      <c r="K76" s="3370"/>
      <c r="L76" s="3370"/>
      <c r="M76" s="3370"/>
      <c r="N76" s="3370"/>
      <c r="O76" s="3370"/>
      <c r="P76" s="3370"/>
      <c r="Q76" s="3370"/>
      <c r="R76" s="3370"/>
      <c r="S76" s="3370"/>
      <c r="T76" s="3370"/>
      <c r="U76" s="3370"/>
      <c r="V76" s="3370"/>
      <c r="W76" s="3370"/>
      <c r="X76" s="3370"/>
      <c r="Y76" s="3370"/>
      <c r="Z76" s="3370"/>
      <c r="AA76" s="3370"/>
      <c r="AB76" s="3370"/>
      <c r="AC76" s="3370"/>
      <c r="AD76" s="3370"/>
      <c r="AE76" s="3370"/>
      <c r="AF76" s="3370"/>
      <c r="AG76" s="337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6" zoomScaleNormal="100" zoomScaleSheetLayoutView="100" workbookViewId="0">
      <selection activeCell="E6" sqref="E6"/>
    </sheetView>
  </sheetViews>
  <sheetFormatPr defaultColWidth="0" defaultRowHeight="14" zeroHeight="1"/>
  <cols>
    <col min="1" max="3" width="15.453125" style="472" customWidth="1"/>
    <col min="4" max="4" width="3.453125" style="472" customWidth="1"/>
    <col min="5" max="6" width="15.453125" style="472" customWidth="1"/>
    <col min="7" max="7" width="3.453125" style="472" customWidth="1"/>
    <col min="8" max="9" width="15.453125" style="472" customWidth="1"/>
    <col min="10" max="16" width="15.453125" style="472" hidden="1" customWidth="1"/>
    <col min="17" max="16383" width="9.1796875" style="472" hidden="1"/>
    <col min="16384" max="16384" width="0.453125" style="472" customWidth="1"/>
  </cols>
  <sheetData>
    <row r="1" spans="1:11">
      <c r="A1" s="3372" t="s">
        <v>977</v>
      </c>
      <c r="B1" s="3372"/>
      <c r="C1" s="3372"/>
      <c r="D1" s="3372"/>
      <c r="E1" s="3372"/>
      <c r="F1" s="3372"/>
      <c r="G1" s="3372"/>
      <c r="H1" s="3372"/>
      <c r="I1" s="3372"/>
      <c r="J1" s="325"/>
      <c r="K1" s="325"/>
    </row>
    <row r="2" spans="1:11">
      <c r="A2" s="653"/>
      <c r="B2" s="653"/>
      <c r="C2" s="653"/>
      <c r="D2" s="653"/>
      <c r="E2" s="653"/>
      <c r="F2" s="653"/>
      <c r="G2" s="653"/>
      <c r="H2" s="653"/>
      <c r="I2" s="653"/>
    </row>
    <row r="3" spans="1:11" ht="98">
      <c r="A3" s="654" t="s">
        <v>978</v>
      </c>
      <c r="B3" s="654" t="s">
        <v>979</v>
      </c>
      <c r="C3" s="474" t="s">
        <v>980</v>
      </c>
      <c r="D3" s="383"/>
      <c r="E3" s="474" t="s">
        <v>981</v>
      </c>
      <c r="F3" s="654" t="s">
        <v>982</v>
      </c>
      <c r="G3" s="655"/>
      <c r="H3" s="654" t="s">
        <v>983</v>
      </c>
      <c r="I3" s="654" t="s">
        <v>984</v>
      </c>
      <c r="J3" s="325"/>
      <c r="K3" s="473"/>
    </row>
    <row r="4" spans="1:11">
      <c r="A4" s="656" t="str">
        <f>Application!B728</f>
        <v>SRO/Studio</v>
      </c>
      <c r="B4" s="665">
        <v>12</v>
      </c>
      <c r="C4" s="656">
        <f>Application!O728</f>
        <v>424</v>
      </c>
      <c r="D4" s="657"/>
      <c r="E4" s="476">
        <v>2190</v>
      </c>
      <c r="F4" s="658">
        <f>E4*B4</f>
        <v>26280</v>
      </c>
      <c r="G4" s="659"/>
      <c r="H4" s="656">
        <f>IF(E4=0," ",(E4-C4))</f>
        <v>1766</v>
      </c>
      <c r="I4" s="658">
        <f>IF(E4=0," ",(H4*B4))</f>
        <v>21192</v>
      </c>
      <c r="J4" s="325"/>
      <c r="K4" s="473"/>
    </row>
    <row r="5" spans="1:11">
      <c r="A5" s="656" t="str">
        <f>Application!B729</f>
        <v>SRO/Studio</v>
      </c>
      <c r="B5" s="665"/>
      <c r="C5" s="656">
        <f>Application!O729</f>
        <v>658</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2 Bedrooms</v>
      </c>
      <c r="B6" s="665">
        <v>2</v>
      </c>
      <c r="C6" s="656">
        <f>Application!O730</f>
        <v>837</v>
      </c>
      <c r="D6" s="657"/>
      <c r="E6" s="476">
        <v>3277</v>
      </c>
      <c r="F6" s="658">
        <f t="shared" si="0"/>
        <v>6554</v>
      </c>
      <c r="G6" s="659"/>
      <c r="H6" s="656">
        <f t="shared" si="1"/>
        <v>2440</v>
      </c>
      <c r="I6" s="658">
        <f t="shared" si="2"/>
        <v>4880</v>
      </c>
      <c r="J6" s="325"/>
      <c r="K6" s="473"/>
    </row>
    <row r="7" spans="1:11">
      <c r="A7" s="656" t="str">
        <f>Application!B731</f>
        <v>2 Bedrooms</v>
      </c>
      <c r="B7" s="665"/>
      <c r="C7" s="656">
        <f>Application!O731</f>
        <v>1437</v>
      </c>
      <c r="D7" s="657"/>
      <c r="E7" s="476"/>
      <c r="F7" s="658">
        <f t="shared" si="0"/>
        <v>0</v>
      </c>
      <c r="G7" s="659"/>
      <c r="H7" s="656" t="str">
        <f t="shared" si="1"/>
        <v xml:space="preserve"> </v>
      </c>
      <c r="I7" s="658" t="str">
        <f t="shared" si="2"/>
        <v xml:space="preserve"> </v>
      </c>
      <c r="J7" s="325"/>
      <c r="K7" s="473"/>
    </row>
    <row r="8" spans="1:11">
      <c r="A8" s="656" t="str">
        <f>Application!B732</f>
        <v>SRO/Studio</v>
      </c>
      <c r="B8" s="665"/>
      <c r="C8" s="656">
        <f>Application!O732</f>
        <v>1357</v>
      </c>
      <c r="D8" s="657"/>
      <c r="E8" s="476"/>
      <c r="F8" s="658">
        <f t="shared" si="0"/>
        <v>0</v>
      </c>
      <c r="G8" s="659"/>
      <c r="H8" s="656" t="str">
        <f t="shared" si="1"/>
        <v xml:space="preserve"> </v>
      </c>
      <c r="I8" s="658" t="str">
        <f t="shared" si="2"/>
        <v xml:space="preserve"> </v>
      </c>
      <c r="J8" s="325"/>
      <c r="K8" s="473"/>
    </row>
    <row r="9" spans="1:11">
      <c r="A9" s="656" t="str">
        <f>Application!B733</f>
        <v>2 Bedrooms</v>
      </c>
      <c r="B9" s="665"/>
      <c r="C9" s="656">
        <f>Application!O733</f>
        <v>1737</v>
      </c>
      <c r="D9" s="657"/>
      <c r="E9" s="476"/>
      <c r="F9" s="658">
        <f t="shared" si="0"/>
        <v>0</v>
      </c>
      <c r="G9" s="659"/>
      <c r="H9" s="656" t="str">
        <f t="shared" si="1"/>
        <v xml:space="preserve"> </v>
      </c>
      <c r="I9" s="658" t="str">
        <f t="shared" si="2"/>
        <v xml:space="preserve"> </v>
      </c>
      <c r="J9" s="325"/>
      <c r="K9" s="473"/>
    </row>
    <row r="10" spans="1:11">
      <c r="A10" s="656" t="str">
        <f>Application!B734</f>
        <v>SRO/Studio</v>
      </c>
      <c r="B10" s="665"/>
      <c r="C10" s="656">
        <f>Application!O734</f>
        <v>1591</v>
      </c>
      <c r="D10" s="657"/>
      <c r="E10" s="476"/>
      <c r="F10" s="658">
        <f t="shared" si="0"/>
        <v>0</v>
      </c>
      <c r="G10" s="659"/>
      <c r="H10" s="656" t="str">
        <f t="shared" si="1"/>
        <v xml:space="preserve"> </v>
      </c>
      <c r="I10" s="658" t="str">
        <f t="shared" si="2"/>
        <v xml:space="preserve"> </v>
      </c>
      <c r="J10" s="325"/>
      <c r="K10" s="473"/>
    </row>
    <row r="11" spans="1:11">
      <c r="A11" s="656" t="str">
        <f>Application!B735</f>
        <v>2 Bedrooms</v>
      </c>
      <c r="B11" s="665"/>
      <c r="C11" s="656">
        <f>Application!O735</f>
        <v>2037</v>
      </c>
      <c r="D11" s="657"/>
      <c r="E11" s="476"/>
      <c r="F11" s="658">
        <f t="shared" si="0"/>
        <v>0</v>
      </c>
      <c r="G11" s="659"/>
      <c r="H11" s="656" t="str">
        <f t="shared" si="1"/>
        <v xml:space="preserve"> </v>
      </c>
      <c r="I11" s="658" t="str">
        <f t="shared" si="2"/>
        <v xml:space="preserve"> </v>
      </c>
      <c r="J11" s="325"/>
      <c r="K11" s="473"/>
    </row>
    <row r="12" spans="1:11">
      <c r="A12" s="656" t="str">
        <f>Application!B736</f>
        <v>SRO/Studio</v>
      </c>
      <c r="B12" s="665"/>
      <c r="C12" s="656">
        <f>Application!O736</f>
        <v>1668</v>
      </c>
      <c r="D12" s="657"/>
      <c r="E12" s="476"/>
      <c r="F12" s="658">
        <f t="shared" si="0"/>
        <v>0</v>
      </c>
      <c r="G12" s="659"/>
      <c r="H12" s="656" t="str">
        <f t="shared" si="1"/>
        <v xml:space="preserve"> </v>
      </c>
      <c r="I12" s="658" t="str">
        <f t="shared" si="2"/>
        <v xml:space="preserve"> </v>
      </c>
      <c r="J12" s="325"/>
      <c r="K12" s="473"/>
    </row>
    <row r="13" spans="1:11">
      <c r="A13" s="656">
        <f>Application!B737</f>
        <v>0</v>
      </c>
      <c r="B13" s="665"/>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985</v>
      </c>
      <c r="B30" s="661"/>
      <c r="C30" s="662">
        <f>Application!T753</f>
        <v>148952</v>
      </c>
      <c r="D30" s="657"/>
      <c r="E30" s="657"/>
      <c r="F30" s="662">
        <f>SUM(F4:F28)*12</f>
        <v>394008</v>
      </c>
      <c r="G30" s="663"/>
      <c r="H30" s="661"/>
      <c r="I30" s="662">
        <f>SUM(I4:I28)*12</f>
        <v>312864</v>
      </c>
      <c r="J30" s="325"/>
      <c r="K30" s="475"/>
    </row>
    <row r="31" spans="1:11">
      <c r="A31" s="660"/>
      <c r="B31" s="661"/>
      <c r="C31" s="663"/>
      <c r="D31" s="657"/>
      <c r="E31" s="657"/>
      <c r="F31" s="663"/>
      <c r="G31" s="663"/>
      <c r="H31" s="661"/>
      <c r="I31" s="663"/>
      <c r="J31" s="325"/>
      <c r="K31" s="475"/>
    </row>
    <row r="32" spans="1:11">
      <c r="A32" s="664" t="s">
        <v>986</v>
      </c>
      <c r="B32" s="653"/>
      <c r="C32" s="653"/>
      <c r="D32" s="653"/>
      <c r="E32" s="653"/>
      <c r="F32" s="653"/>
      <c r="G32" s="653"/>
      <c r="H32" s="653"/>
      <c r="I32" s="653"/>
    </row>
    <row r="33" spans="1:9">
      <c r="A33" s="664" t="s">
        <v>987</v>
      </c>
      <c r="B33" s="653"/>
      <c r="C33" s="653"/>
      <c r="D33" s="653"/>
      <c r="E33" s="653"/>
      <c r="F33" s="653"/>
      <c r="G33" s="653"/>
      <c r="H33" s="653"/>
      <c r="I33" s="653"/>
    </row>
    <row r="34" spans="1:9">
      <c r="A34" s="653" t="s">
        <v>1137</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453125" customWidth="1"/>
    <col min="2" max="16384" width="8.81640625" hidden="1"/>
  </cols>
  <sheetData>
    <row r="1" spans="1:1" ht="46.5">
      <c r="A1" s="488" t="s">
        <v>1046</v>
      </c>
    </row>
    <row r="2" spans="1:1" ht="15.5">
      <c r="A2" s="489"/>
    </row>
    <row r="3" spans="1:1" ht="15.5">
      <c r="A3" s="490" t="s">
        <v>1041</v>
      </c>
    </row>
    <row r="4" spans="1:1" ht="15.5">
      <c r="A4" s="490" t="s">
        <v>1042</v>
      </c>
    </row>
    <row r="5" spans="1:1" ht="15.5">
      <c r="A5" s="490" t="s">
        <v>1043</v>
      </c>
    </row>
    <row r="6" spans="1:1" ht="15.5">
      <c r="A6" s="490" t="s">
        <v>1045</v>
      </c>
    </row>
    <row r="7" spans="1:1" ht="15.5">
      <c r="A7" s="490" t="s">
        <v>1044</v>
      </c>
    </row>
    <row r="8" spans="1:1" ht="15.5">
      <c r="A8" s="536" t="s">
        <v>1130</v>
      </c>
    </row>
    <row r="9" spans="1:1" ht="15.5">
      <c r="A9" s="490" t="s">
        <v>1131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453125" style="325" customWidth="1"/>
    <col min="2" max="4" width="14.453125" style="325" customWidth="1"/>
    <col min="5" max="5" width="50.453125" style="325" customWidth="1"/>
    <col min="6" max="6" width="9.1796875" style="325" customWidth="1"/>
    <col min="7" max="253" width="0" style="498" hidden="1" customWidth="1"/>
    <col min="254" max="16384" width="9.1796875" style="498" hidden="1"/>
  </cols>
  <sheetData>
    <row r="1" spans="1:253" s="432" customFormat="1" ht="18" customHeight="1">
      <c r="A1" s="863" t="s">
        <v>1421</v>
      </c>
      <c r="D1" s="437"/>
    </row>
    <row r="2" spans="1:253" s="432" customFormat="1" ht="13">
      <c r="A2" s="414" t="s">
        <v>955</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956</v>
      </c>
      <c r="C3" s="418" t="s">
        <v>957</v>
      </c>
      <c r="D3" s="418" t="s">
        <v>958</v>
      </c>
      <c r="E3" s="415" t="s">
        <v>959</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0</v>
      </c>
      <c r="C5" s="421">
        <f>'Sources and Uses Budget'!$C4</f>
        <v>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626</v>
      </c>
      <c r="B9" s="425">
        <f>SUM(B5:B8)</f>
        <v>0</v>
      </c>
      <c r="C9" s="425">
        <f>SUM(C5:C8)</f>
        <v>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627</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628</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629</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0</v>
      </c>
      <c r="C13" s="425">
        <f>SUM(C9+C12)</f>
        <v>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969</v>
      </c>
      <c r="B14" s="421">
        <f>'Sources and Uses Budget'!$C13</f>
        <v>24590</v>
      </c>
      <c r="C14" s="421">
        <f>'Sources and Uses Budget'!$C13</f>
        <v>24590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
      <c r="A15" s="569" t="s">
        <v>970</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1349</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
      <c r="A17" s="419" t="s">
        <v>630</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631</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632</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633</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1945</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
      <c r="A27" s="1718"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
      <c r="A28" s="426" t="s">
        <v>146</v>
      </c>
      <c r="B28" s="421">
        <f>'Sources and Uses Budget'!$C$27</f>
        <v>49180</v>
      </c>
      <c r="C28" s="421">
        <f>'Sources and Uses Budget'!$C$27</f>
        <v>49180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631</v>
      </c>
      <c r="B30" s="421">
        <f>'Sources and Uses Budget'!$C29</f>
        <v>1692826</v>
      </c>
      <c r="C30" s="421">
        <f>'Sources and Uses Budget'!$C29</f>
        <v>1692826</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632</v>
      </c>
      <c r="B31" s="421">
        <f>'Sources and Uses Budget'!$C30</f>
        <v>50711485</v>
      </c>
      <c r="C31" s="421">
        <f>'Sources and Uses Budget'!$C30</f>
        <v>50711485</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633</v>
      </c>
      <c r="B32" s="421">
        <f>'Sources and Uses Budget'!$C31</f>
        <v>5083470</v>
      </c>
      <c r="C32" s="421">
        <f>'Sources and Uses Budget'!$C31</f>
        <v>5083470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1835851.5</v>
      </c>
      <c r="C33" s="421">
        <f>'Sources and Uses Budget'!$C32</f>
        <v>1835851.5</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1835851.5</v>
      </c>
      <c r="C34" s="421">
        <f>'Sources and Uses Budget'!$C33</f>
        <v>1835851.5</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0</v>
      </c>
      <c r="C36" s="421">
        <f>'Sources and Uses Budget'!$C35</f>
        <v>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12" t="s">
        <v>1945</v>
      </c>
      <c r="B37" s="421">
        <f>'Sources and Uses Budget'!$C36</f>
        <v>289552</v>
      </c>
      <c r="C37" s="421">
        <f>'Sources and Uses Budget'!$C36</f>
        <v>289552</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
      <c r="A39" s="426" t="s">
        <v>148</v>
      </c>
      <c r="B39" s="425">
        <f>SUM(B30:B38)</f>
        <v>61449036</v>
      </c>
      <c r="C39" s="425">
        <f>SUM(C30:C38)</f>
        <v>61449036</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2587137</v>
      </c>
      <c r="C41" s="421">
        <f>'Sources and Uses Budget'!$C40</f>
        <v>2587137</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
      <c r="A43" s="426" t="s">
        <v>152</v>
      </c>
      <c r="B43" s="425">
        <f>SUM(B41:B42)</f>
        <v>2587137</v>
      </c>
      <c r="C43" s="425">
        <f>SUM(C41:C42)</f>
        <v>2587137</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
      <c r="A44" s="426" t="s">
        <v>153</v>
      </c>
      <c r="B44" s="421">
        <f>'Sources and Uses Budget'!$C43</f>
        <v>590749</v>
      </c>
      <c r="C44" s="421">
        <f>'Sources and Uses Budget'!$C43</f>
        <v>590749</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3005670</v>
      </c>
      <c r="C46" s="421">
        <f>'Sources and Uses Budget'!$C45</f>
        <v>3005670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433318</v>
      </c>
      <c r="C47" s="421">
        <f>'Sources and Uses Budget'!$C46</f>
        <v>433318</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377574</v>
      </c>
      <c r="C50" s="421">
        <f>'Sources and Uses Budget'!$C49</f>
        <v>377574</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122950</v>
      </c>
      <c r="C51" s="421">
        <f>'Sources and Uses Budget'!$C50</f>
        <v>122950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0</v>
      </c>
      <c r="C52" s="421">
        <f>'Sources and Uses Budget'!$C51</f>
        <v>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737700</v>
      </c>
      <c r="C53" s="421">
        <f>'Sources and Uses Budget'!$C52</f>
        <v>737700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Construction Lender Expenses</v>
      </c>
      <c r="B54" s="421">
        <f>'Sources and Uses Budget'!$C53</f>
        <v>40000</v>
      </c>
      <c r="C54" s="421">
        <f>'Sources and Uses Budget'!$C53</f>
        <v>40000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
      <c r="A55" s="426" t="s">
        <v>162</v>
      </c>
      <c r="B55" s="428">
        <f>SUM(B46:B54)</f>
        <v>4717212</v>
      </c>
      <c r="C55" s="428">
        <f>SUM(C46:C54)</f>
        <v>4717212</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68670</v>
      </c>
      <c r="C57" s="421">
        <f>'Sources and Uses Budget'!$C56</f>
        <v>68670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49180</v>
      </c>
      <c r="C59" s="421">
        <f>'Sources and Uses Budget'!$C58</f>
        <v>49180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9" t="str">
        <f>'Sources and Uses Budget'!A61</f>
        <v>Other: Perm Lender Expenses</v>
      </c>
      <c r="B62" s="421">
        <f>'Sources and Uses Budget'!$C61</f>
        <v>25000</v>
      </c>
      <c r="C62" s="421">
        <f>'Sources and Uses Budget'!$C61</f>
        <v>25000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308</v>
      </c>
      <c r="B63" s="425">
        <f>SUM(B57:B62)</f>
        <v>142850</v>
      </c>
      <c r="C63" s="425">
        <f>SUM(C57:C62)</f>
        <v>142850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
      <c r="A64" s="429" t="s">
        <v>309</v>
      </c>
      <c r="B64" s="425">
        <f>SUM(B9+B12+B14+B15+B17+B26+B28+B39+B43+B44+B55+B63)</f>
        <v>69560754</v>
      </c>
      <c r="C64" s="425">
        <f>SUM(C9+C12+C14+C15+C17+C26+C28+C39+C43+C44+C55+C63)</f>
        <v>69560754</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1949</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175</v>
      </c>
      <c r="B66" s="421">
        <f>'Sources and Uses Budget'!$C65</f>
        <v>105000</v>
      </c>
      <c r="C66" s="421">
        <f>'Sources and Uses Budget'!$C65</f>
        <v>105000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
      <c r="A67" s="440" t="s">
        <v>1946</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
      <c r="A68" s="440" t="s">
        <v>1947</v>
      </c>
      <c r="B68" s="421">
        <f>'Sources and Uses Budget'!$C67</f>
        <v>9900</v>
      </c>
      <c r="C68" s="421">
        <f>'Sources and Uses Budget'!$C67</f>
        <v>9900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1953</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Borrower Legal</v>
      </c>
      <c r="B70" s="421">
        <f>'Sources and Uses Budget'!$C69</f>
        <v>118032</v>
      </c>
      <c r="C70" s="421">
        <f>'Sources and Uses Budget'!$C69</f>
        <v>118032</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1950</v>
      </c>
      <c r="B71" s="425">
        <f>SUM(B66:B70)</f>
        <v>232932</v>
      </c>
      <c r="C71" s="425">
        <f>SUM(C66:C70)</f>
        <v>232932</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
      <c r="A72" s="419" t="s">
        <v>635</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636</v>
      </c>
      <c r="B73" s="421">
        <f>'Sources and Uses Budget'!$C72</f>
        <v>0</v>
      </c>
      <c r="C73" s="421">
        <f>'Sources and Uses Budget'!$C72</f>
        <v>0</v>
      </c>
      <c r="D73" s="425">
        <f t="shared" si="0"/>
        <v>0</v>
      </c>
      <c r="E73" s="423"/>
      <c r="F73" s="422"/>
      <c r="G73" s="551"/>
    </row>
    <row r="74" spans="1:253" s="545" customFormat="1">
      <c r="A74" s="424" t="s">
        <v>637</v>
      </c>
      <c r="B74" s="421">
        <f>'Sources and Uses Budget'!$C73</f>
        <v>0</v>
      </c>
      <c r="C74" s="421">
        <f>'Sources and Uses Budget'!$C73</f>
        <v>0</v>
      </c>
      <c r="D74" s="425">
        <f t="shared" si="0"/>
        <v>0</v>
      </c>
      <c r="E74" s="423"/>
      <c r="F74" s="422"/>
      <c r="G74" s="551"/>
    </row>
    <row r="75" spans="1:253" s="545" customFormat="1">
      <c r="A75" s="506" t="s">
        <v>1079</v>
      </c>
      <c r="B75" s="421">
        <f>'Sources and Uses Budget'!$C74</f>
        <v>0</v>
      </c>
      <c r="C75" s="421">
        <f>'Sources and Uses Budget'!$C74</f>
        <v>0</v>
      </c>
      <c r="D75" s="425">
        <f t="shared" si="0"/>
        <v>0</v>
      </c>
      <c r="E75" s="423"/>
      <c r="F75" s="422"/>
      <c r="G75" s="551"/>
    </row>
    <row r="76" spans="1:253" s="545" customFormat="1">
      <c r="A76" s="424" t="s">
        <v>638</v>
      </c>
      <c r="B76" s="421">
        <f>'Sources and Uses Budget'!$C75</f>
        <v>480435.74714785838</v>
      </c>
      <c r="C76" s="421">
        <f>'Sources and Uses Budget'!$C75</f>
        <v>480435.74714785838</v>
      </c>
      <c r="D76" s="425">
        <f t="shared" si="0"/>
        <v>0</v>
      </c>
      <c r="E76" s="423"/>
      <c r="F76" s="422"/>
      <c r="G76" s="551"/>
    </row>
    <row r="77" spans="1:253" s="545" customFormat="1">
      <c r="A77" s="427" t="s">
        <v>35</v>
      </c>
      <c r="B77" s="421">
        <f>'Sources and Uses Budget'!$C76</f>
        <v>480436.25285214162</v>
      </c>
      <c r="C77" s="421">
        <f>'Sources and Uses Budget'!$C76</f>
        <v>480436.25285214162</v>
      </c>
      <c r="D77" s="425">
        <f t="shared" si="0"/>
        <v>0</v>
      </c>
      <c r="E77" s="423"/>
      <c r="F77" s="422"/>
      <c r="G77" s="551"/>
    </row>
    <row r="78" spans="1:253" s="545" customFormat="1" ht="13">
      <c r="A78" s="426" t="s">
        <v>639</v>
      </c>
      <c r="B78" s="425">
        <f>SUM(B73:B77)</f>
        <v>960872</v>
      </c>
      <c r="C78" s="425">
        <f>SUM(C73:C77)</f>
        <v>960872</v>
      </c>
      <c r="D78" s="425">
        <f t="shared" ref="D78:D106" si="1">C78-B78</f>
        <v>0</v>
      </c>
      <c r="E78" s="423"/>
      <c r="F78" s="422"/>
      <c r="G78" s="551"/>
    </row>
    <row r="79" spans="1:253" s="545" customFormat="1" ht="13">
      <c r="A79" s="419" t="s">
        <v>1413</v>
      </c>
      <c r="B79" s="419"/>
      <c r="C79" s="419"/>
      <c r="D79" s="419"/>
      <c r="E79" s="439"/>
      <c r="F79" s="419"/>
      <c r="G79" s="551"/>
    </row>
    <row r="80" spans="1:253" s="545" customFormat="1">
      <c r="A80" s="859" t="s">
        <v>1415</v>
      </c>
      <c r="B80" s="421">
        <f>'Sources and Uses Budget'!$C79</f>
        <v>3067905</v>
      </c>
      <c r="C80" s="421">
        <f>'Sources and Uses Budget'!$C79</f>
        <v>3067905</v>
      </c>
      <c r="D80" s="425">
        <f t="shared" si="1"/>
        <v>0</v>
      </c>
      <c r="E80" s="423"/>
      <c r="F80" s="422"/>
      <c r="G80" s="551"/>
    </row>
    <row r="81" spans="1:7" s="545" customFormat="1">
      <c r="A81" s="859" t="s">
        <v>61</v>
      </c>
      <c r="B81" s="421">
        <f>'Sources and Uses Budget'!$C80</f>
        <v>531585</v>
      </c>
      <c r="C81" s="421">
        <f>'Sources and Uses Budget'!$C80</f>
        <v>531585</v>
      </c>
      <c r="D81" s="425">
        <f>C81-B81</f>
        <v>0</v>
      </c>
      <c r="E81" s="423"/>
      <c r="F81" s="422"/>
      <c r="G81" s="551"/>
    </row>
    <row r="82" spans="1:7" s="545" customFormat="1" ht="13">
      <c r="A82" s="426" t="s">
        <v>1412</v>
      </c>
      <c r="B82" s="425">
        <f>SUM(B80:B81)</f>
        <v>3599490</v>
      </c>
      <c r="C82" s="425">
        <f>SUM(C80:C81)</f>
        <v>3599490</v>
      </c>
      <c r="D82" s="425">
        <f t="shared" si="1"/>
        <v>0</v>
      </c>
      <c r="E82" s="423"/>
      <c r="F82" s="422"/>
      <c r="G82" s="551"/>
    </row>
    <row r="83" spans="1:7" s="545" customFormat="1" ht="13">
      <c r="A83" s="419" t="s">
        <v>821</v>
      </c>
      <c r="B83" s="419"/>
      <c r="C83" s="419"/>
      <c r="D83" s="419"/>
      <c r="E83" s="439"/>
      <c r="F83" s="419"/>
      <c r="G83" s="551"/>
    </row>
    <row r="84" spans="1:7" s="545" customFormat="1" ht="13.75" customHeight="1">
      <c r="A84" s="424" t="s">
        <v>822</v>
      </c>
      <c r="B84" s="421">
        <f>'Sources and Uses Budget'!$C83</f>
        <v>85825</v>
      </c>
      <c r="C84" s="421">
        <f>'Sources and Uses Budget'!$C83</f>
        <v>85825</v>
      </c>
      <c r="D84" s="425">
        <f t="shared" si="1"/>
        <v>0</v>
      </c>
      <c r="E84" s="423"/>
      <c r="F84" s="422"/>
      <c r="G84" s="551"/>
    </row>
    <row r="85" spans="1:7" s="545" customFormat="1">
      <c r="A85" s="424" t="s">
        <v>823</v>
      </c>
      <c r="B85" s="421">
        <f>'Sources and Uses Budget'!$C84</f>
        <v>110163</v>
      </c>
      <c r="C85" s="421">
        <f>'Sources and Uses Budget'!$C84</f>
        <v>110163</v>
      </c>
      <c r="D85" s="425">
        <f t="shared" si="1"/>
        <v>0</v>
      </c>
      <c r="E85" s="423"/>
      <c r="F85" s="422"/>
      <c r="G85" s="551"/>
    </row>
    <row r="86" spans="1:7" s="545" customFormat="1">
      <c r="A86" s="424" t="s">
        <v>824</v>
      </c>
      <c r="B86" s="421">
        <f>'Sources and Uses Budget'!$C85</f>
        <v>373997</v>
      </c>
      <c r="C86" s="421">
        <f>'Sources and Uses Budget'!$C85</f>
        <v>373997</v>
      </c>
      <c r="D86" s="425">
        <f t="shared" si="1"/>
        <v>0</v>
      </c>
      <c r="E86" s="423"/>
      <c r="F86" s="422"/>
      <c r="G86" s="551"/>
    </row>
    <row r="87" spans="1:7" s="545" customFormat="1">
      <c r="A87" s="424" t="s">
        <v>825</v>
      </c>
      <c r="B87" s="421">
        <f>'Sources and Uses Budget'!$C86</f>
        <v>229673</v>
      </c>
      <c r="C87" s="421">
        <f>'Sources and Uses Budget'!$C86</f>
        <v>229673</v>
      </c>
      <c r="D87" s="425">
        <f t="shared" si="1"/>
        <v>0</v>
      </c>
      <c r="E87" s="423"/>
      <c r="F87" s="422"/>
      <c r="G87" s="551"/>
    </row>
    <row r="88" spans="1:7" s="545" customFormat="1">
      <c r="A88" s="424" t="s">
        <v>826</v>
      </c>
      <c r="B88" s="421">
        <f>'Sources and Uses Budget'!$C87</f>
        <v>276917</v>
      </c>
      <c r="C88" s="421">
        <f>'Sources and Uses Budget'!$C87</f>
        <v>276917</v>
      </c>
      <c r="D88" s="425">
        <f t="shared" si="1"/>
        <v>0</v>
      </c>
      <c r="E88" s="423"/>
      <c r="F88" s="422"/>
      <c r="G88" s="551"/>
    </row>
    <row r="89" spans="1:7" s="545" customFormat="1">
      <c r="A89" s="424" t="s">
        <v>827</v>
      </c>
      <c r="B89" s="421">
        <f>'Sources and Uses Budget'!$C88</f>
        <v>422738</v>
      </c>
      <c r="C89" s="421">
        <f>'Sources and Uses Budget'!$C88</f>
        <v>422738</v>
      </c>
      <c r="D89" s="425">
        <f t="shared" si="1"/>
        <v>0</v>
      </c>
      <c r="E89" s="423"/>
      <c r="F89" s="422"/>
      <c r="G89" s="551"/>
    </row>
    <row r="90" spans="1:7" s="545" customFormat="1">
      <c r="A90" s="424" t="s">
        <v>828</v>
      </c>
      <c r="B90" s="421">
        <f>'Sources and Uses Budget'!$C89</f>
        <v>224000</v>
      </c>
      <c r="C90" s="421">
        <f>'Sources and Uses Budget'!$C89</f>
        <v>224000</v>
      </c>
      <c r="D90" s="425">
        <f t="shared" si="1"/>
        <v>0</v>
      </c>
      <c r="E90" s="423"/>
      <c r="F90" s="422"/>
      <c r="G90" s="551"/>
    </row>
    <row r="91" spans="1:7" s="545" customFormat="1">
      <c r="A91" s="424" t="s">
        <v>829</v>
      </c>
      <c r="B91" s="421">
        <f>'Sources and Uses Budget'!$C90</f>
        <v>23819</v>
      </c>
      <c r="C91" s="421">
        <f>'Sources and Uses Budget'!$C90</f>
        <v>23819</v>
      </c>
      <c r="D91" s="425">
        <f t="shared" si="1"/>
        <v>0</v>
      </c>
      <c r="E91" s="423"/>
      <c r="F91" s="422"/>
      <c r="G91" s="551"/>
    </row>
    <row r="92" spans="1:7" s="545" customFormat="1">
      <c r="A92" s="430" t="s">
        <v>389</v>
      </c>
      <c r="B92" s="421">
        <f>'Sources and Uses Budget'!$C91</f>
        <v>0</v>
      </c>
      <c r="C92" s="421">
        <f>'Sources and Uses Budget'!$C91</f>
        <v>0</v>
      </c>
      <c r="D92" s="425">
        <f t="shared" si="1"/>
        <v>0</v>
      </c>
      <c r="E92" s="423"/>
      <c r="F92" s="422"/>
      <c r="G92" s="551"/>
    </row>
    <row r="93" spans="1:7" s="545" customFormat="1">
      <c r="A93" s="858" t="s">
        <v>1414</v>
      </c>
      <c r="B93" s="421">
        <f>'Sources and Uses Budget'!$C92</f>
        <v>14754</v>
      </c>
      <c r="C93" s="421">
        <f>'Sources and Uses Budget'!$C92</f>
        <v>14754</v>
      </c>
      <c r="D93" s="425">
        <f t="shared" si="1"/>
        <v>0</v>
      </c>
      <c r="E93" s="423"/>
      <c r="F93" s="422"/>
      <c r="G93" s="551"/>
    </row>
    <row r="94" spans="1:7" s="545" customFormat="1">
      <c r="A94" s="427" t="s">
        <v>35</v>
      </c>
      <c r="B94" s="421">
        <f>'Sources and Uses Budget'!$C93</f>
        <v>705448</v>
      </c>
      <c r="C94" s="421">
        <f>'Sources and Uses Budget'!$C93</f>
        <v>705448</v>
      </c>
      <c r="D94" s="425">
        <f t="shared" si="1"/>
        <v>0</v>
      </c>
      <c r="E94" s="423"/>
      <c r="F94" s="422"/>
      <c r="G94" s="551"/>
    </row>
    <row r="95" spans="1:7" s="545" customFormat="1">
      <c r="A95" s="427" t="s">
        <v>35</v>
      </c>
      <c r="B95" s="421">
        <f>'Sources and Uses Budget'!$C94</f>
        <v>24787</v>
      </c>
      <c r="C95" s="421">
        <f>'Sources and Uses Budget'!$C94</f>
        <v>24787</v>
      </c>
      <c r="D95" s="425">
        <f t="shared" si="1"/>
        <v>0</v>
      </c>
      <c r="E95" s="423"/>
      <c r="F95" s="422"/>
      <c r="G95" s="551"/>
    </row>
    <row r="96" spans="1:7" s="545" customFormat="1">
      <c r="A96" s="427" t="s">
        <v>35</v>
      </c>
      <c r="B96" s="421">
        <f>'Sources and Uses Budget'!$C95</f>
        <v>220000</v>
      </c>
      <c r="C96" s="421">
        <f>'Sources and Uses Budget'!$C95</f>
        <v>220000</v>
      </c>
      <c r="D96" s="425">
        <f t="shared" si="1"/>
        <v>0</v>
      </c>
      <c r="E96" s="423"/>
      <c r="F96" s="422"/>
      <c r="G96" s="551"/>
    </row>
    <row r="97" spans="1:7" s="545" customFormat="1" ht="13">
      <c r="A97" s="426" t="s">
        <v>830</v>
      </c>
      <c r="B97" s="425">
        <f>SUM(B84:B96)</f>
        <v>2712121</v>
      </c>
      <c r="C97" s="425">
        <f>SUM(C84:C96)</f>
        <v>2712121</v>
      </c>
      <c r="D97" s="425">
        <f t="shared" si="1"/>
        <v>0</v>
      </c>
      <c r="E97" s="423"/>
      <c r="F97" s="422"/>
      <c r="G97" s="551"/>
    </row>
    <row r="98" spans="1:7" s="545" customFormat="1" ht="13">
      <c r="A98" s="426" t="s">
        <v>831</v>
      </c>
      <c r="B98" s="425">
        <f>SUM(B64+B71+B78+B82+B97)</f>
        <v>77066169</v>
      </c>
      <c r="C98" s="425">
        <f>SUM(C64+C71+C78+C82+C97)</f>
        <v>77066169</v>
      </c>
      <c r="D98" s="425">
        <f t="shared" si="1"/>
        <v>0</v>
      </c>
      <c r="E98" s="423"/>
      <c r="F98" s="422"/>
      <c r="G98" s="551"/>
    </row>
    <row r="99" spans="1:7" s="545" customFormat="1" ht="13">
      <c r="A99" s="419" t="s">
        <v>832</v>
      </c>
      <c r="B99" s="419"/>
      <c r="C99" s="419"/>
      <c r="D99" s="419"/>
      <c r="E99" s="439"/>
      <c r="F99" s="419"/>
      <c r="G99" s="551"/>
    </row>
    <row r="100" spans="1:7" s="544" customFormat="1">
      <c r="A100" s="215" t="s">
        <v>833</v>
      </c>
      <c r="B100" s="421">
        <f>'Sources and Uses Budget'!$C99</f>
        <v>2163919</v>
      </c>
      <c r="C100" s="421">
        <f>'Sources and Uses Budget'!$C99</f>
        <v>2163919</v>
      </c>
      <c r="D100" s="425">
        <f t="shared" si="1"/>
        <v>0</v>
      </c>
      <c r="E100" s="423"/>
      <c r="F100" s="422"/>
      <c r="G100" s="549"/>
    </row>
    <row r="101" spans="1:7" s="544" customFormat="1">
      <c r="A101" s="440" t="s">
        <v>1951</v>
      </c>
      <c r="B101" s="421">
        <f>'Sources and Uses Budget'!$C100</f>
        <v>0</v>
      </c>
      <c r="C101" s="421">
        <f>'Sources and Uses Budget'!$C100</f>
        <v>0</v>
      </c>
      <c r="D101" s="425">
        <f t="shared" si="1"/>
        <v>0</v>
      </c>
      <c r="E101" s="423"/>
      <c r="F101" s="422"/>
      <c r="G101" s="549"/>
    </row>
    <row r="102" spans="1:7" s="544" customFormat="1">
      <c r="A102" s="215" t="s">
        <v>834</v>
      </c>
      <c r="B102" s="421">
        <f>'Sources and Uses Budget'!$C101</f>
        <v>0</v>
      </c>
      <c r="C102" s="421">
        <f>'Sources and Uses Budget'!$C101</f>
        <v>0</v>
      </c>
      <c r="D102" s="425">
        <f t="shared" si="1"/>
        <v>0</v>
      </c>
      <c r="E102" s="423"/>
      <c r="F102" s="422"/>
      <c r="G102" s="549"/>
    </row>
    <row r="103" spans="1:7" s="544" customFormat="1" ht="12" customHeight="1">
      <c r="A103" s="440" t="s">
        <v>1952</v>
      </c>
      <c r="B103" s="421">
        <f>'Sources and Uses Budget'!$C102</f>
        <v>0</v>
      </c>
      <c r="C103" s="421">
        <f>'Sources and Uses Budget'!$C102</f>
        <v>0</v>
      </c>
      <c r="D103" s="425">
        <f t="shared" si="1"/>
        <v>0</v>
      </c>
      <c r="E103" s="423"/>
      <c r="F103" s="422"/>
      <c r="G103" s="549"/>
    </row>
    <row r="104" spans="1:7" s="544" customFormat="1">
      <c r="A104" s="1719" t="str">
        <f>'Sources and Uses Budget'!A103</f>
        <v>Other: (Specify)</v>
      </c>
      <c r="B104" s="421">
        <f>'Sources and Uses Budget'!$C103</f>
        <v>0</v>
      </c>
      <c r="C104" s="421">
        <f>'Sources and Uses Budget'!$C103</f>
        <v>0</v>
      </c>
      <c r="D104" s="425">
        <f t="shared" si="1"/>
        <v>0</v>
      </c>
      <c r="E104" s="423"/>
      <c r="F104" s="422"/>
      <c r="G104" s="549"/>
    </row>
    <row r="105" spans="1:7" s="544" customFormat="1" ht="13">
      <c r="A105" s="426" t="s">
        <v>835</v>
      </c>
      <c r="B105" s="425">
        <f>SUM(B100:B104)</f>
        <v>2163919</v>
      </c>
      <c r="C105" s="425">
        <f>SUM(C100:C104)</f>
        <v>2163919</v>
      </c>
      <c r="D105" s="425">
        <f t="shared" si="1"/>
        <v>0</v>
      </c>
      <c r="E105" s="423"/>
      <c r="F105" s="422"/>
      <c r="G105" s="549"/>
    </row>
    <row r="106" spans="1:7" s="544" customFormat="1" ht="13">
      <c r="A106" s="426" t="s">
        <v>836</v>
      </c>
      <c r="B106" s="428">
        <f>SUM(B98+B105)</f>
        <v>79230088</v>
      </c>
      <c r="C106" s="428">
        <f>SUM(C98+C105)</f>
        <v>79230088</v>
      </c>
      <c r="D106" s="425">
        <f t="shared" si="1"/>
        <v>0</v>
      </c>
      <c r="E106" s="423"/>
      <c r="F106" s="422"/>
      <c r="G106" s="549"/>
    </row>
    <row r="107" spans="1:7" s="544" customFormat="1" ht="13">
      <c r="A107" s="434" t="s">
        <v>837</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453125" style="132" customWidth="1"/>
    <col min="2" max="2" width="13.453125" style="674" customWidth="1"/>
    <col min="3" max="3" width="2.453125" style="132" customWidth="1"/>
    <col min="4" max="5" width="3.453125" style="7" customWidth="1"/>
    <col min="6" max="6" width="65.453125" style="7" customWidth="1"/>
    <col min="7" max="7" width="1.453125" style="7" customWidth="1"/>
    <col min="8" max="8" width="3.453125" style="12" hidden="1" customWidth="1"/>
    <col min="9" max="9" width="14" style="12" hidden="1" customWidth="1"/>
    <col min="10" max="16384" width="8.81640625" style="12" hidden="1"/>
  </cols>
  <sheetData>
    <row r="1" spans="1:9"/>
    <row r="2" spans="1:9" ht="13">
      <c r="A2" s="1865" t="s">
        <v>1151</v>
      </c>
      <c r="B2" s="1865"/>
      <c r="C2" s="1866"/>
      <c r="D2" s="1866"/>
      <c r="E2" s="1866"/>
      <c r="F2" s="1866"/>
      <c r="G2" s="1866"/>
    </row>
    <row r="3" spans="1:9" s="256" customFormat="1" ht="13">
      <c r="A3" s="1865" t="s">
        <v>1081</v>
      </c>
      <c r="B3" s="1865"/>
      <c r="C3" s="1866"/>
      <c r="D3" s="1866"/>
      <c r="E3" s="1866"/>
      <c r="F3" s="1866"/>
      <c r="G3" s="1866"/>
      <c r="I3" s="675" t="s">
        <v>315</v>
      </c>
    </row>
    <row r="4" spans="1:9">
      <c r="I4" s="676" t="s">
        <v>1152</v>
      </c>
    </row>
    <row r="5" spans="1:9" s="39" customFormat="1" ht="13">
      <c r="A5" s="1869" t="s">
        <v>1082</v>
      </c>
      <c r="B5" s="1869"/>
      <c r="C5" s="1870"/>
      <c r="D5" s="1870"/>
      <c r="E5" s="1870"/>
      <c r="F5" s="1870"/>
      <c r="G5" s="1870"/>
      <c r="I5" s="676" t="s">
        <v>1153</v>
      </c>
    </row>
    <row r="6" spans="1:9" s="39" customFormat="1" ht="13">
      <c r="A6" s="1869" t="s">
        <v>878</v>
      </c>
      <c r="B6" s="1869"/>
      <c r="C6" s="1870"/>
      <c r="D6" s="1870"/>
      <c r="E6" s="1870"/>
      <c r="F6" s="1870"/>
      <c r="G6" s="1870"/>
      <c r="I6" s="675" t="s">
        <v>624</v>
      </c>
    </row>
    <row r="7" spans="1:9" ht="12" customHeight="1"/>
    <row r="8" spans="1:9" s="39" customFormat="1" ht="13">
      <c r="A8" s="1867" t="s">
        <v>1248</v>
      </c>
      <c r="B8" s="1867"/>
      <c r="C8" s="1868"/>
      <c r="D8" s="1868"/>
      <c r="E8" s="1868"/>
      <c r="F8" s="1868"/>
      <c r="G8" s="1868"/>
    </row>
    <row r="9" spans="1:9" s="39" customFormat="1" ht="13">
      <c r="A9" s="1867" t="s">
        <v>1249</v>
      </c>
      <c r="B9" s="1867"/>
      <c r="C9" s="1868"/>
      <c r="D9" s="1868"/>
      <c r="E9" s="1868"/>
      <c r="F9" s="1868"/>
      <c r="G9" s="1868"/>
    </row>
    <row r="10" spans="1:9" ht="13">
      <c r="A10" s="258"/>
      <c r="B10" s="258"/>
      <c r="C10" s="255"/>
      <c r="D10" s="255"/>
      <c r="E10" s="255"/>
      <c r="F10" s="255"/>
    </row>
    <row r="11" spans="1:9" ht="13">
      <c r="A11" s="1871" t="s">
        <v>1251</v>
      </c>
      <c r="B11" s="1871"/>
      <c r="C11" s="1871"/>
      <c r="D11" s="1871"/>
      <c r="E11" s="1871"/>
      <c r="F11" s="1871"/>
      <c r="G11" s="1871"/>
    </row>
    <row r="12" spans="1:9" ht="13">
      <c r="A12" s="255"/>
      <c r="B12" s="671"/>
      <c r="E12" s="50"/>
    </row>
    <row r="13" spans="1:9" ht="13.5" customHeight="1">
      <c r="C13" s="255"/>
      <c r="D13" s="1889" t="s">
        <v>1250</v>
      </c>
      <c r="E13" s="1889"/>
      <c r="F13" s="1889"/>
    </row>
    <row r="14" spans="1:9" ht="13">
      <c r="C14" s="255"/>
      <c r="D14" s="1889"/>
      <c r="E14" s="1889"/>
      <c r="F14" s="1889"/>
    </row>
    <row r="15" spans="1:9" ht="13">
      <c r="A15" s="260"/>
      <c r="B15" s="260"/>
      <c r="C15" s="260"/>
      <c r="D15" s="1828" t="s">
        <v>1233</v>
      </c>
      <c r="E15" s="1828"/>
      <c r="F15" s="1828"/>
    </row>
    <row r="16" spans="1:9" ht="13">
      <c r="A16" s="260"/>
      <c r="B16" s="260"/>
      <c r="C16" s="260"/>
      <c r="D16" s="327"/>
    </row>
    <row r="17" spans="1:7" ht="13">
      <c r="A17" s="261"/>
      <c r="B17" s="677" t="s">
        <v>315</v>
      </c>
      <c r="C17" s="313"/>
      <c r="D17" s="1815" t="s">
        <v>1234</v>
      </c>
      <c r="E17" s="1815"/>
      <c r="F17" s="1815"/>
    </row>
    <row r="18" spans="1:7" ht="13">
      <c r="A18" s="260"/>
      <c r="B18" s="260"/>
      <c r="C18" s="313"/>
      <c r="D18" s="1815"/>
      <c r="E18" s="1815"/>
      <c r="F18" s="1815"/>
    </row>
    <row r="19" spans="1:7" ht="13">
      <c r="A19" s="260"/>
      <c r="B19" s="260"/>
      <c r="C19" s="313"/>
      <c r="D19" s="1815"/>
      <c r="E19" s="1815"/>
      <c r="F19" s="1815"/>
    </row>
    <row r="20" spans="1:7" ht="13">
      <c r="A20" s="260"/>
      <c r="B20" s="260"/>
      <c r="C20" s="260"/>
    </row>
    <row r="21" spans="1:7" ht="13">
      <c r="A21" s="261"/>
      <c r="B21" s="677" t="s">
        <v>315</v>
      </c>
      <c r="D21" s="1881" t="s">
        <v>1235</v>
      </c>
      <c r="E21" s="1881"/>
      <c r="F21" s="1881"/>
    </row>
    <row r="22" spans="1:7" ht="13">
      <c r="A22" s="261"/>
      <c r="B22" s="261"/>
      <c r="D22" s="135"/>
    </row>
    <row r="23" spans="1:7" ht="13">
      <c r="A23" s="261"/>
      <c r="B23" s="677" t="s">
        <v>315</v>
      </c>
      <c r="D23" s="1815" t="s">
        <v>1236</v>
      </c>
      <c r="E23" s="1815"/>
      <c r="F23" s="1815"/>
    </row>
    <row r="24" spans="1:7" ht="13">
      <c r="A24" s="261"/>
      <c r="B24" s="261"/>
      <c r="D24" s="1815"/>
      <c r="E24" s="1815"/>
      <c r="F24" s="1815"/>
    </row>
    <row r="25" spans="1:7"/>
    <row r="26" spans="1:7" ht="13">
      <c r="A26" s="261"/>
      <c r="B26" s="677" t="s">
        <v>315</v>
      </c>
      <c r="D26" s="1850" t="s">
        <v>1237</v>
      </c>
      <c r="E26" s="1850"/>
      <c r="F26" s="1850"/>
    </row>
    <row r="27" spans="1:7">
      <c r="D27" s="1850"/>
      <c r="E27" s="1850"/>
      <c r="F27" s="1850"/>
    </row>
    <row r="28" spans="1:7">
      <c r="D28" s="1850"/>
      <c r="E28" s="1850"/>
      <c r="F28" s="1850"/>
    </row>
    <row r="29" spans="1:7">
      <c r="A29" s="556"/>
      <c r="C29" s="556"/>
      <c r="D29" s="1850"/>
      <c r="E29" s="1850"/>
      <c r="F29" s="1850"/>
    </row>
    <row r="30" spans="1:7">
      <c r="A30" s="556"/>
      <c r="C30" s="556"/>
      <c r="D30" s="1850"/>
      <c r="E30" s="1850"/>
      <c r="F30" s="1850"/>
    </row>
    <row r="31" spans="1:7" s="39" customFormat="1">
      <c r="A31" s="273"/>
      <c r="B31" s="273"/>
      <c r="C31" s="273"/>
      <c r="D31" s="443"/>
      <c r="E31" s="130"/>
      <c r="F31" s="130"/>
      <c r="G31" s="130"/>
    </row>
    <row r="32" spans="1:7" s="39" customFormat="1">
      <c r="A32" s="273"/>
      <c r="B32" s="677" t="s">
        <v>315</v>
      </c>
      <c r="C32" s="273"/>
      <c r="D32" s="1816" t="s">
        <v>1238</v>
      </c>
      <c r="E32" s="1816"/>
      <c r="F32" s="1816"/>
      <c r="G32" s="130"/>
    </row>
    <row r="33" spans="1:7" s="39" customFormat="1">
      <c r="A33" s="273"/>
      <c r="B33" s="273"/>
      <c r="C33" s="273"/>
      <c r="D33" s="1816"/>
      <c r="E33" s="1816"/>
      <c r="F33" s="1816"/>
      <c r="G33" s="130"/>
    </row>
    <row r="34" spans="1:7" ht="13">
      <c r="A34" s="261"/>
      <c r="B34" s="261"/>
      <c r="D34" s="404"/>
    </row>
    <row r="35" spans="1:7" ht="14.5" customHeight="1">
      <c r="A35" s="261"/>
      <c r="B35" s="677" t="s">
        <v>315</v>
      </c>
      <c r="C35" s="552"/>
      <c r="D35" s="1816" t="s">
        <v>1239</v>
      </c>
      <c r="E35" s="1816"/>
      <c r="F35" s="1816"/>
    </row>
    <row r="36" spans="1:7" ht="13">
      <c r="A36" s="261"/>
      <c r="B36" s="261"/>
      <c r="C36" s="552"/>
      <c r="D36" s="1816"/>
      <c r="E36" s="1816"/>
      <c r="F36" s="1816"/>
    </row>
    <row r="37" spans="1:7" ht="13">
      <c r="A37" s="261"/>
      <c r="B37" s="261"/>
      <c r="C37" s="552"/>
      <c r="D37" s="1816"/>
      <c r="E37" s="1816"/>
      <c r="F37" s="1816"/>
    </row>
    <row r="38" spans="1:7" ht="13">
      <c r="A38" s="261"/>
      <c r="B38" s="261"/>
      <c r="C38" s="552"/>
      <c r="D38" s="12"/>
    </row>
    <row r="39" spans="1:7" s="680" customFormat="1" ht="13">
      <c r="A39" s="261"/>
      <c r="B39" s="677" t="s">
        <v>315</v>
      </c>
      <c r="C39" s="697"/>
      <c r="D39" s="1816" t="s">
        <v>1240</v>
      </c>
      <c r="E39" s="1816"/>
      <c r="F39" s="1816"/>
      <c r="G39" s="7"/>
    </row>
    <row r="40" spans="1:7" s="680" customFormat="1" ht="13">
      <c r="A40" s="261"/>
      <c r="B40" s="261"/>
      <c r="C40" s="697"/>
      <c r="D40" s="1816"/>
      <c r="E40" s="1816"/>
      <c r="F40" s="1816"/>
      <c r="G40" s="7"/>
    </row>
    <row r="41" spans="1:7" s="680" customFormat="1" ht="13">
      <c r="A41" s="261"/>
      <c r="B41" s="261"/>
      <c r="C41" s="697"/>
      <c r="D41" s="1816"/>
      <c r="E41" s="1816"/>
      <c r="F41" s="1816"/>
      <c r="G41" s="7"/>
    </row>
    <row r="42" spans="1:7" s="680" customFormat="1" ht="13">
      <c r="A42" s="261"/>
      <c r="B42" s="261"/>
      <c r="C42" s="697"/>
      <c r="D42" s="1816"/>
      <c r="E42" s="1816"/>
      <c r="F42" s="1816"/>
      <c r="G42" s="7"/>
    </row>
    <row r="43" spans="1:7" s="680" customFormat="1" ht="13">
      <c r="A43" s="261"/>
      <c r="B43" s="261"/>
      <c r="C43" s="697"/>
      <c r="D43" s="1816"/>
      <c r="E43" s="1816"/>
      <c r="F43" s="1816"/>
      <c r="G43" s="7"/>
    </row>
    <row r="44" spans="1:7" s="680" customFormat="1" ht="13">
      <c r="A44" s="261"/>
      <c r="B44" s="261"/>
      <c r="C44" s="697"/>
      <c r="D44" s="696"/>
      <c r="E44" s="696"/>
      <c r="F44" s="696"/>
      <c r="G44" s="7"/>
    </row>
    <row r="45" spans="1:7" ht="13">
      <c r="A45" s="261"/>
      <c r="B45" s="677" t="s">
        <v>315</v>
      </c>
      <c r="C45" s="552"/>
      <c r="D45" s="1816" t="s">
        <v>1241</v>
      </c>
      <c r="E45" s="1816"/>
      <c r="F45" s="1816"/>
    </row>
    <row r="46" spans="1:7" ht="13">
      <c r="A46" s="261"/>
      <c r="B46" s="261"/>
      <c r="C46" s="552"/>
      <c r="D46" s="1816"/>
      <c r="E46" s="1816"/>
      <c r="F46" s="1816"/>
    </row>
    <row r="47" spans="1:7" ht="13">
      <c r="A47" s="261"/>
      <c r="B47" s="261"/>
      <c r="C47" s="552"/>
      <c r="D47" s="1816"/>
      <c r="E47" s="1816"/>
      <c r="F47" s="1816"/>
    </row>
    <row r="48" spans="1:7" ht="23.25" customHeight="1">
      <c r="A48" s="261"/>
      <c r="B48" s="261"/>
      <c r="C48" s="552"/>
      <c r="D48" s="1816"/>
      <c r="E48" s="1816"/>
      <c r="F48" s="1816"/>
    </row>
    <row r="49" spans="1:7" ht="13">
      <c r="A49" s="261"/>
      <c r="B49" s="261"/>
      <c r="D49" s="151"/>
    </row>
    <row r="50" spans="1:7" ht="14.5" customHeight="1">
      <c r="A50" s="261"/>
      <c r="B50" s="677" t="s">
        <v>315</v>
      </c>
      <c r="D50" s="1816" t="s">
        <v>1242</v>
      </c>
      <c r="E50" s="1816"/>
      <c r="F50" s="1816"/>
    </row>
    <row r="51" spans="1:7" ht="13">
      <c r="A51" s="261"/>
      <c r="B51" s="261"/>
      <c r="D51" s="1816"/>
      <c r="E51" s="1816"/>
      <c r="F51" s="1816"/>
    </row>
    <row r="52" spans="1:7" ht="13">
      <c r="A52" s="261"/>
      <c r="B52" s="261"/>
      <c r="D52" s="1816"/>
      <c r="E52" s="1816"/>
      <c r="F52" s="1816"/>
    </row>
    <row r="53" spans="1:7" s="2" customFormat="1" ht="13">
      <c r="A53" s="261"/>
      <c r="B53" s="261"/>
      <c r="C53" s="554"/>
      <c r="D53" s="239"/>
      <c r="E53" s="22"/>
      <c r="F53" s="22"/>
      <c r="G53" s="22"/>
    </row>
    <row r="54" spans="1:7" s="2" customFormat="1" ht="13">
      <c r="A54" s="403"/>
      <c r="B54" s="677" t="s">
        <v>315</v>
      </c>
      <c r="C54" s="555"/>
      <c r="D54" s="1816" t="s">
        <v>1243</v>
      </c>
      <c r="E54" s="1816"/>
      <c r="F54" s="1816"/>
      <c r="G54" s="22"/>
    </row>
    <row r="55" spans="1:7" s="2" customFormat="1" ht="13">
      <c r="A55" s="403"/>
      <c r="B55" s="403"/>
      <c r="C55" s="555"/>
      <c r="D55" s="1816"/>
      <c r="E55" s="1816"/>
      <c r="F55" s="1816"/>
      <c r="G55" s="22"/>
    </row>
    <row r="56" spans="1:7" s="39" customFormat="1">
      <c r="A56" s="273"/>
      <c r="B56" s="273"/>
      <c r="C56" s="273"/>
      <c r="D56" s="443"/>
      <c r="E56" s="130"/>
      <c r="F56" s="130"/>
      <c r="G56" s="130"/>
    </row>
    <row r="57" spans="1:7" ht="13">
      <c r="A57" s="261"/>
      <c r="B57" s="677" t="s">
        <v>315</v>
      </c>
      <c r="D57" s="1816" t="s">
        <v>1244</v>
      </c>
      <c r="E57" s="1816"/>
      <c r="F57" s="1816"/>
    </row>
    <row r="58" spans="1:7">
      <c r="D58" s="1816"/>
      <c r="E58" s="1816"/>
      <c r="F58" s="1816"/>
    </row>
    <row r="59" spans="1:7">
      <c r="D59" s="1816"/>
      <c r="E59" s="1816"/>
      <c r="F59" s="1816"/>
    </row>
    <row r="60" spans="1:7" s="680" customFormat="1">
      <c r="A60" s="697"/>
      <c r="B60" s="697"/>
      <c r="C60" s="697"/>
      <c r="D60" s="676"/>
      <c r="E60" s="7"/>
      <c r="F60" s="7"/>
      <c r="G60" s="7"/>
    </row>
    <row r="61" spans="1:7" ht="13">
      <c r="A61" s="261"/>
      <c r="B61" s="677" t="s">
        <v>315</v>
      </c>
      <c r="D61" s="1816" t="s">
        <v>1245</v>
      </c>
      <c r="E61" s="1816"/>
      <c r="F61" s="1816"/>
    </row>
    <row r="62" spans="1:7">
      <c r="D62" s="1816"/>
      <c r="E62" s="1816"/>
      <c r="F62" s="1816"/>
    </row>
    <row r="63" spans="1:7"/>
    <row r="64" spans="1:7" ht="13">
      <c r="A64" s="261"/>
      <c r="B64" s="677" t="s">
        <v>315</v>
      </c>
      <c r="D64" s="1816" t="s">
        <v>1246</v>
      </c>
      <c r="E64" s="1816"/>
      <c r="F64" s="1816"/>
    </row>
    <row r="65" spans="1:7">
      <c r="D65" s="1816"/>
      <c r="E65" s="1816"/>
      <c r="F65" s="1816"/>
    </row>
    <row r="66" spans="1:7">
      <c r="A66" s="553"/>
      <c r="C66" s="553"/>
      <c r="D66" s="1816"/>
      <c r="E66" s="1816"/>
      <c r="F66" s="1816"/>
    </row>
    <row r="67" spans="1:7">
      <c r="D67" s="12"/>
    </row>
    <row r="68" spans="1:7" ht="13">
      <c r="A68" s="261"/>
      <c r="B68" s="677" t="s">
        <v>315</v>
      </c>
      <c r="D68" s="1815" t="s">
        <v>1247</v>
      </c>
      <c r="E68" s="1815"/>
      <c r="F68" s="1815"/>
    </row>
    <row r="69" spans="1:7">
      <c r="D69" s="1815"/>
      <c r="E69" s="1815"/>
      <c r="F69" s="1815"/>
    </row>
    <row r="70" spans="1:7" ht="13">
      <c r="A70" s="261"/>
      <c r="B70" s="261"/>
      <c r="D70" s="135"/>
    </row>
    <row r="71" spans="1:7" ht="13">
      <c r="A71" s="1835" t="s">
        <v>1154</v>
      </c>
      <c r="B71" s="1835"/>
      <c r="C71" s="1835"/>
      <c r="D71" s="1835"/>
      <c r="E71" s="1835"/>
      <c r="F71" s="1835"/>
      <c r="G71" s="1835"/>
    </row>
    <row r="72" spans="1:7"/>
    <row r="73" spans="1:7" ht="13">
      <c r="C73" s="262"/>
      <c r="D73" s="1864" t="s">
        <v>1252</v>
      </c>
      <c r="E73" s="1864"/>
      <c r="F73" s="1864"/>
    </row>
    <row r="74" spans="1:7">
      <c r="A74" s="135"/>
      <c r="B74" s="135"/>
      <c r="D74" s="1815" t="s">
        <v>1279</v>
      </c>
      <c r="E74" s="1815"/>
      <c r="F74" s="1815"/>
    </row>
    <row r="75" spans="1:7">
      <c r="A75" s="135"/>
      <c r="B75" s="135"/>
    </row>
    <row r="76" spans="1:7" ht="13">
      <c r="A76" s="261"/>
      <c r="B76" s="677" t="s">
        <v>315</v>
      </c>
      <c r="D76" s="1815" t="s">
        <v>1253</v>
      </c>
      <c r="E76" s="1815"/>
      <c r="F76" s="1815"/>
    </row>
    <row r="77" spans="1:7" ht="13">
      <c r="A77" s="261"/>
      <c r="B77" s="261"/>
      <c r="D77" s="1815"/>
      <c r="E77" s="1815"/>
      <c r="F77" s="1815"/>
    </row>
    <row r="78" spans="1:7" ht="13">
      <c r="A78" s="261"/>
      <c r="B78" s="261"/>
      <c r="D78" s="1815"/>
      <c r="E78" s="1815"/>
      <c r="F78" s="1815"/>
    </row>
    <row r="79" spans="1:7" ht="13">
      <c r="A79" s="261"/>
      <c r="B79" s="261"/>
      <c r="D79" s="1815"/>
      <c r="E79" s="1815"/>
      <c r="F79" s="1815"/>
    </row>
    <row r="80" spans="1:7" ht="13">
      <c r="A80" s="261"/>
      <c r="B80" s="261"/>
      <c r="D80" s="1815"/>
      <c r="E80" s="1815"/>
      <c r="F80" s="1815"/>
    </row>
    <row r="81" spans="1:7" ht="13">
      <c r="A81" s="261"/>
      <c r="B81" s="261"/>
      <c r="D81" s="1815"/>
      <c r="E81" s="1815"/>
      <c r="F81" s="1815"/>
    </row>
    <row r="82" spans="1:7" s="704" customFormat="1" ht="13">
      <c r="A82" s="705"/>
      <c r="B82" s="705"/>
      <c r="C82" s="703"/>
      <c r="D82" s="707"/>
      <c r="E82" s="707"/>
      <c r="F82" s="707"/>
      <c r="G82" s="7"/>
    </row>
    <row r="83" spans="1:7" s="704" customFormat="1" ht="14.5" customHeight="1">
      <c r="A83" s="705"/>
      <c r="B83" s="710" t="s">
        <v>315</v>
      </c>
      <c r="C83" s="703"/>
      <c r="D83" s="1844" t="s">
        <v>1352</v>
      </c>
      <c r="E83" s="1844"/>
      <c r="F83" s="1844"/>
      <c r="G83" s="7"/>
    </row>
    <row r="84" spans="1:7" s="704" customFormat="1" ht="13">
      <c r="A84" s="705"/>
      <c r="B84" s="705"/>
      <c r="C84" s="703"/>
      <c r="D84" s="1844"/>
      <c r="E84" s="1844"/>
      <c r="F84" s="1844"/>
      <c r="G84" s="7"/>
    </row>
    <row r="85" spans="1:7" s="704" customFormat="1" ht="13">
      <c r="A85" s="705"/>
      <c r="B85" s="705"/>
      <c r="C85" s="703"/>
      <c r="D85" s="1844"/>
      <c r="E85" s="1844"/>
      <c r="F85" s="1844"/>
      <c r="G85" s="7"/>
    </row>
    <row r="86" spans="1:7" s="704" customFormat="1" ht="13">
      <c r="A86" s="705"/>
      <c r="B86" s="705"/>
      <c r="C86" s="703"/>
      <c r="D86" s="1844"/>
      <c r="E86" s="1844"/>
      <c r="F86" s="1844"/>
      <c r="G86" s="7"/>
    </row>
    <row r="87" spans="1:7" s="704" customFormat="1" ht="13">
      <c r="A87" s="705"/>
      <c r="B87" s="705"/>
      <c r="C87" s="703"/>
      <c r="D87" s="1844"/>
      <c r="E87" s="1844"/>
      <c r="F87" s="1844"/>
      <c r="G87" s="7"/>
    </row>
    <row r="88" spans="1:7" s="717" customFormat="1" ht="13">
      <c r="A88" s="712"/>
      <c r="B88" s="712"/>
      <c r="C88" s="743"/>
      <c r="D88" s="1844"/>
      <c r="E88" s="1844"/>
      <c r="F88" s="1844"/>
      <c r="G88" s="7"/>
    </row>
    <row r="89" spans="1:7" s="717" customFormat="1" ht="13">
      <c r="A89" s="712"/>
      <c r="B89" s="712"/>
      <c r="C89" s="743"/>
      <c r="D89" s="1844"/>
      <c r="E89" s="1844"/>
      <c r="F89" s="1844"/>
      <c r="G89" s="7"/>
    </row>
    <row r="90" spans="1:7" s="717" customFormat="1" ht="13">
      <c r="A90" s="712"/>
      <c r="B90" s="712"/>
      <c r="C90" s="743"/>
      <c r="D90" s="1844"/>
      <c r="E90" s="1844"/>
      <c r="F90" s="1844"/>
      <c r="G90" s="7"/>
    </row>
    <row r="91" spans="1:7" ht="13">
      <c r="A91" s="261"/>
      <c r="B91" s="261"/>
      <c r="D91" s="1844"/>
      <c r="E91" s="1844"/>
      <c r="F91" s="1844"/>
    </row>
    <row r="92" spans="1:7" ht="13">
      <c r="A92" s="261"/>
      <c r="B92" s="261"/>
      <c r="D92" s="1844"/>
      <c r="E92" s="1844"/>
      <c r="F92" s="1844"/>
    </row>
    <row r="93" spans="1:7" ht="13">
      <c r="A93" s="261"/>
      <c r="B93" s="261"/>
      <c r="D93" s="1844"/>
      <c r="E93" s="1844"/>
      <c r="F93" s="1844"/>
    </row>
    <row r="94" spans="1:7" ht="13">
      <c r="A94" s="261"/>
      <c r="B94" s="261"/>
      <c r="D94" s="1844"/>
      <c r="E94" s="1844"/>
      <c r="F94" s="1844"/>
    </row>
    <row r="95" spans="1:7" ht="13">
      <c r="A95" s="261"/>
      <c r="B95" s="261"/>
      <c r="D95" s="1844"/>
      <c r="E95" s="1844"/>
      <c r="F95" s="1844"/>
    </row>
    <row r="96" spans="1:7" ht="13">
      <c r="A96" s="261"/>
      <c r="B96" s="261"/>
      <c r="D96" s="1844"/>
      <c r="E96" s="1844"/>
      <c r="F96" s="1844"/>
    </row>
    <row r="97" spans="1:11" s="708" customFormat="1" ht="13">
      <c r="A97" s="709"/>
      <c r="B97" s="713" t="s">
        <v>315</v>
      </c>
      <c r="C97" s="703"/>
      <c r="D97" s="1815" t="s">
        <v>1254</v>
      </c>
      <c r="E97" s="1815"/>
      <c r="F97" s="1815"/>
      <c r="G97" s="7"/>
    </row>
    <row r="98" spans="1:11" s="708" customFormat="1" ht="13">
      <c r="A98" s="709"/>
      <c r="B98" s="709"/>
      <c r="C98" s="703"/>
      <c r="D98" s="1815"/>
      <c r="E98" s="1815"/>
      <c r="F98" s="1815"/>
      <c r="G98" s="7"/>
    </row>
    <row r="99" spans="1:11" s="708" customFormat="1" ht="13">
      <c r="A99" s="709"/>
      <c r="B99" s="709"/>
      <c r="C99" s="703"/>
      <c r="D99" s="1815"/>
      <c r="E99" s="1815"/>
      <c r="F99" s="1815"/>
      <c r="G99" s="7"/>
    </row>
    <row r="100" spans="1:11" s="708" customFormat="1" ht="13">
      <c r="A100" s="709"/>
      <c r="B100" s="709"/>
      <c r="C100" s="703"/>
      <c r="D100" s="1815"/>
      <c r="E100" s="1815"/>
      <c r="F100" s="1815"/>
      <c r="G100" s="7"/>
    </row>
    <row r="101" spans="1:11" s="708" customFormat="1" ht="13">
      <c r="A101" s="709"/>
      <c r="B101" s="709"/>
      <c r="C101" s="703"/>
      <c r="D101" s="1815"/>
      <c r="E101" s="1815"/>
      <c r="F101" s="1815"/>
      <c r="G101" s="7"/>
    </row>
    <row r="102" spans="1:11" s="708" customFormat="1" ht="13">
      <c r="A102" s="709"/>
      <c r="B102" s="709"/>
      <c r="C102" s="703"/>
      <c r="D102" s="1815"/>
      <c r="E102" s="1815"/>
      <c r="F102" s="1815"/>
      <c r="G102" s="7"/>
    </row>
    <row r="103" spans="1:11" s="708" customFormat="1" ht="13">
      <c r="A103" s="709"/>
      <c r="B103" s="709"/>
      <c r="C103" s="703"/>
      <c r="D103" s="1815"/>
      <c r="E103" s="1815"/>
      <c r="F103" s="1815"/>
      <c r="G103" s="7"/>
    </row>
    <row r="104" spans="1:11" s="708" customFormat="1" ht="13">
      <c r="A104" s="709"/>
      <c r="B104" s="709"/>
      <c r="C104" s="703"/>
      <c r="D104" s="1815"/>
      <c r="E104" s="1815"/>
      <c r="F104" s="1815"/>
      <c r="G104" s="7"/>
    </row>
    <row r="105" spans="1:11" s="711" customFormat="1" ht="13">
      <c r="A105" s="712"/>
      <c r="B105" s="712"/>
      <c r="C105" s="703"/>
      <c r="D105" s="714"/>
      <c r="E105" s="714"/>
      <c r="F105" s="714"/>
      <c r="G105" s="7"/>
    </row>
    <row r="106" spans="1:11" ht="13">
      <c r="A106" s="403"/>
      <c r="B106" s="706" t="s">
        <v>315</v>
      </c>
      <c r="C106" s="469"/>
      <c r="D106" s="1872" t="s">
        <v>1255</v>
      </c>
      <c r="E106" s="1872"/>
      <c r="F106" s="1872"/>
      <c r="G106" s="470"/>
      <c r="H106" s="468"/>
      <c r="I106" s="468"/>
      <c r="J106" s="468"/>
      <c r="K106" s="468"/>
    </row>
    <row r="107" spans="1:11" ht="13">
      <c r="A107" s="261"/>
      <c r="B107" s="261"/>
      <c r="C107" s="315"/>
      <c r="D107" s="1872"/>
      <c r="E107" s="1872"/>
      <c r="F107" s="1872"/>
      <c r="G107" s="470"/>
      <c r="H107" s="468"/>
      <c r="I107" s="468"/>
      <c r="J107" s="468"/>
      <c r="K107" s="468"/>
    </row>
    <row r="108" spans="1:11" ht="13">
      <c r="A108" s="261"/>
      <c r="B108" s="261"/>
      <c r="C108" s="315"/>
      <c r="D108" s="1872"/>
      <c r="E108" s="1872"/>
      <c r="F108" s="1872"/>
      <c r="G108" s="470"/>
      <c r="H108" s="468"/>
      <c r="I108" s="468"/>
      <c r="J108" s="468"/>
      <c r="K108" s="468"/>
    </row>
    <row r="109" spans="1:11" ht="13">
      <c r="A109" s="261"/>
      <c r="B109" s="261"/>
      <c r="C109" s="315"/>
      <c r="D109" s="1872"/>
      <c r="E109" s="1872"/>
      <c r="F109" s="1872"/>
      <c r="G109" s="470"/>
      <c r="H109" s="468"/>
      <c r="I109" s="468"/>
      <c r="J109" s="468"/>
      <c r="K109" s="468"/>
    </row>
    <row r="110" spans="1:11" ht="13">
      <c r="A110" s="261"/>
      <c r="B110" s="261"/>
      <c r="C110" s="315"/>
      <c r="D110" s="1872"/>
      <c r="E110" s="1872"/>
      <c r="F110" s="1872"/>
      <c r="G110" s="470"/>
      <c r="H110" s="468"/>
      <c r="I110" s="468"/>
      <c r="J110" s="468"/>
      <c r="K110" s="468"/>
    </row>
    <row r="111" spans="1:11">
      <c r="C111"/>
      <c r="D111" s="1872"/>
      <c r="E111" s="1872"/>
      <c r="F111" s="1872"/>
      <c r="G111"/>
      <c r="H111"/>
      <c r="I111"/>
      <c r="J111"/>
      <c r="K111"/>
    </row>
    <row r="112" spans="1:11">
      <c r="C112"/>
      <c r="D112" s="1872"/>
      <c r="E112" s="1872"/>
      <c r="F112" s="1872"/>
      <c r="G112"/>
      <c r="H112"/>
      <c r="I112"/>
      <c r="J112"/>
      <c r="K112"/>
    </row>
    <row r="113" spans="1:11">
      <c r="C113"/>
      <c r="D113" s="477"/>
      <c r="E113"/>
      <c r="F113"/>
      <c r="G113"/>
      <c r="H113"/>
      <c r="I113"/>
      <c r="J113"/>
      <c r="K113"/>
    </row>
    <row r="114" spans="1:11" ht="13">
      <c r="A114" s="261"/>
      <c r="B114" s="677" t="s">
        <v>315</v>
      </c>
      <c r="C114"/>
      <c r="D114" s="1873" t="s">
        <v>1256</v>
      </c>
      <c r="E114" s="1873"/>
      <c r="F114" s="1873"/>
      <c r="G114"/>
      <c r="H114"/>
      <c r="I114"/>
      <c r="J114"/>
      <c r="K114"/>
    </row>
    <row r="115" spans="1:11" ht="13">
      <c r="A115" s="261"/>
      <c r="B115" s="261"/>
      <c r="C115"/>
      <c r="D115" s="1873"/>
      <c r="E115" s="1873"/>
      <c r="F115" s="1873"/>
      <c r="G115"/>
      <c r="H115"/>
      <c r="I115"/>
      <c r="J115"/>
      <c r="K115"/>
    </row>
    <row r="116" spans="1:11"/>
    <row r="117" spans="1:11" ht="13">
      <c r="A117" s="261"/>
      <c r="B117" s="677" t="s">
        <v>315</v>
      </c>
      <c r="C117" s="10"/>
      <c r="D117" s="1815" t="s">
        <v>1257</v>
      </c>
      <c r="E117" s="1815"/>
      <c r="F117" s="1815"/>
    </row>
    <row r="118" spans="1:11">
      <c r="C118" s="10"/>
      <c r="D118" s="1815"/>
      <c r="E118" s="1815"/>
      <c r="F118" s="1815"/>
    </row>
    <row r="119" spans="1:11">
      <c r="C119" s="10"/>
      <c r="D119" s="1815"/>
      <c r="E119" s="1815"/>
      <c r="F119" s="1815"/>
    </row>
    <row r="120" spans="1:11">
      <c r="C120" s="10"/>
      <c r="D120" s="1815"/>
      <c r="E120" s="1815"/>
      <c r="F120" s="1815"/>
    </row>
    <row r="121" spans="1:11">
      <c r="C121" s="10"/>
      <c r="D121" s="1815"/>
      <c r="E121" s="1815"/>
      <c r="F121" s="1815"/>
    </row>
    <row r="122" spans="1:11">
      <c r="C122" s="10"/>
      <c r="D122" s="149"/>
      <c r="E122" s="149"/>
      <c r="F122" s="149"/>
    </row>
    <row r="123" spans="1:11" customFormat="1" ht="13">
      <c r="A123" s="261"/>
      <c r="B123" s="677" t="s">
        <v>315</v>
      </c>
      <c r="C123" s="10"/>
      <c r="D123" s="1816" t="s">
        <v>1258</v>
      </c>
      <c r="E123" s="1816"/>
      <c r="F123" s="1816"/>
      <c r="G123" s="149"/>
    </row>
    <row r="124" spans="1:11" s="296" customFormat="1" ht="13.75" customHeight="1">
      <c r="A124" s="293"/>
      <c r="B124" s="293"/>
      <c r="C124" s="294"/>
      <c r="D124" s="1816"/>
      <c r="E124" s="1816"/>
      <c r="F124" s="1816"/>
      <c r="G124" s="295"/>
    </row>
    <row r="125" spans="1:11" customFormat="1" ht="13.75" customHeight="1">
      <c r="A125" s="132"/>
      <c r="B125" s="674"/>
      <c r="C125" s="10"/>
      <c r="D125" s="1816"/>
      <c r="E125" s="1816"/>
      <c r="F125" s="1816"/>
      <c r="G125" s="149"/>
    </row>
    <row r="126" spans="1:11" customFormat="1" ht="13.75" customHeight="1">
      <c r="A126" s="132"/>
      <c r="B126" s="674"/>
      <c r="C126" s="10"/>
      <c r="D126" s="1816"/>
      <c r="E126" s="1816"/>
      <c r="F126" s="1816"/>
      <c r="G126" s="149"/>
    </row>
    <row r="127" spans="1:11" customFormat="1" ht="13.75" customHeight="1">
      <c r="A127" s="132"/>
      <c r="B127" s="674"/>
      <c r="C127" s="10"/>
      <c r="D127" s="1816"/>
      <c r="E127" s="1816"/>
      <c r="F127" s="1816"/>
      <c r="G127" s="149"/>
    </row>
    <row r="128" spans="1:11" customFormat="1" ht="13.75" customHeight="1">
      <c r="A128" s="378"/>
      <c r="B128" s="378"/>
      <c r="C128" s="10"/>
      <c r="D128" s="1816"/>
      <c r="E128" s="1816"/>
      <c r="F128" s="1816"/>
      <c r="G128" s="149"/>
    </row>
    <row r="129" spans="1:7" s="2" customFormat="1" ht="13.75" customHeight="1">
      <c r="A129" s="273"/>
      <c r="B129" s="273"/>
      <c r="C129" s="442"/>
      <c r="D129" s="1816"/>
      <c r="E129" s="1816"/>
      <c r="F129" s="1816"/>
      <c r="G129" s="182"/>
    </row>
    <row r="130" spans="1:7" s="2" customFormat="1" ht="13.75" customHeight="1">
      <c r="A130" s="273"/>
      <c r="B130" s="273"/>
      <c r="C130" s="442"/>
      <c r="D130" s="1816"/>
      <c r="E130" s="1816"/>
      <c r="F130" s="1816"/>
      <c r="G130" s="182"/>
    </row>
    <row r="131" spans="1:7" customFormat="1" ht="13.75" customHeight="1">
      <c r="A131" s="132"/>
      <c r="B131" s="674"/>
      <c r="C131" s="10"/>
      <c r="D131" s="1816"/>
      <c r="E131" s="1816"/>
      <c r="F131" s="1816"/>
      <c r="G131" s="149"/>
    </row>
    <row r="132" spans="1:7" customFormat="1" ht="13.75" customHeight="1">
      <c r="A132" s="132"/>
      <c r="B132" s="674"/>
      <c r="C132" s="10"/>
      <c r="D132" s="1816"/>
      <c r="E132" s="1816"/>
      <c r="F132" s="1816"/>
      <c r="G132" s="149"/>
    </row>
    <row r="133" spans="1:7" customFormat="1" ht="13.75" customHeight="1">
      <c r="A133" s="132"/>
      <c r="B133" s="674"/>
      <c r="C133" s="10"/>
      <c r="D133" s="1816"/>
      <c r="E133" s="1816"/>
      <c r="F133" s="1816"/>
      <c r="G133" s="149"/>
    </row>
    <row r="134" spans="1:7" customFormat="1" ht="13.75" customHeight="1">
      <c r="A134" s="132"/>
      <c r="B134" s="674"/>
      <c r="C134" s="10"/>
      <c r="D134" s="1816"/>
      <c r="E134" s="1816"/>
      <c r="F134" s="1816"/>
      <c r="G134" s="149"/>
    </row>
    <row r="135" spans="1:7" customFormat="1" ht="13.75" customHeight="1">
      <c r="A135" s="132"/>
      <c r="B135" s="674"/>
      <c r="C135" s="10"/>
      <c r="D135" s="327"/>
      <c r="E135" s="151"/>
      <c r="F135" s="151"/>
      <c r="G135" s="149"/>
    </row>
    <row r="136" spans="1:7" s="715" customFormat="1" ht="13.75" customHeight="1">
      <c r="A136" s="703"/>
      <c r="B136" s="716" t="s">
        <v>315</v>
      </c>
      <c r="C136" s="10"/>
      <c r="D136" s="1815" t="s">
        <v>1366</v>
      </c>
      <c r="E136" s="1815"/>
      <c r="F136" s="1815"/>
      <c r="G136" s="149"/>
    </row>
    <row r="137" spans="1:7" s="715" customFormat="1" ht="13.75" customHeight="1">
      <c r="A137" s="703"/>
      <c r="B137" s="703"/>
      <c r="C137" s="10"/>
      <c r="D137" s="1815"/>
      <c r="E137" s="1815"/>
      <c r="F137" s="1815"/>
      <c r="G137" s="149"/>
    </row>
    <row r="138" spans="1:7" s="715" customFormat="1" ht="13.75" customHeight="1">
      <c r="A138" s="703"/>
      <c r="B138" s="703"/>
      <c r="C138" s="10"/>
      <c r="D138" s="1815"/>
      <c r="E138" s="1815"/>
      <c r="F138" s="1815"/>
      <c r="G138" s="149"/>
    </row>
    <row r="139" spans="1:7" s="715" customFormat="1" ht="13.75" customHeight="1">
      <c r="A139" s="703"/>
      <c r="B139" s="703"/>
      <c r="C139" s="10"/>
      <c r="D139" s="1815"/>
      <c r="E139" s="1815"/>
      <c r="F139" s="1815"/>
      <c r="G139" s="149"/>
    </row>
    <row r="140" spans="1:7" s="715" customFormat="1" ht="13.75" customHeight="1">
      <c r="A140" s="703"/>
      <c r="B140" s="703"/>
      <c r="C140" s="10"/>
      <c r="D140" s="1815"/>
      <c r="E140" s="1815"/>
      <c r="F140" s="1815"/>
      <c r="G140" s="149"/>
    </row>
    <row r="141" spans="1:7" s="715" customFormat="1" ht="13.75" customHeight="1">
      <c r="A141" s="703"/>
      <c r="B141" s="703"/>
      <c r="C141" s="10"/>
      <c r="D141" s="1815"/>
      <c r="E141" s="1815"/>
      <c r="F141" s="1815"/>
      <c r="G141" s="149"/>
    </row>
    <row r="142" spans="1:7" s="715" customFormat="1" ht="13.75" customHeight="1">
      <c r="A142" s="703"/>
      <c r="B142" s="703"/>
      <c r="C142" s="10"/>
      <c r="D142" s="1815"/>
      <c r="E142" s="1815"/>
      <c r="F142" s="1815"/>
      <c r="G142" s="149"/>
    </row>
    <row r="143" spans="1:7" s="715" customFormat="1" ht="13.75" customHeight="1">
      <c r="A143" s="703"/>
      <c r="B143" s="703"/>
      <c r="C143" s="10"/>
      <c r="D143" s="1815"/>
      <c r="E143" s="1815"/>
      <c r="F143" s="1815"/>
      <c r="G143" s="149"/>
    </row>
    <row r="144" spans="1:7" s="715" customFormat="1" ht="13.75" customHeight="1">
      <c r="A144" s="703"/>
      <c r="B144" s="703"/>
      <c r="C144" s="10"/>
      <c r="D144" s="1815"/>
      <c r="E144" s="1815"/>
      <c r="F144" s="1815"/>
      <c r="G144" s="149"/>
    </row>
    <row r="145" spans="1:7" s="715" customFormat="1" ht="13.75" customHeight="1">
      <c r="A145" s="703"/>
      <c r="B145" s="703"/>
      <c r="C145" s="10"/>
      <c r="D145" s="1815"/>
      <c r="E145" s="1815"/>
      <c r="F145" s="1815"/>
      <c r="G145" s="149"/>
    </row>
    <row r="146" spans="1:7" s="715" customFormat="1" ht="13.75" customHeight="1">
      <c r="A146" s="745"/>
      <c r="B146" s="745"/>
      <c r="C146" s="10"/>
      <c r="D146" s="1815"/>
      <c r="E146" s="1815"/>
      <c r="F146" s="1815"/>
      <c r="G146" s="149"/>
    </row>
    <row r="147" spans="1:7" s="715" customFormat="1" ht="13.75" customHeight="1">
      <c r="A147" s="745"/>
      <c r="B147" s="745"/>
      <c r="C147" s="10"/>
      <c r="D147" s="1815"/>
      <c r="E147" s="1815"/>
      <c r="F147" s="1815"/>
      <c r="G147" s="149"/>
    </row>
    <row r="148" spans="1:7" s="715" customFormat="1" ht="13.75" customHeight="1">
      <c r="A148" s="703"/>
      <c r="B148" s="703"/>
      <c r="C148" s="10"/>
      <c r="D148" s="1815"/>
      <c r="E148" s="1815"/>
      <c r="F148" s="1815"/>
      <c r="G148" s="149"/>
    </row>
    <row r="149" spans="1:7" s="715" customFormat="1" ht="13.75" customHeight="1">
      <c r="A149" s="703"/>
      <c r="B149" s="703"/>
      <c r="C149" s="10"/>
      <c r="D149" s="1815"/>
      <c r="E149" s="1815"/>
      <c r="F149" s="1815"/>
      <c r="G149" s="149"/>
    </row>
    <row r="150" spans="1:7" s="715" customFormat="1" ht="13.75" customHeight="1">
      <c r="A150" s="703"/>
      <c r="B150" s="703"/>
      <c r="C150" s="10"/>
      <c r="D150" s="1815"/>
      <c r="E150" s="1815"/>
      <c r="F150" s="1815"/>
      <c r="G150" s="149"/>
    </row>
    <row r="151" spans="1:7" s="715" customFormat="1" ht="13.75" customHeight="1">
      <c r="A151" s="703"/>
      <c r="B151" s="703"/>
      <c r="C151" s="10"/>
      <c r="D151" s="1815"/>
      <c r="E151" s="1815"/>
      <c r="F151" s="1815"/>
      <c r="G151" s="149"/>
    </row>
    <row r="152" spans="1:7" s="715" customFormat="1" ht="13.75" customHeight="1">
      <c r="A152" s="703"/>
      <c r="B152" s="703"/>
      <c r="C152" s="10"/>
      <c r="D152" s="1815"/>
      <c r="E152" s="1815"/>
      <c r="F152" s="1815"/>
      <c r="G152" s="149"/>
    </row>
    <row r="153" spans="1:7" s="715" customFormat="1" ht="13.75" customHeight="1">
      <c r="A153" s="703"/>
      <c r="B153" s="703"/>
      <c r="C153" s="10"/>
      <c r="D153" s="1815"/>
      <c r="E153" s="1815"/>
      <c r="F153" s="1815"/>
      <c r="G153" s="149"/>
    </row>
    <row r="154" spans="1:7" s="715" customFormat="1" ht="13.75" customHeight="1">
      <c r="A154" s="703"/>
      <c r="B154" s="703"/>
      <c r="C154" s="10"/>
      <c r="D154" s="1815"/>
      <c r="E154" s="1815"/>
      <c r="F154" s="1815"/>
      <c r="G154" s="149"/>
    </row>
    <row r="155" spans="1:7" s="715" customFormat="1" ht="13.75" customHeight="1">
      <c r="A155" s="703"/>
      <c r="B155" s="703"/>
      <c r="C155" s="10"/>
      <c r="D155" s="327"/>
      <c r="E155" s="151"/>
      <c r="F155" s="151"/>
      <c r="G155" s="149"/>
    </row>
    <row r="156" spans="1:7" customFormat="1" ht="13.75" customHeight="1">
      <c r="A156" s="378"/>
      <c r="B156" s="677" t="s">
        <v>315</v>
      </c>
      <c r="C156" s="325"/>
      <c r="D156" s="1827" t="s">
        <v>1259</v>
      </c>
      <c r="E156" s="1827"/>
      <c r="F156" s="1827"/>
      <c r="G156" s="444"/>
    </row>
    <row r="157" spans="1:7" customFormat="1" ht="13.75" customHeight="1">
      <c r="A157" s="378"/>
      <c r="B157" s="378"/>
      <c r="C157" s="325"/>
      <c r="D157" s="1827"/>
      <c r="E157" s="1827"/>
      <c r="F157" s="1827"/>
      <c r="G157" s="444"/>
    </row>
    <row r="158" spans="1:7" customFormat="1" ht="13.75" customHeight="1">
      <c r="A158" s="378"/>
      <c r="B158" s="378"/>
      <c r="C158" s="325"/>
      <c r="D158" s="327"/>
      <c r="E158" s="325"/>
      <c r="F158" s="325"/>
      <c r="G158" s="444"/>
    </row>
    <row r="159" spans="1:7" customFormat="1" ht="13.75" customHeight="1">
      <c r="A159" s="378"/>
      <c r="B159" s="677" t="s">
        <v>315</v>
      </c>
      <c r="C159" s="325"/>
      <c r="D159" s="1823" t="s">
        <v>1260</v>
      </c>
      <c r="E159" s="1823"/>
      <c r="F159" s="1823"/>
      <c r="G159" s="444"/>
    </row>
    <row r="160" spans="1:7" customFormat="1" ht="13.75" customHeight="1">
      <c r="A160" s="378"/>
      <c r="B160" s="378"/>
      <c r="C160" s="325"/>
      <c r="D160" s="1823"/>
      <c r="E160" s="1823"/>
      <c r="F160" s="1823"/>
      <c r="G160" s="444"/>
    </row>
    <row r="161" spans="1:7" customFormat="1" ht="13.75" customHeight="1">
      <c r="A161" s="378"/>
      <c r="B161" s="378"/>
      <c r="C161" s="325"/>
      <c r="D161" s="1823"/>
      <c r="E161" s="1823"/>
      <c r="F161" s="1823"/>
      <c r="G161" s="444"/>
    </row>
    <row r="162" spans="1:7" customFormat="1" ht="13.75" customHeight="1">
      <c r="A162" s="378"/>
      <c r="B162" s="378"/>
      <c r="C162" s="325"/>
      <c r="D162" s="1823"/>
      <c r="E162" s="1823"/>
      <c r="F162" s="1823"/>
      <c r="G162" s="444"/>
    </row>
    <row r="163" spans="1:7" customFormat="1" ht="13.75" customHeight="1">
      <c r="A163" s="132"/>
      <c r="B163" s="674"/>
      <c r="C163" s="10"/>
      <c r="D163" s="151"/>
      <c r="E163" s="151"/>
      <c r="F163" s="151"/>
      <c r="G163" s="149"/>
    </row>
    <row r="164" spans="1:7" customFormat="1" ht="13.75" customHeight="1">
      <c r="A164" s="132"/>
      <c r="B164" s="677" t="s">
        <v>315</v>
      </c>
      <c r="C164" s="10"/>
      <c r="D164" s="1858" t="s">
        <v>1261</v>
      </c>
      <c r="E164" s="1858"/>
      <c r="F164" s="1858"/>
      <c r="G164" s="149"/>
    </row>
    <row r="165" spans="1:7" customFormat="1" ht="13.75" customHeight="1">
      <c r="A165" s="132"/>
      <c r="B165" s="674"/>
      <c r="C165" s="10"/>
      <c r="D165" s="1858"/>
      <c r="E165" s="1858"/>
      <c r="F165" s="1858"/>
      <c r="G165" s="149"/>
    </row>
    <row r="166" spans="1:7" customFormat="1" ht="13.75" customHeight="1">
      <c r="A166" s="132"/>
      <c r="B166" s="674"/>
      <c r="C166" s="10"/>
      <c r="D166" s="1858"/>
      <c r="E166" s="1858"/>
      <c r="F166" s="1858"/>
      <c r="G166" s="149"/>
    </row>
    <row r="167" spans="1:7" customFormat="1" ht="13.75" customHeight="1">
      <c r="A167" s="23"/>
      <c r="B167" s="673"/>
      <c r="C167" s="10"/>
      <c r="D167" s="7"/>
      <c r="E167" s="151"/>
      <c r="F167" s="151"/>
      <c r="G167" s="149"/>
    </row>
    <row r="168" spans="1:7" ht="13">
      <c r="A168" s="1835" t="s">
        <v>1155</v>
      </c>
      <c r="B168" s="1835"/>
      <c r="C168" s="1835"/>
      <c r="D168" s="1835"/>
      <c r="E168" s="1835"/>
      <c r="F168" s="1835"/>
      <c r="G168" s="1835"/>
    </row>
    <row r="169" spans="1:7" ht="12" customHeight="1">
      <c r="D169" s="135"/>
      <c r="E169" s="135"/>
      <c r="F169" s="135"/>
    </row>
    <row r="170" spans="1:7">
      <c r="B170" s="1863" t="s">
        <v>468</v>
      </c>
      <c r="C170" s="1863"/>
      <c r="D170" s="1863"/>
      <c r="E170" s="1863"/>
      <c r="F170" s="1863"/>
    </row>
    <row r="171" spans="1:7" ht="12" customHeight="1">
      <c r="A171" s="255"/>
      <c r="B171" s="671"/>
      <c r="C171" s="255"/>
    </row>
    <row r="172" spans="1:7" ht="13">
      <c r="A172" s="1835" t="s">
        <v>1156</v>
      </c>
      <c r="B172" s="1835"/>
      <c r="C172" s="1835"/>
      <c r="D172" s="1835"/>
      <c r="E172" s="1835"/>
      <c r="F172" s="1835"/>
      <c r="G172" s="1835"/>
    </row>
    <row r="173" spans="1:7" ht="12" customHeight="1">
      <c r="A173" s="264"/>
      <c r="B173" s="264"/>
      <c r="C173" s="265"/>
      <c r="D173" s="57"/>
      <c r="E173" s="49"/>
      <c r="F173" s="57"/>
      <c r="G173" s="57"/>
    </row>
    <row r="174" spans="1:7" ht="13.5" customHeight="1">
      <c r="A174" s="264"/>
      <c r="B174" s="264"/>
      <c r="C174" s="265"/>
      <c r="D174" s="1859" t="s">
        <v>1264</v>
      </c>
      <c r="E174" s="1859"/>
      <c r="F174" s="1859"/>
      <c r="G174" s="57"/>
    </row>
    <row r="175" spans="1:7" ht="13">
      <c r="A175" s="264"/>
      <c r="B175" s="264"/>
      <c r="C175" s="265"/>
      <c r="D175" s="1859"/>
      <c r="E175" s="1859"/>
      <c r="F175" s="1859"/>
      <c r="G175" s="57"/>
    </row>
    <row r="176" spans="1:7" s="717" customFormat="1" ht="13">
      <c r="A176" s="719"/>
      <c r="B176" s="719"/>
      <c r="C176" s="265"/>
      <c r="D176" s="1860" t="s">
        <v>1265</v>
      </c>
      <c r="E176" s="1860"/>
      <c r="F176" s="1860"/>
      <c r="G176" s="57"/>
    </row>
    <row r="177" spans="1:7" ht="12" customHeight="1">
      <c r="A177" s="264"/>
      <c r="B177" s="264"/>
      <c r="C177" s="265"/>
      <c r="D177" s="57"/>
      <c r="E177" s="49"/>
      <c r="F177" s="57"/>
      <c r="G177" s="57"/>
    </row>
    <row r="178" spans="1:7" ht="13">
      <c r="A178" s="261"/>
      <c r="B178" s="677" t="s">
        <v>315</v>
      </c>
      <c r="C178" s="265"/>
      <c r="D178" s="1853" t="s">
        <v>1263</v>
      </c>
      <c r="E178" s="1853"/>
      <c r="F178" s="1853"/>
      <c r="G178" s="57"/>
    </row>
    <row r="179" spans="1:7" ht="13">
      <c r="A179" s="261"/>
      <c r="B179" s="261"/>
      <c r="C179" s="265"/>
      <c r="D179" s="1853"/>
      <c r="E179" s="1853"/>
      <c r="F179" s="1853"/>
      <c r="G179" s="57"/>
    </row>
    <row r="180" spans="1:7" ht="13">
      <c r="A180" s="261"/>
      <c r="B180" s="261"/>
      <c r="C180" s="265"/>
      <c r="D180" s="1853"/>
      <c r="E180" s="1853"/>
      <c r="F180" s="1853"/>
      <c r="G180" s="57"/>
    </row>
    <row r="181" spans="1:7">
      <c r="A181" s="265"/>
      <c r="B181" s="265"/>
      <c r="C181" s="265"/>
      <c r="D181" s="1853"/>
      <c r="E181" s="1853"/>
      <c r="F181" s="1853"/>
    </row>
    <row r="182" spans="1:7">
      <c r="A182" s="265"/>
      <c r="B182" s="265"/>
      <c r="C182" s="265"/>
      <c r="D182" s="404"/>
      <c r="E182" s="57"/>
      <c r="F182" s="57"/>
    </row>
    <row r="183" spans="1:7">
      <c r="A183" s="265"/>
      <c r="B183" s="265"/>
      <c r="C183" s="265"/>
      <c r="D183" s="1862" t="s">
        <v>1172</v>
      </c>
      <c r="E183" s="1862"/>
      <c r="F183" s="1862"/>
    </row>
    <row r="184" spans="1:7">
      <c r="A184" s="265"/>
      <c r="B184" s="265"/>
      <c r="C184" s="265"/>
      <c r="D184" s="1862"/>
      <c r="E184" s="1862"/>
      <c r="F184" s="1862"/>
    </row>
    <row r="185" spans="1:7" s="680" customFormat="1">
      <c r="A185" s="265"/>
      <c r="B185" s="265"/>
      <c r="C185" s="265"/>
      <c r="D185" s="694"/>
      <c r="E185" s="694"/>
      <c r="F185" s="694"/>
      <c r="G185" s="7"/>
    </row>
    <row r="186" spans="1:7" s="675" customFormat="1" ht="13">
      <c r="A186" s="261"/>
      <c r="B186" s="677" t="s">
        <v>315</v>
      </c>
      <c r="C186" s="555"/>
      <c r="D186" s="1815" t="s">
        <v>1262</v>
      </c>
      <c r="E186" s="1815"/>
      <c r="F186" s="1815"/>
      <c r="G186" s="676"/>
    </row>
    <row r="187" spans="1:7" s="675" customFormat="1" ht="14.5" customHeight="1">
      <c r="A187" s="261"/>
      <c r="C187" s="555"/>
      <c r="D187" s="1815"/>
      <c r="E187" s="1815"/>
      <c r="F187" s="1815"/>
      <c r="G187" s="676"/>
    </row>
    <row r="188" spans="1:7" s="675" customFormat="1" ht="13">
      <c r="A188" s="261"/>
      <c r="B188" s="695"/>
      <c r="C188" s="555"/>
      <c r="D188" s="1815"/>
      <c r="E188" s="1815"/>
      <c r="F188" s="1815"/>
      <c r="G188" s="676"/>
    </row>
    <row r="189" spans="1:7" s="675" customFormat="1" ht="13">
      <c r="A189" s="261"/>
      <c r="B189" s="695"/>
      <c r="C189" s="555"/>
      <c r="D189" s="1815"/>
      <c r="E189" s="1815"/>
      <c r="F189" s="1815"/>
      <c r="G189" s="676"/>
    </row>
    <row r="190" spans="1:7" s="680" customFormat="1">
      <c r="A190" s="265"/>
      <c r="B190" s="265"/>
      <c r="C190" s="265"/>
      <c r="D190" s="694"/>
      <c r="E190" s="694"/>
      <c r="F190" s="694"/>
      <c r="G190" s="7"/>
    </row>
    <row r="191" spans="1:7" ht="13">
      <c r="A191" s="1835" t="s">
        <v>1157</v>
      </c>
      <c r="B191" s="1835"/>
      <c r="C191" s="1835"/>
      <c r="D191" s="1835"/>
      <c r="E191" s="1835"/>
      <c r="F191" s="1835"/>
      <c r="G191" s="1835"/>
    </row>
    <row r="192" spans="1:7" ht="12" customHeight="1">
      <c r="D192" s="135"/>
      <c r="E192" s="135"/>
      <c r="F192" s="135"/>
    </row>
    <row r="193" spans="1:6" ht="13">
      <c r="C193" s="262"/>
      <c r="D193" s="1861" t="s">
        <v>213</v>
      </c>
      <c r="E193" s="1861"/>
      <c r="F193" s="1861"/>
    </row>
    <row r="194" spans="1:6" ht="13">
      <c r="A194" s="255"/>
      <c r="B194" s="671"/>
      <c r="C194" s="255"/>
      <c r="D194" s="1830" t="s">
        <v>1286</v>
      </c>
      <c r="E194" s="1840"/>
      <c r="F194" s="1840"/>
    </row>
    <row r="195" spans="1:6" ht="12" customHeight="1">
      <c r="A195" s="23"/>
      <c r="B195" s="673"/>
      <c r="C195" s="23"/>
    </row>
    <row r="196" spans="1:6" ht="13.5" customHeight="1">
      <c r="A196" s="23"/>
      <c r="C196" s="23"/>
      <c r="D196" s="1838" t="s">
        <v>577</v>
      </c>
      <c r="E196" s="1838"/>
      <c r="F196" s="1838"/>
    </row>
    <row r="197" spans="1:6" ht="13">
      <c r="A197" s="261"/>
      <c r="B197" s="677" t="s">
        <v>315</v>
      </c>
      <c r="D197" s="1815" t="s">
        <v>1280</v>
      </c>
      <c r="E197" s="1815"/>
      <c r="F197" s="1815"/>
    </row>
    <row r="198" spans="1:6" ht="13">
      <c r="A198" s="261"/>
      <c r="B198" s="261"/>
      <c r="D198" s="1815"/>
      <c r="E198" s="1815"/>
      <c r="F198" s="1815"/>
    </row>
    <row r="199" spans="1:6"/>
    <row r="200" spans="1:6" ht="13">
      <c r="A200" s="261"/>
      <c r="B200" s="677" t="s">
        <v>315</v>
      </c>
      <c r="D200" s="1815" t="s">
        <v>1281</v>
      </c>
      <c r="E200" s="1815"/>
      <c r="F200" s="1815"/>
    </row>
    <row r="201" spans="1:6" ht="13">
      <c r="A201" s="261"/>
      <c r="B201" s="261"/>
      <c r="D201" s="1815"/>
      <c r="E201" s="1815"/>
      <c r="F201" s="1815"/>
    </row>
    <row r="202" spans="1:6" ht="13">
      <c r="A202" s="261"/>
      <c r="B202" s="261"/>
      <c r="D202" s="1815"/>
      <c r="E202" s="1815"/>
      <c r="F202" s="1815"/>
    </row>
    <row r="203" spans="1:6" ht="5.25" customHeight="1">
      <c r="A203" s="261"/>
      <c r="B203" s="261"/>
      <c r="D203" s="151"/>
      <c r="E203" s="135"/>
      <c r="F203" s="135"/>
    </row>
    <row r="204" spans="1:6" ht="13">
      <c r="A204" s="261"/>
      <c r="B204" s="261"/>
      <c r="D204" s="1815" t="s">
        <v>1282</v>
      </c>
      <c r="E204" s="1815"/>
      <c r="F204" s="1815"/>
    </row>
    <row r="205" spans="1:6" ht="13">
      <c r="A205" s="261"/>
      <c r="B205" s="261"/>
      <c r="D205" s="1815"/>
      <c r="E205" s="1815"/>
      <c r="F205" s="1815"/>
    </row>
    <row r="206" spans="1:6" ht="13">
      <c r="A206" s="261"/>
      <c r="B206" s="261"/>
      <c r="D206" s="1815"/>
      <c r="E206" s="1815"/>
      <c r="F206" s="1815"/>
    </row>
    <row r="207" spans="1:6" ht="13">
      <c r="A207" s="261"/>
      <c r="B207" s="261"/>
      <c r="D207" s="1815"/>
      <c r="E207" s="1815"/>
      <c r="F207" s="1815"/>
    </row>
    <row r="208" spans="1:6" ht="13">
      <c r="A208" s="261"/>
      <c r="B208" s="261"/>
      <c r="D208" s="1815"/>
      <c r="E208" s="1815"/>
      <c r="F208" s="1815"/>
    </row>
    <row r="209" spans="1:7" ht="13">
      <c r="A209" s="261"/>
      <c r="B209" s="261"/>
      <c r="D209" s="135"/>
      <c r="E209" s="135"/>
      <c r="F209" s="135"/>
    </row>
    <row r="210" spans="1:7" ht="13">
      <c r="A210" s="261"/>
      <c r="B210" s="677" t="s">
        <v>315</v>
      </c>
      <c r="D210" s="1829" t="s">
        <v>1283</v>
      </c>
      <c r="E210" s="1829"/>
      <c r="F210" s="1829"/>
    </row>
    <row r="211" spans="1:7" ht="13">
      <c r="A211" s="261"/>
      <c r="B211" s="261"/>
      <c r="D211" s="1829"/>
      <c r="E211" s="1829"/>
      <c r="F211" s="1829"/>
    </row>
    <row r="212" spans="1:7" ht="13">
      <c r="A212" s="261"/>
      <c r="B212" s="261"/>
      <c r="D212" s="1863" t="s">
        <v>961</v>
      </c>
      <c r="E212" s="1863"/>
      <c r="F212" s="1863"/>
    </row>
    <row r="213" spans="1:7" ht="13">
      <c r="A213" s="261"/>
      <c r="B213" s="261"/>
      <c r="D213" s="135"/>
      <c r="E213" s="135"/>
      <c r="F213" s="135"/>
    </row>
    <row r="214" spans="1:7" ht="14.5" customHeight="1">
      <c r="A214" s="261"/>
      <c r="B214" s="677" t="s">
        <v>315</v>
      </c>
      <c r="D214" s="1829" t="s">
        <v>1285</v>
      </c>
      <c r="E214" s="1829"/>
      <c r="F214" s="1829"/>
    </row>
    <row r="215" spans="1:7" ht="13">
      <c r="A215" s="261"/>
      <c r="B215" s="261"/>
      <c r="D215" s="1829"/>
      <c r="E215" s="1829"/>
      <c r="F215" s="1829"/>
    </row>
    <row r="216" spans="1:7" ht="13">
      <c r="A216" s="261"/>
      <c r="B216" s="261"/>
      <c r="D216" s="1829"/>
      <c r="E216" s="1829"/>
      <c r="F216" s="1829"/>
    </row>
    <row r="217" spans="1:7" ht="13">
      <c r="A217" s="261"/>
      <c r="B217" s="261"/>
      <c r="D217" s="1829"/>
      <c r="E217" s="1829"/>
      <c r="F217" s="1829"/>
    </row>
    <row r="218" spans="1:7" ht="13">
      <c r="A218" s="261"/>
      <c r="B218" s="261"/>
      <c r="D218" s="1829"/>
      <c r="E218" s="1829"/>
      <c r="F218" s="1829"/>
    </row>
    <row r="219" spans="1:7">
      <c r="D219" s="135"/>
      <c r="E219" s="135"/>
      <c r="F219" s="135"/>
    </row>
    <row r="220" spans="1:7" ht="13">
      <c r="A220" s="261"/>
      <c r="B220" s="677" t="s">
        <v>315</v>
      </c>
      <c r="D220" s="1815" t="s">
        <v>1284</v>
      </c>
      <c r="E220" s="1815"/>
      <c r="F220" s="1815"/>
    </row>
    <row r="221" spans="1:7" ht="13">
      <c r="A221" s="261"/>
      <c r="B221" s="261"/>
      <c r="D221" s="1815"/>
      <c r="E221" s="1815"/>
      <c r="F221" s="1815"/>
    </row>
    <row r="222" spans="1:7">
      <c r="D222" s="29"/>
    </row>
    <row r="223" spans="1:7" ht="13">
      <c r="A223" s="1835" t="s">
        <v>1158</v>
      </c>
      <c r="B223" s="1835"/>
      <c r="C223" s="1835"/>
      <c r="D223" s="1835"/>
      <c r="E223" s="1835"/>
      <c r="F223" s="1835"/>
      <c r="G223" s="1835"/>
    </row>
    <row r="224" spans="1:7">
      <c r="D224" s="29"/>
    </row>
    <row r="225" spans="1:6" ht="13">
      <c r="C225" s="262"/>
      <c r="D225" s="1838" t="s">
        <v>1287</v>
      </c>
      <c r="E225" s="1838"/>
      <c r="F225" s="1838"/>
    </row>
    <row r="226" spans="1:6" ht="13">
      <c r="A226" s="255"/>
      <c r="B226" s="671"/>
      <c r="C226" s="255"/>
      <c r="D226" s="135"/>
      <c r="E226" s="135"/>
      <c r="F226" s="135"/>
    </row>
    <row r="227" spans="1:6" ht="13">
      <c r="A227" s="260"/>
      <c r="B227" s="260"/>
      <c r="C227" s="260"/>
      <c r="D227" s="1838" t="s">
        <v>274</v>
      </c>
      <c r="E227" s="1838"/>
      <c r="F227" s="1838"/>
    </row>
    <row r="228" spans="1:6" ht="13">
      <c r="A228" s="261"/>
      <c r="B228" s="677" t="s">
        <v>315</v>
      </c>
      <c r="D228" s="1839" t="s">
        <v>1288</v>
      </c>
      <c r="E228" s="1839"/>
      <c r="F228" s="1839"/>
    </row>
    <row r="229" spans="1:6" ht="13">
      <c r="A229" s="261"/>
      <c r="B229" s="261"/>
      <c r="D229" s="1839"/>
      <c r="E229" s="1839"/>
      <c r="F229" s="1839"/>
    </row>
    <row r="230" spans="1:6">
      <c r="D230" s="135"/>
      <c r="E230" s="135"/>
      <c r="F230" s="135"/>
    </row>
    <row r="231" spans="1:6" ht="14.5" customHeight="1">
      <c r="A231" s="261"/>
      <c r="B231" s="677" t="s">
        <v>315</v>
      </c>
      <c r="D231" s="1829" t="s">
        <v>1289</v>
      </c>
      <c r="E231" s="1829"/>
      <c r="F231" s="1829"/>
    </row>
    <row r="232" spans="1:6">
      <c r="D232" s="1829"/>
      <c r="E232" s="1829"/>
      <c r="F232" s="1829"/>
    </row>
    <row r="233" spans="1:6" ht="13">
      <c r="D233" s="1840" t="s">
        <v>952</v>
      </c>
      <c r="E233" s="1840"/>
      <c r="F233" s="1840"/>
    </row>
    <row r="234" spans="1:6">
      <c r="D234" s="135"/>
      <c r="E234" s="135"/>
      <c r="F234" s="135"/>
    </row>
    <row r="235" spans="1:6" ht="14.5" customHeight="1">
      <c r="A235" s="261"/>
      <c r="B235" s="677" t="s">
        <v>315</v>
      </c>
      <c r="D235" s="1829" t="s">
        <v>1291</v>
      </c>
      <c r="E235" s="1829"/>
      <c r="F235" s="1829"/>
    </row>
    <row r="236" spans="1:6">
      <c r="D236" s="1829"/>
      <c r="E236" s="1829"/>
      <c r="F236" s="1829"/>
    </row>
    <row r="237" spans="1:6">
      <c r="D237" s="1829"/>
      <c r="E237" s="1829"/>
      <c r="F237" s="1829"/>
    </row>
    <row r="238" spans="1:6">
      <c r="D238" s="1829"/>
      <c r="E238" s="1829"/>
      <c r="F238" s="1829"/>
    </row>
    <row r="239" spans="1:6">
      <c r="D239" s="1829"/>
      <c r="E239" s="1829"/>
      <c r="F239" s="1829"/>
    </row>
    <row r="240" spans="1:6">
      <c r="D240" s="135"/>
      <c r="E240" s="135"/>
      <c r="F240" s="135"/>
    </row>
    <row r="241" spans="1:7" ht="13">
      <c r="A241" s="261"/>
      <c r="B241" s="677" t="s">
        <v>315</v>
      </c>
      <c r="D241" s="1815" t="s">
        <v>1290</v>
      </c>
      <c r="E241" s="1815"/>
      <c r="F241" s="1815"/>
    </row>
    <row r="242" spans="1:7">
      <c r="D242" s="1815"/>
      <c r="E242" s="1815"/>
      <c r="F242" s="1815"/>
    </row>
    <row r="243" spans="1:7">
      <c r="D243" s="1815"/>
      <c r="E243" s="1815"/>
      <c r="F243" s="1815"/>
    </row>
    <row r="244" spans="1:7">
      <c r="D244" s="263"/>
      <c r="E244" s="135"/>
      <c r="F244" s="135"/>
    </row>
    <row r="245" spans="1:7" ht="13">
      <c r="A245" s="1835" t="s">
        <v>1159</v>
      </c>
      <c r="B245" s="1835"/>
      <c r="C245" s="1835"/>
      <c r="D245" s="1835"/>
      <c r="E245" s="1835"/>
      <c r="F245" s="1835"/>
      <c r="G245" s="1835"/>
    </row>
    <row r="246" spans="1:7">
      <c r="D246" s="263"/>
      <c r="E246" s="135"/>
      <c r="F246" s="135"/>
    </row>
    <row r="247" spans="1:7" ht="13">
      <c r="C247" s="255"/>
      <c r="D247" s="1864" t="s">
        <v>1292</v>
      </c>
      <c r="E247" s="1864"/>
      <c r="F247" s="1864"/>
    </row>
    <row r="248" spans="1:7" ht="13">
      <c r="C248" s="255"/>
      <c r="D248" s="1864"/>
      <c r="E248" s="1864"/>
      <c r="F248" s="1864"/>
    </row>
    <row r="249" spans="1:7" ht="13">
      <c r="A249" s="260"/>
      <c r="B249" s="260"/>
      <c r="C249" s="260"/>
      <c r="D249" s="5"/>
      <c r="E249" s="6"/>
      <c r="F249" s="6"/>
    </row>
    <row r="250" spans="1:7" ht="13">
      <c r="C250" s="260"/>
      <c r="D250" s="1838" t="s">
        <v>214</v>
      </c>
      <c r="E250" s="1838"/>
      <c r="F250" s="1838"/>
    </row>
    <row r="251" spans="1:7" ht="15.75" customHeight="1">
      <c r="A251" s="261"/>
      <c r="B251" s="261"/>
      <c r="D251" s="1846" t="s">
        <v>1293</v>
      </c>
      <c r="E251" s="1846"/>
      <c r="F251" s="1846"/>
    </row>
    <row r="252" spans="1:7">
      <c r="E252" s="135"/>
      <c r="F252" s="135"/>
    </row>
    <row r="253" spans="1:7" ht="13">
      <c r="A253" s="261"/>
      <c r="B253" s="677" t="s">
        <v>315</v>
      </c>
      <c r="D253" s="1815" t="s">
        <v>1294</v>
      </c>
      <c r="E253" s="1815"/>
      <c r="F253" s="1815"/>
    </row>
    <row r="254" spans="1:7" ht="13">
      <c r="A254" s="261"/>
      <c r="B254" s="261"/>
      <c r="D254" s="1815"/>
      <c r="E254" s="1815"/>
      <c r="F254" s="1815"/>
    </row>
    <row r="255" spans="1:7">
      <c r="D255" s="135"/>
      <c r="E255" s="135"/>
      <c r="F255" s="135"/>
    </row>
    <row r="256" spans="1:7" ht="13">
      <c r="A256" s="261"/>
      <c r="B256" s="677" t="s">
        <v>315</v>
      </c>
      <c r="D256" s="1829" t="s">
        <v>1295</v>
      </c>
      <c r="E256" s="1829"/>
      <c r="F256" s="1829"/>
    </row>
    <row r="257" spans="1:7" ht="13">
      <c r="A257" s="261"/>
      <c r="B257" s="261"/>
      <c r="D257" s="1829"/>
      <c r="E257" s="1829"/>
      <c r="F257" s="1829"/>
    </row>
    <row r="258" spans="1:7" ht="13">
      <c r="A258" s="261"/>
      <c r="B258" s="261"/>
      <c r="D258" s="1829"/>
      <c r="E258" s="1829"/>
      <c r="F258" s="1829"/>
    </row>
    <row r="259" spans="1:7">
      <c r="D259" s="135"/>
      <c r="E259" s="135"/>
      <c r="F259" s="135"/>
    </row>
    <row r="260" spans="1:7" ht="13">
      <c r="A260" s="261"/>
      <c r="B260" s="677" t="s">
        <v>315</v>
      </c>
      <c r="D260" s="1815" t="s">
        <v>1296</v>
      </c>
      <c r="E260" s="1815"/>
      <c r="F260" s="1815"/>
    </row>
    <row r="261" spans="1:7" ht="13">
      <c r="A261" s="261"/>
      <c r="B261" s="261"/>
      <c r="D261" s="1815"/>
      <c r="E261" s="1815"/>
      <c r="F261" s="1815"/>
    </row>
    <row r="262" spans="1:7" ht="13">
      <c r="A262" s="23"/>
      <c r="B262" s="673"/>
      <c r="E262" s="135"/>
      <c r="F262" s="135"/>
    </row>
    <row r="263" spans="1:7" ht="13">
      <c r="A263" s="1835" t="s">
        <v>1160</v>
      </c>
      <c r="B263" s="1835"/>
      <c r="C263" s="1835"/>
      <c r="D263" s="1835"/>
      <c r="E263" s="1835"/>
      <c r="F263" s="1835"/>
      <c r="G263" s="1835"/>
    </row>
    <row r="264" spans="1:7" ht="13">
      <c r="A264" s="23"/>
      <c r="B264" s="673"/>
      <c r="D264" s="135"/>
      <c r="E264" s="135"/>
      <c r="F264" s="135"/>
    </row>
    <row r="265" spans="1:7" ht="13">
      <c r="C265" s="23"/>
      <c r="D265" s="1838" t="s">
        <v>717</v>
      </c>
      <c r="E265" s="1838"/>
      <c r="F265" s="1838"/>
    </row>
    <row r="266" spans="1:7" ht="13">
      <c r="C266" s="23"/>
      <c r="D266" s="1828" t="s">
        <v>1297</v>
      </c>
      <c r="E266" s="1828"/>
      <c r="F266" s="1828"/>
    </row>
    <row r="267" spans="1:7" ht="13">
      <c r="C267" s="23"/>
      <c r="D267" s="259"/>
    </row>
    <row r="268" spans="1:7">
      <c r="A268" s="273"/>
      <c r="B268" s="677" t="s">
        <v>315</v>
      </c>
      <c r="D268" s="1828" t="s">
        <v>1298</v>
      </c>
      <c r="E268" s="1828"/>
      <c r="F268" s="1828"/>
    </row>
    <row r="269" spans="1:7" s="39" customFormat="1" ht="13">
      <c r="A269" s="403"/>
      <c r="B269" s="403"/>
      <c r="C269" s="273"/>
      <c r="D269" s="495"/>
      <c r="E269" s="496"/>
      <c r="F269" s="496"/>
      <c r="G269" s="130"/>
    </row>
    <row r="270" spans="1:7" s="39" customFormat="1" ht="13.5" customHeight="1">
      <c r="A270" s="273"/>
      <c r="B270" s="677" t="s">
        <v>315</v>
      </c>
      <c r="C270" s="273"/>
      <c r="D270" s="1841" t="s">
        <v>1299</v>
      </c>
      <c r="E270" s="1841"/>
      <c r="F270" s="1841"/>
      <c r="G270" s="130"/>
    </row>
    <row r="271" spans="1:7" s="39" customFormat="1" ht="13">
      <c r="A271" s="403"/>
      <c r="B271" s="403"/>
      <c r="C271" s="273"/>
      <c r="D271" s="1841"/>
      <c r="E271" s="1841"/>
      <c r="F271" s="1841"/>
      <c r="G271" s="130"/>
    </row>
    <row r="272" spans="1:7" s="39" customFormat="1" ht="13">
      <c r="A272" s="403"/>
      <c r="B272" s="403"/>
      <c r="C272" s="273"/>
      <c r="D272" s="1841"/>
      <c r="E272" s="1841"/>
      <c r="F272" s="1841"/>
      <c r="G272" s="130"/>
    </row>
    <row r="273" spans="1:7" s="39" customFormat="1" ht="13">
      <c r="A273" s="403"/>
      <c r="B273" s="403"/>
      <c r="C273" s="273"/>
      <c r="D273" s="1841"/>
      <c r="E273" s="1841"/>
      <c r="F273" s="1841"/>
      <c r="G273" s="130"/>
    </row>
    <row r="274" spans="1:7" s="39" customFormat="1" ht="13">
      <c r="A274" s="403"/>
      <c r="B274" s="403"/>
      <c r="C274" s="273"/>
      <c r="D274" s="1841"/>
      <c r="E274" s="1841"/>
      <c r="F274" s="1841"/>
      <c r="G274" s="130"/>
    </row>
    <row r="275" spans="1:7" s="39" customFormat="1" ht="13">
      <c r="A275" s="403"/>
      <c r="B275" s="403"/>
      <c r="C275" s="273"/>
      <c r="D275" s="495"/>
      <c r="E275" s="496"/>
      <c r="F275" s="496"/>
      <c r="G275" s="130"/>
    </row>
    <row r="276" spans="1:7" s="39" customFormat="1" ht="13.5" customHeight="1">
      <c r="A276" s="273"/>
      <c r="B276" s="677" t="s">
        <v>315</v>
      </c>
      <c r="C276" s="273"/>
      <c r="D276" s="1841" t="s">
        <v>1300</v>
      </c>
      <c r="E276" s="1841"/>
      <c r="F276" s="1841"/>
      <c r="G276" s="130"/>
    </row>
    <row r="277" spans="1:7" s="39" customFormat="1">
      <c r="A277" s="273"/>
      <c r="B277" s="273"/>
      <c r="C277" s="273"/>
      <c r="D277" s="1841"/>
      <c r="E277" s="1841"/>
      <c r="F277" s="1841"/>
      <c r="G277" s="130"/>
    </row>
    <row r="278" spans="1:7" s="39" customFormat="1" ht="13">
      <c r="A278" s="403"/>
      <c r="B278" s="403"/>
      <c r="C278" s="273"/>
      <c r="D278" s="495"/>
      <c r="E278" s="496"/>
      <c r="F278" s="496"/>
      <c r="G278" s="130"/>
    </row>
    <row r="279" spans="1:7">
      <c r="A279" s="273"/>
      <c r="B279" s="677" t="s">
        <v>315</v>
      </c>
      <c r="D279" s="1828" t="s">
        <v>1301</v>
      </c>
      <c r="E279" s="1828"/>
      <c r="F279" s="1828"/>
    </row>
    <row r="280" spans="1:7">
      <c r="E280" s="135"/>
      <c r="F280" s="135"/>
    </row>
    <row r="281" spans="1:7" ht="13">
      <c r="A281" s="261"/>
      <c r="B281" s="677" t="s">
        <v>315</v>
      </c>
      <c r="D281" s="1829" t="s">
        <v>1302</v>
      </c>
      <c r="E281" s="1829"/>
      <c r="F281" s="1829"/>
    </row>
    <row r="282" spans="1:7" ht="13">
      <c r="A282" s="261"/>
      <c r="B282" s="261"/>
      <c r="D282" s="1829"/>
      <c r="E282" s="1829"/>
      <c r="F282" s="1829"/>
    </row>
    <row r="283" spans="1:7" s="717" customFormat="1" ht="13">
      <c r="A283" s="712"/>
      <c r="B283" s="712"/>
      <c r="C283" s="729"/>
      <c r="D283" s="1829"/>
      <c r="E283" s="1829"/>
      <c r="F283" s="1829"/>
      <c r="G283" s="7"/>
    </row>
    <row r="284" spans="1:7" s="717" customFormat="1" ht="13">
      <c r="A284" s="712"/>
      <c r="B284" s="712"/>
      <c r="C284" s="729"/>
      <c r="D284" s="1829"/>
      <c r="E284" s="1829"/>
      <c r="F284" s="1829"/>
      <c r="G284" s="7"/>
    </row>
    <row r="285" spans="1:7" s="717" customFormat="1" ht="13">
      <c r="A285" s="712"/>
      <c r="B285" s="712"/>
      <c r="C285" s="729"/>
      <c r="D285" s="1829"/>
      <c r="E285" s="1829"/>
      <c r="F285" s="1829"/>
      <c r="G285" s="7"/>
    </row>
    <row r="286" spans="1:7" s="717" customFormat="1" ht="13">
      <c r="A286" s="712"/>
      <c r="B286" s="712"/>
      <c r="C286" s="729"/>
      <c r="D286" s="1829"/>
      <c r="E286" s="1829"/>
      <c r="F286" s="1829"/>
      <c r="G286" s="7"/>
    </row>
    <row r="287" spans="1:7" s="717" customFormat="1" ht="13">
      <c r="A287" s="712"/>
      <c r="B287" s="712"/>
      <c r="C287" s="729"/>
      <c r="D287" s="1829"/>
      <c r="E287" s="1829"/>
      <c r="F287" s="1829"/>
      <c r="G287" s="7"/>
    </row>
    <row r="288" spans="1:7" s="717" customFormat="1" ht="13">
      <c r="A288" s="712"/>
      <c r="B288" s="712"/>
      <c r="C288" s="729"/>
      <c r="D288" s="1829"/>
      <c r="E288" s="1829"/>
      <c r="F288" s="1829"/>
      <c r="G288" s="7"/>
    </row>
    <row r="289" spans="1:7" s="717" customFormat="1" ht="13">
      <c r="A289" s="712"/>
      <c r="B289" s="712"/>
      <c r="C289" s="729"/>
      <c r="D289" s="1829"/>
      <c r="E289" s="1829"/>
      <c r="F289" s="1829"/>
      <c r="G289" s="7"/>
    </row>
    <row r="290" spans="1:7" s="717" customFormat="1" ht="13">
      <c r="A290" s="712"/>
      <c r="B290" s="712"/>
      <c r="C290" s="729"/>
      <c r="D290" s="1829"/>
      <c r="E290" s="1829"/>
      <c r="F290" s="1829"/>
      <c r="G290" s="7"/>
    </row>
    <row r="291" spans="1:7" s="717" customFormat="1" ht="13">
      <c r="A291" s="712"/>
      <c r="B291" s="712"/>
      <c r="C291" s="729"/>
      <c r="D291" s="1829"/>
      <c r="E291" s="1829"/>
      <c r="F291" s="1829"/>
      <c r="G291" s="7"/>
    </row>
    <row r="292" spans="1:7" s="717" customFormat="1" ht="13">
      <c r="A292" s="712"/>
      <c r="B292" s="712"/>
      <c r="C292" s="729"/>
      <c r="D292" s="1829"/>
      <c r="E292" s="1829"/>
      <c r="F292" s="1829"/>
      <c r="G292" s="7"/>
    </row>
    <row r="293" spans="1:7" ht="13">
      <c r="A293" s="261"/>
      <c r="B293" s="261"/>
      <c r="D293" s="1829"/>
      <c r="E293" s="1829"/>
      <c r="F293" s="1829"/>
    </row>
    <row r="294" spans="1:7" ht="13">
      <c r="A294" s="261"/>
      <c r="B294" s="261"/>
      <c r="D294" s="1829"/>
      <c r="E294" s="1829"/>
      <c r="F294" s="1829"/>
    </row>
    <row r="295" spans="1:7" ht="13">
      <c r="A295" s="261"/>
      <c r="B295" s="261"/>
      <c r="D295" s="1829"/>
      <c r="E295" s="1829"/>
      <c r="F295" s="1829"/>
    </row>
    <row r="296" spans="1:7">
      <c r="D296" s="135"/>
      <c r="E296" s="135"/>
      <c r="F296" s="135"/>
    </row>
    <row r="297" spans="1:7" ht="13">
      <c r="A297" s="261"/>
      <c r="B297" s="677" t="s">
        <v>315</v>
      </c>
      <c r="D297" s="1829" t="s">
        <v>1303</v>
      </c>
      <c r="E297" s="1829"/>
      <c r="F297" s="1829"/>
    </row>
    <row r="298" spans="1:7">
      <c r="D298" s="1829"/>
      <c r="E298" s="1829"/>
      <c r="F298" s="1829"/>
    </row>
    <row r="299" spans="1:7">
      <c r="D299" s="1829"/>
      <c r="E299" s="1829"/>
      <c r="F299" s="1829"/>
    </row>
    <row r="300" spans="1:7">
      <c r="D300" s="1829"/>
      <c r="E300" s="1829"/>
      <c r="F300" s="1829"/>
    </row>
    <row r="301" spans="1:7">
      <c r="D301" s="1829"/>
      <c r="E301" s="1829"/>
      <c r="F301" s="1829"/>
    </row>
    <row r="302" spans="1:7">
      <c r="D302" s="1829"/>
      <c r="E302" s="1829"/>
      <c r="F302" s="1829"/>
    </row>
    <row r="303" spans="1:7">
      <c r="D303" s="1829"/>
      <c r="E303" s="1829"/>
      <c r="F303" s="1829"/>
    </row>
    <row r="304" spans="1:7">
      <c r="D304" s="1829"/>
      <c r="E304" s="1829"/>
      <c r="F304" s="1829"/>
    </row>
    <row r="305" spans="1:7">
      <c r="D305" s="1829"/>
      <c r="E305" s="1829"/>
      <c r="F305" s="1829"/>
    </row>
    <row r="306" spans="1:7">
      <c r="D306" s="135"/>
      <c r="E306" s="135"/>
      <c r="F306" s="135"/>
    </row>
    <row r="307" spans="1:7" ht="13">
      <c r="A307" s="261"/>
      <c r="B307" s="677" t="s">
        <v>315</v>
      </c>
      <c r="D307" s="1815" t="s">
        <v>1304</v>
      </c>
      <c r="E307" s="1815"/>
      <c r="F307" s="1815"/>
    </row>
    <row r="308" spans="1:7">
      <c r="D308" s="1815"/>
      <c r="E308" s="1815"/>
      <c r="F308" s="1815"/>
      <c r="G308" s="12"/>
    </row>
    <row r="309" spans="1:7">
      <c r="D309" s="1815"/>
      <c r="E309" s="1815"/>
      <c r="F309" s="1815"/>
      <c r="G309" s="12"/>
    </row>
    <row r="310" spans="1:7">
      <c r="D310" s="1815"/>
      <c r="E310" s="1815"/>
      <c r="F310" s="1815"/>
      <c r="G310" s="12"/>
    </row>
    <row r="311" spans="1:7">
      <c r="D311" s="1815"/>
      <c r="E311" s="1815"/>
      <c r="F311" s="1815"/>
      <c r="G311" s="12"/>
    </row>
    <row r="312" spans="1:7">
      <c r="D312" s="1815"/>
      <c r="E312" s="1815"/>
      <c r="F312" s="1815"/>
      <c r="G312" s="12"/>
    </row>
    <row r="313" spans="1:7" s="717" customFormat="1">
      <c r="A313" s="729"/>
      <c r="B313" s="729"/>
      <c r="C313" s="729"/>
      <c r="D313" s="726"/>
      <c r="E313" s="726"/>
      <c r="F313" s="726"/>
    </row>
    <row r="314" spans="1:7" ht="13.5" thickBot="1">
      <c r="D314" s="1847" t="s">
        <v>1056</v>
      </c>
      <c r="E314" s="1847"/>
      <c r="F314" s="1847"/>
      <c r="G314" s="12"/>
    </row>
    <row r="315" spans="1:7" s="717" customFormat="1" ht="13" thickTop="1">
      <c r="A315" s="729"/>
      <c r="B315" s="729"/>
      <c r="C315" s="729"/>
      <c r="D315" s="1848" t="s">
        <v>1305</v>
      </c>
      <c r="E315" s="1848"/>
      <c r="F315" s="1848"/>
    </row>
    <row r="316" spans="1:7">
      <c r="A316" s="325"/>
      <c r="B316" s="325"/>
      <c r="C316" s="325"/>
      <c r="D316" s="467"/>
      <c r="E316" s="467"/>
      <c r="F316" s="135"/>
      <c r="G316" s="12"/>
    </row>
    <row r="317" spans="1:7" ht="13">
      <c r="A317" s="261"/>
      <c r="B317" s="677" t="s">
        <v>315</v>
      </c>
      <c r="C317" s="325"/>
      <c r="D317" s="1849" t="s">
        <v>1306</v>
      </c>
      <c r="E317" s="1849"/>
      <c r="F317" s="1849"/>
      <c r="G317" s="12"/>
    </row>
    <row r="318" spans="1:7">
      <c r="A318" s="325"/>
      <c r="B318" s="325"/>
      <c r="C318" s="325"/>
      <c r="D318" s="467"/>
      <c r="E318" s="467"/>
      <c r="F318" s="135"/>
      <c r="G318" s="12"/>
    </row>
    <row r="319" spans="1:7">
      <c r="A319" s="325"/>
      <c r="B319" s="677" t="s">
        <v>315</v>
      </c>
      <c r="C319" s="325"/>
      <c r="D319" s="1844" t="s">
        <v>1307</v>
      </c>
      <c r="E319" s="1844"/>
      <c r="F319" s="1844"/>
      <c r="G319" s="12"/>
    </row>
    <row r="320" spans="1:7">
      <c r="A320" s="325"/>
      <c r="B320" s="325"/>
      <c r="C320" s="325"/>
      <c r="D320" s="1844"/>
      <c r="E320" s="1844"/>
      <c r="F320" s="1844"/>
      <c r="G320" s="12"/>
    </row>
    <row r="321" spans="1:7">
      <c r="A321" s="325"/>
      <c r="B321" s="325"/>
      <c r="C321" s="325"/>
      <c r="D321" s="1844"/>
      <c r="E321" s="1844"/>
      <c r="F321" s="1844"/>
      <c r="G321" s="12"/>
    </row>
    <row r="322" spans="1:7">
      <c r="A322" s="325"/>
      <c r="B322" s="325"/>
      <c r="C322" s="325"/>
      <c r="D322" s="1844"/>
      <c r="E322" s="1844"/>
      <c r="F322" s="1844"/>
      <c r="G322" s="12"/>
    </row>
    <row r="323" spans="1:7" s="717" customFormat="1">
      <c r="A323" s="325"/>
      <c r="B323" s="325"/>
      <c r="C323" s="325"/>
      <c r="D323" s="1844"/>
      <c r="E323" s="1844"/>
      <c r="F323" s="1844"/>
    </row>
    <row r="324" spans="1:7" s="717" customFormat="1">
      <c r="A324" s="325"/>
      <c r="B324" s="325"/>
      <c r="C324" s="325"/>
      <c r="D324" s="1844"/>
      <c r="E324" s="1844"/>
      <c r="F324" s="1844"/>
    </row>
    <row r="325" spans="1:7" s="717" customFormat="1">
      <c r="A325" s="325"/>
      <c r="B325" s="325"/>
      <c r="C325" s="325"/>
      <c r="D325" s="1844"/>
      <c r="E325" s="1844"/>
      <c r="F325" s="1844"/>
    </row>
    <row r="326" spans="1:7" s="717" customFormat="1">
      <c r="A326" s="325"/>
      <c r="B326" s="325"/>
      <c r="C326" s="325"/>
      <c r="D326" s="1844"/>
      <c r="E326" s="1844"/>
      <c r="F326" s="1844"/>
    </row>
    <row r="327" spans="1:7">
      <c r="A327" s="325"/>
      <c r="B327" s="325"/>
      <c r="C327" s="325"/>
      <c r="D327" s="1844"/>
      <c r="E327" s="1844"/>
      <c r="F327" s="1844"/>
      <c r="G327" s="12"/>
    </row>
    <row r="328" spans="1:7">
      <c r="A328" s="325"/>
      <c r="B328" s="325"/>
      <c r="C328" s="325"/>
      <c r="D328" s="1844"/>
      <c r="E328" s="1844"/>
      <c r="F328" s="1844"/>
      <c r="G328" s="12"/>
    </row>
    <row r="329" spans="1:7">
      <c r="A329" s="325"/>
      <c r="B329" s="325"/>
      <c r="C329" s="325"/>
      <c r="D329" s="1844"/>
      <c r="E329" s="1844"/>
      <c r="F329" s="1844"/>
      <c r="G329" s="12"/>
    </row>
    <row r="330" spans="1:7">
      <c r="A330" s="325"/>
      <c r="B330" s="325"/>
      <c r="C330" s="325"/>
      <c r="D330" s="12"/>
      <c r="E330" s="467"/>
      <c r="F330" s="135"/>
      <c r="G330" s="12"/>
    </row>
    <row r="331" spans="1:7" ht="13">
      <c r="A331" s="261"/>
      <c r="B331" s="677" t="s">
        <v>315</v>
      </c>
      <c r="C331" s="325"/>
      <c r="D331" s="1842" t="s">
        <v>1308</v>
      </c>
      <c r="E331" s="1842"/>
      <c r="F331" s="1842"/>
      <c r="G331" s="12"/>
    </row>
    <row r="332" spans="1:7">
      <c r="A332" s="325"/>
      <c r="B332" s="325"/>
      <c r="C332" s="325"/>
      <c r="D332" s="1842"/>
      <c r="E332" s="1842"/>
      <c r="F332" s="1842"/>
      <c r="G332" s="12"/>
    </row>
    <row r="333" spans="1:7">
      <c r="A333" s="325"/>
      <c r="B333" s="325"/>
      <c r="C333" s="325"/>
      <c r="D333" s="1842"/>
      <c r="E333" s="1842"/>
      <c r="F333" s="1842"/>
      <c r="G333" s="12"/>
    </row>
    <row r="334" spans="1:7">
      <c r="A334" s="325"/>
      <c r="B334" s="325"/>
      <c r="C334" s="325"/>
      <c r="D334" s="1842"/>
      <c r="E334" s="1842"/>
      <c r="F334" s="1842"/>
      <c r="G334" s="12"/>
    </row>
    <row r="335" spans="1:7">
      <c r="A335" s="325"/>
      <c r="B335" s="325"/>
      <c r="C335" s="325"/>
      <c r="D335" s="503"/>
      <c r="E335" s="467"/>
      <c r="F335" s="135"/>
      <c r="G335" s="12"/>
    </row>
    <row r="336" spans="1:7">
      <c r="A336" s="325"/>
      <c r="B336" s="325"/>
      <c r="C336" s="325"/>
      <c r="D336" s="1842" t="s">
        <v>1309</v>
      </c>
      <c r="E336" s="1842"/>
      <c r="F336" s="1842"/>
      <c r="G336" s="12"/>
    </row>
    <row r="337" spans="1:7">
      <c r="A337" s="325"/>
      <c r="B337" s="325"/>
      <c r="C337" s="325"/>
      <c r="D337" s="1842"/>
      <c r="E337" s="1842"/>
      <c r="F337" s="1842"/>
      <c r="G337" s="12"/>
    </row>
    <row r="338" spans="1:7">
      <c r="A338" s="325"/>
      <c r="B338" s="325"/>
      <c r="C338" s="325"/>
      <c r="D338" s="1842"/>
      <c r="E338" s="1842"/>
      <c r="F338" s="1842"/>
      <c r="G338" s="12"/>
    </row>
    <row r="339" spans="1:7">
      <c r="A339" s="325"/>
      <c r="B339" s="325"/>
      <c r="C339" s="325"/>
      <c r="D339" s="1842"/>
      <c r="E339" s="1842"/>
      <c r="F339" s="1842"/>
      <c r="G339" s="12"/>
    </row>
    <row r="340" spans="1:7" ht="18" customHeight="1">
      <c r="A340" s="325"/>
      <c r="B340" s="325"/>
      <c r="C340" s="325"/>
      <c r="D340" s="1842"/>
      <c r="E340" s="1842"/>
      <c r="F340" s="1842"/>
      <c r="G340" s="12"/>
    </row>
    <row r="341" spans="1:7">
      <c r="A341" s="325"/>
      <c r="B341" s="325"/>
      <c r="C341" s="325"/>
      <c r="D341" s="1842"/>
      <c r="E341" s="1842"/>
      <c r="F341" s="1842"/>
      <c r="G341" s="12"/>
    </row>
    <row r="342" spans="1:7">
      <c r="A342" s="325"/>
      <c r="B342" s="325"/>
      <c r="C342" s="325"/>
      <c r="D342" s="1842"/>
      <c r="E342" s="1842"/>
      <c r="F342" s="1842"/>
      <c r="G342" s="12"/>
    </row>
    <row r="343" spans="1:7">
      <c r="A343" s="325"/>
      <c r="B343" s="325"/>
      <c r="C343" s="325"/>
      <c r="D343" s="1842"/>
      <c r="E343" s="1842"/>
      <c r="F343" s="1842"/>
      <c r="G343" s="12"/>
    </row>
    <row r="344" spans="1:7" ht="8.25" customHeight="1">
      <c r="A344" s="325"/>
      <c r="B344" s="325"/>
      <c r="C344" s="325"/>
      <c r="D344" s="1842"/>
      <c r="E344" s="1842"/>
      <c r="F344" s="1842"/>
      <c r="G344" s="12"/>
    </row>
    <row r="345" spans="1:7" ht="13.5" customHeight="1">
      <c r="A345" s="325"/>
      <c r="B345" s="325"/>
      <c r="C345" s="325"/>
      <c r="D345" s="1843" t="s">
        <v>1310</v>
      </c>
      <c r="E345" s="1843"/>
      <c r="F345" s="1843"/>
      <c r="G345" s="12"/>
    </row>
    <row r="346" spans="1:7">
      <c r="A346" s="325"/>
      <c r="B346" s="325"/>
      <c r="C346" s="325"/>
      <c r="D346" s="1843"/>
      <c r="E346" s="1843"/>
      <c r="F346" s="1843"/>
      <c r="G346" s="12"/>
    </row>
    <row r="347" spans="1:7">
      <c r="A347" s="325"/>
      <c r="B347" s="325"/>
      <c r="C347" s="325"/>
      <c r="D347" s="1843"/>
      <c r="E347" s="1843"/>
      <c r="F347" s="1843"/>
      <c r="G347" s="12"/>
    </row>
    <row r="348" spans="1:7" s="717" customFormat="1">
      <c r="A348" s="325"/>
      <c r="B348" s="325"/>
      <c r="C348" s="325"/>
      <c r="D348" s="1843"/>
      <c r="E348" s="1843"/>
      <c r="F348" s="1843"/>
    </row>
    <row r="349" spans="1:7" s="717" customFormat="1">
      <c r="A349" s="325"/>
      <c r="B349" s="325"/>
      <c r="C349" s="325"/>
      <c r="D349" s="1843"/>
      <c r="E349" s="1843"/>
      <c r="F349" s="1843"/>
    </row>
    <row r="350" spans="1:7" s="717" customFormat="1">
      <c r="A350" s="325"/>
      <c r="B350" s="325"/>
      <c r="C350" s="325"/>
      <c r="D350" s="1843"/>
      <c r="E350" s="1843"/>
      <c r="F350" s="1843"/>
    </row>
    <row r="351" spans="1:7" s="717" customFormat="1">
      <c r="A351" s="325"/>
      <c r="B351" s="325"/>
      <c r="C351" s="325"/>
      <c r="D351" s="1843"/>
      <c r="E351" s="1843"/>
      <c r="F351" s="1843"/>
    </row>
    <row r="352" spans="1:7" s="717" customFormat="1">
      <c r="A352" s="325"/>
      <c r="B352" s="325"/>
      <c r="C352" s="325"/>
      <c r="D352" s="1843"/>
      <c r="E352" s="1843"/>
      <c r="F352" s="1843"/>
    </row>
    <row r="353" spans="1:7">
      <c r="A353" s="325"/>
      <c r="B353" s="325"/>
      <c r="C353" s="325"/>
      <c r="D353" s="1843"/>
      <c r="E353" s="1843"/>
      <c r="F353" s="1843"/>
      <c r="G353" s="12"/>
    </row>
    <row r="354" spans="1:7">
      <c r="A354" s="325"/>
      <c r="B354" s="325"/>
      <c r="C354" s="325"/>
      <c r="D354" s="1843"/>
      <c r="E354" s="1843"/>
      <c r="F354" s="1843"/>
      <c r="G354" s="12"/>
    </row>
    <row r="355" spans="1:7">
      <c r="A355" s="325"/>
      <c r="B355" s="325"/>
      <c r="C355" s="325"/>
      <c r="D355" s="1843"/>
      <c r="E355" s="1843"/>
      <c r="F355" s="1843"/>
      <c r="G355" s="12"/>
    </row>
    <row r="356" spans="1:7">
      <c r="A356" s="325"/>
      <c r="B356" s="325"/>
      <c r="C356" s="325"/>
      <c r="D356" s="1843"/>
      <c r="E356" s="1843"/>
      <c r="F356" s="1843"/>
      <c r="G356" s="12"/>
    </row>
    <row r="357" spans="1:7">
      <c r="A357" s="325"/>
      <c r="B357" s="325"/>
      <c r="C357" s="505"/>
      <c r="D357" s="1843"/>
      <c r="E357" s="1843"/>
      <c r="F357" s="1843"/>
      <c r="G357" s="12"/>
    </row>
    <row r="358" spans="1:7">
      <c r="A358" s="325"/>
      <c r="B358" s="325"/>
      <c r="C358" s="505"/>
      <c r="D358" s="1843"/>
      <c r="E358" s="1843"/>
      <c r="F358" s="1843"/>
      <c r="G358" s="12"/>
    </row>
    <row r="359" spans="1:7">
      <c r="A359" s="325"/>
      <c r="B359" s="325"/>
      <c r="C359" s="325"/>
      <c r="D359" s="1843"/>
      <c r="E359" s="1843"/>
      <c r="F359" s="1843"/>
      <c r="G359" s="12"/>
    </row>
    <row r="360" spans="1:7">
      <c r="A360" s="325"/>
      <c r="B360" s="325"/>
      <c r="C360" s="505"/>
      <c r="D360" s="1843"/>
      <c r="E360" s="1843"/>
      <c r="F360" s="1843"/>
      <c r="G360" s="12"/>
    </row>
    <row r="361" spans="1:7">
      <c r="A361" s="325"/>
      <c r="B361" s="325"/>
      <c r="C361" s="505"/>
      <c r="D361" s="1843"/>
      <c r="E361" s="1843"/>
      <c r="F361" s="1843"/>
      <c r="G361" s="12"/>
    </row>
    <row r="362" spans="1:7">
      <c r="A362" s="325"/>
      <c r="B362" s="325"/>
      <c r="C362" s="505"/>
      <c r="D362" s="1843"/>
      <c r="E362" s="1843"/>
      <c r="F362" s="1843"/>
      <c r="G362" s="12"/>
    </row>
    <row r="363" spans="1:7">
      <c r="A363" s="325"/>
      <c r="B363" s="325"/>
      <c r="C363" s="325"/>
      <c r="D363" s="503"/>
      <c r="E363" s="467"/>
      <c r="F363" s="135"/>
      <c r="G363" s="12"/>
    </row>
    <row r="364" spans="1:7">
      <c r="A364" s="325"/>
      <c r="B364" s="677" t="s">
        <v>315</v>
      </c>
      <c r="C364" s="325"/>
      <c r="D364" s="1843" t="s">
        <v>1311</v>
      </c>
      <c r="E364" s="1843"/>
      <c r="F364" s="1843"/>
      <c r="G364" s="12"/>
    </row>
    <row r="365" spans="1:7">
      <c r="A365" s="325"/>
      <c r="B365" s="325"/>
      <c r="C365" s="325"/>
      <c r="D365" s="1843"/>
      <c r="E365" s="1843"/>
      <c r="F365" s="1843"/>
      <c r="G365" s="12"/>
    </row>
    <row r="366" spans="1:7">
      <c r="A366" s="325"/>
      <c r="B366" s="325"/>
      <c r="C366" s="325"/>
      <c r="D366" s="467"/>
      <c r="E366" s="467"/>
      <c r="F366" s="135"/>
      <c r="G366" s="12"/>
    </row>
    <row r="367" spans="1:7" ht="13">
      <c r="A367" s="261"/>
      <c r="B367" s="677" t="s">
        <v>315</v>
      </c>
      <c r="C367" s="325"/>
      <c r="D367" s="1844" t="s">
        <v>1312</v>
      </c>
      <c r="E367" s="1844"/>
      <c r="F367" s="1844"/>
      <c r="G367" s="12"/>
    </row>
    <row r="368" spans="1:7" ht="13">
      <c r="A368" s="504"/>
      <c r="B368" s="504"/>
      <c r="C368" s="325"/>
      <c r="D368" s="1844"/>
      <c r="E368" s="1844"/>
      <c r="F368" s="1844"/>
      <c r="G368" s="12"/>
    </row>
    <row r="369" spans="1:7" ht="13">
      <c r="A369" s="504"/>
      <c r="B369" s="504"/>
      <c r="C369" s="325"/>
      <c r="D369" s="1844"/>
      <c r="E369" s="1844"/>
      <c r="F369" s="1844"/>
      <c r="G369" s="12"/>
    </row>
    <row r="370" spans="1:7" ht="13">
      <c r="A370" s="504"/>
      <c r="B370" s="504"/>
      <c r="C370" s="325"/>
      <c r="D370" s="1844"/>
      <c r="E370" s="1844"/>
      <c r="F370" s="1844"/>
      <c r="G370" s="12"/>
    </row>
    <row r="371" spans="1:7" ht="13">
      <c r="A371" s="504"/>
      <c r="B371" s="504"/>
      <c r="C371" s="325"/>
      <c r="D371" s="1844"/>
      <c r="E371" s="1844"/>
      <c r="F371" s="1844"/>
      <c r="G371" s="12"/>
    </row>
    <row r="372" spans="1:7">
      <c r="D372" s="135"/>
      <c r="E372" s="135"/>
      <c r="F372" s="135"/>
      <c r="G372" s="12"/>
    </row>
    <row r="373" spans="1:7" ht="13">
      <c r="A373" s="261"/>
      <c r="B373" s="677" t="s">
        <v>315</v>
      </c>
      <c r="C373" s="266"/>
      <c r="D373" s="1815" t="s">
        <v>1313</v>
      </c>
      <c r="E373" s="1815"/>
      <c r="F373" s="1815"/>
      <c r="G373" s="12"/>
    </row>
    <row r="374" spans="1:7" ht="13">
      <c r="A374" s="261"/>
      <c r="B374" s="261"/>
      <c r="D374" s="1815"/>
      <c r="E374" s="1815"/>
      <c r="F374" s="1815"/>
      <c r="G374" s="12"/>
    </row>
    <row r="375" spans="1:7">
      <c r="D375" s="1815"/>
      <c r="E375" s="1815"/>
      <c r="F375" s="1815"/>
      <c r="G375" s="12"/>
    </row>
    <row r="376" spans="1:7">
      <c r="D376" s="1815"/>
      <c r="E376" s="1815"/>
      <c r="F376" s="1815"/>
      <c r="G376" s="12"/>
    </row>
    <row r="377" spans="1:7">
      <c r="D377" s="1815"/>
      <c r="E377" s="1815"/>
      <c r="F377" s="1815"/>
      <c r="G377" s="12"/>
    </row>
    <row r="378" spans="1:7">
      <c r="D378" s="1815"/>
      <c r="E378" s="1815"/>
      <c r="F378" s="1815"/>
      <c r="G378" s="12"/>
    </row>
    <row r="379" spans="1:7">
      <c r="D379" s="1815"/>
      <c r="E379" s="1815"/>
      <c r="F379" s="1815"/>
      <c r="G379" s="12"/>
    </row>
    <row r="380" spans="1:7">
      <c r="D380" s="1815"/>
      <c r="E380" s="1815"/>
      <c r="F380" s="1815"/>
      <c r="G380" s="12"/>
    </row>
    <row r="381" spans="1:7">
      <c r="D381" s="1815"/>
      <c r="E381" s="1815"/>
      <c r="F381" s="1815"/>
      <c r="G381" s="12"/>
    </row>
    <row r="382" spans="1:7">
      <c r="D382" s="1815"/>
      <c r="E382" s="1815"/>
      <c r="F382" s="1815"/>
      <c r="G382" s="12"/>
    </row>
    <row r="383" spans="1:7">
      <c r="D383" s="1815"/>
      <c r="E383" s="1815"/>
      <c r="F383" s="1815"/>
      <c r="G383" s="12"/>
    </row>
    <row r="384" spans="1:7">
      <c r="D384" s="1815"/>
      <c r="E384" s="1815"/>
      <c r="F384" s="1815"/>
      <c r="G384" s="12"/>
    </row>
    <row r="385" spans="1:7">
      <c r="D385" s="1815"/>
      <c r="E385" s="1815"/>
      <c r="F385" s="1815"/>
      <c r="G385" s="12"/>
    </row>
    <row r="386" spans="1:7">
      <c r="A386" s="12"/>
      <c r="B386" s="12"/>
      <c r="C386" s="12"/>
      <c r="D386" s="1815"/>
      <c r="E386" s="1815"/>
      <c r="F386" s="1815"/>
      <c r="G386" s="12"/>
    </row>
    <row r="387" spans="1:7">
      <c r="A387" s="12"/>
      <c r="B387" s="12"/>
      <c r="C387" s="12"/>
      <c r="D387" s="1815"/>
      <c r="E387" s="1815"/>
      <c r="F387" s="1815"/>
      <c r="G387" s="12"/>
    </row>
    <row r="388" spans="1:7">
      <c r="A388" s="12"/>
      <c r="B388" s="12"/>
      <c r="C388" s="12"/>
      <c r="D388" s="1815"/>
      <c r="E388" s="1815"/>
      <c r="F388" s="1815"/>
      <c r="G388" s="12"/>
    </row>
    <row r="389" spans="1:7">
      <c r="A389" s="12"/>
      <c r="B389" s="12"/>
      <c r="C389" s="12"/>
      <c r="D389" s="1815"/>
      <c r="E389" s="1815"/>
      <c r="F389" s="1815"/>
      <c r="G389" s="12"/>
    </row>
    <row r="390" spans="1:7">
      <c r="A390" s="12"/>
      <c r="B390" s="12"/>
      <c r="C390" s="12"/>
      <c r="D390" s="1815"/>
      <c r="E390" s="1815"/>
      <c r="F390" s="1815"/>
      <c r="G390" s="12"/>
    </row>
    <row r="391" spans="1:7">
      <c r="A391" s="12"/>
      <c r="B391" s="12"/>
      <c r="C391" s="12"/>
      <c r="D391" s="1815"/>
      <c r="E391" s="1815"/>
      <c r="F391" s="1815"/>
      <c r="G391" s="12"/>
    </row>
    <row r="392" spans="1:7">
      <c r="A392" s="12"/>
      <c r="B392" s="12"/>
      <c r="C392" s="12"/>
      <c r="D392" s="1815"/>
      <c r="E392" s="1815"/>
      <c r="F392" s="1815"/>
      <c r="G392" s="12"/>
    </row>
    <row r="393" spans="1:7">
      <c r="A393" s="12"/>
      <c r="B393" s="12"/>
      <c r="C393" s="12"/>
      <c r="D393" s="1815"/>
      <c r="E393" s="1815"/>
      <c r="F393" s="1815"/>
      <c r="G393" s="12"/>
    </row>
    <row r="394" spans="1:7">
      <c r="A394" s="12"/>
      <c r="B394" s="12"/>
      <c r="C394" s="12"/>
      <c r="D394" s="1815"/>
      <c r="E394" s="1815"/>
      <c r="F394" s="1815"/>
      <c r="G394" s="12"/>
    </row>
    <row r="395" spans="1:7">
      <c r="A395" s="12"/>
      <c r="B395" s="12"/>
      <c r="C395" s="12"/>
      <c r="D395" s="1815"/>
      <c r="E395" s="1815"/>
      <c r="F395" s="1815"/>
      <c r="G395" s="12"/>
    </row>
    <row r="396" spans="1:7">
      <c r="A396" s="12"/>
      <c r="B396" s="12"/>
      <c r="C396" s="12"/>
      <c r="D396" s="1815"/>
      <c r="E396" s="1815"/>
      <c r="F396" s="1815"/>
      <c r="G396" s="12"/>
    </row>
    <row r="397" spans="1:7">
      <c r="A397" s="12"/>
      <c r="B397" s="12"/>
      <c r="C397" s="12"/>
      <c r="D397" s="1815"/>
      <c r="E397" s="1815"/>
      <c r="F397" s="1815"/>
      <c r="G397" s="12"/>
    </row>
    <row r="398" spans="1:7">
      <c r="A398" s="12"/>
      <c r="B398" s="12"/>
      <c r="C398" s="12"/>
      <c r="D398" s="1815"/>
      <c r="E398" s="1815"/>
      <c r="F398" s="1815"/>
      <c r="G398" s="12"/>
    </row>
    <row r="399" spans="1:7">
      <c r="A399" s="12"/>
      <c r="B399" s="12"/>
      <c r="C399" s="12"/>
      <c r="D399" s="1815"/>
      <c r="E399" s="1815"/>
      <c r="F399" s="1815"/>
      <c r="G399" s="12"/>
    </row>
    <row r="400" spans="1:7">
      <c r="A400" s="12"/>
      <c r="B400" s="12"/>
      <c r="C400" s="12"/>
      <c r="D400" s="1815"/>
      <c r="E400" s="1815"/>
      <c r="F400" s="1815"/>
      <c r="G400" s="12"/>
    </row>
    <row r="401" spans="1:7">
      <c r="A401" s="12"/>
      <c r="B401" s="12"/>
      <c r="C401" s="12"/>
      <c r="D401" s="1815"/>
      <c r="E401" s="1815"/>
      <c r="F401" s="1815"/>
      <c r="G401" s="12"/>
    </row>
    <row r="402" spans="1:7" s="32" customFormat="1">
      <c r="A402" s="132"/>
      <c r="B402" s="674"/>
      <c r="C402" s="132"/>
      <c r="D402" s="1815"/>
      <c r="E402" s="1815"/>
      <c r="F402" s="1815"/>
      <c r="G402" s="30"/>
    </row>
    <row r="403" spans="1:7" s="32" customFormat="1" ht="40.75" customHeight="1">
      <c r="A403" s="132"/>
      <c r="B403" s="674"/>
      <c r="C403" s="132"/>
      <c r="D403" s="1815"/>
      <c r="E403" s="1815"/>
      <c r="F403" s="1815"/>
      <c r="G403" s="30"/>
    </row>
    <row r="404" spans="1:7" s="32" customFormat="1">
      <c r="A404" s="132"/>
      <c r="B404" s="674"/>
      <c r="C404" s="132"/>
      <c r="D404" s="135"/>
      <c r="E404" s="135"/>
      <c r="F404" s="135"/>
      <c r="G404" s="30"/>
    </row>
    <row r="405" spans="1:7" ht="13">
      <c r="A405" s="261"/>
      <c r="B405" s="677" t="s">
        <v>315</v>
      </c>
      <c r="C405" s="266"/>
      <c r="D405" s="1828" t="s">
        <v>1314</v>
      </c>
      <c r="E405" s="1828"/>
      <c r="F405" s="1828"/>
    </row>
    <row r="406" spans="1:7">
      <c r="D406" s="1845" t="s">
        <v>1078</v>
      </c>
      <c r="E406" s="1845"/>
      <c r="F406" s="1845"/>
    </row>
    <row r="407" spans="1:7">
      <c r="D407" s="1829" t="s">
        <v>1315</v>
      </c>
      <c r="E407" s="1829"/>
      <c r="F407" s="1829"/>
    </row>
    <row r="408" spans="1:7">
      <c r="D408" s="1829"/>
      <c r="E408" s="1829"/>
      <c r="F408" s="1829"/>
    </row>
    <row r="409" spans="1:7">
      <c r="D409" s="1829"/>
      <c r="E409" s="1829"/>
      <c r="F409" s="1829"/>
    </row>
    <row r="410" spans="1:7">
      <c r="D410" s="1829"/>
      <c r="E410" s="1829"/>
      <c r="F410" s="1829"/>
    </row>
    <row r="411" spans="1:7">
      <c r="D411" s="135"/>
      <c r="E411" s="135"/>
      <c r="F411" s="135"/>
      <c r="G411" s="12"/>
    </row>
    <row r="412" spans="1:7" ht="13">
      <c r="A412" s="261"/>
      <c r="B412" s="677" t="s">
        <v>315</v>
      </c>
      <c r="C412" s="266"/>
      <c r="D412" s="1815" t="s">
        <v>1316</v>
      </c>
      <c r="E412" s="1815"/>
      <c r="F412" s="1815"/>
      <c r="G412" s="12"/>
    </row>
    <row r="413" spans="1:7">
      <c r="D413" s="1815"/>
      <c r="E413" s="1815"/>
      <c r="F413" s="1815"/>
      <c r="G413" s="12"/>
    </row>
    <row r="414" spans="1:7">
      <c r="D414" s="1815"/>
      <c r="E414" s="1815"/>
      <c r="F414" s="1815"/>
      <c r="G414" s="12"/>
    </row>
    <row r="415" spans="1:7" s="717" customFormat="1">
      <c r="A415" s="729"/>
      <c r="B415" s="729"/>
      <c r="C415" s="729"/>
      <c r="D415" s="726"/>
      <c r="E415" s="726"/>
      <c r="F415" s="726"/>
    </row>
    <row r="416" spans="1:7" ht="13">
      <c r="B416" s="677" t="s">
        <v>315</v>
      </c>
      <c r="C416" s="261"/>
      <c r="D416" s="1829" t="s">
        <v>1317</v>
      </c>
      <c r="E416" s="1829"/>
      <c r="F416" s="1829"/>
      <c r="G416" s="12"/>
    </row>
    <row r="417" spans="1:7">
      <c r="D417" s="1829"/>
      <c r="E417" s="1829"/>
      <c r="F417" s="1829"/>
      <c r="G417" s="12"/>
    </row>
    <row r="418" spans="1:7">
      <c r="D418" s="135"/>
      <c r="E418" s="135"/>
      <c r="F418" s="135"/>
      <c r="G418" s="12"/>
    </row>
    <row r="419" spans="1:7" ht="13">
      <c r="B419" s="677" t="s">
        <v>315</v>
      </c>
      <c r="C419" s="261"/>
      <c r="D419" s="1829" t="s">
        <v>1318</v>
      </c>
      <c r="E419" s="1829"/>
      <c r="F419" s="1829"/>
      <c r="G419" s="12"/>
    </row>
    <row r="420" spans="1:7">
      <c r="D420" s="1829"/>
      <c r="E420" s="1829"/>
      <c r="F420" s="1829"/>
      <c r="G420" s="12"/>
    </row>
    <row r="421" spans="1:7">
      <c r="D421" s="1829"/>
      <c r="E421" s="1829"/>
      <c r="F421" s="1829"/>
      <c r="G421" s="12"/>
    </row>
    <row r="422" spans="1:7">
      <c r="D422" s="1829"/>
      <c r="E422" s="1829"/>
      <c r="F422" s="1829"/>
      <c r="G422" s="12"/>
    </row>
    <row r="423" spans="1:7">
      <c r="B423" s="677" t="s">
        <v>315</v>
      </c>
      <c r="D423" s="1829"/>
      <c r="E423" s="1829"/>
      <c r="F423" s="1829"/>
      <c r="G423" s="12"/>
    </row>
    <row r="424" spans="1:7">
      <c r="A424" s="12"/>
      <c r="B424" s="12"/>
      <c r="C424" s="12"/>
      <c r="D424" s="1829"/>
      <c r="E424" s="1829"/>
      <c r="F424" s="1829"/>
      <c r="G424" s="12"/>
    </row>
    <row r="425" spans="1:7">
      <c r="A425" s="12"/>
      <c r="C425" s="12"/>
      <c r="D425" s="1829"/>
      <c r="E425" s="1829"/>
      <c r="F425" s="1829"/>
      <c r="G425" s="12"/>
    </row>
    <row r="426" spans="1:7">
      <c r="A426" s="12"/>
      <c r="B426" s="677" t="s">
        <v>315</v>
      </c>
      <c r="C426" s="12"/>
      <c r="D426" s="1829"/>
      <c r="E426" s="1829"/>
      <c r="F426" s="1829"/>
      <c r="G426" s="12"/>
    </row>
    <row r="427" spans="1:7">
      <c r="A427" s="12"/>
      <c r="B427" s="12"/>
      <c r="C427" s="12"/>
      <c r="D427" s="1829"/>
      <c r="E427" s="1829"/>
      <c r="F427" s="1829"/>
      <c r="G427" s="12"/>
    </row>
    <row r="428" spans="1:7">
      <c r="A428" s="12"/>
      <c r="C428" s="12"/>
      <c r="D428" s="1829"/>
      <c r="E428" s="1829"/>
      <c r="F428" s="1829"/>
      <c r="G428" s="12"/>
    </row>
    <row r="429" spans="1:7">
      <c r="A429" s="12"/>
      <c r="C429" s="12"/>
      <c r="D429" s="1829"/>
      <c r="E429" s="1829"/>
      <c r="F429" s="1829"/>
      <c r="G429" s="12"/>
    </row>
    <row r="430" spans="1:7">
      <c r="A430" s="12"/>
      <c r="B430" s="677" t="s">
        <v>315</v>
      </c>
      <c r="C430" s="12"/>
      <c r="D430" s="1829"/>
      <c r="E430" s="1829"/>
      <c r="F430" s="1829"/>
      <c r="G430" s="12"/>
    </row>
    <row r="431" spans="1:7">
      <c r="A431" s="12"/>
      <c r="B431" s="12"/>
      <c r="C431" s="12"/>
      <c r="D431" s="1829"/>
      <c r="E431" s="1829"/>
      <c r="F431" s="1829"/>
      <c r="G431" s="12"/>
    </row>
    <row r="432" spans="1:7">
      <c r="A432" s="12"/>
      <c r="B432" s="677" t="s">
        <v>315</v>
      </c>
      <c r="C432" s="12"/>
      <c r="D432" s="1829"/>
      <c r="E432" s="1829"/>
      <c r="F432" s="1829"/>
      <c r="G432" s="12"/>
    </row>
    <row r="433" spans="1:7" s="717" customFormat="1">
      <c r="D433" s="727"/>
      <c r="E433" s="727"/>
      <c r="F433" s="727"/>
    </row>
    <row r="434" spans="1:7">
      <c r="A434" s="12"/>
      <c r="B434" s="716" t="s">
        <v>315</v>
      </c>
      <c r="C434" s="12"/>
      <c r="D434" s="1829" t="s">
        <v>1319</v>
      </c>
      <c r="E434" s="1829"/>
      <c r="F434" s="1829"/>
      <c r="G434" s="12"/>
    </row>
    <row r="435" spans="1:7">
      <c r="A435" s="12"/>
      <c r="B435" s="12"/>
      <c r="C435" s="12"/>
      <c r="D435" s="1829"/>
      <c r="E435" s="1829"/>
      <c r="F435" s="1829"/>
      <c r="G435" s="12"/>
    </row>
    <row r="436" spans="1:7">
      <c r="A436" s="12"/>
      <c r="B436" s="12"/>
      <c r="C436" s="12"/>
      <c r="D436" s="1829"/>
      <c r="E436" s="1829"/>
      <c r="F436" s="1829"/>
      <c r="G436" s="12"/>
    </row>
    <row r="437" spans="1:7">
      <c r="A437" s="12"/>
      <c r="B437" s="12"/>
      <c r="C437" s="12"/>
      <c r="D437" s="1829"/>
      <c r="E437" s="1829"/>
      <c r="F437" s="1829"/>
      <c r="G437" s="12"/>
    </row>
    <row r="438" spans="1:7">
      <c r="D438" s="1829"/>
      <c r="E438" s="1829"/>
      <c r="F438" s="1829"/>
    </row>
    <row r="439" spans="1:7">
      <c r="D439" s="135"/>
      <c r="E439" s="135"/>
      <c r="F439" s="135"/>
    </row>
    <row r="440" spans="1:7">
      <c r="B440" s="677" t="s">
        <v>315</v>
      </c>
      <c r="D440" s="1830" t="s">
        <v>1320</v>
      </c>
      <c r="E440" s="1830"/>
      <c r="F440" s="1830"/>
    </row>
    <row r="441" spans="1:7">
      <c r="A441" s="135"/>
      <c r="B441" s="135"/>
    </row>
    <row r="442" spans="1:7" ht="13">
      <c r="A442" s="1835" t="s">
        <v>1161</v>
      </c>
      <c r="B442" s="1835"/>
      <c r="C442" s="1835"/>
      <c r="D442" s="1835"/>
      <c r="E442" s="1835"/>
      <c r="F442" s="1835"/>
      <c r="G442" s="1835"/>
    </row>
    <row r="443" spans="1:7">
      <c r="A443" s="135"/>
      <c r="B443" s="135"/>
    </row>
    <row r="444" spans="1:7" ht="13">
      <c r="D444" s="1831" t="s">
        <v>946</v>
      </c>
      <c r="E444" s="1831"/>
      <c r="F444" s="1831"/>
    </row>
    <row r="445" spans="1:7" s="39" customFormat="1" ht="13">
      <c r="A445" s="403"/>
      <c r="B445" s="403"/>
      <c r="C445" s="273"/>
      <c r="D445" s="1832" t="s">
        <v>1321</v>
      </c>
      <c r="E445" s="1832"/>
      <c r="F445" s="1832"/>
      <c r="G445" s="130"/>
    </row>
    <row r="446" spans="1:7" s="39" customFormat="1" ht="13">
      <c r="A446" s="403"/>
      <c r="B446" s="403"/>
      <c r="C446" s="273"/>
      <c r="D446" s="730"/>
      <c r="E446" s="6"/>
      <c r="F446" s="6"/>
      <c r="G446" s="130"/>
    </row>
    <row r="447" spans="1:7" s="39" customFormat="1" ht="13">
      <c r="A447" s="261"/>
      <c r="B447" s="677" t="s">
        <v>315</v>
      </c>
      <c r="C447" s="273"/>
      <c r="D447" s="1833" t="s">
        <v>1322</v>
      </c>
      <c r="E447" s="1833"/>
      <c r="F447" s="1833"/>
      <c r="G447" s="130"/>
    </row>
    <row r="448" spans="1:7" s="39" customFormat="1" ht="13">
      <c r="A448" s="261"/>
      <c r="B448" s="261"/>
      <c r="C448" s="273"/>
      <c r="D448" s="1833"/>
      <c r="E448" s="1833"/>
      <c r="F448" s="1833"/>
      <c r="G448" s="130"/>
    </row>
    <row r="449" spans="1:7" s="39" customFormat="1" ht="13">
      <c r="A449" s="261"/>
      <c r="B449" s="261"/>
      <c r="C449" s="273"/>
      <c r="D449" s="728"/>
      <c r="E449" s="6"/>
      <c r="F449" s="6"/>
      <c r="G449" s="130"/>
    </row>
    <row r="450" spans="1:7">
      <c r="B450" s="677" t="s">
        <v>315</v>
      </c>
      <c r="D450" s="1834" t="s">
        <v>1323</v>
      </c>
      <c r="E450" s="1834"/>
      <c r="F450" s="1834"/>
    </row>
    <row r="451" spans="1:7" ht="13">
      <c r="A451" s="261"/>
      <c r="D451" s="1834"/>
      <c r="E451" s="1834"/>
      <c r="F451" s="1834"/>
    </row>
    <row r="452" spans="1:7" ht="13">
      <c r="A452" s="261"/>
      <c r="B452" s="261"/>
      <c r="D452" s="1834"/>
      <c r="E452" s="1834"/>
      <c r="F452" s="1834"/>
    </row>
    <row r="453" spans="1:7" ht="13">
      <c r="A453" s="261"/>
      <c r="B453" s="261"/>
      <c r="D453" s="1834"/>
      <c r="E453" s="1834"/>
      <c r="F453" s="1834"/>
    </row>
    <row r="454" spans="1:7">
      <c r="D454" s="676"/>
      <c r="E454" s="676"/>
      <c r="F454" s="676"/>
      <c r="G454" s="12"/>
    </row>
    <row r="455" spans="1:7" ht="13">
      <c r="A455" s="261"/>
      <c r="B455" s="677" t="s">
        <v>315</v>
      </c>
      <c r="D455" s="1816" t="s">
        <v>1324</v>
      </c>
      <c r="E455" s="1816"/>
      <c r="F455" s="1816"/>
      <c r="G455" s="12"/>
    </row>
    <row r="456" spans="1:7" ht="13">
      <c r="A456" s="261"/>
      <c r="B456" s="261"/>
      <c r="D456" s="1816"/>
      <c r="E456" s="1816"/>
      <c r="F456" s="1816"/>
      <c r="G456" s="12"/>
    </row>
    <row r="457" spans="1:7" ht="13">
      <c r="A457" s="261"/>
      <c r="D457" s="1816"/>
      <c r="E457" s="1816"/>
      <c r="F457" s="1816"/>
      <c r="G457" s="12"/>
    </row>
    <row r="458" spans="1:7" ht="13">
      <c r="A458" s="261"/>
      <c r="B458" s="261"/>
      <c r="D458" s="676"/>
      <c r="E458" s="676"/>
      <c r="F458" s="676"/>
      <c r="G458" s="12"/>
    </row>
    <row r="459" spans="1:7" ht="13">
      <c r="A459" s="261"/>
      <c r="B459" s="716" t="s">
        <v>315</v>
      </c>
      <c r="D459" s="1828" t="s">
        <v>1325</v>
      </c>
      <c r="E459" s="1828"/>
      <c r="F459" s="1828"/>
      <c r="G459" s="12"/>
    </row>
    <row r="460" spans="1:7" ht="13">
      <c r="A460" s="261"/>
      <c r="B460" s="261"/>
      <c r="D460" s="728"/>
      <c r="E460" s="6"/>
      <c r="F460" s="6"/>
      <c r="G460" s="12"/>
    </row>
    <row r="461" spans="1:7" ht="13">
      <c r="A461" s="261"/>
      <c r="B461" s="677" t="s">
        <v>315</v>
      </c>
      <c r="D461" s="1815" t="s">
        <v>1326</v>
      </c>
      <c r="E461" s="1815"/>
      <c r="F461" s="1815"/>
      <c r="G461" s="12"/>
    </row>
    <row r="462" spans="1:7" ht="13">
      <c r="A462" s="261"/>
      <c r="D462" s="1815"/>
      <c r="E462" s="1815"/>
      <c r="F462" s="1815"/>
      <c r="G462" s="12"/>
    </row>
    <row r="463" spans="1:7" ht="13">
      <c r="A463" s="23"/>
      <c r="B463" s="673"/>
      <c r="D463" s="731"/>
      <c r="E463" s="6"/>
      <c r="F463" s="6"/>
      <c r="G463" s="12"/>
    </row>
    <row r="464" spans="1:7" ht="13">
      <c r="A464" s="23"/>
      <c r="B464" s="716" t="s">
        <v>315</v>
      </c>
      <c r="D464" s="1828" t="s">
        <v>1327</v>
      </c>
      <c r="E464" s="1828"/>
      <c r="F464" s="1828"/>
      <c r="G464" s="12"/>
    </row>
    <row r="465" spans="1:7" ht="13">
      <c r="A465" s="261"/>
      <c r="B465" s="261"/>
      <c r="D465" s="135"/>
    </row>
    <row r="466" spans="1:7" ht="13">
      <c r="A466" s="1835" t="s">
        <v>1162</v>
      </c>
      <c r="B466" s="1835"/>
      <c r="C466" s="1835"/>
      <c r="D466" s="1835"/>
      <c r="E466" s="1835"/>
      <c r="F466" s="1835"/>
      <c r="G466" s="1835"/>
    </row>
    <row r="467" spans="1:7" customFormat="1" ht="12" customHeight="1">
      <c r="A467" s="261"/>
      <c r="B467" s="261"/>
      <c r="C467" s="10"/>
      <c r="D467" s="151"/>
      <c r="E467" s="149"/>
      <c r="F467" s="149"/>
      <c r="G467" s="149"/>
    </row>
    <row r="468" spans="1:7" customFormat="1" ht="13">
      <c r="A468" s="273"/>
      <c r="B468" s="273"/>
      <c r="C468" s="312"/>
      <c r="D468" s="1836" t="s">
        <v>849</v>
      </c>
      <c r="E468" s="1836"/>
      <c r="F468" s="1836"/>
      <c r="G468" s="182"/>
    </row>
    <row r="469" spans="1:7" customFormat="1" ht="13.5" customHeight="1">
      <c r="A469" s="260"/>
      <c r="B469" s="260"/>
      <c r="C469" s="313"/>
      <c r="D469" s="1837" t="s">
        <v>1205</v>
      </c>
      <c r="E469" s="1837"/>
      <c r="F469" s="1837"/>
      <c r="G469" s="149"/>
    </row>
    <row r="470" spans="1:7" customFormat="1" ht="13">
      <c r="A470" s="260"/>
      <c r="B470" s="260"/>
      <c r="C470" s="313"/>
      <c r="D470" s="1837"/>
      <c r="E470" s="1837"/>
      <c r="F470" s="1837"/>
      <c r="G470" s="149"/>
    </row>
    <row r="471" spans="1:7" customFormat="1" ht="13">
      <c r="A471" s="260"/>
      <c r="B471" s="260"/>
      <c r="C471" s="313"/>
      <c r="D471" s="1837"/>
      <c r="E471" s="1837"/>
      <c r="F471" s="1837"/>
      <c r="G471" s="149"/>
    </row>
    <row r="472" spans="1:7" customFormat="1" ht="13">
      <c r="A472" s="260"/>
      <c r="B472" s="260"/>
      <c r="C472" s="313"/>
      <c r="D472" s="1837"/>
      <c r="E472" s="1837"/>
      <c r="F472" s="1837"/>
      <c r="G472" s="149"/>
    </row>
    <row r="473" spans="1:7" customFormat="1" ht="13">
      <c r="A473" s="260"/>
      <c r="B473" s="260"/>
      <c r="C473" s="313"/>
      <c r="D473" s="1837"/>
      <c r="E473" s="1837"/>
      <c r="F473" s="1837"/>
      <c r="G473" s="149"/>
    </row>
    <row r="474" spans="1:7" customFormat="1" ht="13">
      <c r="A474" s="260"/>
      <c r="B474" s="260"/>
      <c r="C474" s="313"/>
      <c r="D474" s="471"/>
      <c r="E474" s="149"/>
      <c r="F474" s="151"/>
      <c r="G474" s="149"/>
    </row>
    <row r="475" spans="1:7" customFormat="1" ht="14.5" customHeight="1">
      <c r="A475" s="261"/>
      <c r="B475" s="677" t="s">
        <v>315</v>
      </c>
      <c r="C475" s="313"/>
      <c r="D475" s="1877" t="s">
        <v>1196</v>
      </c>
      <c r="E475" s="1877"/>
      <c r="F475" s="1877"/>
      <c r="G475" s="149"/>
    </row>
    <row r="476" spans="1:7" customFormat="1" ht="13">
      <c r="A476" s="260"/>
      <c r="B476" s="260"/>
      <c r="C476" s="313"/>
      <c r="D476" s="1877"/>
      <c r="E476" s="1877"/>
      <c r="F476" s="1877"/>
      <c r="G476" s="149"/>
    </row>
    <row r="477" spans="1:7" s="678" customFormat="1" ht="13">
      <c r="A477" s="260"/>
      <c r="B477" s="260"/>
      <c r="C477" s="313"/>
      <c r="D477" s="1877"/>
      <c r="E477" s="1877"/>
      <c r="F477" s="1877"/>
      <c r="G477" s="149"/>
    </row>
    <row r="478" spans="1:7" s="678" customFormat="1" ht="13">
      <c r="A478" s="260"/>
      <c r="B478" s="260"/>
      <c r="C478" s="313"/>
      <c r="D478" s="1877"/>
      <c r="E478" s="1877"/>
      <c r="F478" s="1877"/>
      <c r="G478" s="149"/>
    </row>
    <row r="479" spans="1:7" customFormat="1" ht="13">
      <c r="A479" s="260"/>
      <c r="B479" s="260"/>
      <c r="C479" s="313"/>
      <c r="D479" s="1877"/>
      <c r="E479" s="1877"/>
      <c r="F479" s="1877"/>
      <c r="G479" s="149"/>
    </row>
    <row r="480" spans="1:7" customFormat="1" ht="13">
      <c r="A480" s="260"/>
      <c r="B480" s="260"/>
      <c r="C480" s="313"/>
      <c r="D480" s="443"/>
      <c r="E480" s="149"/>
      <c r="F480" s="151"/>
      <c r="G480" s="149"/>
    </row>
    <row r="481" spans="1:7" customFormat="1" ht="14.5" customHeight="1">
      <c r="A481" s="261"/>
      <c r="B481" s="677" t="s">
        <v>315</v>
      </c>
      <c r="C481" s="313"/>
      <c r="D481" s="1877" t="s">
        <v>1199</v>
      </c>
      <c r="E481" s="1877"/>
      <c r="F481" s="1877"/>
      <c r="G481" s="149"/>
    </row>
    <row r="482" spans="1:7" customFormat="1" ht="13">
      <c r="A482" s="260"/>
      <c r="B482" s="260"/>
      <c r="C482" s="313"/>
      <c r="D482" s="1877"/>
      <c r="E482" s="1877"/>
      <c r="F482" s="1877"/>
      <c r="G482" s="149"/>
    </row>
    <row r="483" spans="1:7" s="678" customFormat="1" ht="13">
      <c r="A483" s="260"/>
      <c r="B483" s="260"/>
      <c r="C483" s="313"/>
      <c r="D483" s="1877"/>
      <c r="E483" s="1877"/>
      <c r="F483" s="1877"/>
      <c r="G483" s="149"/>
    </row>
    <row r="484" spans="1:7" customFormat="1" ht="13">
      <c r="A484" s="260"/>
      <c r="B484" s="260"/>
      <c r="C484" s="313"/>
      <c r="D484" s="1877"/>
      <c r="E484" s="1877"/>
      <c r="F484" s="1877"/>
      <c r="G484" s="149"/>
    </row>
    <row r="485" spans="1:7" customFormat="1" ht="10" customHeight="1">
      <c r="A485" s="260"/>
      <c r="B485" s="260"/>
      <c r="C485" s="313"/>
      <c r="D485" s="443"/>
      <c r="E485" s="149"/>
      <c r="F485" s="151"/>
      <c r="G485" s="149"/>
    </row>
    <row r="486" spans="1:7" customFormat="1" ht="14.5" customHeight="1">
      <c r="A486" s="261"/>
      <c r="B486" s="677" t="s">
        <v>315</v>
      </c>
      <c r="C486" s="313"/>
      <c r="D486" s="1877" t="s">
        <v>1197</v>
      </c>
      <c r="E486" s="1877"/>
      <c r="F486" s="1877"/>
      <c r="G486" s="149"/>
    </row>
    <row r="487" spans="1:7" customFormat="1" ht="13">
      <c r="A487" s="260"/>
      <c r="B487" s="260"/>
      <c r="C487" s="313"/>
      <c r="D487" s="1877"/>
      <c r="E487" s="1877"/>
      <c r="F487" s="1877"/>
      <c r="G487" s="149"/>
    </row>
    <row r="488" spans="1:7" customFormat="1" ht="13">
      <c r="A488" s="260"/>
      <c r="B488" s="260"/>
      <c r="C488" s="313"/>
      <c r="D488" s="1877"/>
      <c r="E488" s="1877"/>
      <c r="F488" s="1877"/>
      <c r="G488" s="149"/>
    </row>
    <row r="489" spans="1:7" s="678" customFormat="1" ht="13">
      <c r="A489" s="260"/>
      <c r="B489" s="260"/>
      <c r="C489" s="313"/>
      <c r="D489" s="698"/>
      <c r="E489" s="698"/>
      <c r="F489" s="698"/>
      <c r="G489" s="149"/>
    </row>
    <row r="490" spans="1:7" customFormat="1" ht="14.5" customHeight="1">
      <c r="A490" s="261"/>
      <c r="B490" s="677" t="s">
        <v>315</v>
      </c>
      <c r="C490" s="313"/>
      <c r="D490" s="1877" t="s">
        <v>1198</v>
      </c>
      <c r="E490" s="1877"/>
      <c r="F490" s="1877"/>
      <c r="G490" s="149"/>
    </row>
    <row r="491" spans="1:7" customFormat="1" ht="13">
      <c r="A491" s="260"/>
      <c r="B491" s="260"/>
      <c r="C491" s="313"/>
      <c r="D491" s="1877"/>
      <c r="E491" s="1877"/>
      <c r="F491" s="1877"/>
      <c r="G491" s="149"/>
    </row>
    <row r="492" spans="1:7" customFormat="1" ht="13">
      <c r="A492" s="260"/>
      <c r="B492" s="260"/>
      <c r="C492" s="313"/>
      <c r="D492" s="1877"/>
      <c r="E492" s="1877"/>
      <c r="F492" s="1877"/>
      <c r="G492" s="149"/>
    </row>
    <row r="493" spans="1:7" customFormat="1" ht="13">
      <c r="A493" s="260"/>
      <c r="B493" s="260"/>
      <c r="C493" s="313"/>
      <c r="D493" s="1877"/>
      <c r="E493" s="1877"/>
      <c r="F493" s="1877"/>
      <c r="G493" s="149"/>
    </row>
    <row r="494" spans="1:7" customFormat="1" ht="13">
      <c r="A494" s="260"/>
      <c r="B494" s="260"/>
      <c r="C494" s="313"/>
      <c r="D494" s="1877"/>
      <c r="E494" s="1877"/>
      <c r="F494" s="1877"/>
      <c r="G494" s="149"/>
    </row>
    <row r="495" spans="1:7" customFormat="1" ht="13">
      <c r="A495" s="260"/>
      <c r="B495" s="260"/>
      <c r="C495" s="313"/>
      <c r="D495" s="1877"/>
      <c r="E495" s="1877"/>
      <c r="F495" s="1877"/>
      <c r="G495" s="149"/>
    </row>
    <row r="496" spans="1:7" customFormat="1" ht="13">
      <c r="A496" s="260"/>
      <c r="B496" s="260"/>
      <c r="C496" s="313"/>
      <c r="D496" s="1877"/>
      <c r="E496" s="1877"/>
      <c r="F496" s="1877"/>
      <c r="G496" s="149"/>
    </row>
    <row r="497" spans="1:7" customFormat="1" ht="13">
      <c r="A497" s="487"/>
      <c r="B497" s="487"/>
      <c r="C497" s="486"/>
      <c r="D497" s="1877"/>
      <c r="E497" s="1877"/>
      <c r="F497" s="1877"/>
      <c r="G497" s="149"/>
    </row>
    <row r="498" spans="1:7" customFormat="1" ht="13">
      <c r="A498" s="487"/>
      <c r="B498" s="487"/>
      <c r="C498" s="486"/>
      <c r="D498" s="1877"/>
      <c r="E498" s="1877"/>
      <c r="F498" s="1877"/>
      <c r="G498" s="149"/>
    </row>
    <row r="499" spans="1:7" customFormat="1" ht="13">
      <c r="A499" s="487"/>
      <c r="B499" s="487"/>
      <c r="C499" s="486"/>
      <c r="D499" s="443"/>
      <c r="E499" s="149"/>
      <c r="F499" s="151"/>
      <c r="G499" s="149"/>
    </row>
    <row r="500" spans="1:7" customFormat="1" ht="13.5" customHeight="1">
      <c r="A500" s="487"/>
      <c r="B500" s="677" t="s">
        <v>315</v>
      </c>
      <c r="C500" s="486"/>
      <c r="D500" s="1827" t="s">
        <v>1342</v>
      </c>
      <c r="E500" s="1827"/>
      <c r="F500" s="1827"/>
      <c r="G500" s="149"/>
    </row>
    <row r="501" spans="1:7" customFormat="1" ht="13">
      <c r="A501" s="487"/>
      <c r="B501" s="487"/>
      <c r="C501" s="486"/>
      <c r="D501" s="1827"/>
      <c r="E501" s="1827"/>
      <c r="F501" s="1827"/>
      <c r="G501" s="149"/>
    </row>
    <row r="502" spans="1:7" customFormat="1" ht="13">
      <c r="A502" s="487"/>
      <c r="B502" s="487"/>
      <c r="C502" s="486"/>
      <c r="D502" s="1827"/>
      <c r="E502" s="1827"/>
      <c r="F502" s="1827"/>
      <c r="G502" s="149"/>
    </row>
    <row r="503" spans="1:7" customFormat="1" ht="13">
      <c r="A503" s="487"/>
      <c r="B503" s="487"/>
      <c r="C503" s="486"/>
      <c r="D503" s="1827"/>
      <c r="E503" s="1827"/>
      <c r="F503" s="1827"/>
      <c r="G503" s="149"/>
    </row>
    <row r="504" spans="1:7" customFormat="1" ht="13">
      <c r="A504" s="260"/>
      <c r="B504" s="260"/>
      <c r="C504" s="313"/>
      <c r="D504" s="1827"/>
      <c r="E504" s="1827"/>
      <c r="F504" s="1827"/>
      <c r="G504" s="149"/>
    </row>
    <row r="505" spans="1:7" s="715" customFormat="1" ht="13">
      <c r="A505" s="718"/>
      <c r="B505" s="718"/>
      <c r="C505" s="313"/>
      <c r="D505" s="739"/>
      <c r="E505" s="739"/>
      <c r="F505" s="739"/>
      <c r="G505" s="149"/>
    </row>
    <row r="506" spans="1:7" customFormat="1" ht="14.5" customHeight="1">
      <c r="A506" s="261"/>
      <c r="B506" s="677" t="s">
        <v>315</v>
      </c>
      <c r="C506" s="10"/>
      <c r="D506" s="1877" t="s">
        <v>1200</v>
      </c>
      <c r="E506" s="1877"/>
      <c r="F506" s="1877"/>
      <c r="G506" s="149"/>
    </row>
    <row r="507" spans="1:7" customFormat="1">
      <c r="A507" s="132"/>
      <c r="B507" s="674"/>
      <c r="C507" s="10"/>
      <c r="D507" s="1877"/>
      <c r="E507" s="1877"/>
      <c r="F507" s="1877"/>
      <c r="G507" s="149"/>
    </row>
    <row r="508" spans="1:7" customFormat="1">
      <c r="A508" s="132"/>
      <c r="B508" s="674"/>
      <c r="C508" s="10"/>
      <c r="D508" s="1877"/>
      <c r="E508" s="1877"/>
      <c r="F508" s="1877"/>
      <c r="G508" s="149"/>
    </row>
    <row r="509" spans="1:7" customFormat="1" ht="12" customHeight="1">
      <c r="A509" s="135"/>
      <c r="B509" s="135"/>
      <c r="C509" s="315"/>
      <c r="D509" s="135"/>
      <c r="E509" s="149"/>
      <c r="F509" s="314"/>
      <c r="G509" s="149"/>
    </row>
    <row r="510" spans="1:7" ht="13">
      <c r="A510" s="1835" t="s">
        <v>1163</v>
      </c>
      <c r="B510" s="1835"/>
      <c r="C510" s="1835"/>
      <c r="D510" s="1835"/>
      <c r="E510" s="1835"/>
      <c r="F510" s="1835"/>
      <c r="G510" s="1835"/>
    </row>
    <row r="511" spans="1:7" ht="13">
      <c r="A511" s="135"/>
      <c r="B511" s="135"/>
      <c r="C511" s="266"/>
      <c r="F511" s="134"/>
    </row>
    <row r="512" spans="1:7">
      <c r="B512" s="1863" t="s">
        <v>468</v>
      </c>
      <c r="C512" s="1863"/>
      <c r="D512" s="1863"/>
      <c r="E512" s="1863"/>
      <c r="F512" s="1863"/>
    </row>
    <row r="513" spans="1:7">
      <c r="A513" s="135"/>
      <c r="B513" s="135"/>
      <c r="C513" s="266"/>
      <c r="D513" s="135"/>
      <c r="F513" s="135"/>
    </row>
    <row r="514" spans="1:7" ht="13">
      <c r="A514" s="1885" t="s">
        <v>1164</v>
      </c>
      <c r="B514" s="1885"/>
      <c r="C514" s="1885"/>
      <c r="D514" s="1885"/>
      <c r="E514" s="1885"/>
      <c r="F514" s="1885"/>
      <c r="G514" s="1885"/>
    </row>
    <row r="515" spans="1:7">
      <c r="A515" s="135"/>
      <c r="B515" s="135"/>
      <c r="C515" s="266"/>
      <c r="D515" s="135"/>
      <c r="F515" s="135"/>
    </row>
    <row r="516" spans="1:7" ht="13">
      <c r="C516" s="266"/>
      <c r="D516" s="1838" t="s">
        <v>718</v>
      </c>
      <c r="E516" s="1838"/>
      <c r="F516" s="1838"/>
    </row>
    <row r="517" spans="1:7" s="680" customFormat="1">
      <c r="A517" s="697"/>
      <c r="B517" s="697"/>
      <c r="C517" s="266"/>
      <c r="D517" s="1828" t="s">
        <v>1221</v>
      </c>
      <c r="E517" s="1828"/>
      <c r="F517" s="1828"/>
      <c r="G517" s="7"/>
    </row>
    <row r="518" spans="1:7" s="680" customFormat="1">
      <c r="A518" s="697"/>
      <c r="B518" s="697"/>
      <c r="C518" s="266"/>
      <c r="D518" s="702"/>
      <c r="E518" s="702"/>
      <c r="F518" s="702"/>
      <c r="G518" s="7"/>
    </row>
    <row r="519" spans="1:7" ht="13.5" customHeight="1">
      <c r="A519" s="261"/>
      <c r="B519" s="677" t="s">
        <v>315</v>
      </c>
      <c r="C519" s="266"/>
      <c r="D519" s="1828" t="s">
        <v>947</v>
      </c>
      <c r="E519" s="1828"/>
      <c r="F519" s="1828"/>
      <c r="G519" s="12"/>
    </row>
    <row r="520" spans="1:7" ht="13.5" customHeight="1">
      <c r="A520" s="266"/>
      <c r="B520" s="266"/>
      <c r="C520" s="266"/>
      <c r="D520" s="702"/>
      <c r="E520" s="675"/>
      <c r="F520" s="675"/>
      <c r="G520" s="12"/>
    </row>
    <row r="521" spans="1:7" ht="13">
      <c r="A521" s="261"/>
      <c r="B521" s="677" t="s">
        <v>315</v>
      </c>
      <c r="C521" s="266"/>
      <c r="D521" s="1815" t="s">
        <v>1222</v>
      </c>
      <c r="E521" s="1815"/>
      <c r="F521" s="1815"/>
      <c r="G521" s="12"/>
    </row>
    <row r="522" spans="1:7">
      <c r="A522" s="266"/>
      <c r="B522" s="266"/>
      <c r="C522" s="266"/>
      <c r="D522" s="1815"/>
      <c r="E522" s="1815"/>
      <c r="F522" s="1815"/>
      <c r="G522" s="12"/>
    </row>
    <row r="523" spans="1:7">
      <c r="A523" s="266"/>
      <c r="B523" s="266"/>
      <c r="C523" s="266"/>
      <c r="D523" s="135"/>
      <c r="E523" s="135"/>
      <c r="F523" s="135"/>
      <c r="G523" s="12"/>
    </row>
    <row r="524" spans="1:7" ht="13">
      <c r="A524" s="261"/>
      <c r="B524" s="677" t="s">
        <v>315</v>
      </c>
      <c r="C524" s="266"/>
      <c r="D524" s="1815" t="s">
        <v>1223</v>
      </c>
      <c r="E524" s="1815"/>
      <c r="F524" s="1815"/>
      <c r="G524" s="12"/>
    </row>
    <row r="525" spans="1:7">
      <c r="A525" s="266"/>
      <c r="B525" s="266"/>
      <c r="C525" s="266"/>
      <c r="D525" s="1815"/>
      <c r="E525" s="1815"/>
      <c r="F525" s="1815"/>
      <c r="G525" s="12"/>
    </row>
    <row r="526" spans="1:7">
      <c r="A526" s="266"/>
      <c r="B526" s="266"/>
      <c r="C526" s="266"/>
      <c r="D526" s="135"/>
      <c r="E526" s="135"/>
      <c r="F526" s="135"/>
      <c r="G526" s="12"/>
    </row>
    <row r="527" spans="1:7" ht="13">
      <c r="A527" s="261"/>
      <c r="B527" s="677" t="s">
        <v>315</v>
      </c>
      <c r="C527" s="266"/>
      <c r="D527" s="1815" t="s">
        <v>1224</v>
      </c>
      <c r="E527" s="1815"/>
      <c r="F527" s="1815"/>
      <c r="G527" s="12"/>
    </row>
    <row r="528" spans="1:7">
      <c r="A528" s="266"/>
      <c r="B528" s="266"/>
      <c r="C528" s="266"/>
      <c r="D528" s="1815"/>
      <c r="E528" s="1815"/>
      <c r="F528" s="1815"/>
      <c r="G528" s="12"/>
    </row>
    <row r="529" spans="1:7">
      <c r="A529" s="266"/>
      <c r="B529" s="266"/>
      <c r="C529" s="266"/>
      <c r="D529" s="135"/>
      <c r="E529" s="135"/>
      <c r="F529" s="135"/>
      <c r="G529" s="12"/>
    </row>
    <row r="530" spans="1:7" ht="13">
      <c r="A530" s="261"/>
      <c r="B530" s="677" t="s">
        <v>315</v>
      </c>
      <c r="C530" s="266"/>
      <c r="D530" s="1815" t="s">
        <v>1225</v>
      </c>
      <c r="E530" s="1815"/>
      <c r="F530" s="1815"/>
      <c r="G530" s="12"/>
    </row>
    <row r="531" spans="1:7">
      <c r="A531" s="266"/>
      <c r="B531" s="266"/>
      <c r="C531" s="266"/>
      <c r="D531" s="1815"/>
      <c r="E531" s="1815"/>
      <c r="F531" s="1815"/>
      <c r="G531" s="12"/>
    </row>
    <row r="532" spans="1:7">
      <c r="A532" s="266"/>
      <c r="B532" s="266"/>
      <c r="C532" s="266"/>
      <c r="D532" s="1815"/>
      <c r="E532" s="1815"/>
      <c r="F532" s="1815"/>
      <c r="G532" s="12"/>
    </row>
    <row r="533" spans="1:7">
      <c r="A533" s="266"/>
      <c r="B533" s="266"/>
      <c r="C533" s="266"/>
      <c r="D533" s="135"/>
      <c r="E533" s="135"/>
      <c r="F533" s="135"/>
    </row>
    <row r="534" spans="1:7" ht="13">
      <c r="A534" s="261"/>
      <c r="B534" s="677" t="s">
        <v>315</v>
      </c>
      <c r="C534" s="266"/>
      <c r="D534" s="1850" t="s">
        <v>1343</v>
      </c>
      <c r="E534" s="1850"/>
      <c r="F534" s="1850"/>
    </row>
    <row r="535" spans="1:7">
      <c r="A535" s="266"/>
      <c r="B535" s="266"/>
      <c r="C535" s="266"/>
      <c r="D535" s="1850"/>
      <c r="E535" s="1850"/>
      <c r="F535" s="1850"/>
    </row>
    <row r="536" spans="1:7">
      <c r="A536" s="266"/>
      <c r="B536" s="266"/>
      <c r="C536" s="266"/>
      <c r="D536" s="135"/>
      <c r="E536" s="135"/>
      <c r="F536" s="135"/>
    </row>
    <row r="537" spans="1:7" ht="13">
      <c r="A537" s="261"/>
      <c r="B537" s="677" t="s">
        <v>315</v>
      </c>
      <c r="C537" s="266"/>
      <c r="D537" s="1850" t="s">
        <v>1226</v>
      </c>
      <c r="E537" s="1850"/>
      <c r="F537" s="1850"/>
    </row>
    <row r="538" spans="1:7">
      <c r="A538" s="266"/>
      <c r="B538" s="266"/>
      <c r="C538" s="266"/>
      <c r="D538" s="1850"/>
      <c r="E538" s="1850"/>
      <c r="F538" s="1850"/>
    </row>
    <row r="539" spans="1:7">
      <c r="A539" s="266"/>
      <c r="B539" s="266"/>
      <c r="C539" s="266"/>
      <c r="D539" s="135"/>
      <c r="E539" s="135"/>
      <c r="F539" s="135"/>
    </row>
    <row r="540" spans="1:7" ht="13">
      <c r="A540" s="261"/>
      <c r="B540" s="677" t="s">
        <v>315</v>
      </c>
      <c r="C540" s="266"/>
      <c r="D540" s="1815" t="s">
        <v>1227</v>
      </c>
      <c r="E540" s="1815"/>
      <c r="F540" s="1815"/>
    </row>
    <row r="541" spans="1:7">
      <c r="A541" s="266"/>
      <c r="B541" s="266"/>
      <c r="C541" s="266"/>
      <c r="D541" s="1815"/>
      <c r="E541" s="1815"/>
      <c r="F541" s="1815"/>
      <c r="G541" s="57"/>
    </row>
    <row r="542" spans="1:7">
      <c r="A542" s="266"/>
      <c r="B542" s="266"/>
      <c r="C542" s="266"/>
      <c r="D542" s="135"/>
      <c r="E542" s="135"/>
      <c r="F542" s="135"/>
      <c r="G542" s="57"/>
    </row>
    <row r="543" spans="1:7" ht="13">
      <c r="A543" s="261"/>
      <c r="B543" s="677" t="s">
        <v>315</v>
      </c>
      <c r="C543" s="266"/>
      <c r="D543" s="1828" t="s">
        <v>1228</v>
      </c>
      <c r="E543" s="1828"/>
      <c r="F543" s="1828"/>
      <c r="G543" s="57"/>
    </row>
    <row r="544" spans="1:7" ht="13">
      <c r="A544" s="23"/>
      <c r="B544" s="673"/>
      <c r="C544" s="266"/>
      <c r="D544" s="1828" t="s">
        <v>879</v>
      </c>
      <c r="E544" s="1828"/>
      <c r="F544" s="1828"/>
      <c r="G544" s="57"/>
    </row>
    <row r="545" spans="1:7" ht="13">
      <c r="A545" s="23"/>
      <c r="B545" s="673"/>
      <c r="C545" s="266"/>
      <c r="D545" s="6"/>
      <c r="E545" s="1846" t="s">
        <v>1229</v>
      </c>
      <c r="F545" s="1846"/>
      <c r="G545" s="57"/>
    </row>
    <row r="546" spans="1:7" ht="13">
      <c r="A546" s="261"/>
      <c r="B546" s="261"/>
      <c r="C546" s="266"/>
      <c r="E546" s="135"/>
      <c r="F546" s="135"/>
      <c r="G546" s="57"/>
    </row>
    <row r="547" spans="1:7" ht="13">
      <c r="A547" s="261"/>
      <c r="B547" s="677" t="s">
        <v>315</v>
      </c>
      <c r="C547" s="266"/>
      <c r="D547" s="1890" t="s">
        <v>1230</v>
      </c>
      <c r="E547" s="1890"/>
      <c r="F547" s="1890"/>
      <c r="G547" s="57"/>
    </row>
    <row r="548" spans="1:7">
      <c r="C548" s="266"/>
      <c r="D548" s="1815" t="s">
        <v>1231</v>
      </c>
      <c r="E548" s="1815"/>
      <c r="F548" s="1815"/>
      <c r="G548" s="57"/>
    </row>
    <row r="549" spans="1:7">
      <c r="A549" s="266"/>
      <c r="B549" s="266"/>
      <c r="C549" s="266"/>
      <c r="D549" s="1815"/>
      <c r="E549" s="1815"/>
      <c r="F549" s="1815"/>
      <c r="G549" s="57"/>
    </row>
    <row r="550" spans="1:7">
      <c r="A550" s="266"/>
      <c r="B550" s="266"/>
      <c r="C550" s="266"/>
      <c r="D550" s="1815"/>
      <c r="E550" s="1815"/>
      <c r="F550" s="1815"/>
      <c r="G550" s="57"/>
    </row>
    <row r="551" spans="1:7">
      <c r="A551" s="266"/>
      <c r="B551" s="266"/>
      <c r="C551" s="266"/>
      <c r="D551" s="135"/>
      <c r="E551" s="135"/>
      <c r="F551" s="135"/>
      <c r="G551" s="57"/>
    </row>
    <row r="552" spans="1:7" ht="13">
      <c r="A552" s="261"/>
      <c r="B552" s="677" t="s">
        <v>315</v>
      </c>
      <c r="C552" s="266"/>
      <c r="D552" s="1815" t="s">
        <v>1232</v>
      </c>
      <c r="E552" s="1815"/>
      <c r="F552" s="1815"/>
      <c r="G552" s="57"/>
    </row>
    <row r="553" spans="1:7" ht="13">
      <c r="A553" s="261"/>
      <c r="B553" s="261"/>
      <c r="C553" s="266"/>
      <c r="D553" s="1815"/>
      <c r="E553" s="1815"/>
      <c r="F553" s="1815"/>
      <c r="G553" s="57"/>
    </row>
    <row r="554" spans="1:7" ht="13">
      <c r="A554" s="261"/>
      <c r="B554" s="261"/>
      <c r="C554" s="266"/>
      <c r="D554" s="1815"/>
      <c r="E554" s="1815"/>
      <c r="F554" s="1815"/>
      <c r="G554" s="57"/>
    </row>
    <row r="555" spans="1:7" ht="13">
      <c r="A555" s="261"/>
      <c r="B555" s="261"/>
      <c r="C555" s="266"/>
      <c r="D555" s="1815"/>
      <c r="E555" s="1815"/>
      <c r="F555" s="1815"/>
      <c r="G555" s="57"/>
    </row>
    <row r="556" spans="1:7" ht="13">
      <c r="A556" s="261"/>
      <c r="B556" s="261"/>
      <c r="C556" s="266"/>
      <c r="D556" s="135"/>
      <c r="E556" s="135"/>
      <c r="F556" s="135"/>
      <c r="G556" s="57"/>
    </row>
    <row r="557" spans="1:7" ht="13">
      <c r="A557" s="1835" t="s">
        <v>1165</v>
      </c>
      <c r="B557" s="1835"/>
      <c r="C557" s="1835"/>
      <c r="D557" s="1835"/>
      <c r="E557" s="1835"/>
      <c r="F557" s="1835"/>
      <c r="G557" s="1835"/>
    </row>
    <row r="558" spans="1:7">
      <c r="A558" s="266"/>
      <c r="B558" s="266"/>
      <c r="C558" s="266"/>
      <c r="E558" s="135"/>
      <c r="F558" s="135"/>
      <c r="G558" s="57"/>
    </row>
    <row r="559" spans="1:7" ht="12.75" customHeight="1">
      <c r="C559" s="255"/>
      <c r="D559" s="1864" t="s">
        <v>215</v>
      </c>
      <c r="E559" s="1864"/>
      <c r="F559" s="1864"/>
      <c r="G559" s="57"/>
    </row>
    <row r="560" spans="1:7" ht="13">
      <c r="A560" s="260"/>
      <c r="B560" s="260"/>
      <c r="C560" s="260"/>
      <c r="D560" s="1858" t="s">
        <v>1181</v>
      </c>
      <c r="E560" s="1858"/>
      <c r="F560" s="1858"/>
      <c r="G560" s="57"/>
    </row>
    <row r="561" spans="1:7" ht="13">
      <c r="A561" s="12"/>
      <c r="B561" s="12"/>
      <c r="C561" s="260"/>
      <c r="D561" s="377"/>
      <c r="G561" s="57"/>
    </row>
    <row r="562" spans="1:7" ht="13">
      <c r="A562" s="260"/>
      <c r="B562" s="677" t="s">
        <v>315</v>
      </c>
      <c r="D562" s="1858" t="s">
        <v>953</v>
      </c>
      <c r="E562" s="1858"/>
      <c r="F562" s="1858"/>
      <c r="G562" s="57"/>
    </row>
    <row r="563" spans="1:7" ht="13">
      <c r="A563" s="23"/>
      <c r="B563" s="673"/>
      <c r="D563" s="325"/>
    </row>
    <row r="564" spans="1:7" ht="13">
      <c r="A564" s="23"/>
      <c r="B564" s="677" t="s">
        <v>315</v>
      </c>
      <c r="D564" s="1834" t="s">
        <v>1182</v>
      </c>
      <c r="E564" s="1834"/>
      <c r="F564" s="1834"/>
    </row>
    <row r="565" spans="1:7" ht="13">
      <c r="A565" s="23"/>
      <c r="B565" s="673"/>
      <c r="D565" s="1834"/>
      <c r="E565" s="1834"/>
      <c r="F565" s="1834"/>
    </row>
    <row r="566" spans="1:7" ht="13">
      <c r="A566" s="23"/>
      <c r="B566" s="686"/>
      <c r="D566" s="1834"/>
      <c r="E566" s="1834"/>
      <c r="F566" s="1834"/>
    </row>
    <row r="567" spans="1:7" ht="13">
      <c r="A567" s="23"/>
      <c r="B567" s="673"/>
      <c r="D567" s="478"/>
    </row>
    <row r="568" spans="1:7" s="680" customFormat="1" ht="13">
      <c r="A568" s="686"/>
      <c r="B568" s="677" t="s">
        <v>315</v>
      </c>
      <c r="C568" s="687"/>
      <c r="D568" s="1834" t="s">
        <v>1183</v>
      </c>
      <c r="E568" s="1834"/>
      <c r="F568" s="1834"/>
      <c r="G568" s="7"/>
    </row>
    <row r="569" spans="1:7" s="680" customFormat="1" ht="13">
      <c r="A569" s="686"/>
      <c r="B569" s="686"/>
      <c r="C569" s="687"/>
      <c r="D569" s="1834"/>
      <c r="E569" s="1834"/>
      <c r="F569" s="1834"/>
      <c r="G569" s="7"/>
    </row>
    <row r="570" spans="1:7" s="680" customFormat="1" ht="13">
      <c r="A570" s="686"/>
      <c r="B570" s="686"/>
      <c r="C570" s="687"/>
      <c r="D570" s="1834"/>
      <c r="E570" s="1834"/>
      <c r="F570" s="1834"/>
      <c r="G570" s="7"/>
    </row>
    <row r="571" spans="1:7" s="680" customFormat="1" ht="13">
      <c r="A571" s="686"/>
      <c r="B571" s="686"/>
      <c r="C571" s="687"/>
      <c r="D571" s="1834"/>
      <c r="E571" s="1834"/>
      <c r="F571" s="1834"/>
      <c r="G571" s="7"/>
    </row>
    <row r="572" spans="1:7" s="680" customFormat="1" ht="13">
      <c r="A572" s="686"/>
      <c r="B572" s="686"/>
      <c r="C572" s="687"/>
      <c r="D572" s="692"/>
      <c r="E572" s="692"/>
      <c r="F572" s="692"/>
      <c r="G572" s="7"/>
    </row>
    <row r="573" spans="1:7" ht="13">
      <c r="A573" s="23"/>
      <c r="B573" s="677" t="s">
        <v>315</v>
      </c>
      <c r="D573" s="1834" t="s">
        <v>1184</v>
      </c>
      <c r="E573" s="1834"/>
      <c r="F573" s="1834"/>
    </row>
    <row r="574" spans="1:7" ht="13">
      <c r="A574" s="23"/>
      <c r="B574" s="673"/>
      <c r="D574" s="1834"/>
      <c r="E574" s="1834"/>
      <c r="F574" s="1834"/>
    </row>
    <row r="575" spans="1:7" ht="13">
      <c r="A575" s="23"/>
      <c r="B575" s="673"/>
      <c r="D575" s="377"/>
    </row>
    <row r="576" spans="1:7" s="680" customFormat="1" ht="13">
      <c r="A576" s="686"/>
      <c r="B576" s="677" t="s">
        <v>315</v>
      </c>
      <c r="C576" s="687"/>
      <c r="D576" s="1858" t="s">
        <v>1185</v>
      </c>
      <c r="E576" s="1858"/>
      <c r="F576" s="1858"/>
      <c r="G576" s="7"/>
    </row>
    <row r="577" spans="1:7" s="680" customFormat="1" ht="13">
      <c r="A577" s="686"/>
      <c r="B577" s="686"/>
      <c r="C577" s="687"/>
      <c r="D577" s="1858"/>
      <c r="E577" s="1858"/>
      <c r="F577" s="1858"/>
      <c r="G577" s="7"/>
    </row>
    <row r="578" spans="1:7" s="680" customFormat="1" ht="13">
      <c r="A578" s="686"/>
      <c r="B578" s="686"/>
      <c r="C578" s="687"/>
      <c r="D578" s="377"/>
      <c r="E578" s="7"/>
      <c r="F578" s="7"/>
      <c r="G578" s="7"/>
    </row>
    <row r="579" spans="1:7" ht="13">
      <c r="A579" s="261"/>
      <c r="B579" s="677" t="s">
        <v>315</v>
      </c>
      <c r="D579" s="1858" t="s">
        <v>948</v>
      </c>
      <c r="E579" s="1858"/>
      <c r="F579" s="1858"/>
    </row>
    <row r="580" spans="1:7" ht="13">
      <c r="A580" s="261"/>
      <c r="B580" s="261"/>
      <c r="D580" s="377"/>
    </row>
    <row r="581" spans="1:7" ht="13">
      <c r="A581" s="261"/>
      <c r="B581" s="677" t="s">
        <v>315</v>
      </c>
      <c r="D581" s="1858" t="s">
        <v>1186</v>
      </c>
      <c r="E581" s="1858"/>
      <c r="F581" s="1858"/>
    </row>
    <row r="582" spans="1:7" ht="13">
      <c r="A582" s="261"/>
      <c r="B582" s="261"/>
      <c r="D582" s="1858"/>
      <c r="E582" s="1858"/>
      <c r="F582" s="1858"/>
    </row>
    <row r="583" spans="1:7">
      <c r="D583" s="1858"/>
      <c r="E583" s="1858"/>
      <c r="F583" s="1858"/>
    </row>
    <row r="584" spans="1:7">
      <c r="D584" s="1858"/>
      <c r="E584" s="1858"/>
      <c r="F584" s="1858"/>
    </row>
    <row r="585" spans="1:7" s="680" customFormat="1">
      <c r="A585" s="687"/>
      <c r="B585" s="687"/>
      <c r="C585" s="687"/>
      <c r="D585" s="1858"/>
      <c r="E585" s="1858"/>
      <c r="F585" s="1858"/>
      <c r="G585" s="7"/>
    </row>
    <row r="586" spans="1:7" s="680" customFormat="1">
      <c r="A586" s="687"/>
      <c r="B586" s="687"/>
      <c r="C586" s="687"/>
      <c r="D586" s="1858"/>
      <c r="E586" s="1858"/>
      <c r="F586" s="1858"/>
      <c r="G586" s="7"/>
    </row>
    <row r="587" spans="1:7"/>
    <row r="588" spans="1:7" ht="13">
      <c r="A588" s="1835" t="s">
        <v>1166</v>
      </c>
      <c r="B588" s="1835"/>
      <c r="C588" s="1835"/>
      <c r="D588" s="1835"/>
      <c r="E588" s="1835"/>
      <c r="F588" s="1835"/>
      <c r="G588" s="1835"/>
    </row>
    <row r="589" spans="1:7"/>
    <row r="590" spans="1:7" ht="13">
      <c r="D590" s="1852" t="s">
        <v>1266</v>
      </c>
      <c r="E590" s="1852"/>
      <c r="F590" s="1852"/>
    </row>
    <row r="591" spans="1:7">
      <c r="D591" s="1891" t="s">
        <v>1267</v>
      </c>
      <c r="E591" s="1891"/>
      <c r="F591" s="1891"/>
    </row>
    <row r="592" spans="1:7" s="717" customFormat="1">
      <c r="A592" s="703"/>
      <c r="B592" s="703"/>
      <c r="C592" s="703"/>
      <c r="D592" s="721"/>
      <c r="E592" s="720"/>
      <c r="F592" s="720"/>
      <c r="G592" s="7"/>
    </row>
    <row r="593" spans="1:7" s="39" customFormat="1" ht="13">
      <c r="A593" s="403"/>
      <c r="B593" s="677" t="s">
        <v>315</v>
      </c>
      <c r="C593" s="273"/>
      <c r="D593" s="1854" t="s">
        <v>1268</v>
      </c>
      <c r="E593" s="1854"/>
      <c r="F593" s="1854"/>
      <c r="G593" s="130"/>
    </row>
    <row r="594" spans="1:7">
      <c r="D594" s="1854"/>
      <c r="E594" s="1854"/>
      <c r="F594" s="1854"/>
    </row>
    <row r="595" spans="1:7">
      <c r="D595" s="1854"/>
      <c r="E595" s="1854"/>
      <c r="F595" s="1854"/>
    </row>
    <row r="596" spans="1:7"/>
    <row r="597" spans="1:7" ht="13">
      <c r="A597" s="1835" t="s">
        <v>1167</v>
      </c>
      <c r="B597" s="1835"/>
      <c r="C597" s="1835"/>
      <c r="D597" s="1835"/>
      <c r="E597" s="1835"/>
      <c r="F597" s="1835"/>
      <c r="G597" s="1835"/>
    </row>
    <row r="598" spans="1:7">
      <c r="A598" s="135"/>
      <c r="B598" s="135"/>
      <c r="G598" s="57"/>
    </row>
    <row r="599" spans="1:7" ht="13">
      <c r="A599" s="257"/>
      <c r="B599" s="672"/>
      <c r="C599" s="255"/>
      <c r="D599" s="1892" t="s">
        <v>1269</v>
      </c>
      <c r="E599" s="1892"/>
      <c r="F599" s="1892"/>
      <c r="G599" s="57"/>
    </row>
    <row r="600" spans="1:7" ht="13">
      <c r="A600" s="257"/>
      <c r="B600" s="672"/>
      <c r="C600" s="255"/>
      <c r="D600" s="1892"/>
      <c r="E600" s="1892"/>
      <c r="F600" s="1892"/>
      <c r="G600" s="57"/>
    </row>
    <row r="601" spans="1:7" ht="13">
      <c r="C601" s="260"/>
      <c r="D601" s="1891" t="s">
        <v>1270</v>
      </c>
      <c r="E601" s="1891"/>
      <c r="F601" s="1891"/>
      <c r="G601" s="57"/>
    </row>
    <row r="602" spans="1:7" s="717" customFormat="1" ht="13">
      <c r="A602" s="703"/>
      <c r="B602" s="703"/>
      <c r="C602" s="718"/>
      <c r="D602" s="722"/>
      <c r="E602" s="722"/>
      <c r="F602" s="722"/>
      <c r="G602" s="57"/>
    </row>
    <row r="603" spans="1:7" ht="13">
      <c r="A603" s="23"/>
      <c r="B603" s="677" t="s">
        <v>315</v>
      </c>
      <c r="D603" s="1891" t="s">
        <v>452</v>
      </c>
      <c r="E603" s="1891"/>
      <c r="F603" s="1891"/>
      <c r="G603" s="57"/>
    </row>
    <row r="604" spans="1:7" ht="13">
      <c r="C604" s="268"/>
      <c r="E604" s="12"/>
      <c r="G604" s="57"/>
    </row>
    <row r="605" spans="1:7" ht="13">
      <c r="A605" s="23"/>
      <c r="B605" s="677" t="s">
        <v>315</v>
      </c>
      <c r="D605" s="1851" t="s">
        <v>1271</v>
      </c>
      <c r="E605" s="1851"/>
      <c r="F605" s="1851"/>
      <c r="G605" s="57"/>
    </row>
    <row r="606" spans="1:7">
      <c r="D606" s="1851"/>
      <c r="E606" s="1851"/>
      <c r="F606" s="1851"/>
      <c r="G606" s="57"/>
    </row>
    <row r="607" spans="1:7">
      <c r="D607" s="12"/>
      <c r="G607" s="57"/>
    </row>
    <row r="608" spans="1:7">
      <c r="B608" s="677" t="s">
        <v>315</v>
      </c>
      <c r="D608" s="1851" t="s">
        <v>1272</v>
      </c>
      <c r="E608" s="1851"/>
      <c r="F608" s="1851"/>
      <c r="G608" s="57"/>
    </row>
    <row r="609" spans="1:7" ht="13">
      <c r="C609" s="268"/>
      <c r="D609" s="1851"/>
      <c r="E609" s="1851"/>
      <c r="F609" s="1851"/>
      <c r="G609" s="57"/>
    </row>
    <row r="610" spans="1:7" ht="13">
      <c r="C610" s="268"/>
      <c r="G610" s="57"/>
    </row>
    <row r="611" spans="1:7" ht="13">
      <c r="B611" s="677" t="s">
        <v>315</v>
      </c>
      <c r="C611" s="268"/>
      <c r="D611" s="1851" t="s">
        <v>1273</v>
      </c>
      <c r="E611" s="1851"/>
      <c r="F611" s="1851"/>
      <c r="G611" s="57"/>
    </row>
    <row r="612" spans="1:7" ht="13">
      <c r="C612" s="268"/>
      <c r="D612" s="1851"/>
      <c r="E612" s="1851"/>
      <c r="F612" s="1851"/>
      <c r="G612" s="57"/>
    </row>
    <row r="613" spans="1:7" ht="13">
      <c r="C613" s="268"/>
      <c r="G613" s="57"/>
    </row>
    <row r="614" spans="1:7" ht="13">
      <c r="A614" s="1835" t="s">
        <v>1168</v>
      </c>
      <c r="B614" s="1835"/>
      <c r="C614" s="1835"/>
      <c r="D614" s="1835"/>
      <c r="E614" s="1835"/>
      <c r="F614" s="1835"/>
      <c r="G614" s="1835"/>
    </row>
    <row r="615" spans="1:7" ht="13">
      <c r="A615" s="267"/>
      <c r="B615" s="267"/>
      <c r="C615" s="267"/>
      <c r="G615" s="57"/>
    </row>
    <row r="616" spans="1:7" ht="13">
      <c r="C616" s="23"/>
      <c r="D616" s="1852" t="s">
        <v>1274</v>
      </c>
      <c r="E616" s="1852"/>
      <c r="F616" s="1852"/>
      <c r="G616" s="57"/>
    </row>
    <row r="617" spans="1:7" ht="13">
      <c r="A617" s="23"/>
      <c r="B617" s="673"/>
      <c r="C617" s="265"/>
      <c r="D617" s="50"/>
      <c r="G617" s="57"/>
    </row>
    <row r="618" spans="1:7" ht="13">
      <c r="A618" s="261"/>
      <c r="B618" s="677" t="s">
        <v>315</v>
      </c>
      <c r="C618" s="265"/>
      <c r="D618" s="1853" t="s">
        <v>1275</v>
      </c>
      <c r="E618" s="1853"/>
      <c r="F618" s="1853"/>
      <c r="G618" s="57"/>
    </row>
    <row r="619" spans="1:7">
      <c r="C619" s="265"/>
      <c r="D619" s="1853"/>
      <c r="E619" s="1853"/>
      <c r="F619" s="1853"/>
      <c r="G619" s="57"/>
    </row>
    <row r="620" spans="1:7">
      <c r="C620" s="265"/>
      <c r="D620" s="1853"/>
      <c r="E620" s="1853"/>
      <c r="F620" s="1853"/>
      <c r="G620" s="57"/>
    </row>
    <row r="621" spans="1:7">
      <c r="C621" s="265"/>
      <c r="D621" s="1853"/>
      <c r="E621" s="1853"/>
      <c r="F621" s="1853"/>
      <c r="G621" s="57"/>
    </row>
    <row r="622" spans="1:7">
      <c r="C622" s="265"/>
      <c r="D622" s="1853"/>
      <c r="E622" s="1853"/>
      <c r="F622" s="1853"/>
      <c r="G622" s="57"/>
    </row>
    <row r="623" spans="1:7">
      <c r="C623" s="265"/>
      <c r="D623" s="1853"/>
      <c r="E623" s="1853"/>
      <c r="F623" s="1853"/>
      <c r="G623" s="57"/>
    </row>
    <row r="624" spans="1:7" s="717" customFormat="1">
      <c r="A624" s="703"/>
      <c r="B624" s="703"/>
      <c r="C624" s="265"/>
      <c r="D624" s="723"/>
      <c r="E624" s="723"/>
      <c r="F624" s="723"/>
      <c r="G624" s="57"/>
    </row>
    <row r="625" spans="1:7" ht="13">
      <c r="A625" s="261"/>
      <c r="B625" s="677" t="s">
        <v>315</v>
      </c>
      <c r="C625" s="265"/>
      <c r="D625" s="1853" t="s">
        <v>1276</v>
      </c>
      <c r="E625" s="1853"/>
      <c r="F625" s="1853"/>
      <c r="G625" s="57"/>
    </row>
    <row r="626" spans="1:7">
      <c r="A626" s="266"/>
      <c r="B626" s="266"/>
      <c r="C626" s="266"/>
      <c r="D626" s="1853"/>
      <c r="E626" s="1853"/>
      <c r="F626" s="1853"/>
      <c r="G626" s="57"/>
    </row>
    <row r="627" spans="1:7">
      <c r="A627" s="266"/>
      <c r="B627" s="266"/>
      <c r="C627" s="266"/>
      <c r="D627" s="151"/>
      <c r="E627" s="147"/>
      <c r="F627" s="147"/>
      <c r="G627" s="57"/>
    </row>
    <row r="628" spans="1:7" ht="13">
      <c r="A628" s="261"/>
      <c r="B628" s="677" t="s">
        <v>315</v>
      </c>
      <c r="C628" s="266"/>
      <c r="D628" s="1854" t="s">
        <v>1277</v>
      </c>
      <c r="E628" s="1854"/>
      <c r="F628" s="1854"/>
      <c r="G628" s="57"/>
    </row>
    <row r="629" spans="1:7" ht="13">
      <c r="A629" s="261"/>
      <c r="B629" s="261"/>
      <c r="C629" s="266"/>
      <c r="D629" s="1854"/>
      <c r="E629" s="1854"/>
      <c r="F629" s="1854"/>
      <c r="G629" s="57"/>
    </row>
    <row r="630" spans="1:7" ht="13">
      <c r="A630" s="261"/>
      <c r="B630" s="261"/>
      <c r="C630" s="266"/>
      <c r="D630" s="1854"/>
      <c r="E630" s="1854"/>
      <c r="F630" s="1854"/>
      <c r="G630" s="57"/>
    </row>
    <row r="631" spans="1:7">
      <c r="A631" s="266"/>
      <c r="B631" s="266"/>
      <c r="C631" s="266"/>
      <c r="D631" s="1854"/>
      <c r="E631" s="1854"/>
      <c r="F631" s="1854"/>
      <c r="G631" s="57"/>
    </row>
    <row r="632" spans="1:7" s="717" customFormat="1">
      <c r="A632" s="266"/>
      <c r="B632" s="266"/>
      <c r="C632" s="266"/>
      <c r="D632" s="724"/>
      <c r="E632" s="724"/>
      <c r="F632" s="724"/>
      <c r="G632" s="57"/>
    </row>
    <row r="633" spans="1:7">
      <c r="A633" s="266"/>
      <c r="B633" s="677" t="s">
        <v>315</v>
      </c>
      <c r="C633" s="266"/>
      <c r="D633" s="1855" t="s">
        <v>1278</v>
      </c>
      <c r="E633" s="1855"/>
      <c r="F633" s="1855"/>
      <c r="G633" s="57"/>
    </row>
    <row r="634" spans="1:7">
      <c r="A634" s="266"/>
      <c r="B634" s="266"/>
      <c r="C634" s="266"/>
      <c r="D634" s="725"/>
      <c r="E634" s="725"/>
      <c r="F634" s="725"/>
      <c r="G634" s="57"/>
    </row>
    <row r="635" spans="1:7" ht="13">
      <c r="A635" s="1835" t="s">
        <v>1169</v>
      </c>
      <c r="B635" s="1835"/>
      <c r="C635" s="1835"/>
      <c r="D635" s="1835"/>
      <c r="E635" s="1835"/>
      <c r="F635" s="1835"/>
      <c r="G635" s="1835"/>
    </row>
    <row r="636" spans="1:7">
      <c r="A636" s="135"/>
      <c r="B636" s="135"/>
      <c r="C636" s="266"/>
      <c r="D636" s="147"/>
      <c r="E636" s="147"/>
      <c r="F636" s="147"/>
      <c r="G636" s="57"/>
    </row>
    <row r="637" spans="1:7" ht="13">
      <c r="C637" s="267"/>
      <c r="D637" s="1856" t="s">
        <v>1328</v>
      </c>
      <c r="E637" s="1856"/>
      <c r="F637" s="1856"/>
      <c r="G637" s="57"/>
    </row>
    <row r="638" spans="1:7" ht="13">
      <c r="A638" s="260"/>
      <c r="B638" s="260"/>
      <c r="C638" s="260"/>
      <c r="D638" s="1857" t="s">
        <v>1329</v>
      </c>
      <c r="E638" s="1857"/>
      <c r="F638" s="1857"/>
      <c r="G638" s="57"/>
    </row>
    <row r="639" spans="1:7" s="717" customFormat="1" ht="13">
      <c r="A639" s="718"/>
      <c r="B639" s="718"/>
      <c r="C639" s="718"/>
      <c r="D639" s="732"/>
      <c r="E639" s="732"/>
      <c r="F639" s="732"/>
      <c r="G639" s="57"/>
    </row>
    <row r="640" spans="1:7" ht="14.5" customHeight="1">
      <c r="A640" s="261"/>
      <c r="B640" s="677" t="s">
        <v>315</v>
      </c>
      <c r="C640" s="266"/>
      <c r="D640" s="1813" t="s">
        <v>1330</v>
      </c>
      <c r="E640" s="1813"/>
      <c r="F640" s="1813"/>
      <c r="G640" s="57"/>
    </row>
    <row r="641" spans="1:11" ht="13">
      <c r="A641" s="261"/>
      <c r="B641" s="261"/>
      <c r="C641" s="266"/>
      <c r="D641" s="1813"/>
      <c r="E641" s="1813"/>
      <c r="F641" s="1813"/>
      <c r="G641" s="57"/>
    </row>
    <row r="642" spans="1:11" ht="13">
      <c r="A642" s="261"/>
      <c r="B642" s="261"/>
      <c r="C642" s="266"/>
      <c r="D642" s="1813"/>
      <c r="E642" s="1813"/>
      <c r="F642" s="1813"/>
      <c r="G642" s="57"/>
    </row>
    <row r="643" spans="1:11" ht="13">
      <c r="A643" s="261"/>
      <c r="B643" s="261"/>
      <c r="C643" s="266"/>
      <c r="D643" s="1813"/>
      <c r="E643" s="1813"/>
      <c r="F643" s="1813"/>
      <c r="G643" s="57"/>
    </row>
    <row r="644" spans="1:11" s="680" customFormat="1" ht="13">
      <c r="A644" s="261"/>
      <c r="B644" s="261"/>
      <c r="C644" s="266"/>
      <c r="D644" s="1813"/>
      <c r="E644" s="1813"/>
      <c r="F644" s="1813"/>
      <c r="G644" s="57"/>
    </row>
    <row r="645" spans="1:11" s="717" customFormat="1" ht="13">
      <c r="A645" s="712"/>
      <c r="B645" s="712"/>
      <c r="C645" s="266"/>
      <c r="D645" s="734"/>
      <c r="E645" s="734"/>
      <c r="F645" s="734"/>
      <c r="G645" s="57"/>
    </row>
    <row r="646" spans="1:11" s="680" customFormat="1" ht="13">
      <c r="A646" s="261"/>
      <c r="B646" s="677" t="s">
        <v>315</v>
      </c>
      <c r="C646" s="266"/>
      <c r="D646" s="1874" t="s">
        <v>1180</v>
      </c>
      <c r="E646" s="1874"/>
      <c r="F646" s="1874"/>
      <c r="G646" s="57"/>
    </row>
    <row r="647" spans="1:11" s="680" customFormat="1" ht="13">
      <c r="A647" s="261"/>
      <c r="B647" s="261"/>
      <c r="C647" s="266"/>
      <c r="D647" s="1875" t="s">
        <v>1331</v>
      </c>
      <c r="E647" s="1875"/>
      <c r="F647" s="1875"/>
      <c r="G647" s="57"/>
    </row>
    <row r="648" spans="1:11" s="680" customFormat="1" ht="13">
      <c r="A648" s="261"/>
      <c r="B648" s="261"/>
      <c r="C648" s="266"/>
      <c r="D648" s="1875"/>
      <c r="E648" s="1875"/>
      <c r="F648" s="1875"/>
      <c r="G648" s="57"/>
    </row>
    <row r="649" spans="1:11" s="680" customFormat="1" ht="13">
      <c r="A649" s="261"/>
      <c r="B649" s="261"/>
      <c r="C649" s="266"/>
      <c r="D649" s="1875"/>
      <c r="E649" s="1875"/>
      <c r="F649" s="1875"/>
      <c r="G649" s="57"/>
    </row>
    <row r="650" spans="1:11" s="680" customFormat="1" ht="13">
      <c r="A650" s="261"/>
      <c r="B650" s="261"/>
      <c r="C650" s="266"/>
      <c r="D650" s="1875"/>
      <c r="E650" s="1875"/>
      <c r="F650" s="1875"/>
      <c r="G650" s="57"/>
    </row>
    <row r="651" spans="1:11" s="680" customFormat="1" ht="13">
      <c r="A651" s="261"/>
      <c r="B651" s="261"/>
      <c r="C651" s="266"/>
      <c r="D651" s="1875"/>
      <c r="E651" s="1875"/>
      <c r="F651" s="1875"/>
      <c r="G651" s="57"/>
    </row>
    <row r="652" spans="1:11" s="680" customFormat="1" ht="13">
      <c r="A652" s="261"/>
      <c r="B652" s="261"/>
      <c r="C652" s="266"/>
      <c r="D652" s="1876" t="s">
        <v>1332</v>
      </c>
      <c r="E652" s="1876"/>
      <c r="F652" s="1876"/>
      <c r="G652" s="57"/>
    </row>
    <row r="653" spans="1:11">
      <c r="A653" s="266"/>
      <c r="B653" s="266"/>
      <c r="C653" s="266"/>
      <c r="D653" s="147"/>
      <c r="E653" s="147"/>
      <c r="F653" s="147"/>
      <c r="G653" s="57"/>
    </row>
    <row r="654" spans="1:11" ht="13">
      <c r="A654" s="1835" t="s">
        <v>1170</v>
      </c>
      <c r="B654" s="1835"/>
      <c r="C654" s="1835"/>
      <c r="D654" s="1835"/>
      <c r="E654" s="1835"/>
      <c r="F654" s="1835"/>
      <c r="G654" s="1835"/>
      <c r="H654" s="269"/>
      <c r="I654" s="269"/>
      <c r="J654" s="269"/>
      <c r="K654" s="269"/>
    </row>
    <row r="655" spans="1:11" s="717" customFormat="1" ht="13">
      <c r="A655" s="733"/>
      <c r="B655" s="733"/>
      <c r="C655" s="733"/>
      <c r="D655" s="733"/>
      <c r="E655" s="733"/>
      <c r="F655" s="733"/>
      <c r="G655" s="733"/>
      <c r="H655" s="269"/>
      <c r="I655" s="269"/>
      <c r="J655" s="269"/>
      <c r="K655" s="269"/>
    </row>
    <row r="656" spans="1:11" ht="13">
      <c r="C656" s="267"/>
      <c r="D656" s="1838" t="s">
        <v>104</v>
      </c>
      <c r="E656" s="1838"/>
      <c r="F656" s="1838"/>
      <c r="G656" s="57"/>
      <c r="H656" s="269"/>
      <c r="I656" s="269"/>
      <c r="J656" s="269"/>
      <c r="K656" s="269"/>
    </row>
    <row r="657" spans="1:11" ht="13">
      <c r="A657" s="267"/>
      <c r="B657" s="267"/>
      <c r="C657" s="267"/>
      <c r="D657" s="1838" t="s">
        <v>128</v>
      </c>
      <c r="E657" s="1838"/>
      <c r="F657" s="1838"/>
      <c r="G657" s="57"/>
      <c r="H657" s="269"/>
      <c r="I657" s="269"/>
      <c r="J657" s="269"/>
      <c r="K657" s="269"/>
    </row>
    <row r="658" spans="1:11" ht="13">
      <c r="A658" s="260"/>
      <c r="B658" s="260"/>
      <c r="C658" s="260"/>
      <c r="D658" s="1828" t="s">
        <v>1206</v>
      </c>
      <c r="E658" s="1828"/>
      <c r="F658" s="1828"/>
      <c r="G658" s="57"/>
      <c r="H658" s="269"/>
      <c r="I658" s="269"/>
      <c r="J658" s="269"/>
      <c r="K658" s="269"/>
    </row>
    <row r="659" spans="1:11" ht="13">
      <c r="A659" s="260"/>
      <c r="B659" s="260"/>
      <c r="C659" s="260"/>
      <c r="G659" s="57"/>
      <c r="H659" s="269"/>
      <c r="I659" s="269"/>
      <c r="J659" s="269"/>
      <c r="K659" s="269"/>
    </row>
    <row r="660" spans="1:11" ht="13">
      <c r="A660" s="261"/>
      <c r="B660" s="677" t="s">
        <v>315</v>
      </c>
      <c r="C660" s="260"/>
      <c r="D660" s="1828" t="s">
        <v>949</v>
      </c>
      <c r="E660" s="1828"/>
      <c r="F660" s="1828"/>
      <c r="G660" s="57"/>
      <c r="H660" s="269"/>
      <c r="I660" s="269"/>
      <c r="J660" s="269"/>
      <c r="K660" s="269"/>
    </row>
    <row r="661" spans="1:11" ht="13">
      <c r="A661" s="260"/>
      <c r="B661" s="260"/>
      <c r="C661" s="260"/>
      <c r="D661" s="1828" t="s">
        <v>960</v>
      </c>
      <c r="E661" s="1828"/>
      <c r="F661" s="1828"/>
      <c r="G661" s="57"/>
      <c r="H661" s="269"/>
      <c r="I661" s="269"/>
      <c r="J661" s="269"/>
      <c r="K661" s="269"/>
    </row>
    <row r="662" spans="1:11" ht="13">
      <c r="A662" s="260"/>
      <c r="B662" s="260"/>
      <c r="C662" s="260"/>
      <c r="D662" s="6"/>
      <c r="E662" s="1824" t="s">
        <v>1207</v>
      </c>
      <c r="F662" s="1824"/>
      <c r="G662" s="57"/>
      <c r="H662" s="269"/>
      <c r="I662" s="269"/>
      <c r="J662" s="269"/>
      <c r="K662" s="269"/>
    </row>
    <row r="663" spans="1:11" ht="13">
      <c r="A663" s="260"/>
      <c r="B663" s="260"/>
      <c r="C663" s="260"/>
      <c r="D663" s="6"/>
      <c r="E663" s="1824"/>
      <c r="F663" s="1824"/>
      <c r="G663" s="57"/>
      <c r="H663" s="269"/>
      <c r="I663" s="269"/>
      <c r="J663" s="269"/>
      <c r="K663" s="269"/>
    </row>
    <row r="664" spans="1:11" ht="13">
      <c r="A664" s="260"/>
      <c r="B664" s="260"/>
      <c r="C664" s="260"/>
      <c r="D664" s="270"/>
      <c r="E664" s="135"/>
      <c r="G664" s="57"/>
      <c r="H664" s="269"/>
      <c r="I664" s="269"/>
      <c r="J664" s="269"/>
      <c r="K664" s="269"/>
    </row>
    <row r="665" spans="1:11" ht="13">
      <c r="A665" s="261"/>
      <c r="B665" s="677" t="s">
        <v>315</v>
      </c>
      <c r="C665" s="260"/>
      <c r="D665" s="1815" t="s">
        <v>1208</v>
      </c>
      <c r="E665" s="1815"/>
      <c r="F665" s="1815"/>
      <c r="G665" s="57"/>
      <c r="H665" s="269"/>
      <c r="I665" s="269"/>
      <c r="J665" s="269"/>
      <c r="K665" s="269"/>
    </row>
    <row r="666" spans="1:11" ht="13">
      <c r="A666" s="23"/>
      <c r="B666" s="673"/>
      <c r="C666" s="260"/>
      <c r="D666" s="1815"/>
      <c r="E666" s="1815"/>
      <c r="F666" s="1815"/>
      <c r="G666" s="57"/>
      <c r="H666" s="269"/>
      <c r="I666" s="269"/>
      <c r="J666" s="269"/>
      <c r="K666" s="269"/>
    </row>
    <row r="667" spans="1:11" ht="13">
      <c r="A667" s="260"/>
      <c r="B667" s="260"/>
      <c r="C667" s="260"/>
      <c r="D667" s="1815"/>
      <c r="E667" s="1815"/>
      <c r="F667" s="1815"/>
      <c r="G667" s="57"/>
      <c r="H667" s="269"/>
      <c r="I667" s="269"/>
      <c r="J667" s="269"/>
      <c r="K667" s="269"/>
    </row>
    <row r="668" spans="1:11" ht="13">
      <c r="A668" s="260"/>
      <c r="B668" s="260"/>
      <c r="C668" s="260"/>
      <c r="G668" s="57"/>
      <c r="H668" s="269"/>
      <c r="I668" s="269"/>
      <c r="J668" s="269"/>
      <c r="K668" s="269"/>
    </row>
    <row r="669" spans="1:11" ht="13">
      <c r="A669" s="261"/>
      <c r="B669" s="677" t="s">
        <v>315</v>
      </c>
      <c r="C669" s="260"/>
      <c r="D669" s="1828" t="s">
        <v>989</v>
      </c>
      <c r="E669" s="1828"/>
      <c r="F669" s="1828"/>
      <c r="G669" s="57"/>
      <c r="H669" s="269"/>
      <c r="I669" s="269"/>
      <c r="J669" s="269"/>
      <c r="K669" s="269"/>
    </row>
    <row r="670" spans="1:11" ht="13">
      <c r="A670" s="261"/>
      <c r="B670" s="261"/>
      <c r="C670" s="260"/>
      <c r="D670" s="1828" t="s">
        <v>960</v>
      </c>
      <c r="E670" s="1828"/>
      <c r="F670" s="1828"/>
      <c r="G670" s="57"/>
      <c r="H670" s="269"/>
      <c r="I670" s="269"/>
      <c r="J670" s="269"/>
      <c r="K670" s="269"/>
    </row>
    <row r="671" spans="1:11" ht="13">
      <c r="A671" s="260"/>
      <c r="B671" s="260"/>
      <c r="C671" s="260"/>
      <c r="D671" s="6"/>
      <c r="E671" s="1846" t="s">
        <v>1209</v>
      </c>
      <c r="F671" s="1846"/>
      <c r="G671" s="57"/>
      <c r="H671" s="269"/>
      <c r="I671" s="269"/>
      <c r="J671" s="269"/>
      <c r="K671" s="269"/>
    </row>
    <row r="672" spans="1:11" ht="13">
      <c r="A672" s="260"/>
      <c r="B672" s="260"/>
      <c r="C672" s="260"/>
      <c r="D672" s="50"/>
      <c r="G672" s="57"/>
      <c r="H672" s="269"/>
      <c r="I672" s="269"/>
      <c r="J672" s="269"/>
      <c r="K672" s="269"/>
    </row>
    <row r="673" spans="1:11" ht="13">
      <c r="A673" s="261"/>
      <c r="B673" s="677" t="s">
        <v>315</v>
      </c>
      <c r="C673" s="260"/>
      <c r="D673" s="1850" t="s">
        <v>1219</v>
      </c>
      <c r="E673" s="1850"/>
      <c r="F673" s="1850"/>
      <c r="G673" s="57"/>
      <c r="H673" s="269"/>
      <c r="I673" s="269"/>
      <c r="J673" s="269"/>
      <c r="K673" s="269"/>
    </row>
    <row r="674" spans="1:11" ht="13">
      <c r="A674" s="260"/>
      <c r="B674" s="260"/>
      <c r="C674" s="260"/>
      <c r="D674" s="1850"/>
      <c r="E674" s="1850"/>
      <c r="F674" s="1850"/>
      <c r="G674" s="57"/>
      <c r="H674" s="269"/>
      <c r="I674" s="269"/>
      <c r="J674" s="269"/>
      <c r="K674" s="269"/>
    </row>
    <row r="675" spans="1:11" ht="13">
      <c r="A675" s="260"/>
      <c r="B675" s="260"/>
      <c r="C675" s="260"/>
      <c r="D675" s="1850"/>
      <c r="E675" s="1850"/>
      <c r="F675" s="1850"/>
      <c r="G675" s="57"/>
      <c r="H675" s="269"/>
      <c r="I675" s="269"/>
      <c r="J675" s="269"/>
      <c r="K675" s="269"/>
    </row>
    <row r="676" spans="1:11" ht="13">
      <c r="A676" s="260"/>
      <c r="B676" s="260"/>
      <c r="C676" s="260"/>
      <c r="D676" s="1850"/>
      <c r="E676" s="1850"/>
      <c r="F676" s="1850"/>
      <c r="G676" s="57"/>
      <c r="H676" s="269"/>
      <c r="I676" s="269"/>
      <c r="J676" s="269"/>
      <c r="K676" s="269"/>
    </row>
    <row r="677" spans="1:11" ht="13">
      <c r="A677" s="260"/>
      <c r="B677" s="260"/>
      <c r="C677" s="260"/>
      <c r="D677" s="1850"/>
      <c r="E677" s="1850"/>
      <c r="F677" s="1850"/>
      <c r="G677" s="57"/>
      <c r="H677" s="269"/>
      <c r="I677" s="269"/>
      <c r="J677" s="269"/>
      <c r="K677" s="269"/>
    </row>
    <row r="678" spans="1:11" s="39" customFormat="1" ht="13">
      <c r="A678" s="487"/>
      <c r="B678" s="487"/>
      <c r="C678" s="487"/>
      <c r="D678" s="1850"/>
      <c r="E678" s="1850"/>
      <c r="F678" s="1850"/>
      <c r="G678" s="60"/>
      <c r="H678" s="272"/>
      <c r="I678" s="272"/>
      <c r="J678" s="272"/>
      <c r="K678" s="272"/>
    </row>
    <row r="679" spans="1:11" s="39" customFormat="1" ht="13">
      <c r="A679" s="487"/>
      <c r="B679" s="487"/>
      <c r="C679" s="487"/>
      <c r="D679" s="699"/>
      <c r="E679" s="699"/>
      <c r="F679" s="699"/>
      <c r="G679" s="60"/>
      <c r="H679" s="272"/>
      <c r="I679" s="272"/>
      <c r="J679" s="272"/>
      <c r="K679" s="272"/>
    </row>
    <row r="680" spans="1:11" ht="13">
      <c r="A680" s="261"/>
      <c r="B680" s="677" t="s">
        <v>315</v>
      </c>
      <c r="C680" s="260"/>
      <c r="D680" s="1850" t="s">
        <v>1210</v>
      </c>
      <c r="E680" s="1850"/>
      <c r="F680" s="1850"/>
      <c r="G680" s="57"/>
      <c r="H680" s="269"/>
      <c r="I680" s="269"/>
      <c r="J680" s="269"/>
      <c r="K680" s="269"/>
    </row>
    <row r="681" spans="1:11" ht="13">
      <c r="A681" s="260"/>
      <c r="B681" s="260"/>
      <c r="C681" s="260"/>
      <c r="D681" s="1850"/>
      <c r="E681" s="1850"/>
      <c r="F681" s="1850"/>
      <c r="G681" s="57"/>
      <c r="H681" s="269"/>
      <c r="I681" s="269"/>
      <c r="J681" s="269"/>
      <c r="K681" s="269"/>
    </row>
    <row r="682" spans="1:11" ht="13">
      <c r="A682" s="260"/>
      <c r="B682" s="260"/>
      <c r="C682" s="260"/>
      <c r="D682" s="1850"/>
      <c r="E682" s="1850"/>
      <c r="F682" s="1850"/>
      <c r="G682" s="57"/>
      <c r="H682" s="269"/>
      <c r="I682" s="269"/>
      <c r="J682" s="269"/>
      <c r="K682" s="269"/>
    </row>
    <row r="683" spans="1:11" ht="15" customHeight="1">
      <c r="A683" s="260"/>
      <c r="B683" s="260"/>
      <c r="C683" s="260"/>
      <c r="D683" s="1850"/>
      <c r="E683" s="1850"/>
      <c r="F683" s="1850"/>
      <c r="G683" s="57"/>
      <c r="H683" s="269"/>
      <c r="I683" s="269"/>
      <c r="J683" s="269"/>
      <c r="K683" s="269"/>
    </row>
    <row r="684" spans="1:11" ht="15" customHeight="1">
      <c r="A684" s="260"/>
      <c r="B684" s="260"/>
      <c r="C684" s="260"/>
      <c r="D684" s="1850"/>
      <c r="E684" s="1850"/>
      <c r="F684" s="1850"/>
      <c r="G684" s="57"/>
      <c r="H684" s="269"/>
      <c r="I684" s="269"/>
      <c r="J684" s="269"/>
      <c r="K684" s="269"/>
    </row>
    <row r="685" spans="1:11" ht="13">
      <c r="A685" s="260"/>
      <c r="B685" s="260"/>
      <c r="C685" s="260"/>
      <c r="D685" s="1850"/>
      <c r="E685" s="1850"/>
      <c r="F685" s="1850"/>
      <c r="G685" s="57"/>
      <c r="H685" s="269"/>
      <c r="I685" s="269"/>
      <c r="J685" s="269"/>
      <c r="K685" s="269"/>
    </row>
    <row r="686" spans="1:11" ht="13">
      <c r="A686" s="260"/>
      <c r="B686" s="260"/>
      <c r="C686" s="260"/>
      <c r="D686" s="1850"/>
      <c r="E686" s="1850"/>
      <c r="F686" s="1850"/>
      <c r="G686" s="57"/>
      <c r="H686" s="269"/>
      <c r="I686" s="269"/>
      <c r="J686" s="269"/>
      <c r="K686" s="269"/>
    </row>
    <row r="687" spans="1:11" ht="13">
      <c r="A687" s="260"/>
      <c r="B687" s="260"/>
      <c r="C687" s="260"/>
      <c r="D687" s="1850"/>
      <c r="E687" s="1850"/>
      <c r="F687" s="1850"/>
      <c r="G687" s="57"/>
      <c r="H687" s="269"/>
      <c r="I687" s="269"/>
      <c r="J687" s="269"/>
      <c r="K687" s="269"/>
    </row>
    <row r="688" spans="1:11" ht="15" customHeight="1">
      <c r="A688" s="260"/>
      <c r="B688" s="260"/>
      <c r="C688" s="260"/>
      <c r="D688" s="1850"/>
      <c r="E688" s="1850"/>
      <c r="F688" s="1850"/>
      <c r="G688" s="57"/>
      <c r="H688" s="269"/>
      <c r="I688" s="269"/>
      <c r="J688" s="269"/>
      <c r="K688" s="269"/>
    </row>
    <row r="689" spans="1:11" ht="13">
      <c r="A689" s="260"/>
      <c r="B689" s="260"/>
      <c r="C689" s="260"/>
      <c r="D689" s="1850"/>
      <c r="E689" s="1850"/>
      <c r="F689" s="1850"/>
      <c r="G689" s="57"/>
      <c r="H689" s="269"/>
      <c r="I689" s="269"/>
      <c r="J689" s="269"/>
      <c r="K689" s="269"/>
    </row>
    <row r="690" spans="1:11" ht="13">
      <c r="A690" s="260"/>
      <c r="B690" s="260"/>
      <c r="C690" s="260"/>
      <c r="D690" s="1850"/>
      <c r="E690" s="1850"/>
      <c r="F690" s="1850"/>
      <c r="G690" s="57"/>
      <c r="H690" s="269"/>
      <c r="I690" s="269"/>
      <c r="J690" s="269"/>
      <c r="K690" s="269"/>
    </row>
    <row r="691" spans="1:11" ht="13">
      <c r="A691" s="260"/>
      <c r="B691" s="260"/>
      <c r="C691" s="260"/>
      <c r="D691" s="1850"/>
      <c r="E691" s="1850"/>
      <c r="F691" s="1850"/>
      <c r="G691" s="57"/>
      <c r="H691" s="269"/>
      <c r="I691" s="269"/>
      <c r="J691" s="269"/>
      <c r="K691" s="269"/>
    </row>
    <row r="692" spans="1:11" s="680" customFormat="1" ht="13">
      <c r="A692" s="260"/>
      <c r="B692" s="260"/>
      <c r="C692" s="260"/>
      <c r="D692" s="699"/>
      <c r="E692" s="699"/>
      <c r="F692" s="699"/>
      <c r="G692" s="57"/>
      <c r="H692" s="269"/>
      <c r="I692" s="269"/>
      <c r="J692" s="269"/>
      <c r="K692" s="269"/>
    </row>
    <row r="693" spans="1:11" ht="13">
      <c r="A693" s="261"/>
      <c r="B693" s="677" t="s">
        <v>315</v>
      </c>
      <c r="C693" s="260"/>
      <c r="D693" s="1850" t="s">
        <v>1220</v>
      </c>
      <c r="E693" s="1850"/>
      <c r="F693" s="1850"/>
      <c r="G693" s="57"/>
      <c r="H693" s="269"/>
      <c r="I693" s="269"/>
      <c r="J693" s="269"/>
      <c r="K693" s="269"/>
    </row>
    <row r="694" spans="1:11" ht="13">
      <c r="A694" s="260"/>
      <c r="B694" s="260"/>
      <c r="C694" s="260"/>
      <c r="D694" s="1850"/>
      <c r="E694" s="1850"/>
      <c r="F694" s="1850"/>
      <c r="G694" s="57"/>
      <c r="H694" s="269"/>
      <c r="I694" s="269"/>
      <c r="J694" s="269"/>
      <c r="K694" s="269"/>
    </row>
    <row r="695" spans="1:11" ht="13">
      <c r="A695" s="260"/>
      <c r="B695" s="260"/>
      <c r="C695" s="260"/>
      <c r="D695" s="1850"/>
      <c r="E695" s="1850"/>
      <c r="F695" s="1850"/>
      <c r="G695" s="57"/>
      <c r="H695" s="269"/>
      <c r="I695" s="269"/>
      <c r="J695" s="269"/>
      <c r="K695" s="269"/>
    </row>
    <row r="696" spans="1:11" s="680" customFormat="1" ht="13">
      <c r="A696" s="260"/>
      <c r="B696" s="260"/>
      <c r="C696" s="260"/>
      <c r="D696" s="699"/>
      <c r="E696" s="699"/>
      <c r="F696" s="699"/>
      <c r="G696" s="57"/>
      <c r="H696" s="269"/>
      <c r="I696" s="269"/>
      <c r="J696" s="269"/>
      <c r="K696" s="269"/>
    </row>
    <row r="697" spans="1:11" s="680" customFormat="1" ht="13">
      <c r="A697" s="260"/>
      <c r="B697" s="677" t="s">
        <v>315</v>
      </c>
      <c r="C697" s="260"/>
      <c r="D697" s="1850" t="s">
        <v>1217</v>
      </c>
      <c r="E697" s="1850"/>
      <c r="F697" s="1850"/>
      <c r="G697" s="57"/>
      <c r="H697" s="269"/>
      <c r="I697" s="269"/>
      <c r="J697" s="269"/>
      <c r="K697" s="269"/>
    </row>
    <row r="698" spans="1:11" s="680" customFormat="1" ht="13">
      <c r="A698" s="260"/>
      <c r="B698" s="260"/>
      <c r="C698" s="260"/>
      <c r="D698" s="1850"/>
      <c r="E698" s="1850"/>
      <c r="F698" s="1850"/>
      <c r="G698" s="57"/>
      <c r="H698" s="269"/>
      <c r="I698" s="269"/>
      <c r="J698" s="269"/>
      <c r="K698" s="269"/>
    </row>
    <row r="699" spans="1:11" s="680" customFormat="1" ht="13">
      <c r="A699" s="260"/>
      <c r="B699" s="260"/>
      <c r="C699" s="260"/>
      <c r="D699" s="699"/>
      <c r="E699" s="699"/>
      <c r="F699" s="699"/>
      <c r="G699" s="57"/>
      <c r="H699" s="269"/>
      <c r="I699" s="269"/>
      <c r="J699" s="269"/>
      <c r="K699" s="269"/>
    </row>
    <row r="700" spans="1:11" s="680" customFormat="1" ht="13">
      <c r="A700" s="260"/>
      <c r="B700" s="677" t="s">
        <v>315</v>
      </c>
      <c r="C700" s="260"/>
      <c r="D700" s="1850" t="s">
        <v>1218</v>
      </c>
      <c r="E700" s="1850"/>
      <c r="F700" s="1850"/>
      <c r="G700" s="57"/>
      <c r="H700" s="269"/>
      <c r="I700" s="269"/>
      <c r="J700" s="269"/>
      <c r="K700" s="269"/>
    </row>
    <row r="701" spans="1:11" s="680" customFormat="1" ht="13">
      <c r="A701" s="260"/>
      <c r="B701" s="260"/>
      <c r="C701" s="260"/>
      <c r="D701" s="1850"/>
      <c r="E701" s="1850"/>
      <c r="F701" s="1850"/>
      <c r="G701" s="57"/>
      <c r="H701" s="269"/>
      <c r="I701" s="269"/>
      <c r="J701" s="269"/>
      <c r="K701" s="269"/>
    </row>
    <row r="702" spans="1:11" s="680" customFormat="1" ht="13">
      <c r="A702" s="260"/>
      <c r="B702" s="260"/>
      <c r="C702" s="260"/>
      <c r="D702" s="1850"/>
      <c r="E702" s="1850"/>
      <c r="F702" s="1850"/>
      <c r="G702" s="57"/>
      <c r="H702" s="269"/>
      <c r="I702" s="269"/>
      <c r="J702" s="269"/>
      <c r="K702" s="269"/>
    </row>
    <row r="703" spans="1:11" s="680" customFormat="1" ht="13">
      <c r="A703" s="260"/>
      <c r="B703" s="260"/>
      <c r="C703" s="260"/>
      <c r="D703" s="699"/>
      <c r="E703" s="699"/>
      <c r="F703" s="699"/>
      <c r="G703" s="57"/>
      <c r="H703" s="269"/>
      <c r="I703" s="269"/>
      <c r="J703" s="269"/>
      <c r="K703" s="269"/>
    </row>
    <row r="704" spans="1:11" ht="13">
      <c r="A704" s="260"/>
      <c r="B704" s="677" t="s">
        <v>315</v>
      </c>
      <c r="C704" s="260"/>
      <c r="D704" s="1850" t="s">
        <v>1211</v>
      </c>
      <c r="E704" s="1850"/>
      <c r="F704" s="1850"/>
      <c r="G704" s="57"/>
      <c r="H704" s="269"/>
      <c r="I704" s="269"/>
      <c r="J704" s="269"/>
      <c r="K704" s="269"/>
    </row>
    <row r="705" spans="1:11" ht="13">
      <c r="A705" s="260"/>
      <c r="B705" s="260"/>
      <c r="C705" s="260"/>
      <c r="D705" s="1850"/>
      <c r="E705" s="1850"/>
      <c r="F705" s="1850"/>
      <c r="G705" s="57"/>
      <c r="H705" s="269"/>
      <c r="I705" s="269"/>
      <c r="J705" s="269"/>
      <c r="K705" s="269"/>
    </row>
    <row r="706" spans="1:11" ht="13">
      <c r="A706" s="260"/>
      <c r="B706" s="260"/>
      <c r="C706" s="260"/>
      <c r="D706" s="1850"/>
      <c r="E706" s="1850"/>
      <c r="F706" s="1850"/>
      <c r="G706" s="57"/>
      <c r="H706" s="269"/>
      <c r="I706" s="269"/>
      <c r="J706" s="269"/>
      <c r="K706" s="269"/>
    </row>
    <row r="707" spans="1:11" ht="13">
      <c r="A707" s="260"/>
      <c r="B707" s="260"/>
      <c r="C707" s="260"/>
      <c r="D707" s="130"/>
      <c r="G707" s="57"/>
      <c r="H707" s="269"/>
      <c r="I707" s="269"/>
      <c r="J707" s="269"/>
      <c r="K707" s="269"/>
    </row>
    <row r="708" spans="1:11" ht="13">
      <c r="A708" s="260"/>
      <c r="B708" s="677" t="s">
        <v>315</v>
      </c>
      <c r="C708" s="260"/>
      <c r="D708" s="1850" t="s">
        <v>1212</v>
      </c>
      <c r="E708" s="1850"/>
      <c r="F708" s="1850"/>
      <c r="G708" s="57"/>
      <c r="H708" s="269"/>
      <c r="I708" s="269"/>
      <c r="J708" s="269"/>
      <c r="K708" s="269"/>
    </row>
    <row r="709" spans="1:11" ht="13">
      <c r="A709" s="260"/>
      <c r="B709" s="260"/>
      <c r="C709" s="260"/>
      <c r="D709" s="1850"/>
      <c r="E709" s="1850"/>
      <c r="F709" s="1850"/>
      <c r="G709" s="57"/>
      <c r="H709" s="269"/>
      <c r="I709" s="269"/>
      <c r="J709" s="269"/>
      <c r="K709" s="269"/>
    </row>
    <row r="710" spans="1:11" ht="13">
      <c r="A710" s="260"/>
      <c r="B710" s="260"/>
      <c r="C710" s="260"/>
      <c r="D710" s="1850"/>
      <c r="E710" s="1850"/>
      <c r="F710" s="1850"/>
      <c r="G710" s="57"/>
      <c r="H710" s="269"/>
      <c r="I710" s="269"/>
      <c r="J710" s="269"/>
      <c r="K710" s="269"/>
    </row>
    <row r="711" spans="1:11" ht="13">
      <c r="A711" s="260"/>
      <c r="B711" s="260"/>
      <c r="C711" s="260"/>
      <c r="D711" s="12"/>
      <c r="G711" s="57"/>
      <c r="H711" s="269"/>
      <c r="I711" s="269"/>
      <c r="J711" s="269"/>
      <c r="K711" s="269"/>
    </row>
    <row r="712" spans="1:11" ht="13">
      <c r="A712" s="261"/>
      <c r="B712" s="677" t="s">
        <v>315</v>
      </c>
      <c r="C712" s="260"/>
      <c r="D712" s="1815" t="s">
        <v>1213</v>
      </c>
      <c r="E712" s="1815"/>
      <c r="F712" s="1815"/>
      <c r="G712" s="57"/>
      <c r="H712" s="269"/>
      <c r="I712" s="269"/>
      <c r="J712" s="269"/>
      <c r="K712" s="269"/>
    </row>
    <row r="713" spans="1:11" ht="13">
      <c r="A713" s="260"/>
      <c r="B713" s="260"/>
      <c r="C713" s="260"/>
      <c r="D713" s="1815"/>
      <c r="E713" s="1815"/>
      <c r="F713" s="1815"/>
      <c r="G713" s="57"/>
      <c r="H713" s="269"/>
      <c r="I713" s="269"/>
      <c r="J713" s="269"/>
      <c r="K713" s="269"/>
    </row>
    <row r="714" spans="1:11" ht="13">
      <c r="A714" s="260"/>
      <c r="B714" s="260"/>
      <c r="C714" s="260"/>
      <c r="D714" s="1815"/>
      <c r="E714" s="1815"/>
      <c r="F714" s="1815"/>
      <c r="G714" s="57"/>
      <c r="H714" s="269"/>
      <c r="I714" s="269"/>
      <c r="J714" s="269"/>
      <c r="K714" s="269"/>
    </row>
    <row r="715" spans="1:11" ht="13">
      <c r="A715" s="260"/>
      <c r="B715" s="260"/>
      <c r="C715" s="260"/>
      <c r="D715" s="1815"/>
      <c r="E715" s="1815"/>
      <c r="F715" s="1815"/>
      <c r="G715" s="57"/>
      <c r="H715" s="269"/>
      <c r="I715" s="269"/>
      <c r="J715" s="269"/>
      <c r="K715" s="269"/>
    </row>
    <row r="716" spans="1:11" ht="13">
      <c r="A716" s="260"/>
      <c r="B716" s="260"/>
      <c r="C716" s="260"/>
      <c r="D716" s="263"/>
      <c r="G716" s="57"/>
      <c r="H716" s="269"/>
      <c r="I716" s="269"/>
      <c r="J716" s="269"/>
      <c r="K716" s="269"/>
    </row>
    <row r="717" spans="1:11" ht="13">
      <c r="A717" s="261"/>
      <c r="B717" s="677" t="s">
        <v>315</v>
      </c>
      <c r="C717" s="260"/>
      <c r="D717" s="1850" t="s">
        <v>1346</v>
      </c>
      <c r="E717" s="1850"/>
      <c r="F717" s="1850"/>
      <c r="G717" s="57"/>
      <c r="H717" s="269"/>
      <c r="I717" s="269"/>
      <c r="J717" s="269"/>
      <c r="K717" s="269"/>
    </row>
    <row r="718" spans="1:11" ht="13">
      <c r="A718" s="260"/>
      <c r="B718" s="260"/>
      <c r="C718" s="260"/>
      <c r="D718" s="1850"/>
      <c r="E718" s="1850"/>
      <c r="F718" s="1850"/>
      <c r="G718" s="57"/>
      <c r="H718" s="269"/>
      <c r="I718" s="269"/>
      <c r="J718" s="269"/>
      <c r="K718" s="269"/>
    </row>
    <row r="719" spans="1:11" ht="13">
      <c r="A719" s="260"/>
      <c r="B719" s="260"/>
      <c r="C719" s="260"/>
      <c r="D719" s="1850"/>
      <c r="E719" s="1850"/>
      <c r="F719" s="1850"/>
      <c r="G719" s="57"/>
      <c r="H719" s="269"/>
      <c r="I719" s="269"/>
      <c r="J719" s="269"/>
      <c r="K719" s="269"/>
    </row>
    <row r="720" spans="1:11" ht="13">
      <c r="A720" s="260"/>
      <c r="B720" s="260"/>
      <c r="C720" s="260"/>
      <c r="D720" s="1850"/>
      <c r="E720" s="1850"/>
      <c r="F720" s="1850"/>
      <c r="G720" s="57"/>
      <c r="H720" s="269"/>
      <c r="I720" s="269"/>
      <c r="J720" s="269"/>
      <c r="K720" s="269"/>
    </row>
    <row r="721" spans="1:11" ht="13">
      <c r="A721" s="260"/>
      <c r="B721" s="260"/>
      <c r="C721" s="260"/>
      <c r="D721" s="1850"/>
      <c r="E721" s="1850"/>
      <c r="F721" s="1850"/>
      <c r="G721" s="57"/>
      <c r="H721" s="269"/>
      <c r="I721" s="269"/>
      <c r="J721" s="269"/>
      <c r="K721" s="269"/>
    </row>
    <row r="722" spans="1:11" ht="13">
      <c r="A722" s="260"/>
      <c r="B722" s="260"/>
      <c r="C722" s="260"/>
      <c r="D722" s="1850"/>
      <c r="E722" s="1850"/>
      <c r="F722" s="1850"/>
      <c r="G722" s="57"/>
      <c r="H722" s="269"/>
      <c r="I722" s="269"/>
      <c r="J722" s="269"/>
      <c r="K722" s="269"/>
    </row>
    <row r="723" spans="1:11" ht="13">
      <c r="A723" s="260"/>
      <c r="B723" s="260"/>
      <c r="C723" s="260"/>
      <c r="D723" s="1850"/>
      <c r="E723" s="1850"/>
      <c r="F723" s="1850"/>
      <c r="G723" s="57"/>
      <c r="H723" s="269"/>
      <c r="I723" s="269"/>
      <c r="J723" s="269"/>
      <c r="K723" s="269"/>
    </row>
    <row r="724" spans="1:11" ht="13">
      <c r="A724" s="260"/>
      <c r="B724" s="260"/>
      <c r="C724" s="260"/>
      <c r="D724" s="1883" t="s">
        <v>1214</v>
      </c>
      <c r="E724" s="1883"/>
      <c r="F724" s="1883"/>
      <c r="G724" s="57"/>
      <c r="H724" s="269"/>
      <c r="I724" s="269"/>
      <c r="J724" s="269"/>
      <c r="K724" s="269"/>
    </row>
    <row r="725" spans="1:11" s="680" customFormat="1" ht="13">
      <c r="A725" s="260"/>
      <c r="B725" s="260"/>
      <c r="C725" s="260"/>
      <c r="D725" s="531"/>
      <c r="E725" s="7"/>
      <c r="F725" s="7"/>
      <c r="G725" s="57"/>
      <c r="H725" s="269"/>
      <c r="I725" s="269"/>
      <c r="J725" s="269"/>
      <c r="K725" s="269"/>
    </row>
    <row r="726" spans="1:11" ht="13">
      <c r="A726" s="1885" t="s">
        <v>1171</v>
      </c>
      <c r="B726" s="1885"/>
      <c r="C726" s="1885"/>
      <c r="D726" s="1885"/>
      <c r="E726" s="1885"/>
      <c r="F726" s="1885"/>
      <c r="G726" s="1885"/>
      <c r="H726" s="269"/>
      <c r="I726" s="269"/>
      <c r="J726" s="269"/>
      <c r="K726" s="269"/>
    </row>
    <row r="727" spans="1:11" ht="13">
      <c r="A727" s="260"/>
      <c r="B727" s="260"/>
      <c r="C727" s="260"/>
      <c r="D727" s="263"/>
      <c r="G727" s="271"/>
      <c r="H727" s="269"/>
      <c r="I727" s="269"/>
      <c r="J727" s="269"/>
      <c r="K727" s="269"/>
    </row>
    <row r="728" spans="1:11" ht="13.5" customHeight="1">
      <c r="C728" s="260"/>
      <c r="D728" s="1864" t="s">
        <v>1187</v>
      </c>
      <c r="E728" s="1864"/>
      <c r="F728" s="1864"/>
      <c r="G728" s="271"/>
      <c r="H728" s="269"/>
      <c r="I728" s="269"/>
      <c r="J728" s="269"/>
      <c r="K728" s="269"/>
    </row>
    <row r="729" spans="1:11" ht="13">
      <c r="A729" s="260"/>
      <c r="B729" s="260"/>
      <c r="C729" s="260"/>
      <c r="D729" s="1881" t="s">
        <v>1188</v>
      </c>
      <c r="E729" s="1881"/>
      <c r="F729" s="1881"/>
      <c r="G729" s="271"/>
      <c r="H729" s="269"/>
      <c r="I729" s="269"/>
      <c r="J729" s="269"/>
      <c r="K729" s="269"/>
    </row>
    <row r="730" spans="1:11" ht="13">
      <c r="A730" s="260"/>
      <c r="B730" s="260"/>
      <c r="C730" s="260"/>
      <c r="G730" s="271"/>
      <c r="H730" s="269"/>
      <c r="I730" s="269"/>
      <c r="J730" s="269"/>
      <c r="K730" s="269"/>
    </row>
    <row r="731" spans="1:11" s="39" customFormat="1" ht="13">
      <c r="A731" s="261"/>
      <c r="B731" s="677" t="s">
        <v>315</v>
      </c>
      <c r="C731" s="132"/>
      <c r="D731" s="1815" t="s">
        <v>1189</v>
      </c>
      <c r="E731" s="1815"/>
      <c r="F731" s="1815"/>
      <c r="G731" s="271"/>
      <c r="H731" s="272"/>
      <c r="I731" s="272"/>
      <c r="J731" s="272"/>
      <c r="K731" s="272"/>
    </row>
    <row r="732" spans="1:11" s="39" customFormat="1" ht="10.5" customHeight="1">
      <c r="A732" s="132"/>
      <c r="B732" s="674"/>
      <c r="C732" s="132"/>
      <c r="D732" s="1815"/>
      <c r="E732" s="1815"/>
      <c r="F732" s="1815"/>
      <c r="G732" s="271"/>
      <c r="H732" s="272"/>
      <c r="I732" s="272"/>
      <c r="J732" s="272"/>
      <c r="K732" s="272"/>
    </row>
    <row r="733" spans="1:11" s="39" customFormat="1">
      <c r="A733" s="132"/>
      <c r="B733" s="674"/>
      <c r="C733" s="132"/>
      <c r="D733" s="1815"/>
      <c r="E733" s="1815"/>
      <c r="F733" s="1815"/>
      <c r="G733" s="271"/>
      <c r="H733" s="272"/>
      <c r="I733" s="272"/>
      <c r="J733" s="272"/>
      <c r="K733" s="272"/>
    </row>
    <row r="734" spans="1:11">
      <c r="D734" s="1815"/>
      <c r="E734" s="1815"/>
      <c r="F734" s="1815"/>
      <c r="G734" s="271"/>
      <c r="H734" s="269"/>
      <c r="I734" s="269"/>
      <c r="J734" s="269"/>
      <c r="K734" s="269"/>
    </row>
    <row r="735" spans="1:11">
      <c r="A735" s="273"/>
      <c r="B735" s="273"/>
      <c r="C735" s="273"/>
      <c r="D735" s="1815"/>
      <c r="E735" s="1815"/>
      <c r="F735" s="1815"/>
      <c r="G735" s="275"/>
      <c r="H735" s="269"/>
      <c r="I735" s="269"/>
      <c r="J735" s="269"/>
      <c r="K735" s="269"/>
    </row>
    <row r="736" spans="1:11" ht="15.75" customHeight="1">
      <c r="A736" s="273"/>
      <c r="B736" s="273"/>
      <c r="C736" s="273"/>
      <c r="D736" s="1815"/>
      <c r="E736" s="1815"/>
      <c r="F736" s="1815"/>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7" t="s">
        <v>315</v>
      </c>
      <c r="C738" s="408"/>
      <c r="D738" s="1816" t="s">
        <v>1190</v>
      </c>
      <c r="E738" s="1816"/>
      <c r="F738" s="1816"/>
      <c r="G738" s="311"/>
    </row>
    <row r="739" spans="1:11" s="409" customFormat="1">
      <c r="A739" s="408"/>
      <c r="B739" s="408"/>
      <c r="C739" s="408"/>
      <c r="D739" s="1816"/>
      <c r="E739" s="1816"/>
      <c r="F739" s="1816"/>
      <c r="G739" s="311"/>
    </row>
    <row r="740" spans="1:11" s="409" customFormat="1">
      <c r="A740" s="408"/>
      <c r="B740" s="408"/>
      <c r="C740" s="408"/>
      <c r="D740" s="1816"/>
      <c r="E740" s="1816"/>
      <c r="F740" s="1816"/>
      <c r="G740" s="311"/>
    </row>
    <row r="741" spans="1:11" s="409" customFormat="1">
      <c r="A741" s="408"/>
      <c r="B741" s="408"/>
      <c r="C741" s="408"/>
      <c r="D741" s="1816"/>
      <c r="E741" s="1816"/>
      <c r="F741" s="1816"/>
      <c r="G741" s="311"/>
    </row>
    <row r="742" spans="1:11" s="409" customFormat="1">
      <c r="A742" s="408"/>
      <c r="B742" s="408"/>
      <c r="C742" s="408"/>
      <c r="D742" s="377"/>
      <c r="E742" s="311"/>
      <c r="F742" s="311"/>
      <c r="G742" s="311"/>
    </row>
    <row r="743" spans="1:11" s="409" customFormat="1" ht="13">
      <c r="A743" s="261"/>
      <c r="B743" s="677" t="s">
        <v>315</v>
      </c>
      <c r="C743" s="408"/>
      <c r="D743" s="1882" t="s">
        <v>1191</v>
      </c>
      <c r="E743" s="1882"/>
      <c r="F743" s="1882"/>
      <c r="G743" s="311"/>
    </row>
    <row r="744" spans="1:11" s="409" customFormat="1">
      <c r="A744" s="408"/>
      <c r="B744" s="408"/>
      <c r="C744" s="408"/>
      <c r="D744" s="1882"/>
      <c r="E744" s="1882"/>
      <c r="F744" s="1882"/>
      <c r="G744" s="311"/>
    </row>
    <row r="745" spans="1:11" s="409" customFormat="1">
      <c r="A745" s="408"/>
      <c r="B745" s="408"/>
      <c r="C745" s="408"/>
      <c r="D745" s="1882"/>
      <c r="E745" s="1882"/>
      <c r="F745" s="1882"/>
      <c r="G745" s="311"/>
    </row>
    <row r="746" spans="1:11">
      <c r="A746" s="273"/>
      <c r="B746" s="273"/>
      <c r="C746" s="273"/>
      <c r="D746" s="377"/>
      <c r="E746" s="274"/>
      <c r="F746" s="274"/>
      <c r="G746" s="275"/>
      <c r="H746" s="269"/>
      <c r="I746" s="269"/>
      <c r="J746" s="269"/>
      <c r="K746" s="269"/>
    </row>
    <row r="747" spans="1:11" ht="13">
      <c r="A747" s="261"/>
      <c r="B747" s="677" t="s">
        <v>315</v>
      </c>
      <c r="C747" s="273"/>
      <c r="D747" s="1816" t="s">
        <v>1192</v>
      </c>
      <c r="E747" s="1816"/>
      <c r="F747" s="1816"/>
      <c r="G747" s="275"/>
      <c r="H747" s="269"/>
      <c r="I747" s="269"/>
      <c r="J747" s="269"/>
      <c r="K747" s="269"/>
    </row>
    <row r="748" spans="1:11">
      <c r="A748" s="273"/>
      <c r="B748" s="273"/>
      <c r="C748" s="273"/>
      <c r="D748" s="1816"/>
      <c r="E748" s="1816"/>
      <c r="F748" s="1816"/>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315</v>
      </c>
      <c r="C750" s="273"/>
      <c r="D750" s="1816" t="s">
        <v>1193</v>
      </c>
      <c r="E750" s="1816"/>
      <c r="F750" s="1816"/>
      <c r="G750" s="275"/>
      <c r="H750" s="269"/>
      <c r="I750" s="269"/>
      <c r="J750" s="269"/>
      <c r="K750" s="269"/>
    </row>
    <row r="751" spans="1:11" s="680" customFormat="1">
      <c r="A751" s="273"/>
      <c r="B751" s="273"/>
      <c r="C751" s="273"/>
      <c r="D751" s="1816"/>
      <c r="E751" s="1816"/>
      <c r="F751" s="1816"/>
      <c r="G751" s="275"/>
      <c r="H751" s="269"/>
      <c r="I751" s="269"/>
      <c r="J751" s="269"/>
      <c r="K751" s="269"/>
    </row>
    <row r="752" spans="1:11" s="680" customFormat="1">
      <c r="A752" s="273"/>
      <c r="B752" s="273"/>
      <c r="C752" s="273"/>
      <c r="D752" s="1816"/>
      <c r="E752" s="1816"/>
      <c r="F752" s="1816"/>
      <c r="G752" s="275"/>
      <c r="H752" s="269"/>
      <c r="I752" s="269"/>
      <c r="J752" s="269"/>
      <c r="K752" s="269"/>
    </row>
    <row r="753" spans="1:11" s="680" customFormat="1">
      <c r="A753" s="273"/>
      <c r="B753" s="273"/>
      <c r="C753" s="273"/>
      <c r="D753" s="693"/>
      <c r="E753" s="693"/>
      <c r="F753" s="693"/>
      <c r="G753" s="275"/>
      <c r="H753" s="269"/>
      <c r="I753" s="269"/>
      <c r="J753" s="269"/>
      <c r="K753" s="269"/>
    </row>
    <row r="754" spans="1:11" ht="13">
      <c r="A754" s="1887" t="s">
        <v>1194</v>
      </c>
      <c r="B754" s="1887"/>
      <c r="C754" s="1887"/>
      <c r="D754" s="1887"/>
      <c r="E754" s="1887"/>
      <c r="F754" s="1887"/>
      <c r="G754" s="1887"/>
    </row>
    <row r="755" spans="1:11" ht="13">
      <c r="A755" s="260"/>
      <c r="B755" s="260"/>
      <c r="C755" s="260"/>
      <c r="D755" s="276"/>
      <c r="F755" s="147"/>
      <c r="G755" s="271"/>
    </row>
    <row r="756" spans="1:11" ht="13">
      <c r="A756" s="273"/>
      <c r="B756" s="273"/>
      <c r="C756" s="442"/>
      <c r="D756" s="1888" t="s">
        <v>1178</v>
      </c>
      <c r="E756" s="1888"/>
      <c r="F756" s="1888"/>
      <c r="G756" s="271"/>
    </row>
    <row r="757" spans="1:11">
      <c r="A757" s="501"/>
      <c r="B757" s="501"/>
      <c r="C757" s="500"/>
      <c r="D757" s="1878" t="s">
        <v>1195</v>
      </c>
      <c r="E757" s="1878"/>
      <c r="F757" s="1878"/>
      <c r="G757" s="271"/>
    </row>
    <row r="758" spans="1:11">
      <c r="A758" s="273"/>
      <c r="B758" s="273"/>
      <c r="C758" s="442"/>
      <c r="D758" s="691"/>
      <c r="E758" s="691"/>
      <c r="F758" s="691"/>
      <c r="G758" s="271"/>
    </row>
    <row r="759" spans="1:11" ht="13">
      <c r="A759" s="261"/>
      <c r="B759" s="677" t="s">
        <v>315</v>
      </c>
      <c r="C759" s="442"/>
      <c r="D759" s="1879" t="s">
        <v>1063</v>
      </c>
      <c r="E759" s="1879"/>
      <c r="F759" s="1879"/>
      <c r="G759" s="271"/>
    </row>
    <row r="760" spans="1:11" ht="13">
      <c r="A760" s="273"/>
      <c r="B760" s="273"/>
      <c r="C760" s="442"/>
      <c r="D760" s="690"/>
      <c r="E760" s="1880" t="s">
        <v>1179</v>
      </c>
      <c r="F760" s="1880"/>
      <c r="G760" s="271"/>
    </row>
    <row r="761" spans="1:11" ht="13">
      <c r="A761" s="267"/>
      <c r="B761" s="267"/>
      <c r="C761" s="267"/>
      <c r="D761" s="135"/>
      <c r="F761" s="57"/>
      <c r="G761" s="271"/>
    </row>
    <row r="762" spans="1:11" ht="13">
      <c r="A762" s="1884" t="s">
        <v>469</v>
      </c>
      <c r="B762" s="1884"/>
      <c r="C762" s="1884"/>
      <c r="D762" s="1884"/>
      <c r="E762" s="1884"/>
      <c r="F762" s="1884"/>
      <c r="G762" s="1884"/>
    </row>
    <row r="763" spans="1:11" ht="13">
      <c r="A763" s="255"/>
      <c r="B763" s="671"/>
      <c r="C763" s="266"/>
      <c r="D763" s="271"/>
      <c r="E763" s="271"/>
      <c r="F763" s="271"/>
      <c r="G763" s="271"/>
    </row>
    <row r="764" spans="1:11">
      <c r="A764" s="135"/>
      <c r="B764" s="1886" t="s">
        <v>1062</v>
      </c>
      <c r="C764" s="1886"/>
      <c r="D764" s="1886"/>
      <c r="E764" s="1886"/>
      <c r="F764" s="1886"/>
      <c r="G764" s="271"/>
    </row>
    <row r="765" spans="1:11" ht="13">
      <c r="A765" s="23"/>
      <c r="B765" s="673"/>
      <c r="G765" s="271"/>
    </row>
    <row r="766" spans="1:11" ht="13">
      <c r="A766" s="1884" t="s">
        <v>470</v>
      </c>
      <c r="B766" s="1884"/>
      <c r="C766" s="1884"/>
      <c r="D766" s="1884"/>
      <c r="E766" s="1884"/>
      <c r="F766" s="1884"/>
      <c r="G766" s="1884"/>
    </row>
    <row r="767" spans="1:11" ht="13">
      <c r="A767" s="255"/>
      <c r="B767" s="671"/>
      <c r="C767" s="255"/>
      <c r="D767" s="263"/>
      <c r="G767" s="271"/>
    </row>
    <row r="768" spans="1:11">
      <c r="A768" s="135"/>
      <c r="B768" s="1830" t="s">
        <v>468</v>
      </c>
      <c r="C768" s="1830"/>
      <c r="D768" s="1830"/>
      <c r="E768" s="1830"/>
      <c r="F768" s="1830"/>
      <c r="G768" s="271"/>
    </row>
    <row r="769" spans="1:7" ht="13">
      <c r="A769" s="261"/>
      <c r="B769" s="261"/>
      <c r="D769" s="135"/>
      <c r="E769" s="135"/>
      <c r="F769" s="271"/>
      <c r="G769" s="271"/>
    </row>
    <row r="770" spans="1:7" ht="13">
      <c r="A770" s="1884" t="s">
        <v>471</v>
      </c>
      <c r="B770" s="1884"/>
      <c r="C770" s="1884"/>
      <c r="D770" s="1884"/>
      <c r="E770" s="1884"/>
      <c r="F770" s="1884"/>
      <c r="G770" s="1884"/>
    </row>
    <row r="771" spans="1:7" ht="13">
      <c r="C771" s="260"/>
      <c r="D771" s="259"/>
      <c r="E771" s="135"/>
      <c r="F771" s="271"/>
      <c r="G771" s="271"/>
    </row>
    <row r="772" spans="1:7">
      <c r="A772" s="135"/>
      <c r="B772" s="1830" t="s">
        <v>468</v>
      </c>
      <c r="C772" s="1830"/>
      <c r="D772" s="1830"/>
      <c r="E772" s="1830"/>
      <c r="F772" s="1830"/>
      <c r="G772" s="271"/>
    </row>
    <row r="773" spans="1:7">
      <c r="A773" s="135"/>
      <c r="B773" s="135"/>
      <c r="C773" s="266"/>
      <c r="D773" s="271"/>
      <c r="E773" s="271"/>
      <c r="F773" s="271"/>
      <c r="G773" s="271"/>
    </row>
    <row r="774" spans="1:7" ht="13">
      <c r="A774" s="1884" t="s">
        <v>472</v>
      </c>
      <c r="B774" s="1884"/>
      <c r="C774" s="1884"/>
      <c r="D774" s="1884"/>
      <c r="E774" s="1884"/>
      <c r="F774" s="1884"/>
      <c r="G774" s="1884"/>
    </row>
    <row r="775" spans="1:7">
      <c r="A775" s="135"/>
      <c r="B775" s="135"/>
    </row>
    <row r="776" spans="1:7">
      <c r="A776" s="135"/>
      <c r="B776" s="1830" t="s">
        <v>468</v>
      </c>
      <c r="C776" s="1830"/>
      <c r="D776" s="1830"/>
      <c r="E776" s="1830"/>
      <c r="F776" s="1830"/>
    </row>
    <row r="777" spans="1:7" ht="13">
      <c r="A777" s="266"/>
      <c r="B777" s="266"/>
      <c r="C777" s="266"/>
      <c r="D777" s="258"/>
      <c r="F777" s="271"/>
    </row>
    <row r="778" spans="1:7" ht="13">
      <c r="A778" s="1884" t="s">
        <v>473</v>
      </c>
      <c r="B778" s="1884"/>
      <c r="C778" s="1884"/>
      <c r="D778" s="1884"/>
      <c r="E778" s="1884"/>
      <c r="F778" s="1884"/>
      <c r="G778" s="1884"/>
    </row>
    <row r="779" spans="1:7">
      <c r="A779" s="135"/>
      <c r="B779" s="135"/>
    </row>
    <row r="780" spans="1:7">
      <c r="A780" s="135"/>
      <c r="B780" s="1830" t="s">
        <v>468</v>
      </c>
      <c r="C780" s="1830"/>
      <c r="D780" s="1830"/>
      <c r="E780" s="1830"/>
      <c r="F780" s="1830"/>
    </row>
    <row r="781" spans="1:7" ht="13">
      <c r="A781" s="266"/>
      <c r="B781" s="266"/>
      <c r="C781" s="266"/>
      <c r="D781" s="258"/>
      <c r="F781" s="271"/>
    </row>
    <row r="782" spans="1:7" ht="13">
      <c r="A782" s="1884" t="s">
        <v>474</v>
      </c>
      <c r="B782" s="1884"/>
      <c r="C782" s="1884"/>
      <c r="D782" s="1884"/>
      <c r="E782" s="1884"/>
      <c r="F782" s="1884"/>
      <c r="G782" s="1884"/>
    </row>
    <row r="783" spans="1:7">
      <c r="A783" s="135"/>
      <c r="B783" s="135"/>
    </row>
    <row r="784" spans="1:7">
      <c r="A784" s="135"/>
      <c r="B784" s="1830" t="s">
        <v>468</v>
      </c>
      <c r="C784" s="1830"/>
      <c r="D784" s="1830"/>
      <c r="E784" s="1830"/>
      <c r="F784" s="1830"/>
    </row>
    <row r="785" spans="1:7" ht="13">
      <c r="A785" s="265"/>
      <c r="B785" s="265"/>
      <c r="C785" s="265"/>
      <c r="D785" s="277"/>
      <c r="E785" s="57"/>
      <c r="F785" s="57"/>
      <c r="G785" s="57"/>
    </row>
    <row r="786" spans="1:7" ht="13">
      <c r="A786" s="1884" t="s">
        <v>191</v>
      </c>
      <c r="B786" s="1884"/>
      <c r="C786" s="1884"/>
      <c r="D786" s="1884"/>
      <c r="E786" s="1884"/>
      <c r="F786" s="1884"/>
      <c r="G786" s="1884"/>
    </row>
    <row r="787" spans="1:7">
      <c r="A787" s="135"/>
      <c r="B787" s="135"/>
    </row>
    <row r="788" spans="1:7">
      <c r="A788" s="135"/>
      <c r="B788" s="1830" t="s">
        <v>468</v>
      </c>
      <c r="C788" s="1830"/>
      <c r="D788" s="1830"/>
      <c r="E788" s="1830"/>
      <c r="F788" s="1830"/>
    </row>
    <row r="789" spans="1:7" ht="13">
      <c r="A789" s="135"/>
      <c r="B789" s="135"/>
      <c r="D789" s="258"/>
    </row>
    <row r="790" spans="1:7" ht="13">
      <c r="A790" s="1884" t="s">
        <v>936</v>
      </c>
      <c r="B790" s="1884"/>
      <c r="C790" s="1884"/>
      <c r="D790" s="1884"/>
      <c r="E790" s="1884"/>
      <c r="F790" s="1884"/>
      <c r="G790" s="1884"/>
    </row>
    <row r="791" spans="1:7">
      <c r="A791" s="135"/>
      <c r="B791" s="135"/>
    </row>
    <row r="792" spans="1:7">
      <c r="A792" s="135"/>
      <c r="B792" s="1830" t="s">
        <v>468</v>
      </c>
      <c r="C792" s="1830"/>
      <c r="D792" s="1830"/>
      <c r="E792" s="1830"/>
      <c r="F792" s="1830"/>
      <c r="G792" s="12"/>
    </row>
    <row r="793" spans="1:7" ht="13">
      <c r="A793" s="255"/>
      <c r="B793" s="671"/>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75" customHeight="1" zeroHeight="1"/>
  <cols>
    <col min="1" max="10" width="10.453125" style="720" customWidth="1"/>
    <col min="11" max="16384" width="8.81640625" style="720" hidden="1"/>
  </cols>
  <sheetData>
    <row r="1" spans="1:10" ht="14.25" customHeight="1"/>
    <row r="2" spans="1:10" ht="15.5">
      <c r="A2" s="1893" t="s">
        <v>2316</v>
      </c>
      <c r="B2" s="1894"/>
      <c r="C2" s="1894"/>
      <c r="D2" s="1894"/>
      <c r="E2" s="1894"/>
      <c r="F2" s="1894"/>
      <c r="G2" s="1894"/>
      <c r="H2" s="1894"/>
      <c r="I2" s="1894"/>
      <c r="J2" s="1894"/>
    </row>
    <row r="3" spans="1:10" ht="15.5">
      <c r="A3" s="1898" t="s">
        <v>1493</v>
      </c>
      <c r="B3" s="1899"/>
      <c r="C3" s="1899"/>
      <c r="D3" s="1899"/>
      <c r="E3" s="1899"/>
      <c r="F3" s="1899"/>
      <c r="G3" s="1899"/>
      <c r="H3" s="1899"/>
      <c r="I3" s="1899"/>
      <c r="J3" s="1899"/>
    </row>
    <row r="4" spans="1:10" ht="12.5"/>
    <row r="5" spans="1:10" ht="12.75" customHeight="1">
      <c r="A5" s="1895" t="s">
        <v>2319</v>
      </c>
      <c r="B5" s="1895"/>
      <c r="C5" s="1895"/>
      <c r="D5" s="1895"/>
      <c r="E5" s="1895"/>
      <c r="F5" s="1895"/>
      <c r="G5" s="1895"/>
      <c r="H5" s="1895"/>
      <c r="I5" s="1895"/>
      <c r="J5" s="1895"/>
    </row>
    <row r="6" spans="1:10" ht="12.5">
      <c r="A6" s="1895"/>
      <c r="B6" s="1895"/>
      <c r="C6" s="1895"/>
      <c r="D6" s="1895"/>
      <c r="E6" s="1895"/>
      <c r="F6" s="1895"/>
      <c r="G6" s="1895"/>
      <c r="H6" s="1895"/>
      <c r="I6" s="1895"/>
      <c r="J6" s="1895"/>
    </row>
    <row r="7" spans="1:10" ht="30" customHeight="1">
      <c r="A7" s="1895"/>
      <c r="B7" s="1895"/>
      <c r="C7" s="1895"/>
      <c r="D7" s="1895"/>
      <c r="E7" s="1895"/>
      <c r="F7" s="1895"/>
      <c r="G7" s="1895"/>
      <c r="H7" s="1895"/>
      <c r="I7" s="1895"/>
      <c r="J7" s="1895"/>
    </row>
    <row r="8" spans="1:10" ht="12.5">
      <c r="A8" s="770"/>
      <c r="B8" s="770"/>
      <c r="C8" s="770"/>
      <c r="D8" s="770"/>
      <c r="E8" s="770"/>
      <c r="F8" s="770"/>
      <c r="G8" s="770"/>
      <c r="H8" s="770"/>
      <c r="I8" s="770"/>
      <c r="J8" s="770"/>
    </row>
    <row r="9" spans="1:10" ht="12.75" customHeight="1">
      <c r="A9" s="1729" t="s">
        <v>2320</v>
      </c>
      <c r="B9" s="1728"/>
      <c r="C9" s="1728"/>
      <c r="D9" s="1728"/>
      <c r="E9" s="1728"/>
      <c r="F9" s="1728"/>
      <c r="G9" s="1728"/>
      <c r="H9" s="1728"/>
      <c r="I9" s="1728"/>
      <c r="J9" s="1728"/>
    </row>
    <row r="10" spans="1:10" ht="12.5"/>
    <row r="11" spans="1:10" ht="12.75" customHeight="1">
      <c r="A11" s="1900" t="s">
        <v>2322</v>
      </c>
      <c r="B11" s="1900"/>
      <c r="C11" s="1900"/>
      <c r="D11" s="1900"/>
      <c r="E11" s="1900"/>
      <c r="F11" s="1900"/>
      <c r="G11" s="1900"/>
      <c r="H11" s="1900"/>
      <c r="I11" s="1900"/>
      <c r="J11" s="1900"/>
    </row>
    <row r="12" spans="1:10" ht="12.5">
      <c r="A12" s="1900"/>
      <c r="B12" s="1900"/>
      <c r="C12" s="1900"/>
      <c r="D12" s="1900"/>
      <c r="E12" s="1900"/>
      <c r="F12" s="1900"/>
      <c r="G12" s="1900"/>
      <c r="H12" s="1900"/>
      <c r="I12" s="1900"/>
      <c r="J12" s="1900"/>
    </row>
    <row r="13" spans="1:10" s="1672" customFormat="1" ht="12.5">
      <c r="A13" s="1900"/>
      <c r="B13" s="1900"/>
      <c r="C13" s="1900"/>
      <c r="D13" s="1900"/>
      <c r="E13" s="1900"/>
      <c r="F13" s="1900"/>
      <c r="G13" s="1900"/>
      <c r="H13" s="1900"/>
      <c r="I13" s="1900"/>
      <c r="J13" s="1900"/>
    </row>
    <row r="14" spans="1:10" ht="12.5">
      <c r="A14" s="1901"/>
      <c r="B14" s="1901"/>
      <c r="C14" s="1901"/>
      <c r="D14" s="1901"/>
      <c r="E14" s="1901"/>
      <c r="F14" s="1901"/>
      <c r="G14" s="1901"/>
      <c r="H14" s="1901"/>
      <c r="I14" s="1901"/>
      <c r="J14" s="1901"/>
    </row>
    <row r="15" spans="1:10" ht="12.5">
      <c r="A15" s="1901"/>
      <c r="B15" s="1901"/>
      <c r="C15" s="1901"/>
      <c r="D15" s="1901"/>
      <c r="E15" s="1901"/>
      <c r="F15" s="1901"/>
      <c r="G15" s="1901"/>
      <c r="H15" s="1901"/>
      <c r="I15" s="1901"/>
      <c r="J15" s="1901"/>
    </row>
    <row r="16" spans="1:10" ht="12.5">
      <c r="A16" s="1901"/>
      <c r="B16" s="1901"/>
      <c r="C16" s="1901"/>
      <c r="D16" s="1901"/>
      <c r="E16" s="1901"/>
      <c r="F16" s="1901"/>
      <c r="G16" s="1901"/>
      <c r="H16" s="1901"/>
      <c r="I16" s="1901"/>
      <c r="J16" s="1901"/>
    </row>
    <row r="17" spans="1:10" s="1672" customFormat="1" ht="12.5">
      <c r="A17" s="1731"/>
      <c r="B17" s="1731"/>
      <c r="C17" s="1731"/>
      <c r="D17" s="1731"/>
      <c r="E17" s="1731"/>
      <c r="F17" s="1731"/>
      <c r="G17" s="1731"/>
      <c r="H17" s="1731"/>
      <c r="I17" s="1731"/>
      <c r="J17" s="1731"/>
    </row>
    <row r="18" spans="1:10" ht="12.5">
      <c r="A18" s="771" t="s">
        <v>2321</v>
      </c>
      <c r="B18" s="770"/>
      <c r="C18" s="770"/>
      <c r="D18" s="770"/>
      <c r="E18" s="770"/>
      <c r="F18" s="770"/>
      <c r="G18" s="770"/>
      <c r="H18" s="770"/>
      <c r="I18" s="770"/>
      <c r="J18" s="770"/>
    </row>
    <row r="19" spans="1:10" ht="12.5">
      <c r="A19" s="772" t="s">
        <v>255</v>
      </c>
      <c r="B19" s="772"/>
      <c r="C19" s="772"/>
      <c r="D19" s="772"/>
      <c r="E19" s="772"/>
      <c r="F19" s="772"/>
      <c r="G19" s="772"/>
      <c r="H19" s="772"/>
      <c r="I19" s="772"/>
      <c r="J19" s="772"/>
    </row>
    <row r="20" spans="1:10" ht="12.5">
      <c r="A20" s="1902" t="s">
        <v>1384</v>
      </c>
      <c r="B20" s="1899"/>
      <c r="C20" s="1899"/>
      <c r="D20" s="1899"/>
      <c r="E20" s="1899"/>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895" t="s">
        <v>1385</v>
      </c>
      <c r="B57" s="1896"/>
      <c r="C57" s="1896"/>
      <c r="D57" s="1896"/>
      <c r="E57" s="1896"/>
      <c r="F57" s="1896"/>
      <c r="G57" s="1896"/>
      <c r="H57" s="1896"/>
      <c r="I57" s="1896"/>
      <c r="J57" s="1896"/>
    </row>
    <row r="58" spans="1:10" ht="12.5">
      <c r="A58" s="1896"/>
      <c r="B58" s="1896"/>
      <c r="C58" s="1896"/>
      <c r="D58" s="1896"/>
      <c r="E58" s="1896"/>
      <c r="F58" s="1896"/>
      <c r="G58" s="1896"/>
      <c r="H58" s="1896"/>
      <c r="I58" s="1896"/>
      <c r="J58" s="1896"/>
    </row>
    <row r="59" spans="1:10" ht="12.5">
      <c r="A59" s="1896"/>
      <c r="B59" s="1896"/>
      <c r="C59" s="1896"/>
      <c r="D59" s="1896"/>
      <c r="E59" s="1896"/>
      <c r="F59" s="1896"/>
      <c r="G59" s="1896"/>
      <c r="H59" s="1896"/>
      <c r="I59" s="1896"/>
      <c r="J59" s="1896"/>
    </row>
    <row r="60" spans="1:10" ht="12.5"/>
    <row r="61" spans="1:10" ht="12.5">
      <c r="A61" s="670" t="s">
        <v>1384</v>
      </c>
    </row>
    <row r="62" spans="1:10" ht="12.5"/>
    <row r="63" spans="1:10" ht="12.5"/>
    <row r="64" spans="1:10" ht="12.5"/>
    <row r="65" spans="1:9" ht="12.5"/>
    <row r="66" spans="1:9" ht="12.5"/>
    <row r="67" spans="1:9" ht="12.5"/>
    <row r="68" spans="1:9" ht="12.5"/>
    <row r="69" spans="1:9" ht="12.5"/>
    <row r="70" spans="1:9" ht="12.5"/>
    <row r="71" spans="1:9" ht="12.5"/>
    <row r="72" spans="1:9" ht="13">
      <c r="A72" s="1897" t="s">
        <v>2317</v>
      </c>
      <c r="B72" s="1897"/>
      <c r="C72" s="1897"/>
      <c r="D72" s="1897"/>
      <c r="E72" s="1897"/>
      <c r="F72" s="1897"/>
      <c r="G72" s="1897"/>
      <c r="H72" s="1897"/>
      <c r="I72" s="1897"/>
    </row>
    <row r="73" spans="1:9" ht="12.5">
      <c r="A73" s="1821" t="s">
        <v>1087</v>
      </c>
      <c r="B73" s="1821"/>
      <c r="C73" s="1821"/>
      <c r="D73" s="1821"/>
      <c r="E73" s="1821"/>
    </row>
    <row r="74" spans="1:9" ht="12.5">
      <c r="A74" s="1821" t="s">
        <v>1386</v>
      </c>
      <c r="B74" s="1821"/>
      <c r="C74" s="1821"/>
      <c r="D74" s="1821"/>
      <c r="E74" s="1821"/>
    </row>
    <row r="75" spans="1:9" ht="12.5">
      <c r="A75" s="1821" t="s">
        <v>2318</v>
      </c>
      <c r="B75" s="1821"/>
      <c r="C75" s="1821"/>
      <c r="D75" s="1821"/>
      <c r="E75" s="1821"/>
    </row>
    <row r="76" spans="1:9" ht="12.5"/>
    <row r="77" spans="1:9" ht="12.5"/>
    <row r="78" spans="1:9" ht="12.5"/>
    <row r="79" spans="1:9" ht="12.75" customHeight="1"/>
    <row r="80" spans="1:9" ht="12.75" customHeight="1"/>
    <row r="81" ht="12.75" customHeight="1"/>
    <row r="82" ht="12.75" customHeight="1"/>
    <row r="83" ht="12.75" customHeight="1"/>
    <row r="84" ht="12.75" customHeight="1"/>
    <row r="85" ht="12.7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114300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90" zoomScale="90" zoomScaleNormal="90" zoomScaleSheetLayoutView="100" workbookViewId="0">
      <selection activeCell="V1115" sqref="V1115"/>
    </sheetView>
  </sheetViews>
  <sheetFormatPr defaultColWidth="8.81640625" defaultRowHeight="13" zeroHeight="1"/>
  <cols>
    <col min="1" max="1" width="3.453125" style="786" customWidth="1"/>
    <col min="2" max="2" width="13.453125" style="786" customWidth="1"/>
    <col min="3" max="3" width="2.453125" style="786" customWidth="1"/>
    <col min="4" max="5" width="3.453125" style="787" customWidth="1"/>
    <col min="6" max="6" width="65.453125" style="787" customWidth="1"/>
    <col min="7" max="7" width="1.453125" style="787" customWidth="1"/>
    <col min="8" max="8" width="3.453125" style="788" customWidth="1"/>
    <col min="9" max="9" width="24.453125" style="1677" customWidth="1"/>
    <col min="10" max="16384" width="8.81640625" style="788"/>
  </cols>
  <sheetData>
    <row r="1" spans="1:9"/>
    <row r="2" spans="1:9">
      <c r="A2" s="1953" t="s">
        <v>2159</v>
      </c>
      <c r="B2" s="1953"/>
      <c r="C2" s="1953"/>
      <c r="D2" s="1953"/>
      <c r="E2" s="1953"/>
      <c r="F2" s="1953"/>
      <c r="G2" s="1953"/>
      <c r="H2" s="1953"/>
      <c r="I2" s="1953"/>
    </row>
    <row r="3" spans="1:9">
      <c r="A3" s="1954" t="s">
        <v>2160</v>
      </c>
      <c r="B3" s="1954"/>
      <c r="C3" s="1954"/>
      <c r="D3" s="1954"/>
      <c r="E3" s="1954"/>
      <c r="F3" s="1954"/>
      <c r="G3" s="1954"/>
      <c r="H3" s="1954"/>
      <c r="I3" s="1954"/>
    </row>
    <row r="4" spans="1:9">
      <c r="A4" s="1934"/>
      <c r="B4" s="1934"/>
      <c r="C4" s="1935"/>
      <c r="D4" s="1935"/>
      <c r="E4" s="1935"/>
      <c r="F4" s="1935"/>
      <c r="G4" s="1935"/>
      <c r="I4" s="640"/>
    </row>
    <row r="5" spans="1:9" s="789" customFormat="1">
      <c r="A5" s="1934"/>
      <c r="B5" s="1934"/>
      <c r="C5" s="1940"/>
      <c r="D5" s="1940"/>
      <c r="E5" s="1940"/>
      <c r="F5" s="1940"/>
      <c r="G5" s="1940"/>
      <c r="I5" s="1736"/>
    </row>
    <row r="6" spans="1:9" s="789" customFormat="1">
      <c r="A6" s="1942" t="s">
        <v>1248</v>
      </c>
      <c r="B6" s="1942"/>
      <c r="C6" s="1943"/>
      <c r="D6" s="1943"/>
      <c r="E6" s="1943"/>
      <c r="F6" s="1943"/>
      <c r="G6" s="1943"/>
      <c r="I6" s="1735" t="s">
        <v>2332</v>
      </c>
    </row>
    <row r="7" spans="1:9" s="789" customFormat="1">
      <c r="A7" s="1942" t="s">
        <v>1249</v>
      </c>
      <c r="B7" s="1942"/>
      <c r="C7" s="1943"/>
      <c r="D7" s="1943"/>
      <c r="E7" s="1943"/>
      <c r="F7" s="1943"/>
      <c r="G7" s="1943"/>
      <c r="I7" s="1735" t="s">
        <v>2333</v>
      </c>
    </row>
    <row r="8" spans="1:9">
      <c r="A8" s="790"/>
      <c r="B8" s="790"/>
      <c r="C8" s="791"/>
      <c r="D8" s="791"/>
      <c r="E8" s="791"/>
      <c r="F8" s="791"/>
    </row>
    <row r="9" spans="1:9">
      <c r="A9" s="1871" t="s">
        <v>1251</v>
      </c>
      <c r="B9" s="1871"/>
      <c r="C9" s="1871"/>
      <c r="D9" s="1871"/>
      <c r="E9" s="1871"/>
      <c r="F9" s="1871"/>
      <c r="G9" s="1871"/>
      <c r="H9" s="1752"/>
      <c r="I9" s="1753"/>
    </row>
    <row r="10" spans="1:9">
      <c r="A10" s="791"/>
      <c r="B10" s="791"/>
      <c r="E10" s="792"/>
    </row>
    <row r="11" spans="1:9" ht="13.75" customHeight="1">
      <c r="C11" s="791"/>
      <c r="D11" s="1944" t="s">
        <v>1250</v>
      </c>
      <c r="E11" s="1944"/>
      <c r="F11" s="1944"/>
    </row>
    <row r="12" spans="1:9">
      <c r="C12" s="791"/>
      <c r="D12" s="1944"/>
      <c r="E12" s="1944"/>
      <c r="F12" s="1944"/>
    </row>
    <row r="13" spans="1:9">
      <c r="A13" s="793"/>
      <c r="B13" s="793"/>
      <c r="C13" s="793"/>
      <c r="D13" s="1855" t="s">
        <v>1233</v>
      </c>
      <c r="E13" s="1855"/>
      <c r="F13" s="1855"/>
    </row>
    <row r="14" spans="1:9">
      <c r="A14" s="793"/>
      <c r="B14" s="793"/>
      <c r="C14" s="793"/>
      <c r="D14" s="794"/>
    </row>
    <row r="15" spans="1:9">
      <c r="A15" s="795"/>
      <c r="B15" s="796" t="s">
        <v>2637</v>
      </c>
      <c r="C15" s="797"/>
      <c r="D15" s="1853" t="s">
        <v>1234</v>
      </c>
      <c r="E15" s="1853"/>
      <c r="F15" s="1853"/>
      <c r="I15" s="1677" t="s">
        <v>2334</v>
      </c>
    </row>
    <row r="16" spans="1:9">
      <c r="A16" s="793"/>
      <c r="B16" s="793"/>
      <c r="C16" s="797"/>
      <c r="D16" s="1853"/>
      <c r="E16" s="1853"/>
      <c r="F16" s="1853"/>
    </row>
    <row r="17" spans="1:9">
      <c r="A17" s="793"/>
      <c r="B17" s="793"/>
      <c r="C17" s="797"/>
      <c r="D17" s="1853"/>
      <c r="E17" s="1853"/>
      <c r="F17" s="1853"/>
    </row>
    <row r="18" spans="1:9">
      <c r="A18" s="793"/>
      <c r="B18" s="793"/>
      <c r="C18" s="793"/>
    </row>
    <row r="19" spans="1:9">
      <c r="A19" s="795"/>
      <c r="B19" s="796" t="s">
        <v>2637</v>
      </c>
      <c r="D19" s="1879" t="s">
        <v>1235</v>
      </c>
      <c r="E19" s="1879"/>
      <c r="F19" s="1879"/>
      <c r="I19" s="1677" t="s">
        <v>2335</v>
      </c>
    </row>
    <row r="20" spans="1:9">
      <c r="A20" s="795"/>
      <c r="B20" s="795"/>
      <c r="D20" s="798"/>
    </row>
    <row r="21" spans="1:9">
      <c r="A21" s="795"/>
      <c r="B21" s="796" t="s">
        <v>2638</v>
      </c>
      <c r="D21" s="1853" t="s">
        <v>1236</v>
      </c>
      <c r="E21" s="1853"/>
      <c r="F21" s="1853"/>
      <c r="I21" s="1677" t="s">
        <v>2335</v>
      </c>
    </row>
    <row r="22" spans="1:9">
      <c r="A22" s="795"/>
      <c r="B22" s="795"/>
      <c r="D22" s="1853"/>
      <c r="E22" s="1853"/>
      <c r="F22" s="1853"/>
    </row>
    <row r="23" spans="1:9"/>
    <row r="24" spans="1:9">
      <c r="A24" s="795"/>
      <c r="B24" s="796" t="s">
        <v>2638</v>
      </c>
      <c r="D24" s="1939" t="s">
        <v>1237</v>
      </c>
      <c r="E24" s="1939"/>
      <c r="F24" s="1939"/>
      <c r="I24" s="1677" t="s">
        <v>2338</v>
      </c>
    </row>
    <row r="25" spans="1:9">
      <c r="D25" s="1939"/>
      <c r="E25" s="1939"/>
      <c r="F25" s="1939"/>
    </row>
    <row r="26" spans="1:9">
      <c r="D26" s="1939"/>
      <c r="E26" s="1939"/>
      <c r="F26" s="1939"/>
    </row>
    <row r="27" spans="1:9">
      <c r="D27" s="1939"/>
      <c r="E27" s="1939"/>
      <c r="F27" s="1939"/>
    </row>
    <row r="28" spans="1:9">
      <c r="D28" s="1939"/>
      <c r="E28" s="1939"/>
      <c r="F28" s="1939"/>
    </row>
    <row r="29" spans="1:9" s="789" customFormat="1">
      <c r="A29" s="799"/>
      <c r="B29" s="799"/>
      <c r="C29" s="799"/>
      <c r="D29" s="731"/>
      <c r="E29" s="800"/>
      <c r="F29" s="800"/>
      <c r="G29" s="800"/>
      <c r="I29" s="1736"/>
    </row>
    <row r="30" spans="1:9" s="789" customFormat="1">
      <c r="A30" s="799"/>
      <c r="B30" s="796" t="s">
        <v>2638</v>
      </c>
      <c r="C30" s="799"/>
      <c r="D30" s="1854" t="s">
        <v>1238</v>
      </c>
      <c r="E30" s="1854"/>
      <c r="F30" s="1854"/>
      <c r="G30" s="800"/>
      <c r="I30" s="1736" t="s">
        <v>2334</v>
      </c>
    </row>
    <row r="31" spans="1:9" s="789" customFormat="1">
      <c r="A31" s="799"/>
      <c r="B31" s="799"/>
      <c r="C31" s="799"/>
      <c r="D31" s="1854"/>
      <c r="E31" s="1854"/>
      <c r="F31" s="1854"/>
      <c r="G31" s="800"/>
      <c r="I31" s="1736"/>
    </row>
    <row r="32" spans="1:9">
      <c r="A32" s="795"/>
      <c r="B32" s="795"/>
      <c r="D32" s="801"/>
    </row>
    <row r="33" spans="1:9" ht="14.5" customHeight="1">
      <c r="A33" s="795"/>
      <c r="B33" s="796" t="s">
        <v>2638</v>
      </c>
      <c r="D33" s="1854" t="s">
        <v>1417</v>
      </c>
      <c r="E33" s="1854"/>
      <c r="F33" s="1854"/>
      <c r="I33" s="1736" t="s">
        <v>2406</v>
      </c>
    </row>
    <row r="34" spans="1:9">
      <c r="A34" s="795"/>
      <c r="B34" s="795"/>
      <c r="D34" s="1854"/>
      <c r="E34" s="1854"/>
      <c r="F34" s="1854"/>
    </row>
    <row r="35" spans="1:9">
      <c r="A35" s="795"/>
      <c r="B35" s="795"/>
      <c r="D35" s="1854"/>
      <c r="E35" s="1854"/>
      <c r="F35" s="1854"/>
    </row>
    <row r="36" spans="1:9">
      <c r="A36" s="795"/>
      <c r="B36" s="795"/>
      <c r="D36" s="1854"/>
      <c r="E36" s="1854"/>
      <c r="F36" s="1854"/>
    </row>
    <row r="37" spans="1:9">
      <c r="A37" s="795"/>
      <c r="B37" s="795"/>
      <c r="D37" s="788"/>
    </row>
    <row r="38" spans="1:9">
      <c r="A38" s="795"/>
      <c r="B38" s="796" t="s">
        <v>2638</v>
      </c>
      <c r="D38" s="1854" t="s">
        <v>1240</v>
      </c>
      <c r="E38" s="1854"/>
      <c r="F38" s="1854"/>
    </row>
    <row r="39" spans="1:9">
      <c r="A39" s="795"/>
      <c r="B39" s="795"/>
      <c r="D39" s="1854"/>
      <c r="E39" s="1854"/>
      <c r="F39" s="1854"/>
    </row>
    <row r="40" spans="1:9">
      <c r="A40" s="795"/>
      <c r="B40" s="795"/>
      <c r="D40" s="1854"/>
      <c r="E40" s="1854"/>
      <c r="F40" s="1854"/>
    </row>
    <row r="41" spans="1:9">
      <c r="A41" s="795"/>
      <c r="B41" s="795"/>
      <c r="D41" s="1854"/>
      <c r="E41" s="1854"/>
      <c r="F41" s="1854"/>
    </row>
    <row r="42" spans="1:9">
      <c r="A42" s="795"/>
      <c r="B42" s="795"/>
      <c r="D42" s="1854"/>
      <c r="E42" s="1854"/>
      <c r="F42" s="1854"/>
    </row>
    <row r="43" spans="1:9">
      <c r="A43" s="795"/>
      <c r="B43" s="795"/>
      <c r="D43" s="779"/>
      <c r="E43" s="779"/>
      <c r="F43" s="779"/>
    </row>
    <row r="44" spans="1:9">
      <c r="A44" s="795"/>
      <c r="B44" s="796" t="s">
        <v>2638</v>
      </c>
      <c r="D44" s="1854" t="s">
        <v>1241</v>
      </c>
      <c r="E44" s="1854"/>
      <c r="F44" s="1854"/>
      <c r="I44" s="1736" t="s">
        <v>2406</v>
      </c>
    </row>
    <row r="45" spans="1:9">
      <c r="A45" s="795"/>
      <c r="B45" s="795"/>
      <c r="D45" s="1854"/>
      <c r="E45" s="1854"/>
      <c r="F45" s="1854"/>
    </row>
    <row r="46" spans="1:9">
      <c r="A46" s="795"/>
      <c r="B46" s="795"/>
      <c r="D46" s="1854"/>
      <c r="E46" s="1854"/>
      <c r="F46" s="1854"/>
    </row>
    <row r="47" spans="1:9" ht="23.25" customHeight="1">
      <c r="A47" s="795"/>
      <c r="B47" s="795"/>
      <c r="D47" s="1854"/>
      <c r="E47" s="1854"/>
      <c r="F47" s="1854"/>
    </row>
    <row r="48" spans="1:9">
      <c r="A48" s="795"/>
      <c r="B48" s="795"/>
      <c r="D48" s="783"/>
    </row>
    <row r="49" spans="1:9" ht="14.5" customHeight="1">
      <c r="A49" s="795"/>
      <c r="B49" s="796" t="s">
        <v>2638</v>
      </c>
      <c r="D49" s="1854" t="s">
        <v>1242</v>
      </c>
      <c r="E49" s="1854"/>
      <c r="F49" s="1854"/>
      <c r="I49" s="1736" t="s">
        <v>2406</v>
      </c>
    </row>
    <row r="50" spans="1:9">
      <c r="A50" s="795"/>
      <c r="B50" s="795"/>
      <c r="D50" s="1854"/>
      <c r="E50" s="1854"/>
      <c r="F50" s="1854"/>
    </row>
    <row r="51" spans="1:9">
      <c r="A51" s="795"/>
      <c r="B51" s="795"/>
      <c r="D51" s="1854"/>
      <c r="E51" s="1854"/>
      <c r="F51" s="1854"/>
    </row>
    <row r="52" spans="1:9" s="616" customFormat="1">
      <c r="A52" s="795"/>
      <c r="B52" s="795"/>
      <c r="C52" s="802"/>
      <c r="D52" s="800"/>
      <c r="E52" s="691"/>
      <c r="F52" s="691"/>
      <c r="G52" s="691"/>
      <c r="I52" s="640"/>
    </row>
    <row r="53" spans="1:9" s="616" customFormat="1">
      <c r="A53" s="803"/>
      <c r="B53" s="796" t="s">
        <v>2637</v>
      </c>
      <c r="C53" s="804"/>
      <c r="D53" s="1854" t="s">
        <v>1243</v>
      </c>
      <c r="E53" s="1854"/>
      <c r="F53" s="1854"/>
      <c r="G53" s="691"/>
      <c r="I53" s="1677"/>
    </row>
    <row r="54" spans="1:9" s="616" customFormat="1">
      <c r="A54" s="803"/>
      <c r="B54" s="803"/>
      <c r="C54" s="804"/>
      <c r="D54" s="1854"/>
      <c r="E54" s="1854"/>
      <c r="F54" s="1854"/>
      <c r="G54" s="691"/>
      <c r="I54" s="640"/>
    </row>
    <row r="55" spans="1:9" s="789" customFormat="1">
      <c r="A55" s="799"/>
      <c r="B55" s="799"/>
      <c r="C55" s="799"/>
      <c r="D55" s="731"/>
      <c r="E55" s="800"/>
      <c r="F55" s="800"/>
      <c r="G55" s="800"/>
      <c r="I55" s="1736"/>
    </row>
    <row r="56" spans="1:9">
      <c r="A56" s="795"/>
      <c r="B56" s="796" t="s">
        <v>2637</v>
      </c>
      <c r="D56" s="1854" t="s">
        <v>1244</v>
      </c>
      <c r="E56" s="1854"/>
      <c r="F56" s="1854"/>
      <c r="I56" s="1677" t="s">
        <v>2336</v>
      </c>
    </row>
    <row r="57" spans="1:9">
      <c r="D57" s="1854"/>
      <c r="E57" s="1854"/>
      <c r="F57" s="1854"/>
    </row>
    <row r="58" spans="1:9">
      <c r="D58" s="1854"/>
      <c r="E58" s="1854"/>
      <c r="F58" s="1854"/>
    </row>
    <row r="59" spans="1:9">
      <c r="D59" s="691"/>
    </row>
    <row r="60" spans="1:9">
      <c r="A60" s="795"/>
      <c r="B60" s="796" t="s">
        <v>2638</v>
      </c>
      <c r="D60" s="1854" t="s">
        <v>1245</v>
      </c>
      <c r="E60" s="1854"/>
      <c r="F60" s="1854"/>
      <c r="I60" s="1677" t="s">
        <v>2337</v>
      </c>
    </row>
    <row r="61" spans="1:9">
      <c r="D61" s="1854"/>
      <c r="E61" s="1854"/>
      <c r="F61" s="1854"/>
    </row>
    <row r="62" spans="1:9"/>
    <row r="63" spans="1:9">
      <c r="A63" s="795"/>
      <c r="B63" s="796" t="s">
        <v>2638</v>
      </c>
      <c r="D63" s="1854" t="s">
        <v>1246</v>
      </c>
      <c r="E63" s="1854"/>
      <c r="F63" s="1854"/>
    </row>
    <row r="64" spans="1:9">
      <c r="D64" s="1854"/>
      <c r="E64" s="1854"/>
      <c r="F64" s="1854"/>
      <c r="I64" s="1677" t="s">
        <v>2338</v>
      </c>
    </row>
    <row r="65" spans="1:9">
      <c r="D65" s="1854"/>
      <c r="E65" s="1854"/>
      <c r="F65" s="1854"/>
    </row>
    <row r="66" spans="1:9">
      <c r="D66" s="788"/>
    </row>
    <row r="67" spans="1:9">
      <c r="A67" s="795"/>
      <c r="B67" s="796" t="s">
        <v>2638</v>
      </c>
      <c r="D67" s="1853" t="s">
        <v>1247</v>
      </c>
      <c r="E67" s="1853"/>
      <c r="F67" s="1853"/>
      <c r="I67" s="1677" t="s">
        <v>2338</v>
      </c>
    </row>
    <row r="68" spans="1:9">
      <c r="D68" s="1853"/>
      <c r="E68" s="1853"/>
      <c r="F68" s="1853"/>
    </row>
    <row r="69" spans="1:9">
      <c r="A69" s="795"/>
      <c r="B69" s="795"/>
      <c r="D69" s="798"/>
    </row>
    <row r="70" spans="1:9">
      <c r="A70" s="1835" t="s">
        <v>1154</v>
      </c>
      <c r="B70" s="1835"/>
      <c r="C70" s="1835"/>
      <c r="D70" s="1835"/>
      <c r="E70" s="1835"/>
      <c r="F70" s="1835"/>
      <c r="G70" s="1835"/>
      <c r="H70" s="1752"/>
      <c r="I70" s="1753"/>
    </row>
    <row r="71" spans="1:9"/>
    <row r="72" spans="1:9">
      <c r="C72" s="805"/>
      <c r="D72" s="1924" t="s">
        <v>1252</v>
      </c>
      <c r="E72" s="1924"/>
      <c r="F72" s="1924"/>
    </row>
    <row r="73" spans="1:9">
      <c r="A73" s="798"/>
      <c r="B73" s="798"/>
      <c r="D73" s="1853" t="s">
        <v>1279</v>
      </c>
      <c r="E73" s="1853"/>
      <c r="F73" s="1853"/>
    </row>
    <row r="74" spans="1:9">
      <c r="A74" s="798"/>
      <c r="B74" s="798"/>
    </row>
    <row r="75" spans="1:9" ht="13.75" customHeight="1">
      <c r="A75" s="795"/>
      <c r="B75" s="796" t="s">
        <v>2637</v>
      </c>
      <c r="D75" s="1853" t="s">
        <v>1466</v>
      </c>
      <c r="E75" s="1853"/>
      <c r="F75" s="1853"/>
      <c r="I75" s="1677" t="s">
        <v>2339</v>
      </c>
    </row>
    <row r="76" spans="1:9">
      <c r="A76" s="795"/>
      <c r="B76" s="795"/>
      <c r="D76" s="1853"/>
      <c r="E76" s="1853"/>
      <c r="F76" s="1853"/>
    </row>
    <row r="77" spans="1:9">
      <c r="A77" s="795"/>
      <c r="B77" s="795"/>
      <c r="D77" s="1853"/>
      <c r="E77" s="1853"/>
      <c r="F77" s="1853"/>
    </row>
    <row r="78" spans="1:9">
      <c r="A78" s="795"/>
      <c r="B78" s="795"/>
      <c r="D78" s="1853"/>
      <c r="E78" s="1853"/>
      <c r="F78" s="1853"/>
    </row>
    <row r="79" spans="1:9">
      <c r="A79" s="795"/>
      <c r="B79" s="795"/>
      <c r="D79" s="1853"/>
      <c r="E79" s="1853"/>
      <c r="F79" s="1853"/>
    </row>
    <row r="80" spans="1:9">
      <c r="A80" s="795"/>
      <c r="B80" s="795"/>
      <c r="D80" s="1853"/>
      <c r="E80" s="1853"/>
      <c r="F80" s="1853"/>
    </row>
    <row r="81" spans="1:9">
      <c r="A81" s="795"/>
      <c r="B81" s="795"/>
      <c r="D81" s="1853"/>
      <c r="E81" s="1853"/>
      <c r="F81" s="1853"/>
    </row>
    <row r="82" spans="1:9">
      <c r="A82" s="795"/>
      <c r="B82" s="795"/>
      <c r="D82" s="1853"/>
      <c r="E82" s="1853"/>
      <c r="F82" s="1853"/>
    </row>
    <row r="83" spans="1:9">
      <c r="A83" s="795"/>
      <c r="B83" s="795"/>
      <c r="D83" s="876"/>
      <c r="E83" s="876"/>
      <c r="F83" s="876"/>
    </row>
    <row r="84" spans="1:9" ht="15" customHeight="1">
      <c r="A84" s="795"/>
      <c r="B84" s="796" t="s">
        <v>2637</v>
      </c>
      <c r="D84" s="1853" t="s">
        <v>2161</v>
      </c>
      <c r="E84" s="1853"/>
      <c r="F84" s="1853"/>
      <c r="I84" s="1677" t="s">
        <v>2340</v>
      </c>
    </row>
    <row r="85" spans="1:9">
      <c r="A85" s="795"/>
      <c r="B85" s="795"/>
      <c r="D85" s="1853"/>
      <c r="E85" s="1853"/>
      <c r="F85" s="1853"/>
    </row>
    <row r="86" spans="1:9">
      <c r="A86" s="795"/>
      <c r="B86" s="795"/>
      <c r="D86" s="1615"/>
      <c r="E86" s="1615"/>
      <c r="F86" s="1615"/>
    </row>
    <row r="87" spans="1:9">
      <c r="A87" s="795"/>
      <c r="B87" s="796" t="s">
        <v>2637</v>
      </c>
      <c r="D87" s="1853" t="s">
        <v>2165</v>
      </c>
      <c r="E87" s="1853"/>
      <c r="F87" s="1853"/>
      <c r="I87" s="1677" t="s">
        <v>2341</v>
      </c>
    </row>
    <row r="88" spans="1:9">
      <c r="A88" s="795"/>
      <c r="B88" s="795"/>
      <c r="D88" s="1853"/>
      <c r="E88" s="1853"/>
      <c r="F88" s="1853"/>
    </row>
    <row r="89" spans="1:9">
      <c r="A89" s="795"/>
      <c r="B89" s="795"/>
      <c r="D89" s="1853"/>
      <c r="E89" s="1853"/>
      <c r="F89" s="1853"/>
    </row>
    <row r="90" spans="1:9">
      <c r="A90" s="795"/>
      <c r="B90" s="795"/>
      <c r="D90" s="1615"/>
      <c r="E90" s="1615"/>
      <c r="F90" s="1615"/>
    </row>
    <row r="91" spans="1:9">
      <c r="A91" s="795"/>
      <c r="B91" s="796" t="s">
        <v>2637</v>
      </c>
      <c r="D91" s="1853" t="s">
        <v>2163</v>
      </c>
      <c r="E91" s="1853"/>
      <c r="F91" s="1853"/>
      <c r="I91" s="1677" t="s">
        <v>2386</v>
      </c>
    </row>
    <row r="92" spans="1:9" s="1632" customFormat="1">
      <c r="A92" s="1630"/>
      <c r="B92" s="1630"/>
      <c r="C92" s="1631"/>
      <c r="D92" s="1853"/>
      <c r="E92" s="1853"/>
      <c r="F92" s="1853"/>
      <c r="I92" s="1737"/>
    </row>
    <row r="93" spans="1:9">
      <c r="A93" s="795"/>
      <c r="B93" s="795"/>
      <c r="D93" s="1621"/>
      <c r="E93" s="1622" t="s">
        <v>2164</v>
      </c>
      <c r="F93" s="1615"/>
    </row>
    <row r="94" spans="1:9">
      <c r="A94" s="795"/>
      <c r="B94" s="795"/>
      <c r="D94" s="876"/>
      <c r="E94" s="876"/>
      <c r="F94" s="876"/>
    </row>
    <row r="95" spans="1:9">
      <c r="A95" s="795"/>
      <c r="B95" s="796" t="s">
        <v>2638</v>
      </c>
      <c r="D95" s="1853" t="s">
        <v>2162</v>
      </c>
      <c r="E95" s="1853"/>
      <c r="F95" s="1853"/>
      <c r="I95" s="1677" t="s">
        <v>2342</v>
      </c>
    </row>
    <row r="96" spans="1:9">
      <c r="A96" s="795"/>
      <c r="B96" s="795"/>
      <c r="D96" s="1853"/>
      <c r="E96" s="1853"/>
      <c r="F96" s="1853"/>
    </row>
    <row r="97" spans="1:9">
      <c r="A97" s="795"/>
      <c r="B97" s="795"/>
      <c r="D97" s="1615"/>
      <c r="E97" s="1615"/>
      <c r="F97" s="1615"/>
    </row>
    <row r="98" spans="1:9" ht="14.5" customHeight="1">
      <c r="A98" s="795"/>
      <c r="B98" s="796" t="s">
        <v>2638</v>
      </c>
      <c r="D98" s="1853" t="s">
        <v>1392</v>
      </c>
      <c r="E98" s="1853"/>
      <c r="F98" s="1853"/>
      <c r="G98" s="788"/>
      <c r="I98" s="1677" t="s">
        <v>2343</v>
      </c>
    </row>
    <row r="99" spans="1:9">
      <c r="A99" s="795"/>
      <c r="B99" s="795"/>
      <c r="D99" s="1853"/>
      <c r="E99" s="1853"/>
      <c r="F99" s="1853"/>
      <c r="G99" s="788"/>
    </row>
    <row r="100" spans="1:9">
      <c r="A100" s="795"/>
      <c r="B100" s="795"/>
      <c r="D100" s="1853"/>
      <c r="E100" s="1853"/>
      <c r="F100" s="1853"/>
      <c r="G100" s="788"/>
    </row>
    <row r="101" spans="1:9">
      <c r="A101" s="795"/>
      <c r="B101" s="795"/>
      <c r="D101" s="1853"/>
      <c r="E101" s="1853"/>
      <c r="F101" s="1853"/>
      <c r="G101" s="788"/>
    </row>
    <row r="102" spans="1:9">
      <c r="A102" s="795"/>
      <c r="B102" s="795"/>
      <c r="D102" s="1853"/>
      <c r="E102" s="1853"/>
      <c r="F102" s="1853"/>
      <c r="G102" s="788"/>
    </row>
    <row r="103" spans="1:9">
      <c r="A103" s="795"/>
      <c r="B103" s="795"/>
      <c r="D103" s="1853"/>
      <c r="E103" s="1853"/>
      <c r="F103" s="1853"/>
      <c r="G103" s="788"/>
    </row>
    <row r="104" spans="1:9">
      <c r="A104" s="795"/>
      <c r="B104" s="795"/>
      <c r="D104" s="1853"/>
      <c r="E104" s="1853"/>
      <c r="F104" s="1853"/>
      <c r="G104" s="788"/>
    </row>
    <row r="105" spans="1:9">
      <c r="A105" s="795"/>
      <c r="B105" s="795"/>
      <c r="D105" s="1853"/>
      <c r="E105" s="1853"/>
      <c r="F105" s="1853"/>
      <c r="G105" s="788"/>
    </row>
    <row r="106" spans="1:9">
      <c r="A106" s="795"/>
      <c r="B106" s="795"/>
      <c r="D106" s="1853"/>
      <c r="E106" s="1853"/>
      <c r="F106" s="1853"/>
      <c r="G106" s="788"/>
    </row>
    <row r="107" spans="1:9">
      <c r="A107" s="795"/>
      <c r="B107" s="795"/>
      <c r="D107" s="1853"/>
      <c r="E107" s="1853"/>
      <c r="F107" s="1853"/>
      <c r="G107" s="788"/>
    </row>
    <row r="108" spans="1:9">
      <c r="A108" s="795"/>
      <c r="B108" s="795"/>
      <c r="D108" s="1853"/>
      <c r="E108" s="1853"/>
      <c r="F108" s="1853"/>
      <c r="G108" s="788"/>
    </row>
    <row r="109" spans="1:9">
      <c r="A109" s="795"/>
      <c r="B109" s="795"/>
      <c r="D109" s="1853"/>
      <c r="E109" s="1853"/>
      <c r="F109" s="1853"/>
      <c r="G109" s="788"/>
    </row>
    <row r="110" spans="1:9">
      <c r="A110" s="795"/>
      <c r="B110" s="795"/>
      <c r="D110" s="1853"/>
      <c r="E110" s="1853"/>
      <c r="F110" s="1853"/>
      <c r="G110" s="788"/>
    </row>
    <row r="111" spans="1:9">
      <c r="A111" s="795"/>
      <c r="B111" s="795"/>
      <c r="D111" s="1853"/>
      <c r="E111" s="1853"/>
      <c r="F111" s="1853"/>
    </row>
    <row r="112" spans="1:9">
      <c r="A112" s="795"/>
      <c r="B112" s="795"/>
      <c r="D112" s="1853"/>
      <c r="E112" s="1853"/>
      <c r="F112" s="1853"/>
    </row>
    <row r="113" spans="1:11">
      <c r="A113" s="795"/>
      <c r="B113" s="795"/>
      <c r="D113" s="902"/>
      <c r="E113" s="902"/>
      <c r="F113" s="902"/>
    </row>
    <row r="114" spans="1:11" ht="14.25" customHeight="1">
      <c r="A114" s="795"/>
      <c r="B114" s="796" t="s">
        <v>2638</v>
      </c>
      <c r="D114" s="1873" t="s">
        <v>1254</v>
      </c>
      <c r="E114" s="1873"/>
      <c r="F114" s="1873"/>
    </row>
    <row r="115" spans="1:11">
      <c r="A115" s="795"/>
      <c r="B115" s="795"/>
      <c r="D115" s="1873"/>
      <c r="E115" s="1873"/>
      <c r="F115" s="1873"/>
    </row>
    <row r="116" spans="1:11">
      <c r="A116" s="795"/>
      <c r="B116" s="795"/>
      <c r="D116" s="1873"/>
      <c r="E116" s="1873"/>
      <c r="F116" s="1873"/>
    </row>
    <row r="117" spans="1:11">
      <c r="A117" s="795"/>
      <c r="B117" s="795"/>
      <c r="D117" s="1873"/>
      <c r="E117" s="1873"/>
      <c r="F117" s="1873"/>
    </row>
    <row r="118" spans="1:11">
      <c r="A118" s="795"/>
      <c r="B118" s="795"/>
      <c r="D118" s="1873"/>
      <c r="E118" s="1873"/>
      <c r="F118" s="1873"/>
    </row>
    <row r="119" spans="1:11">
      <c r="A119" s="795"/>
      <c r="B119" s="795"/>
      <c r="D119" s="1873"/>
      <c r="E119" s="1873"/>
      <c r="F119" s="1873"/>
    </row>
    <row r="120" spans="1:11">
      <c r="A120" s="795"/>
      <c r="B120" s="795"/>
      <c r="D120" s="1873"/>
      <c r="E120" s="1873"/>
      <c r="F120" s="1873"/>
    </row>
    <row r="121" spans="1:11">
      <c r="A121" s="795"/>
      <c r="B121" s="795"/>
      <c r="D121" s="1873"/>
      <c r="E121" s="1873"/>
      <c r="F121" s="1873"/>
    </row>
    <row r="122" spans="1:11">
      <c r="C122" s="720"/>
      <c r="D122" s="903"/>
      <c r="E122" s="903"/>
      <c r="F122" s="903"/>
      <c r="G122" s="720"/>
      <c r="H122" s="720"/>
      <c r="I122" s="620"/>
      <c r="J122" s="720"/>
      <c r="K122" s="720"/>
    </row>
    <row r="123" spans="1:11">
      <c r="A123" s="795"/>
      <c r="B123" s="796" t="s">
        <v>2637</v>
      </c>
      <c r="C123" s="720"/>
      <c r="D123" s="1873" t="s">
        <v>1256</v>
      </c>
      <c r="E123" s="1873"/>
      <c r="F123" s="1873"/>
      <c r="G123" s="720"/>
      <c r="H123" s="720"/>
      <c r="I123" s="620" t="s">
        <v>2344</v>
      </c>
      <c r="J123" s="720"/>
      <c r="K123" s="720"/>
    </row>
    <row r="124" spans="1:11">
      <c r="A124" s="795"/>
      <c r="B124" s="795"/>
      <c r="C124" s="720"/>
      <c r="D124" s="1873"/>
      <c r="E124" s="1873"/>
      <c r="F124" s="1873"/>
      <c r="G124" s="720"/>
      <c r="H124" s="720"/>
      <c r="I124" s="620"/>
      <c r="J124" s="720"/>
      <c r="K124" s="720"/>
    </row>
    <row r="125" spans="1:11"/>
    <row r="126" spans="1:11">
      <c r="A126" s="795"/>
      <c r="B126" s="796" t="s">
        <v>2637</v>
      </c>
      <c r="C126" s="802"/>
      <c r="D126" s="1853" t="s">
        <v>1257</v>
      </c>
      <c r="E126" s="1853"/>
      <c r="F126" s="1853"/>
      <c r="I126" s="620" t="s">
        <v>2344</v>
      </c>
    </row>
    <row r="127" spans="1:11">
      <c r="C127" s="802"/>
      <c r="D127" s="1853"/>
      <c r="E127" s="1853"/>
      <c r="F127" s="1853"/>
    </row>
    <row r="128" spans="1:11">
      <c r="C128" s="802"/>
      <c r="D128" s="1853"/>
      <c r="E128" s="1853"/>
      <c r="F128" s="1853"/>
    </row>
    <row r="129" spans="1:9">
      <c r="C129" s="802"/>
      <c r="D129" s="1853"/>
      <c r="E129" s="1853"/>
      <c r="F129" s="1853"/>
    </row>
    <row r="130" spans="1:9">
      <c r="C130" s="802"/>
      <c r="D130" s="1853"/>
      <c r="E130" s="1853"/>
      <c r="F130" s="1853"/>
    </row>
    <row r="131" spans="1:9">
      <c r="C131" s="802"/>
      <c r="D131" s="670"/>
      <c r="E131" s="670"/>
      <c r="F131" s="670"/>
    </row>
    <row r="132" spans="1:9" s="720" customFormat="1">
      <c r="A132" s="795"/>
      <c r="B132" s="796" t="s">
        <v>2637</v>
      </c>
      <c r="C132" s="802"/>
      <c r="D132" s="1854" t="s">
        <v>1258</v>
      </c>
      <c r="E132" s="1854"/>
      <c r="F132" s="1854"/>
      <c r="G132" s="670"/>
      <c r="I132" s="620" t="s">
        <v>2345</v>
      </c>
    </row>
    <row r="133" spans="1:9" s="810" customFormat="1" ht="13.75" customHeight="1">
      <c r="A133" s="807"/>
      <c r="B133" s="807"/>
      <c r="C133" s="808"/>
      <c r="D133" s="1854"/>
      <c r="E133" s="1854"/>
      <c r="F133" s="1854"/>
      <c r="G133" s="809"/>
      <c r="I133" s="1738"/>
    </row>
    <row r="134" spans="1:9" s="720" customFormat="1" ht="13.75" customHeight="1">
      <c r="A134" s="786"/>
      <c r="B134" s="786"/>
      <c r="C134" s="802"/>
      <c r="D134" s="1854"/>
      <c r="E134" s="1854"/>
      <c r="F134" s="1854"/>
      <c r="G134" s="670"/>
      <c r="I134" s="620"/>
    </row>
    <row r="135" spans="1:9" s="720" customFormat="1" ht="13.75" customHeight="1">
      <c r="A135" s="786"/>
      <c r="B135" s="786"/>
      <c r="C135" s="802"/>
      <c r="D135" s="1854"/>
      <c r="E135" s="1854"/>
      <c r="F135" s="1854"/>
      <c r="G135" s="670"/>
      <c r="I135" s="620"/>
    </row>
    <row r="136" spans="1:9" s="720" customFormat="1" ht="13.75" customHeight="1">
      <c r="A136" s="786"/>
      <c r="B136" s="786"/>
      <c r="C136" s="802"/>
      <c r="D136" s="1854"/>
      <c r="E136" s="1854"/>
      <c r="F136" s="1854"/>
      <c r="G136" s="670"/>
      <c r="I136" s="620"/>
    </row>
    <row r="137" spans="1:9" s="720" customFormat="1" ht="13.75" customHeight="1">
      <c r="A137" s="811"/>
      <c r="B137" s="811"/>
      <c r="C137" s="802"/>
      <c r="D137" s="1854"/>
      <c r="E137" s="1854"/>
      <c r="F137" s="1854"/>
      <c r="G137" s="670"/>
      <c r="I137" s="620"/>
    </row>
    <row r="138" spans="1:9" s="616" customFormat="1" ht="13.75" customHeight="1">
      <c r="A138" s="799"/>
      <c r="B138" s="799"/>
      <c r="C138" s="804"/>
      <c r="D138" s="1854"/>
      <c r="E138" s="1854"/>
      <c r="F138" s="1854"/>
      <c r="G138" s="691"/>
      <c r="I138" s="640"/>
    </row>
    <row r="139" spans="1:9" s="616" customFormat="1" ht="13.75" customHeight="1">
      <c r="A139" s="799"/>
      <c r="B139" s="799"/>
      <c r="C139" s="804"/>
      <c r="D139" s="1854"/>
      <c r="E139" s="1854"/>
      <c r="F139" s="1854"/>
      <c r="G139" s="691"/>
      <c r="I139" s="640"/>
    </row>
    <row r="140" spans="1:9" s="720" customFormat="1" ht="13.75" customHeight="1">
      <c r="A140" s="786"/>
      <c r="B140" s="786"/>
      <c r="C140" s="802"/>
      <c r="D140" s="1854"/>
      <c r="E140" s="1854"/>
      <c r="F140" s="1854"/>
      <c r="G140" s="670"/>
      <c r="I140" s="620"/>
    </row>
    <row r="141" spans="1:9" s="720" customFormat="1" ht="13.75" customHeight="1">
      <c r="A141" s="786"/>
      <c r="B141" s="786"/>
      <c r="C141" s="802"/>
      <c r="D141" s="1854"/>
      <c r="E141" s="1854"/>
      <c r="F141" s="1854"/>
      <c r="G141" s="670"/>
      <c r="I141" s="620"/>
    </row>
    <row r="142" spans="1:9" s="720" customFormat="1" ht="13.75" customHeight="1">
      <c r="A142" s="786"/>
      <c r="B142" s="786"/>
      <c r="C142" s="802"/>
      <c r="D142" s="1854"/>
      <c r="E142" s="1854"/>
      <c r="F142" s="1854"/>
      <c r="G142" s="670"/>
      <c r="I142" s="620"/>
    </row>
    <row r="143" spans="1:9" s="720" customFormat="1" ht="13.75" customHeight="1">
      <c r="A143" s="786"/>
      <c r="B143" s="786"/>
      <c r="C143" s="802"/>
      <c r="D143" s="1854"/>
      <c r="E143" s="1854"/>
      <c r="F143" s="1854"/>
      <c r="G143" s="670"/>
      <c r="I143" s="620"/>
    </row>
    <row r="144" spans="1:9" s="720" customFormat="1" ht="13.75" customHeight="1">
      <c r="A144" s="786"/>
      <c r="B144" s="786"/>
      <c r="C144" s="802"/>
      <c r="D144" s="794"/>
      <c r="E144" s="783"/>
      <c r="F144" s="783"/>
      <c r="G144" s="670"/>
      <c r="I144" s="620"/>
    </row>
    <row r="145" spans="1:9" s="720" customFormat="1" ht="13.75" customHeight="1">
      <c r="A145" s="786"/>
      <c r="B145" s="796" t="s">
        <v>2637</v>
      </c>
      <c r="C145" s="802"/>
      <c r="D145" s="1937" t="s">
        <v>1366</v>
      </c>
      <c r="E145" s="1937"/>
      <c r="F145" s="1937"/>
      <c r="G145" s="670"/>
      <c r="I145" s="620" t="s">
        <v>2346</v>
      </c>
    </row>
    <row r="146" spans="1:9" s="720" customFormat="1" ht="13.75" customHeight="1">
      <c r="A146" s="786"/>
      <c r="B146" s="786"/>
      <c r="C146" s="802"/>
      <c r="D146" s="1937"/>
      <c r="E146" s="1937"/>
      <c r="F146" s="1937"/>
      <c r="G146" s="670"/>
      <c r="I146" s="620"/>
    </row>
    <row r="147" spans="1:9" s="720" customFormat="1" ht="13.75" customHeight="1">
      <c r="A147" s="786"/>
      <c r="B147" s="786"/>
      <c r="C147" s="802"/>
      <c r="D147" s="1937"/>
      <c r="E147" s="1937"/>
      <c r="F147" s="1937"/>
      <c r="G147" s="670"/>
      <c r="I147" s="620"/>
    </row>
    <row r="148" spans="1:9" s="720" customFormat="1" ht="13.75" customHeight="1">
      <c r="A148" s="786"/>
      <c r="B148" s="786"/>
      <c r="C148" s="802"/>
      <c r="D148" s="1937"/>
      <c r="E148" s="1937"/>
      <c r="F148" s="1937"/>
      <c r="G148" s="670"/>
      <c r="I148" s="620"/>
    </row>
    <row r="149" spans="1:9" s="720" customFormat="1" ht="13.75" customHeight="1">
      <c r="A149" s="786"/>
      <c r="B149" s="786"/>
      <c r="C149" s="802"/>
      <c r="D149" s="1937"/>
      <c r="E149" s="1937"/>
      <c r="F149" s="1937"/>
      <c r="G149" s="670"/>
      <c r="I149" s="620"/>
    </row>
    <row r="150" spans="1:9" s="720" customFormat="1" ht="13.75" customHeight="1">
      <c r="A150" s="786"/>
      <c r="B150" s="786"/>
      <c r="C150" s="802"/>
      <c r="D150" s="1937"/>
      <c r="E150" s="1937"/>
      <c r="F150" s="1937"/>
      <c r="G150" s="670"/>
      <c r="I150" s="620"/>
    </row>
    <row r="151" spans="1:9" s="720" customFormat="1" ht="13.75" customHeight="1">
      <c r="A151" s="786"/>
      <c r="B151" s="786"/>
      <c r="C151" s="802"/>
      <c r="D151" s="1937"/>
      <c r="E151" s="1937"/>
      <c r="F151" s="1937"/>
      <c r="G151" s="670"/>
      <c r="I151" s="620"/>
    </row>
    <row r="152" spans="1:9" s="720" customFormat="1" ht="13.75" customHeight="1">
      <c r="A152" s="786"/>
      <c r="B152" s="786"/>
      <c r="C152" s="802"/>
      <c r="D152" s="1937"/>
      <c r="E152" s="1937"/>
      <c r="F152" s="1937"/>
      <c r="G152" s="670"/>
      <c r="I152" s="620"/>
    </row>
    <row r="153" spans="1:9" s="720" customFormat="1" ht="13.75" customHeight="1">
      <c r="A153" s="786"/>
      <c r="B153" s="786"/>
      <c r="C153" s="802"/>
      <c r="D153" s="1937"/>
      <c r="E153" s="1937"/>
      <c r="F153" s="1937"/>
      <c r="G153" s="670"/>
      <c r="I153" s="620"/>
    </row>
    <row r="154" spans="1:9" s="720" customFormat="1" ht="13.75" customHeight="1">
      <c r="A154" s="786"/>
      <c r="B154" s="786"/>
      <c r="C154" s="802"/>
      <c r="D154" s="1937"/>
      <c r="E154" s="1937"/>
      <c r="F154" s="1937"/>
      <c r="G154" s="670"/>
      <c r="I154" s="620"/>
    </row>
    <row r="155" spans="1:9" s="720" customFormat="1" ht="13.75" customHeight="1">
      <c r="A155" s="786"/>
      <c r="B155" s="786"/>
      <c r="C155" s="802"/>
      <c r="D155" s="1937"/>
      <c r="E155" s="1937"/>
      <c r="F155" s="1937"/>
      <c r="G155" s="670"/>
      <c r="I155" s="620"/>
    </row>
    <row r="156" spans="1:9" s="720" customFormat="1" ht="13.75" customHeight="1">
      <c r="A156" s="786"/>
      <c r="B156" s="786"/>
      <c r="C156" s="802"/>
      <c r="D156" s="1937"/>
      <c r="E156" s="1937"/>
      <c r="F156" s="1937"/>
      <c r="G156" s="670"/>
      <c r="I156" s="620"/>
    </row>
    <row r="157" spans="1:9" s="720" customFormat="1" ht="13.75" customHeight="1">
      <c r="A157" s="786"/>
      <c r="B157" s="786"/>
      <c r="C157" s="802"/>
      <c r="D157" s="1937"/>
      <c r="E157" s="1937"/>
      <c r="F157" s="1937"/>
      <c r="G157" s="670"/>
      <c r="I157" s="620"/>
    </row>
    <row r="158" spans="1:9" s="720" customFormat="1" ht="13.75" customHeight="1">
      <c r="A158" s="786"/>
      <c r="B158" s="786"/>
      <c r="C158" s="802"/>
      <c r="D158" s="1937"/>
      <c r="E158" s="1937"/>
      <c r="F158" s="1937"/>
      <c r="G158" s="670"/>
      <c r="I158" s="620"/>
    </row>
    <row r="159" spans="1:9" s="720" customFormat="1" ht="13.75" customHeight="1">
      <c r="A159" s="786"/>
      <c r="B159" s="786"/>
      <c r="C159" s="802"/>
      <c r="D159" s="1937"/>
      <c r="E159" s="1937"/>
      <c r="F159" s="1937"/>
      <c r="G159" s="670"/>
      <c r="I159" s="620"/>
    </row>
    <row r="160" spans="1:9" s="720" customFormat="1" ht="13.75" customHeight="1">
      <c r="A160" s="786"/>
      <c r="B160" s="786"/>
      <c r="C160" s="802"/>
      <c r="D160" s="1937"/>
      <c r="E160" s="1937"/>
      <c r="F160" s="1937"/>
      <c r="G160" s="670"/>
      <c r="I160" s="620"/>
    </row>
    <row r="161" spans="1:9" s="720" customFormat="1" ht="13.75" customHeight="1">
      <c r="A161" s="786"/>
      <c r="B161" s="786"/>
      <c r="C161" s="802"/>
      <c r="D161" s="1937"/>
      <c r="E161" s="1937"/>
      <c r="F161" s="1937"/>
      <c r="G161" s="670"/>
      <c r="I161" s="620"/>
    </row>
    <row r="162" spans="1:9" s="720" customFormat="1" ht="13.75" customHeight="1">
      <c r="A162" s="786"/>
      <c r="B162" s="786"/>
      <c r="C162" s="802"/>
      <c r="D162" s="1937"/>
      <c r="E162" s="1937"/>
      <c r="F162" s="1937"/>
      <c r="G162" s="670"/>
      <c r="I162" s="620"/>
    </row>
    <row r="163" spans="1:9" s="720" customFormat="1" ht="13.75" customHeight="1">
      <c r="A163" s="786"/>
      <c r="B163" s="786"/>
      <c r="C163" s="802"/>
      <c r="D163" s="1938" t="s">
        <v>1400</v>
      </c>
      <c r="E163" s="1938"/>
      <c r="F163" s="1938"/>
      <c r="G163" s="854"/>
      <c r="I163" s="620"/>
    </row>
    <row r="164" spans="1:9" s="720" customFormat="1" ht="13.75" customHeight="1">
      <c r="A164" s="786"/>
      <c r="B164" s="786"/>
      <c r="C164" s="802"/>
      <c r="D164" s="1936"/>
      <c r="E164" s="1936"/>
      <c r="F164" s="1936"/>
      <c r="G164" s="1936"/>
      <c r="I164" s="620"/>
    </row>
    <row r="165" spans="1:9" s="720" customFormat="1" ht="14.5" customHeight="1">
      <c r="A165" s="811"/>
      <c r="B165" s="796" t="s">
        <v>2637</v>
      </c>
      <c r="C165" s="812"/>
      <c r="D165" s="1827" t="s">
        <v>1428</v>
      </c>
      <c r="E165" s="1827"/>
      <c r="F165" s="1827"/>
      <c r="G165" s="813"/>
      <c r="I165" s="620" t="s">
        <v>2341</v>
      </c>
    </row>
    <row r="166" spans="1:9" s="720" customFormat="1" ht="14.5" customHeight="1">
      <c r="A166" s="811"/>
      <c r="B166" s="811"/>
      <c r="C166" s="812"/>
      <c r="D166" s="1827"/>
      <c r="E166" s="1827"/>
      <c r="F166" s="1827"/>
      <c r="G166" s="813"/>
      <c r="I166" s="620"/>
    </row>
    <row r="167" spans="1:9" s="720" customFormat="1" ht="13.75" customHeight="1">
      <c r="A167" s="811"/>
      <c r="B167" s="811"/>
      <c r="C167" s="812"/>
      <c r="D167" s="1827"/>
      <c r="E167" s="1827"/>
      <c r="F167" s="1827"/>
      <c r="G167" s="813"/>
      <c r="I167" s="620"/>
    </row>
    <row r="168" spans="1:9" s="720" customFormat="1" ht="13.75" customHeight="1">
      <c r="A168" s="811"/>
      <c r="B168" s="811"/>
      <c r="C168" s="812"/>
      <c r="D168" s="794"/>
      <c r="E168" s="812"/>
      <c r="F168" s="812"/>
      <c r="G168" s="813"/>
      <c r="I168" s="620"/>
    </row>
    <row r="169" spans="1:9" s="720" customFormat="1" ht="13.75" customHeight="1">
      <c r="A169" s="811"/>
      <c r="B169" s="796" t="s">
        <v>2638</v>
      </c>
      <c r="C169" s="812"/>
      <c r="D169" s="1823" t="s">
        <v>1260</v>
      </c>
      <c r="E169" s="1823"/>
      <c r="F169" s="1823"/>
      <c r="G169" s="813"/>
      <c r="I169" s="620" t="s">
        <v>2347</v>
      </c>
    </row>
    <row r="170" spans="1:9" s="720" customFormat="1" ht="13.75" customHeight="1">
      <c r="A170" s="811"/>
      <c r="B170" s="811"/>
      <c r="C170" s="812"/>
      <c r="D170" s="1823"/>
      <c r="E170" s="1823"/>
      <c r="F170" s="1823"/>
      <c r="G170" s="813"/>
      <c r="I170" s="620"/>
    </row>
    <row r="171" spans="1:9" s="720" customFormat="1" ht="13.75" customHeight="1">
      <c r="A171" s="811"/>
      <c r="B171" s="811"/>
      <c r="C171" s="812"/>
      <c r="D171" s="1823"/>
      <c r="E171" s="1823"/>
      <c r="F171" s="1823"/>
      <c r="G171" s="813"/>
      <c r="I171" s="620"/>
    </row>
    <row r="172" spans="1:9" s="720" customFormat="1" ht="13.75" customHeight="1">
      <c r="A172" s="811"/>
      <c r="B172" s="811"/>
      <c r="C172" s="812"/>
      <c r="D172" s="1823"/>
      <c r="E172" s="1823"/>
      <c r="F172" s="1823"/>
      <c r="G172" s="813"/>
      <c r="I172" s="620"/>
    </row>
    <row r="173" spans="1:9" s="720" customFormat="1" ht="13.75" customHeight="1">
      <c r="A173" s="786"/>
      <c r="B173" s="786"/>
      <c r="C173" s="802"/>
      <c r="D173" s="783"/>
      <c r="E173" s="783"/>
      <c r="F173" s="783"/>
      <c r="G173" s="670"/>
      <c r="I173" s="620"/>
    </row>
    <row r="174" spans="1:9" s="720" customFormat="1" ht="13.75" customHeight="1">
      <c r="A174" s="786"/>
      <c r="B174" s="796" t="s">
        <v>2637</v>
      </c>
      <c r="C174" s="802"/>
      <c r="D174" s="1858" t="s">
        <v>1261</v>
      </c>
      <c r="E174" s="1858"/>
      <c r="F174" s="1858"/>
      <c r="G174" s="670"/>
      <c r="I174" s="620" t="s">
        <v>2348</v>
      </c>
    </row>
    <row r="175" spans="1:9" s="720" customFormat="1" ht="13.75" customHeight="1">
      <c r="A175" s="786"/>
      <c r="B175" s="786"/>
      <c r="C175" s="802"/>
      <c r="D175" s="1858"/>
      <c r="E175" s="1858"/>
      <c r="F175" s="1858"/>
      <c r="G175" s="670"/>
      <c r="I175" s="620"/>
    </row>
    <row r="176" spans="1:9" s="720" customFormat="1" ht="13.75" customHeight="1">
      <c r="A176" s="786"/>
      <c r="B176" s="786"/>
      <c r="C176" s="802"/>
      <c r="D176" s="1858"/>
      <c r="E176" s="1858"/>
      <c r="F176" s="1858"/>
      <c r="G176" s="670"/>
      <c r="I176" s="620"/>
    </row>
    <row r="177" spans="1:9" s="720" customFormat="1" ht="13.75" customHeight="1">
      <c r="A177" s="814"/>
      <c r="B177" s="814"/>
      <c r="C177" s="802"/>
      <c r="D177" s="787"/>
      <c r="E177" s="783"/>
      <c r="F177" s="783"/>
      <c r="G177" s="670"/>
      <c r="I177" s="620"/>
    </row>
    <row r="178" spans="1:9">
      <c r="A178" s="1835" t="s">
        <v>2323</v>
      </c>
      <c r="B178" s="1835"/>
      <c r="C178" s="1835"/>
      <c r="D178" s="1835"/>
      <c r="E178" s="1835"/>
      <c r="F178" s="1835"/>
      <c r="G178" s="1835"/>
      <c r="H178" s="1752"/>
      <c r="I178" s="1753"/>
    </row>
    <row r="179" spans="1:9" ht="12" customHeight="1">
      <c r="D179" s="798"/>
      <c r="E179" s="798"/>
      <c r="F179" s="798"/>
    </row>
    <row r="180" spans="1:9">
      <c r="B180" s="1925" t="s">
        <v>468</v>
      </c>
      <c r="C180" s="1925"/>
      <c r="D180" s="1925"/>
      <c r="E180" s="1925"/>
      <c r="F180" s="1925"/>
    </row>
    <row r="181" spans="1:9" s="1675" customFormat="1">
      <c r="A181" s="786"/>
      <c r="B181" s="1730" t="s">
        <v>2324</v>
      </c>
      <c r="C181" s="1730"/>
      <c r="D181" s="1730"/>
      <c r="E181" s="1730"/>
      <c r="F181" s="1730"/>
      <c r="G181" s="1674"/>
      <c r="I181" s="1677"/>
    </row>
    <row r="182" spans="1:9" ht="12" customHeight="1">
      <c r="A182" s="791"/>
      <c r="B182" s="791"/>
      <c r="C182" s="791"/>
    </row>
    <row r="183" spans="1:9">
      <c r="A183" s="1835" t="s">
        <v>1156</v>
      </c>
      <c r="B183" s="1835"/>
      <c r="C183" s="1835"/>
      <c r="D183" s="1835"/>
      <c r="E183" s="1835"/>
      <c r="F183" s="1835"/>
      <c r="G183" s="1835"/>
      <c r="H183" s="1752"/>
      <c r="I183" s="1753"/>
    </row>
    <row r="184" spans="1:9" ht="12" customHeight="1">
      <c r="A184" s="815"/>
      <c r="B184" s="815"/>
      <c r="C184" s="816"/>
      <c r="D184" s="817"/>
      <c r="E184" s="818"/>
      <c r="F184" s="817"/>
      <c r="G184" s="817"/>
    </row>
    <row r="185" spans="1:9" ht="13.75" customHeight="1">
      <c r="A185" s="815"/>
      <c r="B185" s="815"/>
      <c r="C185" s="816"/>
      <c r="D185" s="1859" t="s">
        <v>2166</v>
      </c>
      <c r="E185" s="1859"/>
      <c r="F185" s="1859"/>
      <c r="G185" s="817"/>
    </row>
    <row r="186" spans="1:9">
      <c r="A186" s="815"/>
      <c r="B186" s="815"/>
      <c r="C186" s="816"/>
      <c r="D186" s="1859"/>
      <c r="E186" s="1859"/>
      <c r="F186" s="1859"/>
      <c r="G186" s="817"/>
    </row>
    <row r="187" spans="1:9">
      <c r="A187" s="815"/>
      <c r="B187" s="815"/>
      <c r="C187" s="816"/>
      <c r="D187" s="1860" t="s">
        <v>1393</v>
      </c>
      <c r="E187" s="1860"/>
      <c r="F187" s="1860"/>
      <c r="G187" s="817"/>
    </row>
    <row r="188" spans="1:9">
      <c r="A188" s="815"/>
      <c r="B188" s="815"/>
      <c r="C188" s="816"/>
      <c r="D188" s="1616"/>
      <c r="E188" s="1616"/>
      <c r="F188" s="1616"/>
      <c r="G188" s="817"/>
    </row>
    <row r="189" spans="1:9">
      <c r="A189" s="815"/>
      <c r="B189" s="796" t="s">
        <v>2638</v>
      </c>
      <c r="C189" s="816"/>
      <c r="D189" s="1828" t="s">
        <v>2167</v>
      </c>
      <c r="E189" s="1828"/>
      <c r="F189" s="1828"/>
      <c r="G189" s="817"/>
      <c r="I189" s="1677" t="s">
        <v>2397</v>
      </c>
    </row>
    <row r="190" spans="1:9">
      <c r="A190" s="815"/>
      <c r="B190" s="815"/>
      <c r="C190" s="816"/>
      <c r="D190" s="1881" t="s">
        <v>2168</v>
      </c>
      <c r="E190" s="1881"/>
      <c r="F190" s="1881"/>
      <c r="G190" s="817"/>
    </row>
    <row r="191" spans="1:9">
      <c r="A191" s="815"/>
      <c r="B191" s="815"/>
      <c r="C191" s="816"/>
      <c r="D191" s="1633" t="s">
        <v>2169</v>
      </c>
      <c r="E191" s="1906" t="s">
        <v>2170</v>
      </c>
      <c r="F191" s="1906"/>
      <c r="G191" s="817"/>
    </row>
    <row r="192" spans="1:9">
      <c r="A192" s="815"/>
      <c r="B192" s="815"/>
      <c r="C192" s="816"/>
      <c r="D192" s="155"/>
      <c r="E192" s="155"/>
      <c r="F192" s="155"/>
      <c r="G192" s="817"/>
    </row>
    <row r="193" spans="1:9">
      <c r="A193" s="815"/>
      <c r="B193" s="796" t="s">
        <v>2638</v>
      </c>
      <c r="C193" s="816"/>
      <c r="D193" s="1881" t="s">
        <v>2171</v>
      </c>
      <c r="E193" s="1881"/>
      <c r="F193" s="1881"/>
      <c r="G193" s="817"/>
      <c r="I193" s="1677" t="s">
        <v>2398</v>
      </c>
    </row>
    <row r="194" spans="1:9">
      <c r="A194" s="815"/>
      <c r="B194" s="815"/>
      <c r="C194" s="816"/>
      <c r="D194" s="1828" t="s">
        <v>2168</v>
      </c>
      <c r="E194" s="1828"/>
      <c r="F194" s="1828"/>
      <c r="G194" s="817"/>
    </row>
    <row r="195" spans="1:9">
      <c r="A195" s="815"/>
      <c r="B195" s="815"/>
      <c r="C195" s="816"/>
      <c r="D195" s="1614" t="s">
        <v>2172</v>
      </c>
      <c r="E195" s="1923" t="s">
        <v>2173</v>
      </c>
      <c r="F195" s="1923"/>
      <c r="G195" s="817"/>
    </row>
    <row r="196" spans="1:9">
      <c r="A196" s="815"/>
      <c r="B196" s="815"/>
      <c r="C196" s="816"/>
      <c r="D196" s="155"/>
      <c r="E196" s="155"/>
      <c r="F196" s="155"/>
      <c r="G196" s="817"/>
    </row>
    <row r="197" spans="1:9">
      <c r="A197" s="815"/>
      <c r="B197" s="796" t="s">
        <v>2638</v>
      </c>
      <c r="C197" s="816"/>
      <c r="D197" s="1881" t="s">
        <v>2174</v>
      </c>
      <c r="E197" s="1881"/>
      <c r="F197" s="1881"/>
      <c r="G197" s="817"/>
      <c r="I197" s="1677" t="s">
        <v>2399</v>
      </c>
    </row>
    <row r="198" spans="1:9">
      <c r="A198" s="815"/>
      <c r="B198" s="815"/>
      <c r="C198" s="816"/>
      <c r="D198" s="1611" t="s">
        <v>2168</v>
      </c>
      <c r="E198" s="155"/>
      <c r="F198" s="155"/>
      <c r="G198" s="817"/>
    </row>
    <row r="199" spans="1:9">
      <c r="A199" s="815"/>
      <c r="B199" s="815"/>
      <c r="C199" s="816"/>
      <c r="D199" s="1614" t="s">
        <v>2169</v>
      </c>
      <c r="E199" s="1923" t="s">
        <v>2175</v>
      </c>
      <c r="F199" s="1923"/>
      <c r="G199" s="817"/>
    </row>
    <row r="200" spans="1:9">
      <c r="A200" s="815"/>
      <c r="B200" s="815"/>
      <c r="C200" s="816"/>
      <c r="D200" s="1616"/>
      <c r="E200" s="1616"/>
      <c r="F200" s="1616"/>
      <c r="G200" s="817"/>
    </row>
    <row r="201" spans="1:9">
      <c r="A201" s="795"/>
      <c r="B201" s="796" t="s">
        <v>2638</v>
      </c>
      <c r="C201" s="816"/>
      <c r="D201" s="1853" t="s">
        <v>2176</v>
      </c>
      <c r="E201" s="1853"/>
      <c r="F201" s="1853"/>
      <c r="G201" s="817"/>
      <c r="I201" s="1677" t="s">
        <v>2400</v>
      </c>
    </row>
    <row r="202" spans="1:9">
      <c r="A202" s="795"/>
      <c r="B202" s="795"/>
      <c r="C202" s="816"/>
      <c r="D202" s="1853"/>
      <c r="E202" s="1853"/>
      <c r="F202" s="1853"/>
      <c r="G202" s="817"/>
    </row>
    <row r="203" spans="1:9">
      <c r="A203" s="816"/>
      <c r="B203" s="816"/>
      <c r="C203" s="816"/>
      <c r="D203" s="1853"/>
      <c r="E203" s="1853"/>
      <c r="F203" s="1853"/>
    </row>
    <row r="204" spans="1:9">
      <c r="A204" s="816"/>
      <c r="B204" s="816"/>
      <c r="C204" s="816"/>
      <c r="D204" s="801"/>
      <c r="E204" s="817"/>
      <c r="F204" s="817"/>
    </row>
    <row r="205" spans="1:9">
      <c r="A205" s="816"/>
      <c r="B205" s="796" t="s">
        <v>2638</v>
      </c>
      <c r="C205" s="816"/>
      <c r="D205" s="1881" t="s">
        <v>2177</v>
      </c>
      <c r="E205" s="1881"/>
      <c r="F205" s="1881"/>
      <c r="I205" s="1677" t="s">
        <v>2401</v>
      </c>
    </row>
    <row r="206" spans="1:9">
      <c r="A206" s="816"/>
      <c r="B206" s="816"/>
      <c r="C206" s="816"/>
      <c r="D206" s="1881" t="s">
        <v>2168</v>
      </c>
      <c r="E206" s="1881"/>
      <c r="F206" s="1881"/>
    </row>
    <row r="207" spans="1:9">
      <c r="A207" s="816"/>
      <c r="B207" s="816"/>
      <c r="C207" s="816"/>
      <c r="D207" s="1614" t="s">
        <v>2169</v>
      </c>
      <c r="E207" s="1923" t="s">
        <v>2178</v>
      </c>
      <c r="F207" s="1923"/>
    </row>
    <row r="208" spans="1:9">
      <c r="A208" s="816"/>
      <c r="B208" s="816"/>
      <c r="C208" s="816"/>
      <c r="D208" s="777"/>
      <c r="E208" s="777"/>
      <c r="F208" s="777"/>
    </row>
    <row r="209" spans="1:9" s="616" customFormat="1">
      <c r="A209" s="795"/>
      <c r="B209" s="796" t="s">
        <v>2638</v>
      </c>
      <c r="C209" s="804"/>
      <c r="D209" s="1853" t="s">
        <v>1419</v>
      </c>
      <c r="E209" s="1853"/>
      <c r="F209" s="1853"/>
      <c r="G209" s="691"/>
      <c r="I209" s="640"/>
    </row>
    <row r="210" spans="1:9" s="616" customFormat="1" ht="14.5" customHeight="1">
      <c r="A210" s="795"/>
      <c r="C210" s="804"/>
      <c r="D210" s="1853"/>
      <c r="E210" s="1853"/>
      <c r="F210" s="1853"/>
      <c r="G210" s="691"/>
      <c r="I210" s="640"/>
    </row>
    <row r="211" spans="1:9" s="616" customFormat="1">
      <c r="A211" s="795"/>
      <c r="B211" s="816"/>
      <c r="C211" s="804"/>
      <c r="D211" s="1853"/>
      <c r="E211" s="1853"/>
      <c r="F211" s="1853"/>
      <c r="G211" s="691"/>
      <c r="I211" s="640"/>
    </row>
    <row r="212" spans="1:9" s="616" customFormat="1">
      <c r="A212" s="795"/>
      <c r="B212" s="816"/>
      <c r="C212" s="804"/>
      <c r="D212" s="1853"/>
      <c r="E212" s="1853"/>
      <c r="F212" s="1853"/>
      <c r="G212" s="691"/>
      <c r="I212" s="640"/>
    </row>
    <row r="213" spans="1:9">
      <c r="A213" s="816"/>
      <c r="B213" s="816"/>
      <c r="C213" s="816"/>
      <c r="D213" s="777"/>
      <c r="E213" s="777"/>
      <c r="F213" s="777"/>
    </row>
    <row r="214" spans="1:9">
      <c r="A214" s="1835" t="s">
        <v>1157</v>
      </c>
      <c r="B214" s="1835"/>
      <c r="C214" s="1835"/>
      <c r="D214" s="1835"/>
      <c r="E214" s="1835"/>
      <c r="F214" s="1835"/>
      <c r="G214" s="1835"/>
      <c r="H214" s="1752"/>
      <c r="I214" s="1753"/>
    </row>
    <row r="215" spans="1:9" ht="12" customHeight="1">
      <c r="D215" s="798"/>
      <c r="E215" s="798"/>
      <c r="F215" s="798"/>
    </row>
    <row r="216" spans="1:9">
      <c r="C216" s="805"/>
      <c r="D216" s="1941" t="s">
        <v>213</v>
      </c>
      <c r="E216" s="1941"/>
      <c r="F216" s="1941"/>
    </row>
    <row r="217" spans="1:9">
      <c r="A217" s="791"/>
      <c r="B217" s="791"/>
      <c r="C217" s="791"/>
      <c r="D217" s="1927" t="s">
        <v>1286</v>
      </c>
      <c r="E217" s="1927"/>
      <c r="F217" s="1927"/>
    </row>
    <row r="218" spans="1:9" ht="12" customHeight="1">
      <c r="A218" s="814"/>
      <c r="B218" s="814"/>
      <c r="C218" s="814"/>
    </row>
    <row r="219" spans="1:9" ht="13.75" customHeight="1">
      <c r="A219" s="814"/>
      <c r="C219" s="814"/>
      <c r="D219" s="1852" t="s">
        <v>577</v>
      </c>
      <c r="E219" s="1852"/>
      <c r="F219" s="1852"/>
      <c r="I219" s="1677" t="s">
        <v>2349</v>
      </c>
    </row>
    <row r="220" spans="1:9">
      <c r="A220" s="795"/>
      <c r="B220" s="796" t="s">
        <v>2637</v>
      </c>
      <c r="D220" s="1853" t="s">
        <v>2179</v>
      </c>
      <c r="E220" s="1853"/>
      <c r="F220" s="1853"/>
    </row>
    <row r="221" spans="1:9" ht="14.25" customHeight="1">
      <c r="A221" s="795"/>
      <c r="B221" s="795"/>
      <c r="D221" s="1853"/>
      <c r="E221" s="1853"/>
      <c r="F221" s="1853"/>
    </row>
    <row r="222" spans="1:9" ht="14.25" customHeight="1">
      <c r="A222" s="795"/>
      <c r="B222" s="795"/>
      <c r="D222" s="1853"/>
      <c r="E222" s="1853"/>
      <c r="F222" s="1853"/>
    </row>
    <row r="223" spans="1:9">
      <c r="A223" s="795"/>
      <c r="B223" s="795"/>
      <c r="D223" s="1853"/>
      <c r="E223" s="1853"/>
      <c r="F223" s="1853"/>
    </row>
    <row r="224" spans="1:9">
      <c r="A224" s="795"/>
      <c r="B224" s="795"/>
      <c r="D224" s="1615"/>
      <c r="E224" s="1615"/>
      <c r="F224" s="1615"/>
    </row>
    <row r="225" spans="1:9">
      <c r="A225" s="795"/>
      <c r="B225" s="796" t="s">
        <v>2637</v>
      </c>
      <c r="D225" s="1853" t="s">
        <v>2180</v>
      </c>
      <c r="E225" s="1853"/>
      <c r="F225" s="1853"/>
      <c r="I225" s="1677" t="s">
        <v>2350</v>
      </c>
    </row>
    <row r="226" spans="1:9">
      <c r="A226" s="795"/>
      <c r="B226" s="795"/>
      <c r="D226" s="1853"/>
      <c r="E226" s="1853"/>
      <c r="F226" s="1853"/>
    </row>
    <row r="227" spans="1:9">
      <c r="A227" s="795"/>
      <c r="B227" s="795"/>
      <c r="D227" s="1853"/>
      <c r="E227" s="1853"/>
      <c r="F227" s="1853"/>
    </row>
    <row r="228" spans="1:9">
      <c r="A228" s="795"/>
      <c r="B228" s="795"/>
      <c r="D228" s="1853"/>
      <c r="E228" s="1853"/>
      <c r="F228" s="1853"/>
    </row>
    <row r="229" spans="1:9" ht="14.25" customHeight="1">
      <c r="A229" s="795"/>
      <c r="B229" s="795"/>
      <c r="D229" s="1853"/>
      <c r="E229" s="1853"/>
      <c r="F229" s="1853"/>
    </row>
    <row r="230" spans="1:9" ht="14.25" customHeight="1">
      <c r="A230" s="795"/>
      <c r="B230" s="795"/>
      <c r="D230" s="1615"/>
      <c r="E230" s="1615"/>
      <c r="F230" s="1615"/>
    </row>
    <row r="231" spans="1:9">
      <c r="A231" s="795"/>
      <c r="B231" s="795"/>
      <c r="D231" s="1853" t="s">
        <v>1282</v>
      </c>
      <c r="E231" s="1853"/>
      <c r="F231" s="1853"/>
      <c r="I231" s="1677" t="s">
        <v>2349</v>
      </c>
    </row>
    <row r="232" spans="1:9">
      <c r="A232" s="795"/>
      <c r="B232" s="795"/>
      <c r="D232" s="1853"/>
      <c r="E232" s="1853"/>
      <c r="F232" s="1853"/>
    </row>
    <row r="233" spans="1:9">
      <c r="A233" s="795"/>
      <c r="B233" s="795"/>
      <c r="D233" s="1853"/>
      <c r="E233" s="1853"/>
      <c r="F233" s="1853"/>
    </row>
    <row r="234" spans="1:9">
      <c r="A234" s="795"/>
      <c r="B234" s="795"/>
      <c r="D234" s="1853"/>
      <c r="E234" s="1853"/>
      <c r="F234" s="1853"/>
    </row>
    <row r="235" spans="1:9">
      <c r="A235" s="795"/>
      <c r="B235" s="795"/>
      <c r="D235" s="1853"/>
      <c r="E235" s="1853"/>
      <c r="F235" s="1853"/>
    </row>
    <row r="236" spans="1:9">
      <c r="A236" s="795"/>
      <c r="B236" s="795"/>
      <c r="D236" s="798"/>
      <c r="E236" s="798"/>
      <c r="F236" s="798"/>
    </row>
    <row r="237" spans="1:9">
      <c r="A237" s="795"/>
      <c r="B237" s="796" t="s">
        <v>2638</v>
      </c>
      <c r="D237" s="1931" t="s">
        <v>2184</v>
      </c>
      <c r="E237" s="1931"/>
      <c r="F237" s="1931"/>
      <c r="I237" s="1677" t="s">
        <v>2388</v>
      </c>
    </row>
    <row r="238" spans="1:9">
      <c r="A238" s="795"/>
      <c r="B238" s="795"/>
      <c r="D238" s="1931"/>
      <c r="E238" s="1931"/>
      <c r="F238" s="1931"/>
    </row>
    <row r="239" spans="1:9">
      <c r="A239" s="795"/>
      <c r="B239" s="795"/>
      <c r="D239" s="1931"/>
      <c r="E239" s="1931"/>
      <c r="F239" s="1931"/>
    </row>
    <row r="240" spans="1:9">
      <c r="A240" s="795"/>
      <c r="B240" s="795"/>
      <c r="D240" s="1925" t="s">
        <v>961</v>
      </c>
      <c r="E240" s="1925"/>
      <c r="F240" s="1925"/>
    </row>
    <row r="241" spans="1:9">
      <c r="A241" s="795"/>
      <c r="B241" s="795"/>
      <c r="D241" s="798"/>
      <c r="E241" s="798"/>
      <c r="F241" s="798"/>
    </row>
    <row r="242" spans="1:9" ht="14.5" customHeight="1">
      <c r="A242" s="795"/>
      <c r="B242" s="796" t="s">
        <v>2638</v>
      </c>
      <c r="D242" s="1931" t="s">
        <v>1285</v>
      </c>
      <c r="E242" s="1931"/>
      <c r="F242" s="1931"/>
      <c r="I242" s="1677" t="s">
        <v>2408</v>
      </c>
    </row>
    <row r="243" spans="1:9">
      <c r="A243" s="795"/>
      <c r="B243" s="795"/>
      <c r="D243" s="1931"/>
      <c r="E243" s="1931"/>
      <c r="F243" s="1931"/>
    </row>
    <row r="244" spans="1:9">
      <c r="A244" s="795"/>
      <c r="B244" s="795"/>
      <c r="D244" s="1931"/>
      <c r="E244" s="1931"/>
      <c r="F244" s="1931"/>
    </row>
    <row r="245" spans="1:9">
      <c r="A245" s="795"/>
      <c r="B245" s="795"/>
      <c r="D245" s="1931"/>
      <c r="E245" s="1931"/>
      <c r="F245" s="1931"/>
    </row>
    <row r="246" spans="1:9">
      <c r="A246" s="795"/>
      <c r="B246" s="795"/>
      <c r="D246" s="1931"/>
      <c r="E246" s="1931"/>
      <c r="F246" s="1931"/>
    </row>
    <row r="247" spans="1:9">
      <c r="A247" s="795"/>
      <c r="B247" s="795"/>
      <c r="D247" s="1627"/>
      <c r="E247" s="1627"/>
      <c r="F247" s="1627"/>
    </row>
    <row r="248" spans="1:9">
      <c r="A248" s="795"/>
      <c r="B248" s="796" t="s">
        <v>2637</v>
      </c>
      <c r="D248" s="1626" t="s">
        <v>2181</v>
      </c>
      <c r="E248" s="1627"/>
      <c r="F248" s="1627"/>
      <c r="I248" s="1677" t="s">
        <v>2387</v>
      </c>
    </row>
    <row r="249" spans="1:9">
      <c r="A249" s="795"/>
      <c r="B249" s="795"/>
      <c r="D249" s="1626"/>
      <c r="E249" s="1634" t="s">
        <v>2182</v>
      </c>
      <c r="F249" s="1627"/>
    </row>
    <row r="250" spans="1:9">
      <c r="D250" s="798"/>
      <c r="E250" s="798"/>
      <c r="F250" s="798"/>
    </row>
    <row r="251" spans="1:9">
      <c r="A251" s="795"/>
      <c r="B251" s="796" t="s">
        <v>2637</v>
      </c>
      <c r="D251" s="1853" t="s">
        <v>1284</v>
      </c>
      <c r="E251" s="1853"/>
      <c r="F251" s="1853"/>
    </row>
    <row r="252" spans="1:9">
      <c r="A252" s="795"/>
      <c r="B252" s="795"/>
      <c r="D252" s="1853"/>
      <c r="E252" s="1853"/>
      <c r="F252" s="1853"/>
    </row>
    <row r="253" spans="1:9">
      <c r="D253" s="819"/>
    </row>
    <row r="254" spans="1:9">
      <c r="A254" s="1835" t="s">
        <v>1158</v>
      </c>
      <c r="B254" s="1835"/>
      <c r="C254" s="1835"/>
      <c r="D254" s="1835"/>
      <c r="E254" s="1835"/>
      <c r="F254" s="1835"/>
      <c r="G254" s="1835"/>
      <c r="H254" s="1752"/>
      <c r="I254" s="1753"/>
    </row>
    <row r="255" spans="1:9">
      <c r="D255" s="819"/>
    </row>
    <row r="256" spans="1:9">
      <c r="C256" s="805"/>
      <c r="D256" s="1852" t="s">
        <v>1287</v>
      </c>
      <c r="E256" s="1852"/>
      <c r="F256" s="1852"/>
    </row>
    <row r="257" spans="1:9">
      <c r="A257" s="791"/>
      <c r="B257" s="791"/>
      <c r="C257" s="791"/>
      <c r="D257" s="798"/>
      <c r="E257" s="798"/>
      <c r="F257" s="798"/>
    </row>
    <row r="258" spans="1:9">
      <c r="A258" s="793"/>
      <c r="B258" s="793"/>
      <c r="C258" s="793"/>
      <c r="D258" s="1852" t="s">
        <v>274</v>
      </c>
      <c r="E258" s="1852"/>
      <c r="F258" s="1852"/>
      <c r="I258" s="1677" t="s">
        <v>2389</v>
      </c>
    </row>
    <row r="259" spans="1:9" ht="14.5" customHeight="1">
      <c r="A259" s="795"/>
      <c r="B259" s="796" t="s">
        <v>2637</v>
      </c>
      <c r="D259" s="1933" t="s">
        <v>1394</v>
      </c>
      <c r="E259" s="1933"/>
      <c r="F259" s="1933"/>
    </row>
    <row r="260" spans="1:9">
      <c r="D260" s="1933"/>
      <c r="E260" s="1933"/>
      <c r="F260" s="1933"/>
    </row>
    <row r="261" spans="1:9">
      <c r="D261" s="1927" t="s">
        <v>952</v>
      </c>
      <c r="E261" s="1927"/>
      <c r="F261" s="1927"/>
    </row>
    <row r="262" spans="1:9">
      <c r="D262" s="798"/>
      <c r="E262" s="798"/>
      <c r="F262" s="798"/>
    </row>
    <row r="263" spans="1:9" ht="14.5" customHeight="1">
      <c r="A263" s="795"/>
      <c r="B263" s="796" t="s">
        <v>2638</v>
      </c>
      <c r="D263" s="1931" t="s">
        <v>2183</v>
      </c>
      <c r="E263" s="1931"/>
      <c r="F263" s="1931"/>
      <c r="I263" s="1677" t="s">
        <v>2409</v>
      </c>
    </row>
    <row r="264" spans="1:9">
      <c r="D264" s="1931"/>
      <c r="E264" s="1931"/>
      <c r="F264" s="1931"/>
    </row>
    <row r="265" spans="1:9">
      <c r="D265" s="1931"/>
      <c r="E265" s="1931"/>
      <c r="F265" s="1931"/>
    </row>
    <row r="266" spans="1:9">
      <c r="D266" s="1931"/>
      <c r="E266" s="1931"/>
      <c r="F266" s="1931"/>
    </row>
    <row r="267" spans="1:9">
      <c r="D267" s="1931"/>
      <c r="E267" s="1931"/>
      <c r="F267" s="1931"/>
    </row>
    <row r="268" spans="1:9">
      <c r="D268" s="1931"/>
      <c r="E268" s="1931"/>
      <c r="F268" s="1931"/>
    </row>
    <row r="269" spans="1:9">
      <c r="D269" s="798"/>
      <c r="E269" s="798"/>
      <c r="F269" s="798"/>
    </row>
    <row r="270" spans="1:9">
      <c r="A270" s="795"/>
      <c r="B270" s="796" t="s">
        <v>2638</v>
      </c>
      <c r="D270" s="1853" t="s">
        <v>1290</v>
      </c>
      <c r="E270" s="1853"/>
      <c r="F270" s="1853"/>
    </row>
    <row r="271" spans="1:9">
      <c r="D271" s="1853"/>
      <c r="E271" s="1853"/>
      <c r="F271" s="1853"/>
    </row>
    <row r="272" spans="1:9">
      <c r="D272" s="1853"/>
      <c r="E272" s="1853"/>
      <c r="F272" s="1853"/>
    </row>
    <row r="273" spans="1:9">
      <c r="D273" s="820"/>
      <c r="E273" s="798"/>
      <c r="F273" s="798"/>
    </row>
    <row r="274" spans="1:9">
      <c r="A274" s="1835" t="s">
        <v>1159</v>
      </c>
      <c r="B274" s="1835"/>
      <c r="C274" s="1835"/>
      <c r="D274" s="1835"/>
      <c r="E274" s="1835"/>
      <c r="F274" s="1835"/>
      <c r="G274" s="1835"/>
      <c r="H274" s="1752"/>
      <c r="I274" s="1753"/>
    </row>
    <row r="275" spans="1:9">
      <c r="D275" s="820"/>
      <c r="E275" s="798"/>
      <c r="F275" s="798"/>
    </row>
    <row r="276" spans="1:9">
      <c r="C276" s="791"/>
      <c r="D276" s="1924" t="s">
        <v>1292</v>
      </c>
      <c r="E276" s="1924"/>
      <c r="F276" s="1924"/>
    </row>
    <row r="277" spans="1:9">
      <c r="C277" s="791"/>
      <c r="D277" s="1924"/>
      <c r="E277" s="1924"/>
      <c r="F277" s="1924"/>
    </row>
    <row r="278" spans="1:9">
      <c r="A278" s="793"/>
      <c r="B278" s="793"/>
      <c r="C278" s="793"/>
      <c r="D278" s="620"/>
      <c r="E278" s="670"/>
      <c r="F278" s="670"/>
    </row>
    <row r="279" spans="1:9">
      <c r="C279" s="793"/>
      <c r="D279" s="1852" t="s">
        <v>214</v>
      </c>
      <c r="E279" s="1852"/>
      <c r="F279" s="1852"/>
    </row>
    <row r="280" spans="1:9" ht="15.75" customHeight="1">
      <c r="A280" s="795"/>
      <c r="B280" s="795"/>
      <c r="D280" s="1926" t="s">
        <v>1293</v>
      </c>
      <c r="E280" s="1926"/>
      <c r="F280" s="1926"/>
    </row>
    <row r="281" spans="1:9">
      <c r="E281" s="798"/>
      <c r="F281" s="798"/>
    </row>
    <row r="282" spans="1:9">
      <c r="A282" s="795"/>
      <c r="B282" s="796" t="s">
        <v>2638</v>
      </c>
      <c r="D282" s="1853" t="s">
        <v>1294</v>
      </c>
      <c r="E282" s="1853"/>
      <c r="F282" s="1853"/>
      <c r="I282" s="1677" t="s">
        <v>2351</v>
      </c>
    </row>
    <row r="283" spans="1:9">
      <c r="A283" s="795"/>
      <c r="B283" s="795"/>
      <c r="D283" s="1853"/>
      <c r="E283" s="1853"/>
      <c r="F283" s="1853"/>
    </row>
    <row r="284" spans="1:9">
      <c r="D284" s="798"/>
      <c r="E284" s="798"/>
      <c r="F284" s="798"/>
    </row>
    <row r="285" spans="1:9">
      <c r="A285" s="795"/>
      <c r="B285" s="796" t="s">
        <v>2638</v>
      </c>
      <c r="D285" s="1931" t="s">
        <v>1295</v>
      </c>
      <c r="E285" s="1931"/>
      <c r="F285" s="1931"/>
      <c r="I285" s="1677" t="s">
        <v>2351</v>
      </c>
    </row>
    <row r="286" spans="1:9">
      <c r="A286" s="795"/>
      <c r="B286" s="795"/>
      <c r="D286" s="1931"/>
      <c r="E286" s="1931"/>
      <c r="F286" s="1931"/>
    </row>
    <row r="287" spans="1:9">
      <c r="A287" s="795"/>
      <c r="B287" s="795"/>
      <c r="D287" s="1931"/>
      <c r="E287" s="1931"/>
      <c r="F287" s="1931"/>
    </row>
    <row r="288" spans="1:9">
      <c r="D288" s="798"/>
      <c r="E288" s="798"/>
      <c r="F288" s="798"/>
    </row>
    <row r="289" spans="1:9">
      <c r="A289" s="795"/>
      <c r="B289" s="796" t="s">
        <v>2638</v>
      </c>
      <c r="D289" s="1853" t="s">
        <v>1296</v>
      </c>
      <c r="E289" s="1853"/>
      <c r="F289" s="1853"/>
      <c r="I289" s="1677" t="s">
        <v>2351</v>
      </c>
    </row>
    <row r="290" spans="1:9">
      <c r="A290" s="795"/>
      <c r="B290" s="795"/>
      <c r="D290" s="1853"/>
      <c r="E290" s="1853"/>
      <c r="F290" s="1853"/>
    </row>
    <row r="291" spans="1:9">
      <c r="A291" s="814"/>
      <c r="B291" s="814"/>
      <c r="E291" s="798"/>
      <c r="F291" s="798"/>
    </row>
    <row r="292" spans="1:9">
      <c r="A292" s="1835" t="s">
        <v>1160</v>
      </c>
      <c r="B292" s="1835"/>
      <c r="C292" s="1835"/>
      <c r="D292" s="1835"/>
      <c r="E292" s="1835"/>
      <c r="F292" s="1835"/>
      <c r="G292" s="1835"/>
      <c r="H292" s="1752"/>
      <c r="I292" s="1753"/>
    </row>
    <row r="293" spans="1:9">
      <c r="A293" s="814"/>
      <c r="B293" s="814"/>
      <c r="D293" s="798"/>
      <c r="E293" s="798"/>
      <c r="F293" s="798"/>
    </row>
    <row r="294" spans="1:9">
      <c r="C294" s="814"/>
      <c r="D294" s="1852" t="s">
        <v>717</v>
      </c>
      <c r="E294" s="1852"/>
      <c r="F294" s="1852"/>
    </row>
    <row r="295" spans="1:9">
      <c r="C295" s="814"/>
      <c r="D295" s="1855" t="s">
        <v>1297</v>
      </c>
      <c r="E295" s="1855"/>
      <c r="F295" s="1855"/>
    </row>
    <row r="296" spans="1:9">
      <c r="C296" s="814"/>
      <c r="D296" s="821"/>
    </row>
    <row r="297" spans="1:9">
      <c r="A297" s="799"/>
      <c r="B297" s="796" t="s">
        <v>2638</v>
      </c>
      <c r="D297" s="1855" t="s">
        <v>1298</v>
      </c>
      <c r="E297" s="1855"/>
      <c r="F297" s="1855"/>
      <c r="I297" s="1677" t="s">
        <v>2352</v>
      </c>
    </row>
    <row r="298" spans="1:9" s="789" customFormat="1">
      <c r="A298" s="803"/>
      <c r="B298" s="803"/>
      <c r="C298" s="799"/>
      <c r="D298" s="822"/>
      <c r="E298" s="823"/>
      <c r="F298" s="823"/>
      <c r="G298" s="800"/>
      <c r="I298" s="1736"/>
    </row>
    <row r="299" spans="1:9" s="789" customFormat="1" ht="13.75" customHeight="1">
      <c r="A299" s="799"/>
      <c r="B299" s="796" t="s">
        <v>2638</v>
      </c>
      <c r="C299" s="799"/>
      <c r="D299" s="1949" t="s">
        <v>1423</v>
      </c>
      <c r="E299" s="1949"/>
      <c r="F299" s="1949"/>
      <c r="G299" s="800"/>
      <c r="I299" s="1736" t="s">
        <v>2352</v>
      </c>
    </row>
    <row r="300" spans="1:9" s="789" customFormat="1">
      <c r="A300" s="803"/>
      <c r="B300" s="803"/>
      <c r="C300" s="799"/>
      <c r="D300" s="1949"/>
      <c r="E300" s="1949"/>
      <c r="F300" s="1949"/>
      <c r="G300" s="800"/>
      <c r="I300" s="1736"/>
    </row>
    <row r="301" spans="1:9" s="789" customFormat="1">
      <c r="A301" s="803"/>
      <c r="B301" s="803"/>
      <c r="C301" s="799"/>
      <c r="D301" s="1949"/>
      <c r="E301" s="1949"/>
      <c r="F301" s="1949"/>
      <c r="G301" s="800"/>
      <c r="I301" s="1736"/>
    </row>
    <row r="302" spans="1:9" s="789" customFormat="1">
      <c r="A302" s="803"/>
      <c r="B302" s="803"/>
      <c r="C302" s="799"/>
      <c r="D302" s="1949"/>
      <c r="E302" s="1949"/>
      <c r="F302" s="1949"/>
      <c r="G302" s="800"/>
      <c r="I302" s="1736"/>
    </row>
    <row r="303" spans="1:9" s="789" customFormat="1">
      <c r="A303" s="803"/>
      <c r="B303" s="803"/>
      <c r="C303" s="799"/>
      <c r="D303" s="1949"/>
      <c r="E303" s="1949"/>
      <c r="F303" s="1949"/>
      <c r="G303" s="800"/>
      <c r="I303" s="1736"/>
    </row>
    <row r="304" spans="1:9" s="789" customFormat="1">
      <c r="A304" s="803"/>
      <c r="B304" s="803"/>
      <c r="C304" s="799"/>
      <c r="D304" s="822"/>
      <c r="E304" s="823"/>
      <c r="F304" s="823"/>
      <c r="G304" s="800"/>
      <c r="I304" s="1736"/>
    </row>
    <row r="305" spans="1:9" s="789" customFormat="1" ht="13.75" customHeight="1">
      <c r="A305" s="799"/>
      <c r="B305" s="796" t="s">
        <v>2638</v>
      </c>
      <c r="C305" s="799"/>
      <c r="D305" s="1949" t="s">
        <v>1300</v>
      </c>
      <c r="E305" s="1949"/>
      <c r="F305" s="1949"/>
      <c r="G305" s="800"/>
      <c r="I305" s="1736" t="s">
        <v>2352</v>
      </c>
    </row>
    <row r="306" spans="1:9" s="789" customFormat="1">
      <c r="A306" s="799"/>
      <c r="B306" s="799"/>
      <c r="C306" s="799"/>
      <c r="D306" s="1949"/>
      <c r="E306" s="1949"/>
      <c r="F306" s="1949"/>
      <c r="G306" s="800"/>
      <c r="I306" s="1736"/>
    </row>
    <row r="307" spans="1:9" s="789" customFormat="1">
      <c r="A307" s="803"/>
      <c r="B307" s="803"/>
      <c r="C307" s="799"/>
      <c r="D307" s="822"/>
      <c r="E307" s="823"/>
      <c r="F307" s="823"/>
      <c r="G307" s="800"/>
      <c r="I307" s="1736"/>
    </row>
    <row r="308" spans="1:9">
      <c r="A308" s="799"/>
      <c r="B308" s="796" t="s">
        <v>2638</v>
      </c>
      <c r="D308" s="1855" t="s">
        <v>1301</v>
      </c>
      <c r="E308" s="1855"/>
      <c r="F308" s="1855"/>
      <c r="I308" s="1677" t="s">
        <v>2338</v>
      </c>
    </row>
    <row r="309" spans="1:9">
      <c r="E309" s="798"/>
      <c r="F309" s="798"/>
    </row>
    <row r="310" spans="1:9">
      <c r="A310" s="795"/>
      <c r="B310" s="796" t="s">
        <v>2638</v>
      </c>
      <c r="D310" s="1931" t="s">
        <v>1450</v>
      </c>
      <c r="E310" s="1931"/>
      <c r="F310" s="1931"/>
      <c r="I310" s="1677" t="s">
        <v>2353</v>
      </c>
    </row>
    <row r="311" spans="1:9">
      <c r="A311" s="795"/>
      <c r="B311" s="795"/>
      <c r="D311" s="1931"/>
      <c r="E311" s="1931"/>
      <c r="F311" s="1931"/>
    </row>
    <row r="312" spans="1:9">
      <c r="A312" s="795"/>
      <c r="B312" s="795"/>
      <c r="D312" s="1931"/>
      <c r="E312" s="1931"/>
      <c r="F312" s="1931"/>
    </row>
    <row r="313" spans="1:9">
      <c r="A313" s="795"/>
      <c r="B313" s="795"/>
      <c r="D313" s="1931"/>
      <c r="E313" s="1931"/>
      <c r="F313" s="1931"/>
    </row>
    <row r="314" spans="1:9">
      <c r="A314" s="795"/>
      <c r="B314" s="795"/>
      <c r="D314" s="1931"/>
      <c r="E314" s="1931"/>
      <c r="F314" s="1931"/>
    </row>
    <row r="315" spans="1:9">
      <c r="A315" s="795"/>
      <c r="B315" s="795"/>
      <c r="D315" s="1931"/>
      <c r="E315" s="1931"/>
      <c r="F315" s="1931"/>
    </row>
    <row r="316" spans="1:9">
      <c r="A316" s="795"/>
      <c r="B316" s="795"/>
      <c r="D316" s="1931"/>
      <c r="E316" s="1931"/>
      <c r="F316" s="1931"/>
    </row>
    <row r="317" spans="1:9">
      <c r="A317" s="795"/>
      <c r="B317" s="795"/>
      <c r="D317" s="1931"/>
      <c r="E317" s="1931"/>
      <c r="F317" s="1931"/>
    </row>
    <row r="318" spans="1:9">
      <c r="A318" s="795"/>
      <c r="B318" s="795"/>
      <c r="D318" s="1931"/>
      <c r="E318" s="1931"/>
      <c r="F318" s="1931"/>
    </row>
    <row r="319" spans="1:9">
      <c r="A319" s="795"/>
      <c r="B319" s="795"/>
      <c r="D319" s="1931"/>
      <c r="E319" s="1931"/>
      <c r="F319" s="1931"/>
    </row>
    <row r="320" spans="1:9">
      <c r="A320" s="795"/>
      <c r="B320" s="795"/>
      <c r="D320" s="1931"/>
      <c r="E320" s="1931"/>
      <c r="F320" s="1931"/>
    </row>
    <row r="321" spans="1:9">
      <c r="A321" s="795"/>
      <c r="B321" s="795"/>
      <c r="D321" s="1931"/>
      <c r="E321" s="1931"/>
      <c r="F321" s="1931"/>
    </row>
    <row r="322" spans="1:9">
      <c r="A322" s="795"/>
      <c r="B322" s="795"/>
      <c r="D322" s="1931"/>
      <c r="E322" s="1931"/>
      <c r="F322" s="1931"/>
    </row>
    <row r="323" spans="1:9">
      <c r="A323" s="795"/>
      <c r="B323" s="795"/>
      <c r="D323" s="1931"/>
      <c r="E323" s="1931"/>
      <c r="F323" s="1931"/>
    </row>
    <row r="324" spans="1:9">
      <c r="A324" s="795"/>
      <c r="B324" s="795"/>
      <c r="D324" s="1931"/>
      <c r="E324" s="1931"/>
      <c r="F324" s="1931"/>
    </row>
    <row r="325" spans="1:9">
      <c r="D325" s="798"/>
      <c r="E325" s="798"/>
      <c r="F325" s="798"/>
    </row>
    <row r="326" spans="1:9">
      <c r="A326" s="795"/>
      <c r="B326" s="796" t="s">
        <v>2638</v>
      </c>
      <c r="D326" s="1931" t="s">
        <v>1303</v>
      </c>
      <c r="E326" s="1931"/>
      <c r="F326" s="1931"/>
      <c r="I326" s="1677" t="s">
        <v>2353</v>
      </c>
    </row>
    <row r="327" spans="1:9">
      <c r="D327" s="1931"/>
      <c r="E327" s="1931"/>
      <c r="F327" s="1931"/>
    </row>
    <row r="328" spans="1:9">
      <c r="D328" s="1931"/>
      <c r="E328" s="1931"/>
      <c r="F328" s="1931"/>
    </row>
    <row r="329" spans="1:9">
      <c r="D329" s="1931"/>
      <c r="E329" s="1931"/>
      <c r="F329" s="1931"/>
    </row>
    <row r="330" spans="1:9">
      <c r="D330" s="1931"/>
      <c r="E330" s="1931"/>
      <c r="F330" s="1931"/>
    </row>
    <row r="331" spans="1:9">
      <c r="D331" s="1931"/>
      <c r="E331" s="1931"/>
      <c r="F331" s="1931"/>
    </row>
    <row r="332" spans="1:9">
      <c r="D332" s="1931"/>
      <c r="E332" s="1931"/>
      <c r="F332" s="1931"/>
    </row>
    <row r="333" spans="1:9">
      <c r="D333" s="1931"/>
      <c r="E333" s="1931"/>
      <c r="F333" s="1931"/>
    </row>
    <row r="334" spans="1:9">
      <c r="D334" s="1931"/>
      <c r="E334" s="1931"/>
      <c r="F334" s="1931"/>
    </row>
    <row r="335" spans="1:9">
      <c r="D335" s="798"/>
      <c r="E335" s="798"/>
      <c r="F335" s="798"/>
    </row>
    <row r="336" spans="1:9">
      <c r="A336" s="795"/>
      <c r="B336" s="796" t="s">
        <v>2638</v>
      </c>
      <c r="D336" s="1853" t="s">
        <v>1499</v>
      </c>
      <c r="E336" s="1853"/>
      <c r="F336" s="1853"/>
      <c r="I336" s="1677" t="s">
        <v>2390</v>
      </c>
    </row>
    <row r="337" spans="1:9">
      <c r="D337" s="1853"/>
      <c r="E337" s="1853"/>
      <c r="F337" s="1853"/>
      <c r="G337" s="788"/>
    </row>
    <row r="338" spans="1:9">
      <c r="D338" s="1853"/>
      <c r="E338" s="1853"/>
      <c r="F338" s="1853"/>
      <c r="G338" s="788"/>
    </row>
    <row r="339" spans="1:9">
      <c r="D339" s="1853"/>
      <c r="E339" s="1853"/>
      <c r="F339" s="1853"/>
      <c r="G339" s="788"/>
    </row>
    <row r="340" spans="1:9">
      <c r="D340" s="1853"/>
      <c r="E340" s="1853"/>
      <c r="F340" s="1853"/>
      <c r="G340" s="788"/>
    </row>
    <row r="341" spans="1:9">
      <c r="D341" s="1853"/>
      <c r="E341" s="1853"/>
      <c r="F341" s="1853"/>
      <c r="G341" s="788"/>
    </row>
    <row r="342" spans="1:9" s="1675" customFormat="1">
      <c r="A342" s="786"/>
      <c r="B342" s="786"/>
      <c r="C342" s="786"/>
      <c r="D342" s="1726"/>
      <c r="E342" s="1726"/>
      <c r="F342" s="1726"/>
      <c r="I342" s="1677"/>
    </row>
    <row r="343" spans="1:9" ht="13.5" thickBot="1">
      <c r="A343" s="1727"/>
      <c r="B343" s="1727"/>
      <c r="C343" s="1727"/>
      <c r="D343" s="1932" t="s">
        <v>1056</v>
      </c>
      <c r="E343" s="1932"/>
      <c r="F343" s="1932"/>
      <c r="G343" s="1750"/>
      <c r="H343" s="1750"/>
      <c r="I343" s="1751"/>
    </row>
    <row r="344" spans="1:9" ht="13.5" thickTop="1">
      <c r="D344" s="1950" t="s">
        <v>1305</v>
      </c>
      <c r="E344" s="1950"/>
      <c r="F344" s="1950"/>
      <c r="G344" s="788"/>
    </row>
    <row r="345" spans="1:9" s="1675" customFormat="1">
      <c r="A345" s="786"/>
      <c r="B345" s="786"/>
      <c r="C345" s="786"/>
      <c r="D345" s="1744"/>
      <c r="E345" s="1744"/>
      <c r="F345" s="1744"/>
      <c r="I345" s="1677"/>
    </row>
    <row r="346" spans="1:9">
      <c r="A346" s="812"/>
      <c r="B346" s="812"/>
      <c r="C346" s="812"/>
      <c r="D346" s="784"/>
      <c r="E346" s="784"/>
      <c r="F346" s="798"/>
      <c r="G346" s="788"/>
      <c r="I346" s="1677" t="s">
        <v>2354</v>
      </c>
    </row>
    <row r="347" spans="1:9">
      <c r="A347" s="795"/>
      <c r="B347" s="796" t="s">
        <v>2638</v>
      </c>
      <c r="C347" s="827"/>
      <c r="D347" s="1855" t="s">
        <v>1314</v>
      </c>
      <c r="E347" s="1855"/>
      <c r="F347" s="1855"/>
      <c r="I347" s="1955" t="s">
        <v>2405</v>
      </c>
    </row>
    <row r="348" spans="1:9" ht="12.75" customHeight="1">
      <c r="D348" s="1845" t="s">
        <v>1448</v>
      </c>
      <c r="E348" s="1845"/>
      <c r="F348" s="1845"/>
      <c r="I348" s="1956"/>
    </row>
    <row r="349" spans="1:9" ht="12.5">
      <c r="D349" s="1931" t="s">
        <v>1447</v>
      </c>
      <c r="E349" s="1931"/>
      <c r="F349" s="1931"/>
      <c r="I349" s="1956"/>
    </row>
    <row r="350" spans="1:9" ht="12.5">
      <c r="D350" s="1931"/>
      <c r="E350" s="1931"/>
      <c r="F350" s="1931"/>
      <c r="I350" s="1956"/>
    </row>
    <row r="351" spans="1:9" ht="12.5">
      <c r="D351" s="1931"/>
      <c r="E351" s="1931"/>
      <c r="F351" s="1931"/>
      <c r="I351" s="1957"/>
    </row>
    <row r="352" spans="1:9">
      <c r="A352" s="795"/>
      <c r="B352" s="796" t="s">
        <v>2638</v>
      </c>
      <c r="C352" s="812"/>
      <c r="D352" s="1849" t="s">
        <v>1306</v>
      </c>
      <c r="E352" s="1849"/>
      <c r="F352" s="1849"/>
      <c r="G352" s="788"/>
      <c r="I352" s="617"/>
    </row>
    <row r="353" spans="1:9">
      <c r="A353" s="812"/>
      <c r="B353" s="812"/>
      <c r="C353" s="812"/>
      <c r="D353" s="784"/>
      <c r="E353" s="784"/>
      <c r="F353" s="798"/>
      <c r="G353" s="788"/>
    </row>
    <row r="354" spans="1:9">
      <c r="A354" s="812"/>
      <c r="B354" s="796" t="s">
        <v>2638</v>
      </c>
      <c r="C354" s="812"/>
      <c r="D354" s="1844" t="s">
        <v>1426</v>
      </c>
      <c r="E354" s="1844"/>
      <c r="F354" s="1844"/>
      <c r="G354" s="788"/>
    </row>
    <row r="355" spans="1:9">
      <c r="A355" s="812"/>
      <c r="B355" s="812"/>
      <c r="C355" s="812"/>
      <c r="D355" s="1844"/>
      <c r="E355" s="1844"/>
      <c r="F355" s="1844"/>
      <c r="G355" s="788"/>
    </row>
    <row r="356" spans="1:9">
      <c r="A356" s="812"/>
      <c r="B356" s="812"/>
      <c r="C356" s="812"/>
      <c r="D356" s="1844"/>
      <c r="E356" s="1844"/>
      <c r="F356" s="1844"/>
      <c r="G356" s="788"/>
    </row>
    <row r="357" spans="1:9">
      <c r="A357" s="812"/>
      <c r="B357" s="812"/>
      <c r="C357" s="812"/>
      <c r="D357" s="1844"/>
      <c r="E357" s="1844"/>
      <c r="F357" s="1844"/>
      <c r="G357" s="788"/>
    </row>
    <row r="358" spans="1:9">
      <c r="A358" s="812"/>
      <c r="B358" s="812"/>
      <c r="C358" s="812"/>
      <c r="D358" s="1844"/>
      <c r="E358" s="1844"/>
      <c r="F358" s="1844"/>
      <c r="G358" s="788"/>
    </row>
    <row r="359" spans="1:9">
      <c r="A359" s="812"/>
      <c r="B359" s="812"/>
      <c r="C359" s="812"/>
      <c r="D359" s="1844"/>
      <c r="E359" s="1844"/>
      <c r="F359" s="1844"/>
      <c r="G359" s="788"/>
    </row>
    <row r="360" spans="1:9">
      <c r="A360" s="812"/>
      <c r="B360" s="812"/>
      <c r="C360" s="812"/>
      <c r="D360" s="1844"/>
      <c r="E360" s="1844"/>
      <c r="F360" s="1844"/>
      <c r="G360" s="788"/>
    </row>
    <row r="361" spans="1:9">
      <c r="A361" s="812"/>
      <c r="B361" s="812"/>
      <c r="C361" s="812"/>
      <c r="D361" s="1844"/>
      <c r="E361" s="1844"/>
      <c r="F361" s="1844"/>
      <c r="G361" s="788"/>
    </row>
    <row r="362" spans="1:9">
      <c r="A362" s="812"/>
      <c r="B362" s="812"/>
      <c r="C362" s="812"/>
      <c r="D362" s="1844"/>
      <c r="E362" s="1844"/>
      <c r="F362" s="1844"/>
      <c r="G362" s="788"/>
    </row>
    <row r="363" spans="1:9">
      <c r="A363" s="812"/>
      <c r="B363" s="812"/>
      <c r="C363" s="812"/>
      <c r="D363" s="1844"/>
      <c r="E363" s="1844"/>
      <c r="F363" s="1844"/>
      <c r="G363" s="788"/>
    </row>
    <row r="364" spans="1:9">
      <c r="A364" s="812"/>
      <c r="B364" s="812"/>
      <c r="C364" s="812"/>
      <c r="D364" s="1844"/>
      <c r="E364" s="1844"/>
      <c r="F364" s="1844"/>
      <c r="G364" s="788"/>
    </row>
    <row r="365" spans="1:9">
      <c r="A365" s="812"/>
      <c r="B365" s="812"/>
      <c r="C365" s="812"/>
      <c r="D365" s="1844"/>
      <c r="E365" s="1844"/>
      <c r="F365" s="1844"/>
      <c r="G365" s="788"/>
    </row>
    <row r="366" spans="1:9" s="1675" customFormat="1">
      <c r="A366" s="1680"/>
      <c r="B366" s="1680"/>
      <c r="C366" s="1680"/>
      <c r="D366" s="1682"/>
      <c r="E366" s="1682"/>
      <c r="F366" s="1682"/>
      <c r="I366" s="1677"/>
    </row>
    <row r="367" spans="1:9" ht="12.75" customHeight="1">
      <c r="A367" s="812"/>
      <c r="B367" s="796" t="s">
        <v>2638</v>
      </c>
      <c r="C367" s="812"/>
      <c r="D367" s="1958" t="s">
        <v>1427</v>
      </c>
      <c r="E367" s="1958"/>
      <c r="F367" s="1958"/>
      <c r="G367" s="788"/>
    </row>
    <row r="368" spans="1:9">
      <c r="A368" s="812"/>
      <c r="B368" s="812"/>
      <c r="C368" s="812"/>
      <c r="D368" s="1958"/>
      <c r="E368" s="1958"/>
      <c r="F368" s="1958"/>
      <c r="G368" s="788"/>
    </row>
    <row r="369" spans="1:9">
      <c r="A369" s="812"/>
      <c r="B369" s="812"/>
      <c r="C369" s="812"/>
      <c r="D369" s="1958"/>
      <c r="E369" s="1958"/>
      <c r="F369" s="1958"/>
      <c r="G369" s="788"/>
    </row>
    <row r="370" spans="1:9">
      <c r="A370" s="812"/>
      <c r="B370" s="812"/>
      <c r="C370" s="812"/>
      <c r="D370" s="1958"/>
      <c r="E370" s="1958"/>
      <c r="F370" s="1958"/>
      <c r="G370" s="788"/>
    </row>
    <row r="371" spans="1:9" s="1675" customFormat="1">
      <c r="A371" s="1680"/>
      <c r="B371" s="1680"/>
      <c r="C371" s="1680"/>
      <c r="D371" s="1681"/>
      <c r="E371" s="1681"/>
      <c r="F371" s="1681"/>
      <c r="I371" s="1677"/>
    </row>
    <row r="372" spans="1:9" s="1675" customFormat="1">
      <c r="A372" s="1680"/>
      <c r="B372" s="1678" t="s">
        <v>2638</v>
      </c>
      <c r="C372" s="1680"/>
      <c r="D372" s="1675" t="s">
        <v>2275</v>
      </c>
      <c r="E372" s="1681"/>
      <c r="F372" s="1681"/>
      <c r="I372" s="1677"/>
    </row>
    <row r="373" spans="1:9" s="1675" customFormat="1">
      <c r="A373" s="1680"/>
      <c r="B373" s="1680"/>
      <c r="C373" s="1680"/>
      <c r="D373" s="1675" t="s">
        <v>2276</v>
      </c>
      <c r="E373" s="1681"/>
      <c r="F373" s="1681"/>
      <c r="I373" s="1677"/>
    </row>
    <row r="374" spans="1:9" s="1675" customFormat="1">
      <c r="A374" s="1680"/>
      <c r="B374" s="1680"/>
      <c r="C374" s="1680"/>
      <c r="D374" s="1675" t="s">
        <v>2277</v>
      </c>
      <c r="E374" s="1681"/>
      <c r="F374" s="1681"/>
      <c r="I374" s="1677"/>
    </row>
    <row r="375" spans="1:9" s="1675" customFormat="1">
      <c r="A375" s="1680"/>
      <c r="B375" s="1680"/>
      <c r="C375" s="1680"/>
      <c r="D375" s="1675" t="s">
        <v>2278</v>
      </c>
      <c r="E375" s="1681"/>
      <c r="F375" s="1681"/>
      <c r="I375" s="1677"/>
    </row>
    <row r="376" spans="1:9" s="1675" customFormat="1">
      <c r="A376" s="1680"/>
      <c r="B376" s="1680"/>
      <c r="C376" s="1680"/>
      <c r="D376" s="1675" t="s">
        <v>2279</v>
      </c>
      <c r="E376" s="1681"/>
      <c r="F376" s="1681"/>
      <c r="I376" s="1677"/>
    </row>
    <row r="377" spans="1:9" s="1675" customFormat="1">
      <c r="A377" s="1680"/>
      <c r="B377" s="1680"/>
      <c r="C377" s="1680"/>
      <c r="D377" s="1675" t="s">
        <v>2280</v>
      </c>
      <c r="E377" s="1681"/>
      <c r="F377" s="1681"/>
      <c r="I377" s="1677"/>
    </row>
    <row r="378" spans="1:9">
      <c r="A378" s="812"/>
      <c r="B378" s="812"/>
      <c r="C378" s="812"/>
      <c r="D378" s="788"/>
      <c r="E378" s="784"/>
      <c r="F378" s="798"/>
      <c r="G378" s="788"/>
    </row>
    <row r="379" spans="1:9">
      <c r="A379" s="795"/>
      <c r="B379" s="796" t="s">
        <v>2638</v>
      </c>
      <c r="C379" s="812"/>
      <c r="D379" s="1842" t="s">
        <v>1308</v>
      </c>
      <c r="E379" s="1842"/>
      <c r="F379" s="1842"/>
      <c r="G379" s="788"/>
    </row>
    <row r="380" spans="1:9">
      <c r="A380" s="812"/>
      <c r="B380" s="812"/>
      <c r="C380" s="812"/>
      <c r="D380" s="1842"/>
      <c r="E380" s="1842"/>
      <c r="F380" s="1842"/>
      <c r="G380" s="788"/>
    </row>
    <row r="381" spans="1:9">
      <c r="A381" s="812"/>
      <c r="B381" s="812"/>
      <c r="C381" s="812"/>
      <c r="D381" s="1842"/>
      <c r="E381" s="1842"/>
      <c r="F381" s="1842"/>
      <c r="G381" s="788"/>
    </row>
    <row r="382" spans="1:9">
      <c r="A382" s="812"/>
      <c r="B382" s="812"/>
      <c r="C382" s="812"/>
      <c r="D382" s="1842"/>
      <c r="E382" s="1842"/>
      <c r="F382" s="1842"/>
      <c r="G382" s="788"/>
    </row>
    <row r="383" spans="1:9">
      <c r="A383" s="812"/>
      <c r="B383" s="812"/>
      <c r="C383" s="812"/>
      <c r="D383" s="824"/>
      <c r="E383" s="784"/>
      <c r="F383" s="798"/>
      <c r="G383" s="788"/>
    </row>
    <row r="384" spans="1:9">
      <c r="A384" s="812"/>
      <c r="B384" s="812"/>
      <c r="C384" s="812"/>
      <c r="D384" s="1842" t="s">
        <v>1309</v>
      </c>
      <c r="E384" s="1842"/>
      <c r="F384" s="1842"/>
      <c r="G384" s="788"/>
    </row>
    <row r="385" spans="1:7">
      <c r="A385" s="812"/>
      <c r="B385" s="812"/>
      <c r="C385" s="812"/>
      <c r="D385" s="1842"/>
      <c r="E385" s="1842"/>
      <c r="F385" s="1842"/>
      <c r="G385" s="788"/>
    </row>
    <row r="386" spans="1:7">
      <c r="A386" s="812"/>
      <c r="B386" s="812"/>
      <c r="C386" s="812"/>
      <c r="D386" s="1842"/>
      <c r="E386" s="1842"/>
      <c r="F386" s="1842"/>
      <c r="G386" s="788"/>
    </row>
    <row r="387" spans="1:7">
      <c r="A387" s="812"/>
      <c r="B387" s="812"/>
      <c r="C387" s="812"/>
      <c r="D387" s="1842"/>
      <c r="E387" s="1842"/>
      <c r="F387" s="1842"/>
      <c r="G387" s="788"/>
    </row>
    <row r="388" spans="1:7" ht="18" customHeight="1">
      <c r="A388" s="812"/>
      <c r="B388" s="812"/>
      <c r="C388" s="812"/>
      <c r="D388" s="1842"/>
      <c r="E388" s="1842"/>
      <c r="F388" s="1842"/>
      <c r="G388" s="788"/>
    </row>
    <row r="389" spans="1:7">
      <c r="A389" s="812"/>
      <c r="B389" s="812"/>
      <c r="C389" s="812"/>
      <c r="D389" s="1842"/>
      <c r="E389" s="1842"/>
      <c r="F389" s="1842"/>
      <c r="G389" s="788"/>
    </row>
    <row r="390" spans="1:7">
      <c r="A390" s="812"/>
      <c r="B390" s="812"/>
      <c r="C390" s="812"/>
      <c r="D390" s="1842"/>
      <c r="E390" s="1842"/>
      <c r="F390" s="1842"/>
      <c r="G390" s="788"/>
    </row>
    <row r="391" spans="1:7">
      <c r="A391" s="812"/>
      <c r="B391" s="812"/>
      <c r="C391" s="812"/>
      <c r="D391" s="1842"/>
      <c r="E391" s="1842"/>
      <c r="F391" s="1842"/>
      <c r="G391" s="788"/>
    </row>
    <row r="392" spans="1:7" ht="8.25" customHeight="1">
      <c r="A392" s="812"/>
      <c r="B392" s="812"/>
      <c r="C392" s="812"/>
      <c r="D392" s="1842"/>
      <c r="E392" s="1842"/>
      <c r="F392" s="1842"/>
      <c r="G392" s="788"/>
    </row>
    <row r="393" spans="1:7" ht="13.75" customHeight="1">
      <c r="A393" s="812"/>
      <c r="B393" s="812"/>
      <c r="C393" s="812"/>
      <c r="D393" s="1843" t="s">
        <v>1310</v>
      </c>
      <c r="E393" s="1843"/>
      <c r="F393" s="1843"/>
      <c r="G393" s="788"/>
    </row>
    <row r="394" spans="1:7">
      <c r="A394" s="812"/>
      <c r="B394" s="812"/>
      <c r="C394" s="812"/>
      <c r="D394" s="1843"/>
      <c r="E394" s="1843"/>
      <c r="F394" s="1843"/>
      <c r="G394" s="788"/>
    </row>
    <row r="395" spans="1:7">
      <c r="A395" s="812"/>
      <c r="B395" s="812"/>
      <c r="C395" s="812"/>
      <c r="D395" s="1843"/>
      <c r="E395" s="1843"/>
      <c r="F395" s="1843"/>
      <c r="G395" s="788"/>
    </row>
    <row r="396" spans="1:7">
      <c r="A396" s="812"/>
      <c r="B396" s="812"/>
      <c r="C396" s="812"/>
      <c r="D396" s="1843"/>
      <c r="E396" s="1843"/>
      <c r="F396" s="1843"/>
      <c r="G396" s="788"/>
    </row>
    <row r="397" spans="1:7">
      <c r="A397" s="812"/>
      <c r="B397" s="812"/>
      <c r="C397" s="812"/>
      <c r="D397" s="1843"/>
      <c r="E397" s="1843"/>
      <c r="F397" s="1843"/>
      <c r="G397" s="788"/>
    </row>
    <row r="398" spans="1:7">
      <c r="A398" s="812"/>
      <c r="B398" s="812"/>
      <c r="C398" s="812"/>
      <c r="D398" s="1843"/>
      <c r="E398" s="1843"/>
      <c r="F398" s="1843"/>
      <c r="G398" s="788"/>
    </row>
    <row r="399" spans="1:7">
      <c r="A399" s="812"/>
      <c r="B399" s="812"/>
      <c r="C399" s="812"/>
      <c r="D399" s="1843"/>
      <c r="E399" s="1843"/>
      <c r="F399" s="1843"/>
      <c r="G399" s="788"/>
    </row>
    <row r="400" spans="1:7">
      <c r="A400" s="812"/>
      <c r="B400" s="812"/>
      <c r="C400" s="812"/>
      <c r="D400" s="1843"/>
      <c r="E400" s="1843"/>
      <c r="F400" s="1843"/>
      <c r="G400" s="788"/>
    </row>
    <row r="401" spans="1:7">
      <c r="A401" s="812"/>
      <c r="B401" s="812"/>
      <c r="C401" s="812"/>
      <c r="D401" s="1843"/>
      <c r="E401" s="1843"/>
      <c r="F401" s="1843"/>
      <c r="G401" s="788"/>
    </row>
    <row r="402" spans="1:7">
      <c r="A402" s="812"/>
      <c r="B402" s="812"/>
      <c r="C402" s="812"/>
      <c r="D402" s="1843"/>
      <c r="E402" s="1843"/>
      <c r="F402" s="1843"/>
      <c r="G402" s="788"/>
    </row>
    <row r="403" spans="1:7">
      <c r="A403" s="812"/>
      <c r="B403" s="812"/>
      <c r="C403" s="812"/>
      <c r="D403" s="1843"/>
      <c r="E403" s="1843"/>
      <c r="F403" s="1843"/>
      <c r="G403" s="788"/>
    </row>
    <row r="404" spans="1:7">
      <c r="A404" s="812"/>
      <c r="B404" s="812"/>
      <c r="C404" s="812"/>
      <c r="D404" s="1843"/>
      <c r="E404" s="1843"/>
      <c r="F404" s="1843"/>
      <c r="G404" s="788"/>
    </row>
    <row r="405" spans="1:7">
      <c r="A405" s="812"/>
      <c r="B405" s="812"/>
      <c r="C405" s="825"/>
      <c r="D405" s="1843"/>
      <c r="E405" s="1843"/>
      <c r="F405" s="1843"/>
      <c r="G405" s="788"/>
    </row>
    <row r="406" spans="1:7">
      <c r="A406" s="812"/>
      <c r="B406" s="812"/>
      <c r="C406" s="825"/>
      <c r="D406" s="1843"/>
      <c r="E406" s="1843"/>
      <c r="F406" s="1843"/>
      <c r="G406" s="788"/>
    </row>
    <row r="407" spans="1:7">
      <c r="A407" s="812"/>
      <c r="B407" s="812"/>
      <c r="C407" s="812"/>
      <c r="D407" s="1843"/>
      <c r="E407" s="1843"/>
      <c r="F407" s="1843"/>
      <c r="G407" s="788"/>
    </row>
    <row r="408" spans="1:7">
      <c r="A408" s="812"/>
      <c r="B408" s="812"/>
      <c r="C408" s="825"/>
      <c r="D408" s="1843"/>
      <c r="E408" s="1843"/>
      <c r="F408" s="1843"/>
      <c r="G408" s="788"/>
    </row>
    <row r="409" spans="1:7">
      <c r="A409" s="812"/>
      <c r="B409" s="812"/>
      <c r="C409" s="825"/>
      <c r="D409" s="1843"/>
      <c r="E409" s="1843"/>
      <c r="F409" s="1843"/>
      <c r="G409" s="788"/>
    </row>
    <row r="410" spans="1:7">
      <c r="A410" s="812"/>
      <c r="B410" s="812"/>
      <c r="C410" s="825"/>
      <c r="D410" s="1843"/>
      <c r="E410" s="1843"/>
      <c r="F410" s="1843"/>
      <c r="G410" s="788"/>
    </row>
    <row r="411" spans="1:7">
      <c r="A411" s="812"/>
      <c r="B411" s="812"/>
      <c r="C411" s="812"/>
      <c r="D411" s="824"/>
      <c r="E411" s="784"/>
      <c r="F411" s="798"/>
      <c r="G411" s="788"/>
    </row>
    <row r="412" spans="1:7">
      <c r="A412" s="812"/>
      <c r="B412" s="796" t="s">
        <v>2638</v>
      </c>
      <c r="C412" s="812"/>
      <c r="D412" s="1843" t="s">
        <v>1311</v>
      </c>
      <c r="E412" s="1843"/>
      <c r="F412" s="1843"/>
      <c r="G412" s="788"/>
    </row>
    <row r="413" spans="1:7">
      <c r="A413" s="812"/>
      <c r="B413" s="812"/>
      <c r="C413" s="812"/>
      <c r="D413" s="1843"/>
      <c r="E413" s="1843"/>
      <c r="F413" s="1843"/>
      <c r="G413" s="788"/>
    </row>
    <row r="414" spans="1:7">
      <c r="A414" s="812"/>
      <c r="B414" s="812"/>
      <c r="C414" s="812"/>
      <c r="D414" s="901"/>
      <c r="E414" s="901"/>
      <c r="F414" s="901"/>
      <c r="G414" s="788"/>
    </row>
    <row r="415" spans="1:7" ht="14.5" customHeight="1">
      <c r="A415" s="795"/>
      <c r="B415" s="796" t="s">
        <v>2638</v>
      </c>
      <c r="D415" s="1843" t="s">
        <v>2391</v>
      </c>
      <c r="E415" s="1843"/>
      <c r="F415" s="1843"/>
    </row>
    <row r="416" spans="1:7" ht="14.5" customHeight="1">
      <c r="A416" s="795"/>
      <c r="D416" s="1843"/>
      <c r="E416" s="1843"/>
      <c r="F416" s="1843"/>
    </row>
    <row r="417" spans="1:7" ht="14.5" customHeight="1">
      <c r="A417" s="795"/>
      <c r="D417" s="1843"/>
      <c r="E417" s="1843"/>
      <c r="F417" s="1843"/>
    </row>
    <row r="418" spans="1:7" ht="14.5" customHeight="1">
      <c r="A418" s="795"/>
      <c r="D418" s="1843"/>
      <c r="E418" s="1843"/>
      <c r="F418" s="1843"/>
    </row>
    <row r="419" spans="1:7" ht="14.5" customHeight="1">
      <c r="A419" s="795"/>
      <c r="D419" s="1843"/>
      <c r="E419" s="1843"/>
      <c r="F419" s="1843"/>
    </row>
    <row r="420" spans="1:7" ht="14.5" customHeight="1">
      <c r="A420" s="795"/>
      <c r="D420" s="876"/>
      <c r="E420" s="876"/>
      <c r="F420" s="876"/>
    </row>
    <row r="421" spans="1:7" ht="13.75" customHeight="1">
      <c r="A421" s="795"/>
      <c r="B421" s="796" t="s">
        <v>2638</v>
      </c>
      <c r="C421" s="812"/>
      <c r="D421" s="1844" t="s">
        <v>1451</v>
      </c>
      <c r="E421" s="1844"/>
      <c r="F421" s="1844"/>
      <c r="G421" s="788"/>
    </row>
    <row r="422" spans="1:7">
      <c r="A422" s="826"/>
      <c r="B422" s="826"/>
      <c r="C422" s="812"/>
      <c r="D422" s="1844"/>
      <c r="E422" s="1844"/>
      <c r="F422" s="1844"/>
      <c r="G422" s="788"/>
    </row>
    <row r="423" spans="1:7">
      <c r="A423" s="826"/>
      <c r="B423" s="826"/>
      <c r="C423" s="812"/>
      <c r="D423" s="1844"/>
      <c r="E423" s="1844"/>
      <c r="F423" s="1844"/>
      <c r="G423" s="788"/>
    </row>
    <row r="424" spans="1:7">
      <c r="A424" s="826"/>
      <c r="B424" s="826"/>
      <c r="C424" s="812"/>
      <c r="D424" s="1844"/>
      <c r="E424" s="1844"/>
      <c r="F424" s="1844"/>
      <c r="G424" s="788"/>
    </row>
    <row r="425" spans="1:7" ht="15.75" customHeight="1">
      <c r="A425" s="826"/>
      <c r="B425" s="826"/>
      <c r="C425" s="812"/>
      <c r="D425" s="1951" t="s">
        <v>1500</v>
      </c>
      <c r="E425" s="1844"/>
      <c r="F425" s="1844"/>
      <c r="G425" s="788"/>
    </row>
    <row r="426" spans="1:7">
      <c r="D426" s="798"/>
      <c r="E426" s="798"/>
      <c r="F426" s="798"/>
      <c r="G426" s="788"/>
    </row>
    <row r="427" spans="1:7">
      <c r="A427" s="795"/>
      <c r="B427" s="796" t="s">
        <v>2638</v>
      </c>
      <c r="C427" s="827"/>
      <c r="D427" s="1853" t="s">
        <v>1313</v>
      </c>
      <c r="E427" s="1853"/>
      <c r="F427" s="1853"/>
      <c r="G427" s="788"/>
    </row>
    <row r="428" spans="1:7">
      <c r="A428" s="795"/>
      <c r="B428" s="795"/>
      <c r="D428" s="1853"/>
      <c r="E428" s="1853"/>
      <c r="F428" s="1853"/>
      <c r="G428" s="788"/>
    </row>
    <row r="429" spans="1:7">
      <c r="D429" s="1853"/>
      <c r="E429" s="1853"/>
      <c r="F429" s="1853"/>
      <c r="G429" s="788"/>
    </row>
    <row r="430" spans="1:7">
      <c r="D430" s="1853"/>
      <c r="E430" s="1853"/>
      <c r="F430" s="1853"/>
      <c r="G430" s="788"/>
    </row>
    <row r="431" spans="1:7">
      <c r="D431" s="1853"/>
      <c r="E431" s="1853"/>
      <c r="F431" s="1853"/>
      <c r="G431" s="788"/>
    </row>
    <row r="432" spans="1:7">
      <c r="D432" s="1853"/>
      <c r="E432" s="1853"/>
      <c r="F432" s="1853"/>
      <c r="G432" s="788"/>
    </row>
    <row r="433" spans="1:7">
      <c r="D433" s="1853"/>
      <c r="E433" s="1853"/>
      <c r="F433" s="1853"/>
      <c r="G433" s="788"/>
    </row>
    <row r="434" spans="1:7">
      <c r="D434" s="1853"/>
      <c r="E434" s="1853"/>
      <c r="F434" s="1853"/>
      <c r="G434" s="788"/>
    </row>
    <row r="435" spans="1:7">
      <c r="D435" s="1853"/>
      <c r="E435" s="1853"/>
      <c r="F435" s="1853"/>
      <c r="G435" s="788"/>
    </row>
    <row r="436" spans="1:7">
      <c r="D436" s="1853"/>
      <c r="E436" s="1853"/>
      <c r="F436" s="1853"/>
      <c r="G436" s="788"/>
    </row>
    <row r="437" spans="1:7">
      <c r="D437" s="1853"/>
      <c r="E437" s="1853"/>
      <c r="F437" s="1853"/>
      <c r="G437" s="788"/>
    </row>
    <row r="438" spans="1:7">
      <c r="D438" s="1853"/>
      <c r="E438" s="1853"/>
      <c r="F438" s="1853"/>
      <c r="G438" s="788"/>
    </row>
    <row r="439" spans="1:7">
      <c r="D439" s="1853"/>
      <c r="E439" s="1853"/>
      <c r="F439" s="1853"/>
      <c r="G439" s="788"/>
    </row>
    <row r="440" spans="1:7">
      <c r="A440" s="788"/>
      <c r="B440" s="788"/>
      <c r="C440" s="788"/>
      <c r="D440" s="1853"/>
      <c r="E440" s="1853"/>
      <c r="F440" s="1853"/>
      <c r="G440" s="788"/>
    </row>
    <row r="441" spans="1:7">
      <c r="A441" s="788"/>
      <c r="B441" s="788"/>
      <c r="C441" s="788"/>
      <c r="D441" s="1853"/>
      <c r="E441" s="1853"/>
      <c r="F441" s="1853"/>
      <c r="G441" s="788"/>
    </row>
    <row r="442" spans="1:7">
      <c r="A442" s="788"/>
      <c r="B442" s="788"/>
      <c r="C442" s="788"/>
      <c r="D442" s="1853"/>
      <c r="E442" s="1853"/>
      <c r="F442" s="1853"/>
      <c r="G442" s="788"/>
    </row>
    <row r="443" spans="1:7">
      <c r="A443" s="788"/>
      <c r="B443" s="788"/>
      <c r="C443" s="788"/>
      <c r="D443" s="1853"/>
      <c r="E443" s="1853"/>
      <c r="F443" s="1853"/>
      <c r="G443" s="788"/>
    </row>
    <row r="444" spans="1:7">
      <c r="A444" s="788"/>
      <c r="B444" s="788"/>
      <c r="C444" s="788"/>
      <c r="D444" s="1853"/>
      <c r="E444" s="1853"/>
      <c r="F444" s="1853"/>
      <c r="G444" s="788"/>
    </row>
    <row r="445" spans="1:7">
      <c r="A445" s="788"/>
      <c r="B445" s="788"/>
      <c r="C445" s="788"/>
      <c r="D445" s="1853"/>
      <c r="E445" s="1853"/>
      <c r="F445" s="1853"/>
      <c r="G445" s="788"/>
    </row>
    <row r="446" spans="1:7">
      <c r="A446" s="788"/>
      <c r="B446" s="788"/>
      <c r="C446" s="788"/>
      <c r="D446" s="1853"/>
      <c r="E446" s="1853"/>
      <c r="F446" s="1853"/>
      <c r="G446" s="788"/>
    </row>
    <row r="447" spans="1:7">
      <c r="A447" s="788"/>
      <c r="B447" s="788"/>
      <c r="C447" s="788"/>
      <c r="D447" s="1853"/>
      <c r="E447" s="1853"/>
      <c r="F447" s="1853"/>
      <c r="G447" s="788"/>
    </row>
    <row r="448" spans="1:7">
      <c r="A448" s="788"/>
      <c r="B448" s="788"/>
      <c r="C448" s="788"/>
      <c r="D448" s="1853"/>
      <c r="E448" s="1853"/>
      <c r="F448" s="1853"/>
      <c r="G448" s="788"/>
    </row>
    <row r="449" spans="1:9">
      <c r="A449" s="788"/>
      <c r="B449" s="788"/>
      <c r="C449" s="788"/>
      <c r="D449" s="1853"/>
      <c r="E449" s="1853"/>
      <c r="F449" s="1853"/>
      <c r="G449" s="788"/>
    </row>
    <row r="450" spans="1:9">
      <c r="A450" s="788"/>
      <c r="B450" s="788"/>
      <c r="C450" s="788"/>
      <c r="D450" s="1853"/>
      <c r="E450" s="1853"/>
      <c r="F450" s="1853"/>
      <c r="G450" s="788"/>
    </row>
    <row r="451" spans="1:9">
      <c r="A451" s="788"/>
      <c r="B451" s="788"/>
      <c r="C451" s="788"/>
      <c r="D451" s="1853"/>
      <c r="E451" s="1853"/>
      <c r="F451" s="1853"/>
      <c r="G451" s="788"/>
    </row>
    <row r="452" spans="1:9">
      <c r="A452" s="788"/>
      <c r="B452" s="788"/>
      <c r="C452" s="788"/>
      <c r="D452" s="1853"/>
      <c r="E452" s="1853"/>
      <c r="F452" s="1853"/>
      <c r="G452" s="788"/>
    </row>
    <row r="453" spans="1:9">
      <c r="A453" s="788"/>
      <c r="B453" s="788"/>
      <c r="C453" s="788"/>
      <c r="D453" s="1853"/>
      <c r="E453" s="1853"/>
      <c r="F453" s="1853"/>
      <c r="G453" s="788"/>
    </row>
    <row r="454" spans="1:9">
      <c r="A454" s="788"/>
      <c r="B454" s="788"/>
      <c r="C454" s="788"/>
      <c r="D454" s="1853"/>
      <c r="E454" s="1853"/>
      <c r="F454" s="1853"/>
      <c r="G454" s="788"/>
    </row>
    <row r="455" spans="1:9">
      <c r="A455" s="788"/>
      <c r="B455" s="788"/>
      <c r="C455" s="788"/>
      <c r="D455" s="1853"/>
      <c r="E455" s="1853"/>
      <c r="F455" s="1853"/>
      <c r="G455" s="788"/>
    </row>
    <row r="456" spans="1:9" s="829" customFormat="1">
      <c r="A456" s="786"/>
      <c r="B456" s="786"/>
      <c r="C456" s="786"/>
      <c r="D456" s="1853"/>
      <c r="E456" s="1853"/>
      <c r="F456" s="1853"/>
      <c r="G456" s="828"/>
      <c r="I456" s="1739"/>
    </row>
    <row r="457" spans="1:9" s="829" customFormat="1" ht="40.75" customHeight="1">
      <c r="A457" s="786"/>
      <c r="B457" s="786"/>
      <c r="C457" s="786"/>
      <c r="D457" s="1853"/>
      <c r="E457" s="1853"/>
      <c r="F457" s="1853"/>
      <c r="G457" s="828"/>
      <c r="I457" s="1739"/>
    </row>
    <row r="458" spans="1:9">
      <c r="D458" s="798"/>
      <c r="E458" s="798"/>
      <c r="F458" s="798"/>
      <c r="G458" s="788"/>
    </row>
    <row r="459" spans="1:9">
      <c r="A459" s="795"/>
      <c r="B459" s="796" t="s">
        <v>2638</v>
      </c>
      <c r="C459" s="827"/>
      <c r="D459" s="1853" t="s">
        <v>1316</v>
      </c>
      <c r="E459" s="1853"/>
      <c r="F459" s="1853"/>
      <c r="G459" s="788"/>
    </row>
    <row r="460" spans="1:9">
      <c r="D460" s="1853"/>
      <c r="E460" s="1853"/>
      <c r="F460" s="1853"/>
      <c r="G460" s="788"/>
    </row>
    <row r="461" spans="1:9">
      <c r="D461" s="1853"/>
      <c r="E461" s="1853"/>
      <c r="F461" s="1853"/>
      <c r="G461" s="788"/>
    </row>
    <row r="462" spans="1:9">
      <c r="D462" s="782"/>
      <c r="E462" s="782"/>
      <c r="F462" s="782"/>
      <c r="G462" s="788"/>
    </row>
    <row r="463" spans="1:9">
      <c r="B463" s="796" t="s">
        <v>2638</v>
      </c>
      <c r="C463" s="795"/>
      <c r="D463" s="1931" t="s">
        <v>1395</v>
      </c>
      <c r="E463" s="1931"/>
      <c r="F463" s="1931"/>
      <c r="G463" s="788"/>
    </row>
    <row r="464" spans="1:9">
      <c r="D464" s="1931"/>
      <c r="E464" s="1931"/>
      <c r="F464" s="1931"/>
      <c r="G464" s="788"/>
    </row>
    <row r="465" spans="1:7">
      <c r="D465" s="798"/>
      <c r="E465" s="798"/>
      <c r="F465" s="798"/>
      <c r="G465" s="788"/>
    </row>
    <row r="466" spans="1:7">
      <c r="B466" s="796" t="s">
        <v>2638</v>
      </c>
      <c r="C466" s="795"/>
      <c r="D466" s="1931" t="s">
        <v>1318</v>
      </c>
      <c r="E466" s="1931"/>
      <c r="F466" s="1931"/>
      <c r="G466" s="788"/>
    </row>
    <row r="467" spans="1:7">
      <c r="D467" s="1931"/>
      <c r="E467" s="1931"/>
      <c r="F467" s="1931"/>
      <c r="G467" s="788"/>
    </row>
    <row r="468" spans="1:7">
      <c r="D468" s="1931"/>
      <c r="E468" s="1931"/>
      <c r="F468" s="1931"/>
      <c r="G468" s="788"/>
    </row>
    <row r="469" spans="1:7">
      <c r="D469" s="1931"/>
      <c r="E469" s="1931"/>
      <c r="F469" s="1931"/>
      <c r="G469" s="788"/>
    </row>
    <row r="470" spans="1:7">
      <c r="B470" s="796" t="s">
        <v>2638</v>
      </c>
      <c r="D470" s="1931"/>
      <c r="E470" s="1931"/>
      <c r="F470" s="1931"/>
      <c r="G470" s="788"/>
    </row>
    <row r="471" spans="1:7">
      <c r="A471" s="788"/>
      <c r="B471" s="788"/>
      <c r="C471" s="788"/>
      <c r="D471" s="1931"/>
      <c r="E471" s="1931"/>
      <c r="F471" s="1931"/>
      <c r="G471" s="788"/>
    </row>
    <row r="472" spans="1:7">
      <c r="A472" s="788"/>
      <c r="C472" s="788"/>
      <c r="D472" s="1931"/>
      <c r="E472" s="1931"/>
      <c r="F472" s="1931"/>
      <c r="G472" s="788"/>
    </row>
    <row r="473" spans="1:7">
      <c r="A473" s="788"/>
      <c r="B473" s="796" t="s">
        <v>2638</v>
      </c>
      <c r="C473" s="788"/>
      <c r="D473" s="1931"/>
      <c r="E473" s="1931"/>
      <c r="F473" s="1931"/>
      <c r="G473" s="788"/>
    </row>
    <row r="474" spans="1:7">
      <c r="A474" s="788"/>
      <c r="B474" s="788"/>
      <c r="C474" s="788"/>
      <c r="D474" s="1931"/>
      <c r="E474" s="1931"/>
      <c r="F474" s="1931"/>
      <c r="G474" s="788"/>
    </row>
    <row r="475" spans="1:7">
      <c r="A475" s="788"/>
      <c r="C475" s="788"/>
      <c r="D475" s="1931"/>
      <c r="E475" s="1931"/>
      <c r="F475" s="1931"/>
      <c r="G475" s="788"/>
    </row>
    <row r="476" spans="1:7">
      <c r="A476" s="788"/>
      <c r="C476" s="788"/>
      <c r="D476" s="1931"/>
      <c r="E476" s="1931"/>
      <c r="F476" s="1931"/>
      <c r="G476" s="788"/>
    </row>
    <row r="477" spans="1:7">
      <c r="A477" s="788"/>
      <c r="C477" s="788"/>
      <c r="D477" s="1931"/>
      <c r="E477" s="1931"/>
      <c r="F477" s="1931"/>
      <c r="G477" s="788"/>
    </row>
    <row r="478" spans="1:7">
      <c r="A478" s="788"/>
      <c r="B478" s="796" t="s">
        <v>2638</v>
      </c>
      <c r="C478" s="788"/>
      <c r="D478" s="1931"/>
      <c r="E478" s="1931"/>
      <c r="F478" s="1931"/>
      <c r="G478" s="788"/>
    </row>
    <row r="479" spans="1:7">
      <c r="A479" s="788"/>
      <c r="C479" s="788"/>
      <c r="D479" s="1931"/>
      <c r="E479" s="1931"/>
      <c r="F479" s="1931"/>
      <c r="G479" s="788"/>
    </row>
    <row r="480" spans="1:7">
      <c r="A480" s="788"/>
      <c r="B480" s="796" t="s">
        <v>2638</v>
      </c>
      <c r="C480" s="788"/>
      <c r="D480" s="1931" t="s">
        <v>1319</v>
      </c>
      <c r="E480" s="1931"/>
      <c r="F480" s="1931"/>
      <c r="G480" s="788"/>
    </row>
    <row r="481" spans="1:9">
      <c r="A481" s="788"/>
      <c r="B481" s="788"/>
      <c r="C481" s="788"/>
      <c r="D481" s="1931"/>
      <c r="E481" s="1931"/>
      <c r="F481" s="1931"/>
      <c r="G481" s="788"/>
    </row>
    <row r="482" spans="1:9">
      <c r="A482" s="788"/>
      <c r="B482" s="788"/>
      <c r="C482" s="788"/>
      <c r="D482" s="1931"/>
      <c r="E482" s="1931"/>
      <c r="F482" s="1931"/>
      <c r="G482" s="788"/>
    </row>
    <row r="483" spans="1:9">
      <c r="A483" s="788"/>
      <c r="B483" s="788"/>
      <c r="C483" s="788"/>
      <c r="D483" s="1931"/>
      <c r="E483" s="1931"/>
      <c r="F483" s="1931"/>
      <c r="G483" s="788"/>
    </row>
    <row r="484" spans="1:9">
      <c r="D484" s="1931"/>
      <c r="E484" s="1931"/>
      <c r="F484" s="1931"/>
    </row>
    <row r="485" spans="1:9">
      <c r="D485" s="798"/>
      <c r="E485" s="798"/>
      <c r="F485" s="798"/>
    </row>
    <row r="486" spans="1:9">
      <c r="B486" s="796" t="s">
        <v>2638</v>
      </c>
      <c r="D486" s="1927" t="s">
        <v>1320</v>
      </c>
      <c r="E486" s="1927"/>
      <c r="F486" s="1927"/>
    </row>
    <row r="487" spans="1:9">
      <c r="A487" s="798"/>
      <c r="B487" s="798"/>
    </row>
    <row r="488" spans="1:9">
      <c r="A488" s="1835" t="s">
        <v>1161</v>
      </c>
      <c r="B488" s="1835"/>
      <c r="C488" s="1835"/>
      <c r="D488" s="1835"/>
      <c r="E488" s="1835"/>
      <c r="F488" s="1835"/>
      <c r="G488" s="1835"/>
      <c r="H488" s="1752"/>
      <c r="I488" s="1753"/>
    </row>
    <row r="489" spans="1:9">
      <c r="A489" s="798"/>
      <c r="B489" s="798"/>
    </row>
    <row r="490" spans="1:9">
      <c r="D490" s="1831" t="s">
        <v>946</v>
      </c>
      <c r="E490" s="1831"/>
      <c r="F490" s="1831"/>
    </row>
    <row r="491" spans="1:9" s="789" customFormat="1">
      <c r="A491" s="803"/>
      <c r="B491" s="803"/>
      <c r="C491" s="799"/>
      <c r="D491" s="1832" t="s">
        <v>1321</v>
      </c>
      <c r="E491" s="1832"/>
      <c r="F491" s="1832"/>
      <c r="G491" s="800"/>
      <c r="I491" s="1736"/>
    </row>
    <row r="492" spans="1:9" s="789" customFormat="1">
      <c r="A492" s="803"/>
      <c r="B492" s="803"/>
      <c r="C492" s="799"/>
      <c r="D492" s="785"/>
      <c r="E492" s="670"/>
      <c r="F492" s="670"/>
      <c r="G492" s="800"/>
      <c r="I492" s="1736"/>
    </row>
    <row r="493" spans="1:9" s="789" customFormat="1">
      <c r="A493" s="795"/>
      <c r="B493" s="796" t="s">
        <v>2638</v>
      </c>
      <c r="C493" s="799"/>
      <c r="D493" s="1833" t="s">
        <v>1322</v>
      </c>
      <c r="E493" s="1833"/>
      <c r="F493" s="1833"/>
      <c r="G493" s="800"/>
      <c r="I493" s="1736" t="s">
        <v>2355</v>
      </c>
    </row>
    <row r="494" spans="1:9" s="789" customFormat="1">
      <c r="A494" s="795"/>
      <c r="B494" s="795"/>
      <c r="C494" s="799"/>
      <c r="D494" s="1833"/>
      <c r="E494" s="1833"/>
      <c r="F494" s="1833"/>
      <c r="G494" s="800"/>
      <c r="I494" s="1736"/>
    </row>
    <row r="495" spans="1:9" s="789" customFormat="1">
      <c r="A495" s="795"/>
      <c r="B495" s="795"/>
      <c r="C495" s="799"/>
      <c r="D495" s="783"/>
      <c r="E495" s="670"/>
      <c r="F495" s="670"/>
      <c r="G495" s="800"/>
      <c r="I495" s="1736"/>
    </row>
    <row r="496" spans="1:9" ht="12.75" customHeight="1">
      <c r="B496" s="796" t="s">
        <v>2637</v>
      </c>
      <c r="D496" s="1834" t="s">
        <v>1501</v>
      </c>
      <c r="E496" s="1834"/>
      <c r="F496" s="1834"/>
      <c r="I496" s="1677" t="s">
        <v>2356</v>
      </c>
    </row>
    <row r="497" spans="1:9">
      <c r="A497" s="795"/>
      <c r="D497" s="1834"/>
      <c r="E497" s="1834"/>
      <c r="F497" s="1834"/>
    </row>
    <row r="498" spans="1:9">
      <c r="A498" s="795"/>
      <c r="B498" s="795"/>
      <c r="D498" s="1834"/>
      <c r="E498" s="1834"/>
      <c r="F498" s="1834"/>
    </row>
    <row r="499" spans="1:9">
      <c r="A499" s="795"/>
      <c r="B499" s="795"/>
      <c r="D499" s="1834"/>
      <c r="E499" s="1834"/>
      <c r="F499" s="1834"/>
    </row>
    <row r="500" spans="1:9">
      <c r="A500" s="795"/>
      <c r="D500" s="891"/>
      <c r="E500" s="891"/>
      <c r="F500" s="891"/>
      <c r="G500" s="788"/>
    </row>
    <row r="501" spans="1:9">
      <c r="A501" s="795"/>
      <c r="B501" s="796" t="s">
        <v>2637</v>
      </c>
      <c r="D501" s="1855" t="s">
        <v>1325</v>
      </c>
      <c r="E501" s="1855"/>
      <c r="F501" s="1855"/>
      <c r="G501" s="788"/>
      <c r="I501" s="1677" t="s">
        <v>2357</v>
      </c>
    </row>
    <row r="502" spans="1:9">
      <c r="A502" s="795"/>
      <c r="B502" s="795"/>
      <c r="D502" s="783"/>
      <c r="E502" s="670"/>
      <c r="F502" s="670"/>
      <c r="G502" s="788"/>
    </row>
    <row r="503" spans="1:9">
      <c r="A503" s="795"/>
      <c r="B503" s="796" t="s">
        <v>2637</v>
      </c>
      <c r="D503" s="1853" t="s">
        <v>1326</v>
      </c>
      <c r="E503" s="1853"/>
      <c r="F503" s="1853"/>
      <c r="G503" s="788"/>
      <c r="I503" s="1677" t="s">
        <v>2357</v>
      </c>
    </row>
    <row r="504" spans="1:9">
      <c r="A504" s="795"/>
      <c r="D504" s="1853"/>
      <c r="E504" s="1853"/>
      <c r="F504" s="1853"/>
      <c r="G504" s="788"/>
    </row>
    <row r="505" spans="1:9">
      <c r="A505" s="814"/>
      <c r="B505" s="814"/>
      <c r="D505" s="731"/>
      <c r="E505" s="670"/>
      <c r="F505" s="670"/>
      <c r="G505" s="788"/>
    </row>
    <row r="506" spans="1:9">
      <c r="A506" s="814"/>
      <c r="B506" s="796" t="s">
        <v>2638</v>
      </c>
      <c r="D506" s="1855" t="s">
        <v>1327</v>
      </c>
      <c r="E506" s="1855"/>
      <c r="F506" s="1855"/>
      <c r="G506" s="788"/>
      <c r="I506" s="1677" t="s">
        <v>2412</v>
      </c>
    </row>
    <row r="507" spans="1:9">
      <c r="A507" s="795"/>
      <c r="B507" s="795"/>
      <c r="D507" s="798"/>
    </row>
    <row r="508" spans="1:9">
      <c r="A508" s="1835" t="s">
        <v>1162</v>
      </c>
      <c r="B508" s="1835"/>
      <c r="C508" s="1835"/>
      <c r="D508" s="1835"/>
      <c r="E508" s="1835"/>
      <c r="F508" s="1835"/>
      <c r="G508" s="1835"/>
      <c r="H508" s="1752"/>
      <c r="I508" s="1753"/>
    </row>
    <row r="509" spans="1:9" s="720" customFormat="1" ht="12" customHeight="1">
      <c r="A509" s="795"/>
      <c r="B509" s="795"/>
      <c r="C509" s="802"/>
      <c r="D509" s="783"/>
      <c r="E509" s="670"/>
      <c r="F509" s="670"/>
      <c r="G509" s="670"/>
      <c r="I509" s="620"/>
    </row>
    <row r="510" spans="1:9" s="720" customFormat="1">
      <c r="A510" s="799"/>
      <c r="B510" s="799"/>
      <c r="C510" s="830"/>
      <c r="D510" s="1959" t="s">
        <v>849</v>
      </c>
      <c r="E510" s="1959"/>
      <c r="F510" s="1959"/>
      <c r="G510" s="691"/>
      <c r="I510" s="620"/>
    </row>
    <row r="511" spans="1:9" s="720" customFormat="1">
      <c r="A511" s="799"/>
      <c r="B511" s="799"/>
      <c r="C511" s="830"/>
      <c r="D511" s="853" t="s">
        <v>1397</v>
      </c>
      <c r="E511" s="853"/>
      <c r="F511" s="853"/>
      <c r="G511" s="691"/>
      <c r="I511" s="620"/>
    </row>
    <row r="512" spans="1:9" s="720" customFormat="1">
      <c r="A512" s="799"/>
      <c r="B512" s="799"/>
      <c r="C512" s="830"/>
      <c r="D512" s="853" t="s">
        <v>1398</v>
      </c>
      <c r="E512" s="853"/>
      <c r="F512" s="853"/>
      <c r="G512" s="691"/>
      <c r="I512" s="620"/>
    </row>
    <row r="513" spans="1:9" s="720" customFormat="1">
      <c r="A513" s="799"/>
      <c r="B513" s="799"/>
      <c r="C513" s="830"/>
      <c r="D513" s="852"/>
      <c r="E513" s="852"/>
      <c r="F513" s="852"/>
      <c r="G513" s="691"/>
      <c r="I513" s="620"/>
    </row>
    <row r="514" spans="1:9" s="720" customFormat="1" ht="13.75" customHeight="1">
      <c r="A514" s="793"/>
      <c r="B514" s="796" t="s">
        <v>2637</v>
      </c>
      <c r="C514" s="797"/>
      <c r="D514" s="1827" t="s">
        <v>2185</v>
      </c>
      <c r="E514" s="1827"/>
      <c r="F514" s="1827"/>
      <c r="G514" s="670"/>
      <c r="I514" s="620" t="s">
        <v>2392</v>
      </c>
    </row>
    <row r="515" spans="1:9" s="720" customFormat="1">
      <c r="A515" s="793"/>
      <c r="B515" s="793"/>
      <c r="C515" s="797"/>
      <c r="D515" s="1827"/>
      <c r="E515" s="1827"/>
      <c r="F515" s="1827"/>
      <c r="G515" s="670"/>
      <c r="I515" s="620"/>
    </row>
    <row r="516" spans="1:9" s="720" customFormat="1">
      <c r="A516" s="793"/>
      <c r="B516" s="793"/>
      <c r="C516" s="797"/>
      <c r="D516" s="1610"/>
      <c r="E516" s="1610"/>
      <c r="F516" s="1610"/>
      <c r="G516" s="670"/>
    </row>
    <row r="517" spans="1:9" s="720" customFormat="1">
      <c r="A517" s="793"/>
      <c r="B517" s="796" t="s">
        <v>2638</v>
      </c>
      <c r="C517" s="802"/>
      <c r="D517" s="1827" t="s">
        <v>1200</v>
      </c>
      <c r="E517" s="1827"/>
      <c r="F517" s="1827"/>
      <c r="G517" s="670"/>
      <c r="I517" s="620" t="s">
        <v>2358</v>
      </c>
    </row>
    <row r="518" spans="1:9" s="720" customFormat="1">
      <c r="A518" s="793"/>
      <c r="B518" s="793"/>
      <c r="C518" s="802"/>
      <c r="D518" s="1827"/>
      <c r="E518" s="1827"/>
      <c r="F518" s="1827"/>
      <c r="G518" s="670"/>
      <c r="I518" s="620"/>
    </row>
    <row r="519" spans="1:9" s="720" customFormat="1">
      <c r="A519" s="793"/>
      <c r="B519" s="793"/>
      <c r="C519" s="797"/>
      <c r="D519" s="1827"/>
      <c r="E519" s="1827"/>
      <c r="F519" s="1827"/>
      <c r="G519" s="670"/>
      <c r="I519" s="620"/>
    </row>
    <row r="520" spans="1:9" s="720" customFormat="1">
      <c r="A520" s="793"/>
      <c r="B520" s="793"/>
      <c r="C520" s="797"/>
      <c r="D520" s="831"/>
      <c r="E520" s="670"/>
      <c r="F520" s="783"/>
      <c r="G520" s="670"/>
      <c r="I520" s="620"/>
    </row>
    <row r="521" spans="1:9" s="720" customFormat="1" ht="13.5" customHeight="1">
      <c r="A521" s="793"/>
      <c r="B521" s="796" t="s">
        <v>2638</v>
      </c>
      <c r="C521" s="797"/>
      <c r="D521" s="1939" t="s">
        <v>1226</v>
      </c>
      <c r="E521" s="1939"/>
      <c r="F521" s="1939"/>
      <c r="G521" s="670"/>
      <c r="I521" s="620" t="s">
        <v>2358</v>
      </c>
    </row>
    <row r="522" spans="1:9" s="720" customFormat="1">
      <c r="A522" s="793"/>
      <c r="B522" s="793"/>
      <c r="C522" s="797"/>
      <c r="D522" s="1939"/>
      <c r="E522" s="1939"/>
      <c r="F522" s="1939"/>
      <c r="G522" s="670"/>
      <c r="I522" s="620"/>
    </row>
    <row r="523" spans="1:9" s="720" customFormat="1" ht="12" customHeight="1">
      <c r="A523" s="798"/>
      <c r="B523" s="798"/>
      <c r="C523" s="806"/>
      <c r="D523" s="798"/>
      <c r="E523" s="670"/>
      <c r="F523" s="833"/>
      <c r="G523" s="670"/>
      <c r="I523" s="620"/>
    </row>
    <row r="524" spans="1:9">
      <c r="A524" s="1835" t="s">
        <v>1163</v>
      </c>
      <c r="B524" s="1835"/>
      <c r="C524" s="1835"/>
      <c r="D524" s="1835"/>
      <c r="E524" s="1835"/>
      <c r="F524" s="1835"/>
      <c r="G524" s="1835"/>
      <c r="H524" s="1752"/>
      <c r="I524" s="1753"/>
    </row>
    <row r="525" spans="1:9">
      <c r="A525" s="798"/>
      <c r="B525" s="798"/>
      <c r="C525" s="827"/>
      <c r="F525" s="834"/>
    </row>
    <row r="526" spans="1:9">
      <c r="B526" s="1925" t="s">
        <v>468</v>
      </c>
      <c r="C526" s="1925"/>
      <c r="D526" s="1925"/>
      <c r="E526" s="1925"/>
      <c r="F526" s="1925"/>
    </row>
    <row r="527" spans="1:9">
      <c r="A527" s="798"/>
      <c r="B527" s="798"/>
      <c r="C527" s="827"/>
      <c r="D527" s="798"/>
      <c r="F527" s="798"/>
    </row>
    <row r="528" spans="1:9">
      <c r="A528" s="1885" t="s">
        <v>1164</v>
      </c>
      <c r="B528" s="1885"/>
      <c r="C528" s="1885"/>
      <c r="D528" s="1885"/>
      <c r="E528" s="1885"/>
      <c r="F528" s="1885"/>
      <c r="G528" s="1885"/>
      <c r="H528" s="1752"/>
      <c r="I528" s="1753"/>
    </row>
    <row r="529" spans="1:9">
      <c r="A529" s="798"/>
      <c r="B529" s="798"/>
      <c r="C529" s="827"/>
      <c r="D529" s="798"/>
      <c r="F529" s="798"/>
    </row>
    <row r="530" spans="1:9">
      <c r="C530" s="827"/>
      <c r="D530" s="1852" t="s">
        <v>718</v>
      </c>
      <c r="E530" s="1852"/>
      <c r="F530" s="1852"/>
    </row>
    <row r="531" spans="1:9">
      <c r="C531" s="827"/>
      <c r="D531" s="1855" t="s">
        <v>1221</v>
      </c>
      <c r="E531" s="1855"/>
      <c r="F531" s="1855"/>
    </row>
    <row r="532" spans="1:9">
      <c r="C532" s="827"/>
      <c r="D532" s="783"/>
      <c r="E532" s="783"/>
      <c r="F532" s="783"/>
    </row>
    <row r="533" spans="1:9" ht="13.75" customHeight="1">
      <c r="A533" s="795"/>
      <c r="B533" s="796" t="s">
        <v>2637</v>
      </c>
      <c r="C533" s="827"/>
      <c r="D533" s="1855" t="s">
        <v>947</v>
      </c>
      <c r="E533" s="1855"/>
      <c r="F533" s="1855"/>
      <c r="G533" s="788"/>
      <c r="I533" s="1677" t="s">
        <v>2410</v>
      </c>
    </row>
    <row r="534" spans="1:9" ht="13.75" customHeight="1">
      <c r="A534" s="827"/>
      <c r="B534" s="827"/>
      <c r="C534" s="827"/>
      <c r="D534" s="783"/>
      <c r="E534" s="616"/>
      <c r="F534" s="616"/>
      <c r="G534" s="788"/>
    </row>
    <row r="535" spans="1:9">
      <c r="A535" s="795"/>
      <c r="B535" s="796" t="s">
        <v>2637</v>
      </c>
      <c r="C535" s="827"/>
      <c r="D535" s="1853" t="s">
        <v>1222</v>
      </c>
      <c r="E535" s="1853"/>
      <c r="F535" s="1853"/>
      <c r="G535" s="788"/>
      <c r="I535" s="1677" t="s">
        <v>2410</v>
      </c>
    </row>
    <row r="536" spans="1:9">
      <c r="A536" s="827"/>
      <c r="B536" s="827"/>
      <c r="C536" s="827"/>
      <c r="D536" s="1853"/>
      <c r="E536" s="1853"/>
      <c r="F536" s="1853"/>
      <c r="G536" s="788"/>
    </row>
    <row r="537" spans="1:9">
      <c r="A537" s="827"/>
      <c r="B537" s="827"/>
      <c r="C537" s="827"/>
      <c r="D537" s="798"/>
      <c r="E537" s="798"/>
      <c r="F537" s="798"/>
      <c r="G537" s="788"/>
    </row>
    <row r="538" spans="1:9">
      <c r="A538" s="795"/>
      <c r="B538" s="796" t="s">
        <v>2637</v>
      </c>
      <c r="C538" s="827"/>
      <c r="D538" s="1853" t="s">
        <v>1223</v>
      </c>
      <c r="E538" s="1853"/>
      <c r="F538" s="1853"/>
      <c r="G538" s="788"/>
      <c r="I538" s="1677" t="s">
        <v>2359</v>
      </c>
    </row>
    <row r="539" spans="1:9">
      <c r="A539" s="827"/>
      <c r="B539" s="827"/>
      <c r="C539" s="827"/>
      <c r="D539" s="1853"/>
      <c r="E539" s="1853"/>
      <c r="F539" s="1853"/>
      <c r="G539" s="788"/>
    </row>
    <row r="540" spans="1:9">
      <c r="A540" s="827"/>
      <c r="B540" s="827"/>
      <c r="C540" s="827"/>
      <c r="D540" s="798"/>
      <c r="E540" s="798"/>
      <c r="F540" s="798"/>
      <c r="G540" s="788"/>
    </row>
    <row r="541" spans="1:9">
      <c r="A541" s="795"/>
      <c r="B541" s="796" t="s">
        <v>2637</v>
      </c>
      <c r="C541" s="827"/>
      <c r="D541" s="1853" t="s">
        <v>1224</v>
      </c>
      <c r="E541" s="1853"/>
      <c r="F541" s="1853"/>
      <c r="G541" s="788"/>
      <c r="I541" s="1677" t="s">
        <v>2360</v>
      </c>
    </row>
    <row r="542" spans="1:9">
      <c r="A542" s="827"/>
      <c r="B542" s="827"/>
      <c r="C542" s="827"/>
      <c r="D542" s="1853"/>
      <c r="E542" s="1853"/>
      <c r="F542" s="1853"/>
      <c r="G542" s="788"/>
    </row>
    <row r="543" spans="1:9">
      <c r="A543" s="827"/>
      <c r="B543" s="827"/>
      <c r="C543" s="827"/>
      <c r="D543" s="798"/>
      <c r="E543" s="798"/>
      <c r="F543" s="798"/>
      <c r="G543" s="788"/>
    </row>
    <row r="544" spans="1:9">
      <c r="A544" s="795"/>
      <c r="B544" s="796" t="s">
        <v>2637</v>
      </c>
      <c r="C544" s="827"/>
      <c r="D544" s="1853" t="s">
        <v>1225</v>
      </c>
      <c r="E544" s="1853"/>
      <c r="F544" s="1853"/>
      <c r="G544" s="788"/>
      <c r="I544" s="1677" t="s">
        <v>2411</v>
      </c>
    </row>
    <row r="545" spans="1:9">
      <c r="A545" s="827"/>
      <c r="B545" s="827"/>
      <c r="C545" s="827"/>
      <c r="D545" s="1853"/>
      <c r="E545" s="1853"/>
      <c r="F545" s="1853"/>
      <c r="G545" s="788"/>
    </row>
    <row r="546" spans="1:9">
      <c r="A546" s="827"/>
      <c r="B546" s="827"/>
      <c r="C546" s="827"/>
      <c r="D546" s="1853"/>
      <c r="E546" s="1853"/>
      <c r="F546" s="1853"/>
      <c r="G546" s="788"/>
    </row>
    <row r="547" spans="1:9">
      <c r="A547" s="827"/>
      <c r="B547" s="827"/>
      <c r="C547" s="827"/>
      <c r="D547" s="798"/>
      <c r="E547" s="798"/>
      <c r="F547" s="798"/>
    </row>
    <row r="548" spans="1:9">
      <c r="A548" s="795"/>
      <c r="B548" s="796" t="s">
        <v>2638</v>
      </c>
      <c r="C548" s="827"/>
      <c r="D548" s="1939" t="s">
        <v>1343</v>
      </c>
      <c r="E548" s="1939"/>
      <c r="F548" s="1939"/>
      <c r="I548" s="1677" t="s">
        <v>2410</v>
      </c>
    </row>
    <row r="549" spans="1:9">
      <c r="A549" s="827"/>
      <c r="B549" s="827"/>
      <c r="C549" s="827"/>
      <c r="D549" s="1939"/>
      <c r="E549" s="1939"/>
      <c r="F549" s="1939"/>
    </row>
    <row r="550" spans="1:9">
      <c r="A550" s="827"/>
      <c r="B550" s="827"/>
      <c r="C550" s="827"/>
      <c r="D550" s="798"/>
      <c r="E550" s="798"/>
      <c r="F550" s="798"/>
    </row>
    <row r="551" spans="1:9">
      <c r="A551" s="795"/>
      <c r="B551" s="796" t="s">
        <v>2637</v>
      </c>
      <c r="C551" s="827"/>
      <c r="D551" s="1853" t="s">
        <v>1227</v>
      </c>
      <c r="E551" s="1853"/>
      <c r="F551" s="1853"/>
      <c r="I551" s="1677" t="s">
        <v>2410</v>
      </c>
    </row>
    <row r="552" spans="1:9">
      <c r="A552" s="827"/>
      <c r="B552" s="827"/>
      <c r="C552" s="827"/>
      <c r="D552" s="1853"/>
      <c r="E552" s="1853"/>
      <c r="F552" s="1853"/>
      <c r="G552" s="817"/>
    </row>
    <row r="553" spans="1:9">
      <c r="A553" s="827"/>
      <c r="B553" s="827"/>
      <c r="C553" s="827"/>
      <c r="D553" s="798"/>
      <c r="E553" s="798"/>
      <c r="F553" s="798"/>
      <c r="G553" s="817"/>
    </row>
    <row r="554" spans="1:9">
      <c r="A554" s="795"/>
      <c r="B554" s="796" t="s">
        <v>2637</v>
      </c>
      <c r="C554" s="827"/>
      <c r="D554" s="1855" t="s">
        <v>1228</v>
      </c>
      <c r="E554" s="1855"/>
      <c r="F554" s="1855"/>
      <c r="G554" s="817"/>
      <c r="I554" s="1677" t="s">
        <v>2413</v>
      </c>
    </row>
    <row r="555" spans="1:9">
      <c r="A555" s="814"/>
      <c r="B555" s="814"/>
      <c r="C555" s="827"/>
      <c r="D555" s="1855" t="s">
        <v>879</v>
      </c>
      <c r="E555" s="1855"/>
      <c r="F555" s="1855"/>
      <c r="G555" s="817"/>
    </row>
    <row r="556" spans="1:9">
      <c r="A556" s="814"/>
      <c r="B556" s="814"/>
      <c r="C556" s="827"/>
      <c r="D556" s="670"/>
      <c r="E556" s="1926" t="s">
        <v>1229</v>
      </c>
      <c r="F556" s="1926"/>
      <c r="G556" s="817"/>
    </row>
    <row r="557" spans="1:9">
      <c r="A557" s="795"/>
      <c r="B557" s="795"/>
      <c r="C557" s="827"/>
      <c r="E557" s="798"/>
      <c r="F557" s="798"/>
      <c r="G557" s="817"/>
    </row>
    <row r="558" spans="1:9">
      <c r="A558" s="795"/>
      <c r="B558" s="796" t="s">
        <v>2637</v>
      </c>
      <c r="C558" s="827"/>
      <c r="D558" s="1952" t="s">
        <v>1230</v>
      </c>
      <c r="E558" s="1952"/>
      <c r="F558" s="1952"/>
      <c r="G558" s="817"/>
      <c r="I558" s="1677" t="s">
        <v>2361</v>
      </c>
    </row>
    <row r="559" spans="1:9">
      <c r="C559" s="827"/>
      <c r="D559" s="1853" t="s">
        <v>1231</v>
      </c>
      <c r="E559" s="1853"/>
      <c r="F559" s="1853"/>
      <c r="G559" s="817"/>
    </row>
    <row r="560" spans="1:9">
      <c r="A560" s="827"/>
      <c r="B560" s="827"/>
      <c r="C560" s="827"/>
      <c r="D560" s="1853"/>
      <c r="E560" s="1853"/>
      <c r="F560" s="1853"/>
      <c r="G560" s="817"/>
    </row>
    <row r="561" spans="1:9">
      <c r="A561" s="827"/>
      <c r="B561" s="827"/>
      <c r="C561" s="827"/>
      <c r="D561" s="1853"/>
      <c r="E561" s="1853"/>
      <c r="F561" s="1853"/>
      <c r="G561" s="817"/>
    </row>
    <row r="562" spans="1:9">
      <c r="A562" s="827"/>
      <c r="B562" s="827"/>
      <c r="C562" s="827"/>
      <c r="D562" s="798"/>
      <c r="E562" s="798"/>
      <c r="F562" s="798"/>
      <c r="G562" s="817"/>
    </row>
    <row r="563" spans="1:9">
      <c r="A563" s="795"/>
      <c r="B563" s="796" t="s">
        <v>2637</v>
      </c>
      <c r="C563" s="827"/>
      <c r="D563" s="1853" t="s">
        <v>1232</v>
      </c>
      <c r="E563" s="1853"/>
      <c r="F563" s="1853"/>
      <c r="G563" s="817"/>
      <c r="I563" s="1677" t="s">
        <v>2362</v>
      </c>
    </row>
    <row r="564" spans="1:9">
      <c r="A564" s="795"/>
      <c r="B564" s="795"/>
      <c r="C564" s="827"/>
      <c r="D564" s="1853"/>
      <c r="E564" s="1853"/>
      <c r="F564" s="1853"/>
      <c r="G564" s="817"/>
    </row>
    <row r="565" spans="1:9">
      <c r="A565" s="795"/>
      <c r="B565" s="795"/>
      <c r="C565" s="827"/>
      <c r="D565" s="1853"/>
      <c r="E565" s="1853"/>
      <c r="F565" s="1853"/>
      <c r="G565" s="817"/>
    </row>
    <row r="566" spans="1:9">
      <c r="A566" s="795"/>
      <c r="B566" s="795"/>
      <c r="C566" s="827"/>
      <c r="D566" s="1853"/>
      <c r="E566" s="1853"/>
      <c r="F566" s="1853"/>
      <c r="G566" s="817"/>
    </row>
    <row r="567" spans="1:9">
      <c r="A567" s="795"/>
      <c r="B567" s="795"/>
      <c r="C567" s="827"/>
      <c r="D567" s="798"/>
      <c r="E567" s="798"/>
      <c r="F567" s="798"/>
      <c r="G567" s="817"/>
    </row>
    <row r="568" spans="1:9">
      <c r="A568" s="1835" t="s">
        <v>1165</v>
      </c>
      <c r="B568" s="1835"/>
      <c r="C568" s="1835"/>
      <c r="D568" s="1835"/>
      <c r="E568" s="1835"/>
      <c r="F568" s="1835"/>
      <c r="G568" s="1835"/>
      <c r="H568" s="1752"/>
      <c r="I568" s="1753"/>
    </row>
    <row r="569" spans="1:9">
      <c r="A569" s="827"/>
      <c r="B569" s="827"/>
      <c r="C569" s="827"/>
      <c r="E569" s="798"/>
      <c r="F569" s="798"/>
      <c r="G569" s="817"/>
    </row>
    <row r="570" spans="1:9" ht="12.75" customHeight="1">
      <c r="C570" s="791"/>
      <c r="D570" s="1924" t="s">
        <v>215</v>
      </c>
      <c r="E570" s="1924"/>
      <c r="F570" s="1924"/>
      <c r="G570" s="817"/>
    </row>
    <row r="571" spans="1:9">
      <c r="A571" s="793"/>
      <c r="B571" s="793"/>
      <c r="C571" s="793"/>
      <c r="D571" s="1858" t="s">
        <v>1181</v>
      </c>
      <c r="E571" s="1858"/>
      <c r="F571" s="1858"/>
      <c r="G571" s="817"/>
    </row>
    <row r="572" spans="1:9">
      <c r="A572" s="788"/>
      <c r="B572" s="788"/>
      <c r="C572" s="793"/>
      <c r="D572" s="835"/>
      <c r="G572" s="817"/>
      <c r="I572" s="1677" t="s">
        <v>2363</v>
      </c>
    </row>
    <row r="573" spans="1:9">
      <c r="A573" s="793"/>
      <c r="B573" s="796" t="s">
        <v>2637</v>
      </c>
      <c r="D573" s="1858" t="s">
        <v>953</v>
      </c>
      <c r="E573" s="1858"/>
      <c r="F573" s="1858"/>
      <c r="G573" s="817"/>
    </row>
    <row r="574" spans="1:9">
      <c r="A574" s="814"/>
      <c r="B574" s="814"/>
      <c r="D574" s="812"/>
    </row>
    <row r="575" spans="1:9">
      <c r="A575" s="814"/>
      <c r="B575" s="796" t="s">
        <v>2637</v>
      </c>
      <c r="D575" s="1834" t="s">
        <v>1182</v>
      </c>
      <c r="E575" s="1834"/>
      <c r="F575" s="1834"/>
      <c r="I575" s="1677" t="s">
        <v>2365</v>
      </c>
    </row>
    <row r="576" spans="1:9">
      <c r="A576" s="814"/>
      <c r="B576" s="814"/>
      <c r="D576" s="1834"/>
      <c r="E576" s="1834"/>
      <c r="F576" s="1834"/>
      <c r="G576" s="788"/>
      <c r="I576" s="1677" t="s">
        <v>2364</v>
      </c>
    </row>
    <row r="577" spans="1:9">
      <c r="A577" s="814"/>
      <c r="B577" s="814"/>
      <c r="D577" s="1834"/>
      <c r="E577" s="1834"/>
      <c r="F577" s="1834"/>
      <c r="G577" s="788"/>
    </row>
    <row r="578" spans="1:9">
      <c r="A578" s="814"/>
      <c r="B578" s="814"/>
      <c r="D578" s="1834"/>
      <c r="E578" s="1834"/>
      <c r="F578" s="1834"/>
      <c r="G578" s="788"/>
    </row>
    <row r="579" spans="1:9">
      <c r="A579" s="814"/>
      <c r="B579" s="796" t="s">
        <v>2638</v>
      </c>
      <c r="D579" s="1834" t="s">
        <v>1183</v>
      </c>
      <c r="E579" s="1834"/>
      <c r="F579" s="1834"/>
      <c r="G579" s="788"/>
    </row>
    <row r="580" spans="1:9">
      <c r="A580" s="814"/>
      <c r="B580" s="814"/>
      <c r="D580" s="1834"/>
      <c r="E580" s="1834"/>
      <c r="F580" s="1834"/>
      <c r="G580" s="788"/>
    </row>
    <row r="581" spans="1:9">
      <c r="A581" s="814"/>
      <c r="B581" s="814"/>
      <c r="D581" s="1834"/>
      <c r="E581" s="1834"/>
      <c r="F581" s="1834"/>
      <c r="G581" s="788"/>
    </row>
    <row r="582" spans="1:9">
      <c r="A582" s="814"/>
      <c r="B582" s="814"/>
      <c r="D582" s="1834"/>
      <c r="E582" s="1834"/>
      <c r="F582" s="1834"/>
      <c r="G582" s="788"/>
    </row>
    <row r="583" spans="1:9">
      <c r="A583" s="814"/>
      <c r="B583" s="814"/>
      <c r="D583" s="781"/>
      <c r="E583" s="781"/>
      <c r="F583" s="781"/>
      <c r="G583" s="788"/>
    </row>
    <row r="584" spans="1:9">
      <c r="A584" s="814"/>
      <c r="B584" s="796" t="s">
        <v>2637</v>
      </c>
      <c r="D584" s="1834" t="s">
        <v>1184</v>
      </c>
      <c r="E584" s="1834"/>
      <c r="F584" s="1834"/>
      <c r="G584" s="788"/>
    </row>
    <row r="585" spans="1:9">
      <c r="A585" s="814"/>
      <c r="B585" s="814"/>
      <c r="D585" s="1834"/>
      <c r="E585" s="1834"/>
      <c r="F585" s="1834"/>
      <c r="G585" s="788"/>
    </row>
    <row r="586" spans="1:9">
      <c r="A586" s="814"/>
      <c r="B586" s="814"/>
      <c r="D586" s="835"/>
      <c r="G586" s="788"/>
    </row>
    <row r="587" spans="1:9">
      <c r="A587" s="814"/>
      <c r="B587" s="796" t="s">
        <v>2638</v>
      </c>
      <c r="D587" s="1858" t="s">
        <v>1185</v>
      </c>
      <c r="E587" s="1858"/>
      <c r="F587" s="1858"/>
      <c r="G587" s="788"/>
      <c r="I587" s="1677" t="s">
        <v>2414</v>
      </c>
    </row>
    <row r="588" spans="1:9">
      <c r="A588" s="814"/>
      <c r="B588" s="814"/>
      <c r="D588" s="1858"/>
      <c r="E588" s="1858"/>
      <c r="F588" s="1858"/>
      <c r="G588" s="788"/>
    </row>
    <row r="589" spans="1:9">
      <c r="A589" s="795"/>
      <c r="B589" s="795"/>
      <c r="D589" s="835"/>
      <c r="G589" s="788"/>
    </row>
    <row r="590" spans="1:9">
      <c r="A590" s="1835" t="s">
        <v>1166</v>
      </c>
      <c r="B590" s="1835"/>
      <c r="C590" s="1835"/>
      <c r="D590" s="1835"/>
      <c r="E590" s="1835"/>
      <c r="F590" s="1835"/>
      <c r="G590" s="1835"/>
      <c r="H590" s="1752"/>
      <c r="I590" s="1753"/>
    </row>
    <row r="591" spans="1:9"/>
    <row r="592" spans="1:9">
      <c r="D592" s="1852" t="s">
        <v>1266</v>
      </c>
      <c r="E592" s="1852"/>
      <c r="F592" s="1852"/>
    </row>
    <row r="593" spans="1:9">
      <c r="D593" s="1891" t="s">
        <v>1267</v>
      </c>
      <c r="E593" s="1891"/>
      <c r="F593" s="1891"/>
    </row>
    <row r="594" spans="1:9">
      <c r="D594" s="778"/>
      <c r="E594" s="720"/>
      <c r="F594" s="720"/>
    </row>
    <row r="595" spans="1:9" s="789" customFormat="1">
      <c r="A595" s="803"/>
      <c r="B595" s="796" t="s">
        <v>2637</v>
      </c>
      <c r="C595" s="799"/>
      <c r="D595" s="1854" t="s">
        <v>1268</v>
      </c>
      <c r="E595" s="1854"/>
      <c r="F595" s="1854"/>
      <c r="G595" s="800"/>
      <c r="I595" s="1736" t="s">
        <v>2393</v>
      </c>
    </row>
    <row r="596" spans="1:9">
      <c r="D596" s="1854"/>
      <c r="E596" s="1854"/>
      <c r="F596" s="1854"/>
    </row>
    <row r="597" spans="1:9">
      <c r="D597" s="1854"/>
      <c r="E597" s="1854"/>
      <c r="F597" s="1854"/>
    </row>
    <row r="598" spans="1:9"/>
    <row r="599" spans="1:9">
      <c r="A599" s="1835" t="s">
        <v>1167</v>
      </c>
      <c r="B599" s="1835"/>
      <c r="C599" s="1835"/>
      <c r="D599" s="1835"/>
      <c r="E599" s="1835"/>
      <c r="F599" s="1835"/>
      <c r="G599" s="1835"/>
      <c r="H599" s="1752"/>
      <c r="I599" s="1753"/>
    </row>
    <row r="600" spans="1:9">
      <c r="A600" s="798"/>
      <c r="B600" s="798"/>
      <c r="G600" s="817"/>
    </row>
    <row r="601" spans="1:9">
      <c r="A601" s="836"/>
      <c r="B601" s="836"/>
      <c r="C601" s="791"/>
      <c r="D601" s="1892" t="s">
        <v>1269</v>
      </c>
      <c r="E601" s="1892"/>
      <c r="F601" s="1892"/>
      <c r="G601" s="817"/>
    </row>
    <row r="602" spans="1:9">
      <c r="A602" s="836"/>
      <c r="B602" s="836"/>
      <c r="C602" s="791"/>
      <c r="D602" s="1892"/>
      <c r="E602" s="1892"/>
      <c r="F602" s="1892"/>
      <c r="G602" s="817"/>
    </row>
    <row r="603" spans="1:9">
      <c r="C603" s="793"/>
      <c r="D603" s="1891" t="s">
        <v>1270</v>
      </c>
      <c r="E603" s="1891"/>
      <c r="F603" s="1891"/>
      <c r="G603" s="817"/>
    </row>
    <row r="604" spans="1:9">
      <c r="C604" s="793"/>
      <c r="D604" s="778"/>
      <c r="E604" s="778"/>
      <c r="F604" s="778"/>
      <c r="G604" s="817"/>
    </row>
    <row r="605" spans="1:9" ht="12.75" customHeight="1">
      <c r="A605" s="814"/>
      <c r="B605" s="796" t="s">
        <v>2637</v>
      </c>
      <c r="D605" s="1851" t="s">
        <v>1271</v>
      </c>
      <c r="E605" s="1851"/>
      <c r="F605" s="1851"/>
      <c r="G605" s="817"/>
      <c r="I605" s="1677" t="s">
        <v>2415</v>
      </c>
    </row>
    <row r="606" spans="1:9">
      <c r="D606" s="1851"/>
      <c r="E606" s="1851"/>
      <c r="F606" s="1851"/>
      <c r="G606" s="817"/>
    </row>
    <row r="607" spans="1:9">
      <c r="D607" s="788"/>
      <c r="G607" s="817"/>
    </row>
    <row r="608" spans="1:9">
      <c r="B608" s="796" t="s">
        <v>2637</v>
      </c>
      <c r="D608" s="1851" t="s">
        <v>1272</v>
      </c>
      <c r="E608" s="1851"/>
      <c r="F608" s="1851"/>
      <c r="G608" s="817"/>
      <c r="I608" s="1677" t="s">
        <v>2366</v>
      </c>
    </row>
    <row r="609" spans="1:9">
      <c r="C609" s="837"/>
      <c r="D609" s="1851"/>
      <c r="E609" s="1851"/>
      <c r="F609" s="1851"/>
      <c r="G609" s="817"/>
    </row>
    <row r="610" spans="1:9">
      <c r="C610" s="837"/>
      <c r="G610" s="817"/>
    </row>
    <row r="611" spans="1:9">
      <c r="B611" s="796" t="s">
        <v>2638</v>
      </c>
      <c r="C611" s="837"/>
      <c r="D611" s="1851" t="s">
        <v>1273</v>
      </c>
      <c r="E611" s="1851"/>
      <c r="F611" s="1851"/>
      <c r="G611" s="817"/>
      <c r="I611" s="1677" t="s">
        <v>2416</v>
      </c>
    </row>
    <row r="612" spans="1:9">
      <c r="C612" s="837"/>
      <c r="D612" s="1851"/>
      <c r="E612" s="1851"/>
      <c r="F612" s="1851"/>
      <c r="G612" s="817"/>
      <c r="I612" s="1749" t="s">
        <v>2417</v>
      </c>
    </row>
    <row r="613" spans="1:9">
      <c r="C613" s="837"/>
      <c r="G613" s="817"/>
    </row>
    <row r="614" spans="1:9">
      <c r="A614" s="1835" t="s">
        <v>1168</v>
      </c>
      <c r="B614" s="1835"/>
      <c r="C614" s="1835"/>
      <c r="D614" s="1835"/>
      <c r="E614" s="1835"/>
      <c r="F614" s="1835"/>
      <c r="G614" s="1835"/>
      <c r="H614" s="1752"/>
      <c r="I614" s="1753"/>
    </row>
    <row r="615" spans="1:9">
      <c r="A615" s="838"/>
      <c r="B615" s="838"/>
      <c r="C615" s="838"/>
      <c r="G615" s="817"/>
    </row>
    <row r="616" spans="1:9">
      <c r="C616" s="814"/>
      <c r="D616" s="1852" t="s">
        <v>1274</v>
      </c>
      <c r="E616" s="1852"/>
      <c r="F616" s="1852"/>
      <c r="G616" s="817"/>
    </row>
    <row r="617" spans="1:9">
      <c r="A617" s="814"/>
      <c r="B617" s="814"/>
      <c r="C617" s="816"/>
      <c r="D617" s="792"/>
      <c r="G617" s="817"/>
    </row>
    <row r="618" spans="1:9">
      <c r="A618" s="795"/>
      <c r="B618" s="796" t="s">
        <v>2637</v>
      </c>
      <c r="C618" s="816"/>
      <c r="D618" s="1853" t="s">
        <v>1495</v>
      </c>
      <c r="E618" s="1853"/>
      <c r="F618" s="1853"/>
      <c r="G618" s="817"/>
      <c r="I618" s="1677" t="s">
        <v>2394</v>
      </c>
    </row>
    <row r="619" spans="1:9">
      <c r="C619" s="816"/>
      <c r="D619" s="1853"/>
      <c r="E619" s="1853"/>
      <c r="F619" s="1853"/>
      <c r="G619" s="817"/>
    </row>
    <row r="620" spans="1:9">
      <c r="C620" s="816"/>
      <c r="D620" s="1853"/>
      <c r="E620" s="1853"/>
      <c r="F620" s="1853"/>
      <c r="G620" s="817"/>
    </row>
    <row r="621" spans="1:9">
      <c r="C621" s="816"/>
      <c r="D621" s="1853"/>
      <c r="E621" s="1853"/>
      <c r="F621" s="1853"/>
      <c r="G621" s="817"/>
    </row>
    <row r="622" spans="1:9">
      <c r="C622" s="816"/>
      <c r="D622" s="1853"/>
      <c r="E622" s="1853"/>
      <c r="F622" s="1853"/>
      <c r="G622" s="817"/>
    </row>
    <row r="623" spans="1:9">
      <c r="C623" s="816"/>
      <c r="D623" s="1853"/>
      <c r="E623" s="1853"/>
      <c r="F623" s="1853"/>
      <c r="G623" s="817"/>
    </row>
    <row r="624" spans="1:9">
      <c r="C624" s="816"/>
      <c r="D624" s="782"/>
      <c r="E624" s="782"/>
      <c r="F624" s="782"/>
      <c r="G624" s="817"/>
    </row>
    <row r="625" spans="1:9">
      <c r="A625" s="795"/>
      <c r="B625" s="796" t="s">
        <v>2638</v>
      </c>
      <c r="C625" s="816"/>
      <c r="D625" s="1853" t="s">
        <v>1276</v>
      </c>
      <c r="E625" s="1853"/>
      <c r="F625" s="1853"/>
      <c r="G625" s="817"/>
      <c r="I625" s="1677" t="s">
        <v>2418</v>
      </c>
    </row>
    <row r="626" spans="1:9">
      <c r="A626" s="827"/>
      <c r="B626" s="827"/>
      <c r="C626" s="827"/>
      <c r="D626" s="1853"/>
      <c r="E626" s="1853"/>
      <c r="F626" s="1853"/>
      <c r="G626" s="817"/>
    </row>
    <row r="627" spans="1:9">
      <c r="A627" s="827"/>
      <c r="B627" s="827"/>
      <c r="C627" s="827"/>
      <c r="D627" s="783"/>
      <c r="E627" s="839"/>
      <c r="F627" s="839"/>
      <c r="G627" s="817"/>
    </row>
    <row r="628" spans="1:9">
      <c r="A628" s="795"/>
      <c r="B628" s="796" t="s">
        <v>2638</v>
      </c>
      <c r="C628" s="827"/>
      <c r="D628" s="1854" t="s">
        <v>1433</v>
      </c>
      <c r="E628" s="1854"/>
      <c r="F628" s="1854"/>
      <c r="G628" s="817"/>
      <c r="I628" s="1677" t="s">
        <v>2367</v>
      </c>
    </row>
    <row r="629" spans="1:9">
      <c r="A629" s="795"/>
      <c r="B629" s="795"/>
      <c r="C629" s="827"/>
      <c r="D629" s="1854"/>
      <c r="E629" s="1854"/>
      <c r="F629" s="1854"/>
      <c r="G629" s="817"/>
    </row>
    <row r="630" spans="1:9">
      <c r="A630" s="795"/>
      <c r="B630" s="795"/>
      <c r="C630" s="827"/>
      <c r="D630" s="1854"/>
      <c r="E630" s="1854"/>
      <c r="F630" s="1854"/>
      <c r="G630" s="817"/>
    </row>
    <row r="631" spans="1:9">
      <c r="A631" s="827"/>
      <c r="B631" s="796" t="s">
        <v>2638</v>
      </c>
      <c r="C631" s="827"/>
      <c r="D631" s="1855" t="s">
        <v>1278</v>
      </c>
      <c r="E631" s="1855"/>
      <c r="F631" s="1855"/>
      <c r="G631" s="817"/>
      <c r="I631" s="1677" t="s">
        <v>2367</v>
      </c>
    </row>
    <row r="632" spans="1:9">
      <c r="A632" s="827"/>
      <c r="B632" s="827"/>
      <c r="C632" s="827"/>
      <c r="D632" s="725"/>
      <c r="E632" s="725"/>
      <c r="F632" s="725"/>
      <c r="G632" s="817"/>
    </row>
    <row r="633" spans="1:9">
      <c r="A633" s="1835" t="s">
        <v>1169</v>
      </c>
      <c r="B633" s="1835"/>
      <c r="C633" s="1835"/>
      <c r="D633" s="1835"/>
      <c r="E633" s="1835"/>
      <c r="F633" s="1835"/>
      <c r="G633" s="1835"/>
      <c r="H633" s="1752"/>
      <c r="I633" s="1753"/>
    </row>
    <row r="634" spans="1:9">
      <c r="A634" s="798"/>
      <c r="B634" s="798"/>
      <c r="C634" s="827"/>
      <c r="D634" s="839"/>
      <c r="E634" s="839"/>
      <c r="F634" s="839"/>
      <c r="G634" s="817"/>
    </row>
    <row r="635" spans="1:9">
      <c r="C635" s="838"/>
      <c r="D635" s="1929" t="s">
        <v>1328</v>
      </c>
      <c r="E635" s="1929"/>
      <c r="F635" s="1929"/>
      <c r="G635" s="817"/>
    </row>
    <row r="636" spans="1:9">
      <c r="A636" s="793"/>
      <c r="B636" s="793"/>
      <c r="C636" s="793"/>
      <c r="D636" s="1930" t="s">
        <v>1329</v>
      </c>
      <c r="E636" s="1930"/>
      <c r="F636" s="1930"/>
      <c r="G636" s="817"/>
    </row>
    <row r="637" spans="1:9">
      <c r="A637" s="793"/>
      <c r="B637" s="793"/>
      <c r="C637" s="793"/>
      <c r="D637" s="725"/>
      <c r="E637" s="725"/>
      <c r="F637" s="725"/>
      <c r="G637" s="817"/>
    </row>
    <row r="638" spans="1:9" ht="12.75" customHeight="1">
      <c r="B638" s="796" t="s">
        <v>2637</v>
      </c>
      <c r="C638" s="827"/>
      <c r="D638" s="1937" t="s">
        <v>1516</v>
      </c>
      <c r="E638" s="1937"/>
      <c r="F638" s="1937"/>
      <c r="I638" s="1677" t="s">
        <v>2421</v>
      </c>
    </row>
    <row r="639" spans="1:9">
      <c r="D639" s="1937"/>
      <c r="E639" s="1937"/>
      <c r="F639" s="1937"/>
    </row>
    <row r="640" spans="1:9">
      <c r="D640" s="1937"/>
      <c r="E640" s="1937"/>
      <c r="F640" s="1937"/>
    </row>
    <row r="641" spans="1:9">
      <c r="D641" s="1937"/>
      <c r="E641" s="1937"/>
      <c r="F641" s="1937"/>
    </row>
    <row r="642" spans="1:9" ht="14.5" customHeight="1">
      <c r="A642" s="795"/>
      <c r="B642" s="795"/>
      <c r="C642" s="827"/>
      <c r="D642" s="898"/>
      <c r="E642" s="898"/>
      <c r="F642" s="898"/>
      <c r="G642" s="817"/>
    </row>
    <row r="643" spans="1:9" ht="12.75" customHeight="1">
      <c r="A643" s="793"/>
      <c r="B643" s="796" t="s">
        <v>2637</v>
      </c>
      <c r="C643" s="827"/>
      <c r="D643" s="1937" t="s">
        <v>1519</v>
      </c>
      <c r="E643" s="1937"/>
      <c r="F643" s="1937"/>
      <c r="G643" s="817"/>
      <c r="I643" s="1677" t="s">
        <v>2421</v>
      </c>
    </row>
    <row r="644" spans="1:9">
      <c r="A644" s="793"/>
      <c r="B644" s="795"/>
      <c r="C644" s="827"/>
      <c r="D644" s="1937"/>
      <c r="E644" s="1937"/>
      <c r="F644" s="1937"/>
      <c r="G644" s="817"/>
    </row>
    <row r="645" spans="1:9">
      <c r="A645" s="793"/>
      <c r="B645" s="795"/>
      <c r="C645" s="827"/>
      <c r="D645" s="1937"/>
      <c r="E645" s="1937"/>
      <c r="F645" s="1937"/>
      <c r="G645" s="817"/>
    </row>
    <row r="646" spans="1:9">
      <c r="A646" s="793"/>
      <c r="B646" s="795"/>
      <c r="C646" s="827"/>
      <c r="D646" s="1937"/>
      <c r="E646" s="1937"/>
      <c r="F646" s="1937"/>
      <c r="G646" s="817"/>
    </row>
    <row r="647" spans="1:9">
      <c r="A647" s="793"/>
      <c r="B647" s="795"/>
      <c r="C647" s="827"/>
      <c r="D647" s="1937"/>
      <c r="E647" s="1937"/>
      <c r="F647" s="1937"/>
      <c r="G647" s="817"/>
    </row>
    <row r="648" spans="1:9" ht="14.25" customHeight="1">
      <c r="A648" s="793"/>
      <c r="B648" s="795"/>
      <c r="C648" s="827"/>
      <c r="F648" s="899"/>
      <c r="G648" s="817"/>
    </row>
    <row r="649" spans="1:9" ht="12.75" customHeight="1">
      <c r="A649" s="793"/>
      <c r="B649" s="796" t="s">
        <v>2637</v>
      </c>
      <c r="C649" s="827"/>
      <c r="D649" s="1937" t="s">
        <v>1517</v>
      </c>
      <c r="E649" s="1937"/>
      <c r="F649" s="1937"/>
      <c r="G649" s="817"/>
      <c r="I649" s="1677" t="s">
        <v>2421</v>
      </c>
    </row>
    <row r="650" spans="1:9">
      <c r="A650" s="793"/>
      <c r="B650" s="795"/>
      <c r="C650" s="827"/>
      <c r="D650" s="1937"/>
      <c r="E650" s="1937"/>
      <c r="F650" s="1937"/>
      <c r="G650" s="817"/>
    </row>
    <row r="651" spans="1:9">
      <c r="A651" s="795"/>
      <c r="B651" s="795"/>
      <c r="C651" s="827"/>
      <c r="D651" s="1937"/>
      <c r="E651" s="1937"/>
      <c r="F651" s="1937"/>
      <c r="G651" s="817"/>
    </row>
    <row r="652" spans="1:9">
      <c r="A652" s="795"/>
      <c r="B652" s="795"/>
      <c r="C652" s="827"/>
      <c r="D652" s="1937"/>
      <c r="E652" s="1937"/>
      <c r="F652" s="1937"/>
      <c r="G652" s="817"/>
    </row>
    <row r="653" spans="1:9">
      <c r="A653" s="795"/>
      <c r="B653" s="795"/>
      <c r="C653" s="827"/>
      <c r="D653" s="890"/>
      <c r="E653" s="890"/>
      <c r="F653" s="890"/>
      <c r="G653" s="817"/>
    </row>
    <row r="654" spans="1:9" ht="12.75" customHeight="1">
      <c r="A654" s="793"/>
      <c r="B654" s="796" t="s">
        <v>2638</v>
      </c>
      <c r="C654" s="827"/>
      <c r="D654" s="1937" t="s">
        <v>1518</v>
      </c>
      <c r="E654" s="1937"/>
      <c r="F654" s="1937"/>
      <c r="G654" s="817"/>
      <c r="I654" s="1677" t="s">
        <v>2421</v>
      </c>
    </row>
    <row r="655" spans="1:9" ht="12.75" customHeight="1">
      <c r="A655" s="793"/>
      <c r="B655" s="795"/>
      <c r="C655" s="827"/>
      <c r="D655" s="1937"/>
      <c r="E655" s="1937"/>
      <c r="F655" s="1937"/>
      <c r="G655" s="817"/>
    </row>
    <row r="656" spans="1:9" ht="12.75" customHeight="1">
      <c r="A656" s="793"/>
      <c r="B656" s="795"/>
      <c r="C656" s="827"/>
      <c r="D656" s="1937"/>
      <c r="E656" s="1937"/>
      <c r="F656" s="1937"/>
      <c r="G656" s="817"/>
    </row>
    <row r="657" spans="1:11" ht="12.75" customHeight="1">
      <c r="A657" s="793"/>
      <c r="B657" s="795"/>
      <c r="C657" s="827"/>
      <c r="D657" s="1937"/>
      <c r="E657" s="1937"/>
      <c r="F657" s="1937"/>
      <c r="G657" s="817"/>
    </row>
    <row r="658" spans="1:11" ht="12.75" customHeight="1">
      <c r="A658" s="793"/>
      <c r="B658" s="795"/>
      <c r="C658" s="827"/>
      <c r="D658" s="1937"/>
      <c r="E658" s="1937"/>
      <c r="F658" s="1937"/>
      <c r="G658" s="817"/>
    </row>
    <row r="659" spans="1:11" ht="12.75" customHeight="1">
      <c r="A659" s="793"/>
      <c r="B659" s="795"/>
      <c r="C659" s="827"/>
      <c r="D659" s="1937"/>
      <c r="E659" s="1937"/>
      <c r="F659" s="1937"/>
      <c r="G659" s="817"/>
    </row>
    <row r="660" spans="1:11" ht="12.75" customHeight="1">
      <c r="A660" s="793"/>
      <c r="B660" s="795"/>
      <c r="C660" s="827"/>
      <c r="D660" s="1937"/>
      <c r="E660" s="1937"/>
      <c r="F660" s="1937"/>
      <c r="G660" s="817"/>
    </row>
    <row r="661" spans="1:11" ht="12.75" customHeight="1">
      <c r="A661" s="793"/>
      <c r="B661" s="795"/>
      <c r="C661" s="827"/>
      <c r="D661" s="1937"/>
      <c r="E661" s="1937"/>
      <c r="F661" s="1937"/>
      <c r="G661" s="817"/>
    </row>
    <row r="662" spans="1:11" ht="12.75" customHeight="1">
      <c r="A662" s="793"/>
      <c r="B662" s="795"/>
      <c r="C662" s="827"/>
      <c r="D662" s="1937"/>
      <c r="E662" s="1937"/>
      <c r="F662" s="1937"/>
      <c r="G662" s="817"/>
    </row>
    <row r="663" spans="1:11">
      <c r="A663" s="827"/>
      <c r="B663" s="827"/>
      <c r="C663" s="827"/>
      <c r="D663" s="839"/>
      <c r="E663" s="839"/>
      <c r="F663" s="839"/>
      <c r="G663" s="817"/>
    </row>
    <row r="664" spans="1:11">
      <c r="A664" s="1835" t="s">
        <v>1170</v>
      </c>
      <c r="B664" s="1835"/>
      <c r="C664" s="1835"/>
      <c r="D664" s="1835"/>
      <c r="E664" s="1835"/>
      <c r="F664" s="1835"/>
      <c r="G664" s="1835"/>
      <c r="H664" s="1754"/>
      <c r="I664" s="1755"/>
      <c r="J664" s="840"/>
      <c r="K664" s="840"/>
    </row>
    <row r="665" spans="1:11">
      <c r="A665" s="733"/>
      <c r="B665" s="733"/>
      <c r="C665" s="733"/>
      <c r="D665" s="733"/>
      <c r="E665" s="733"/>
      <c r="F665" s="733"/>
      <c r="G665" s="733"/>
      <c r="H665" s="840"/>
      <c r="I665" s="1740"/>
      <c r="J665" s="840"/>
      <c r="K665" s="840"/>
    </row>
    <row r="666" spans="1:11">
      <c r="C666" s="838"/>
      <c r="D666" s="1852" t="s">
        <v>104</v>
      </c>
      <c r="E666" s="1852"/>
      <c r="F666" s="1852"/>
      <c r="G666" s="817"/>
      <c r="H666" s="840"/>
      <c r="I666" s="1740"/>
      <c r="J666" s="840"/>
      <c r="K666" s="840"/>
    </row>
    <row r="667" spans="1:11">
      <c r="A667" s="838"/>
      <c r="B667" s="838"/>
      <c r="C667" s="838"/>
      <c r="D667" s="1852" t="s">
        <v>128</v>
      </c>
      <c r="E667" s="1852"/>
      <c r="F667" s="1852"/>
      <c r="G667" s="817"/>
      <c r="H667" s="840"/>
      <c r="I667" s="1740"/>
      <c r="J667" s="840"/>
      <c r="K667" s="840"/>
    </row>
    <row r="668" spans="1:11">
      <c r="A668" s="793"/>
      <c r="B668" s="793"/>
      <c r="C668" s="793"/>
      <c r="D668" s="1855" t="s">
        <v>1206</v>
      </c>
      <c r="E668" s="1855"/>
      <c r="F668" s="1855"/>
      <c r="G668" s="817"/>
      <c r="H668" s="840"/>
      <c r="I668" s="1740"/>
      <c r="J668" s="840"/>
      <c r="K668" s="840"/>
    </row>
    <row r="669" spans="1:11">
      <c r="A669" s="793"/>
      <c r="B669" s="793"/>
      <c r="C669" s="793"/>
      <c r="G669" s="817"/>
      <c r="H669" s="840"/>
      <c r="I669" s="1740"/>
      <c r="J669" s="840"/>
      <c r="K669" s="840"/>
    </row>
    <row r="670" spans="1:11">
      <c r="A670" s="795"/>
      <c r="B670" s="796" t="s">
        <v>2638</v>
      </c>
      <c r="C670" s="793"/>
      <c r="D670" s="1855" t="s">
        <v>949</v>
      </c>
      <c r="E670" s="1855"/>
      <c r="F670" s="1855"/>
      <c r="G670" s="817"/>
      <c r="H670" s="840"/>
      <c r="I670" s="1740" t="s">
        <v>2395</v>
      </c>
      <c r="J670" s="840"/>
      <c r="K670" s="840"/>
    </row>
    <row r="671" spans="1:11">
      <c r="A671" s="793"/>
      <c r="B671" s="793"/>
      <c r="C671" s="793"/>
      <c r="D671" s="1855" t="s">
        <v>960</v>
      </c>
      <c r="E671" s="1855"/>
      <c r="F671" s="1855"/>
      <c r="G671" s="817"/>
      <c r="H671" s="840"/>
      <c r="I671" s="1740"/>
      <c r="J671" s="840"/>
      <c r="K671" s="840"/>
    </row>
    <row r="672" spans="1:11">
      <c r="A672" s="793"/>
      <c r="B672" s="793"/>
      <c r="C672" s="793"/>
      <c r="D672" s="670"/>
      <c r="E672" s="1947" t="s">
        <v>1207</v>
      </c>
      <c r="F672" s="1947"/>
      <c r="G672" s="817"/>
      <c r="H672" s="840"/>
      <c r="I672" s="1740"/>
      <c r="J672" s="840"/>
      <c r="K672" s="840"/>
    </row>
    <row r="673" spans="1:11">
      <c r="A673" s="793"/>
      <c r="B673" s="793"/>
      <c r="C673" s="793"/>
      <c r="D673" s="670"/>
      <c r="E673" s="1947"/>
      <c r="F673" s="1947"/>
      <c r="G673" s="817"/>
      <c r="H673" s="840"/>
      <c r="I673" s="1740"/>
      <c r="J673" s="840"/>
      <c r="K673" s="840"/>
    </row>
    <row r="674" spans="1:11">
      <c r="A674" s="793"/>
      <c r="B674" s="793"/>
      <c r="C674" s="793"/>
      <c r="D674" s="841"/>
      <c r="E674" s="798"/>
      <c r="G674" s="817"/>
      <c r="H674" s="840"/>
      <c r="I674" s="1740"/>
      <c r="J674" s="840"/>
      <c r="K674" s="840"/>
    </row>
    <row r="675" spans="1:11">
      <c r="A675" s="795"/>
      <c r="B675" s="796" t="s">
        <v>2638</v>
      </c>
      <c r="C675" s="793"/>
      <c r="D675" s="1853" t="s">
        <v>1399</v>
      </c>
      <c r="E675" s="1853"/>
      <c r="F675" s="1853"/>
      <c r="G675" s="817"/>
      <c r="H675" s="840"/>
      <c r="I675" s="1740" t="s">
        <v>2419</v>
      </c>
      <c r="J675" s="840"/>
      <c r="K675" s="840"/>
    </row>
    <row r="676" spans="1:11">
      <c r="A676" s="814"/>
      <c r="B676" s="814"/>
      <c r="C676" s="793"/>
      <c r="D676" s="1853"/>
      <c r="E676" s="1853"/>
      <c r="F676" s="1853"/>
      <c r="G676" s="817"/>
      <c r="H676" s="840"/>
      <c r="I676" s="1740"/>
      <c r="J676" s="840"/>
      <c r="K676" s="840"/>
    </row>
    <row r="677" spans="1:11">
      <c r="A677" s="793"/>
      <c r="B677" s="793"/>
      <c r="C677" s="793"/>
      <c r="D677" s="1853"/>
      <c r="E677" s="1853"/>
      <c r="F677" s="1853"/>
      <c r="G677" s="817"/>
      <c r="H677" s="840"/>
      <c r="I677" s="1740"/>
      <c r="J677" s="840"/>
      <c r="K677" s="840"/>
    </row>
    <row r="678" spans="1:11">
      <c r="A678" s="793"/>
      <c r="B678" s="793"/>
      <c r="C678" s="793"/>
      <c r="G678" s="817"/>
      <c r="H678" s="840"/>
      <c r="I678" s="1740" t="s">
        <v>2396</v>
      </c>
      <c r="J678" s="840"/>
      <c r="K678" s="840"/>
    </row>
    <row r="679" spans="1:11">
      <c r="A679" s="795"/>
      <c r="B679" s="796" t="s">
        <v>2637</v>
      </c>
      <c r="C679" s="793"/>
      <c r="D679" s="1855" t="s">
        <v>989</v>
      </c>
      <c r="E679" s="1855"/>
      <c r="F679" s="1855"/>
      <c r="G679" s="817"/>
      <c r="H679" s="840"/>
      <c r="I679" s="1740"/>
      <c r="J679" s="840"/>
      <c r="K679" s="840"/>
    </row>
    <row r="680" spans="1:11">
      <c r="A680" s="795"/>
      <c r="B680" s="795"/>
      <c r="C680" s="793"/>
      <c r="D680" s="1855" t="s">
        <v>960</v>
      </c>
      <c r="E680" s="1855"/>
      <c r="F680" s="1855"/>
      <c r="G680" s="817"/>
      <c r="H680" s="840"/>
      <c r="I680" s="1740"/>
      <c r="J680" s="840"/>
      <c r="K680" s="840"/>
    </row>
    <row r="681" spans="1:11">
      <c r="A681" s="793"/>
      <c r="B681" s="793"/>
      <c r="C681" s="793"/>
      <c r="D681" s="670"/>
      <c r="E681" s="1926" t="s">
        <v>1209</v>
      </c>
      <c r="F681" s="1926"/>
      <c r="G681" s="817"/>
      <c r="H681" s="840"/>
      <c r="I681" s="1740"/>
      <c r="J681" s="840"/>
      <c r="K681" s="840"/>
    </row>
    <row r="682" spans="1:11">
      <c r="A682" s="793"/>
      <c r="B682" s="793"/>
      <c r="C682" s="793"/>
      <c r="D682" s="792"/>
      <c r="G682" s="817"/>
      <c r="H682" s="840"/>
      <c r="I682" s="1740"/>
      <c r="J682" s="840"/>
      <c r="K682" s="840"/>
    </row>
    <row r="683" spans="1:11">
      <c r="A683" s="795"/>
      <c r="B683" s="796" t="s">
        <v>2637</v>
      </c>
      <c r="C683" s="793"/>
      <c r="D683" s="1939" t="s">
        <v>1219</v>
      </c>
      <c r="E683" s="1939"/>
      <c r="F683" s="1939"/>
      <c r="G683" s="817"/>
      <c r="H683" s="840"/>
      <c r="I683" s="1740" t="s">
        <v>2368</v>
      </c>
      <c r="J683" s="840"/>
      <c r="K683" s="840"/>
    </row>
    <row r="684" spans="1:11">
      <c r="A684" s="793"/>
      <c r="B684" s="793"/>
      <c r="C684" s="793"/>
      <c r="D684" s="1939"/>
      <c r="E684" s="1939"/>
      <c r="F684" s="1939"/>
      <c r="G684" s="817"/>
      <c r="H684" s="840"/>
      <c r="I684" s="1740"/>
      <c r="J684" s="840"/>
      <c r="K684" s="840"/>
    </row>
    <row r="685" spans="1:11">
      <c r="A685" s="793"/>
      <c r="B685" s="793"/>
      <c r="C685" s="793"/>
      <c r="D685" s="1939"/>
      <c r="E685" s="1939"/>
      <c r="F685" s="1939"/>
      <c r="G685" s="817"/>
      <c r="H685" s="840"/>
      <c r="I685" s="1740"/>
      <c r="J685" s="840"/>
      <c r="K685" s="840"/>
    </row>
    <row r="686" spans="1:11">
      <c r="A686" s="793"/>
      <c r="B686" s="793"/>
      <c r="C686" s="793"/>
      <c r="D686" s="1939"/>
      <c r="E686" s="1939"/>
      <c r="F686" s="1939"/>
      <c r="G686" s="817"/>
      <c r="H686" s="840"/>
      <c r="I686" s="1740"/>
      <c r="J686" s="840"/>
      <c r="K686" s="840"/>
    </row>
    <row r="687" spans="1:11">
      <c r="A687" s="793"/>
      <c r="B687" s="793"/>
      <c r="C687" s="793"/>
      <c r="D687" s="1939"/>
      <c r="E687" s="1939"/>
      <c r="F687" s="1939"/>
      <c r="G687" s="817"/>
      <c r="H687" s="840"/>
      <c r="I687" s="1740"/>
      <c r="J687" s="840"/>
      <c r="K687" s="840"/>
    </row>
    <row r="688" spans="1:11" s="789" customFormat="1">
      <c r="A688" s="832"/>
      <c r="B688" s="832"/>
      <c r="C688" s="832"/>
      <c r="D688" s="1939"/>
      <c r="E688" s="1939"/>
      <c r="F688" s="1939"/>
      <c r="G688" s="842"/>
      <c r="H688" s="843"/>
      <c r="I688" s="1741"/>
      <c r="J688" s="843"/>
      <c r="K688" s="843"/>
    </row>
    <row r="689" spans="1:11" s="789" customFormat="1">
      <c r="A689" s="832"/>
      <c r="B689" s="832"/>
      <c r="C689" s="832"/>
      <c r="D689" s="844"/>
      <c r="E689" s="844"/>
      <c r="F689" s="844"/>
      <c r="G689" s="842"/>
      <c r="H689" s="843"/>
      <c r="I689" s="1741"/>
      <c r="J689" s="843"/>
      <c r="K689" s="843"/>
    </row>
    <row r="690" spans="1:11" s="789" customFormat="1">
      <c r="A690" s="832"/>
      <c r="B690" s="796" t="s">
        <v>2637</v>
      </c>
      <c r="C690" s="832"/>
      <c r="D690" s="1939" t="s">
        <v>1401</v>
      </c>
      <c r="E690" s="1939"/>
      <c r="F690" s="1939"/>
      <c r="G690" s="842"/>
      <c r="H690" s="843"/>
      <c r="I690" s="1741" t="s">
        <v>2368</v>
      </c>
      <c r="J690" s="843"/>
      <c r="K690" s="843"/>
    </row>
    <row r="691" spans="1:11" s="789" customFormat="1">
      <c r="A691" s="832"/>
      <c r="B691" s="832"/>
      <c r="C691" s="832"/>
      <c r="D691" s="1939"/>
      <c r="E691" s="1939"/>
      <c r="F691" s="1939"/>
      <c r="G691" s="842"/>
      <c r="H691" s="843"/>
      <c r="I691" s="1741"/>
      <c r="J691" s="843"/>
      <c r="K691" s="843"/>
    </row>
    <row r="692" spans="1:11" s="789" customFormat="1">
      <c r="A692" s="832"/>
      <c r="B692" s="832"/>
      <c r="C692" s="832"/>
      <c r="D692" s="844"/>
      <c r="E692" s="844"/>
      <c r="F692" s="844"/>
      <c r="G692" s="842"/>
      <c r="H692" s="843"/>
      <c r="I692" s="1741"/>
      <c r="J692" s="843"/>
      <c r="K692" s="843"/>
    </row>
    <row r="693" spans="1:11">
      <c r="A693" s="795"/>
      <c r="B693" s="796" t="s">
        <v>2638</v>
      </c>
      <c r="C693" s="793"/>
      <c r="D693" s="1939" t="s">
        <v>1210</v>
      </c>
      <c r="E693" s="1939"/>
      <c r="F693" s="1939"/>
      <c r="G693" s="817"/>
      <c r="H693" s="840"/>
      <c r="I693" s="1740" t="s">
        <v>2368</v>
      </c>
      <c r="J693" s="840"/>
      <c r="K693" s="840"/>
    </row>
    <row r="694" spans="1:11">
      <c r="A694" s="793"/>
      <c r="B694" s="793"/>
      <c r="C694" s="793"/>
      <c r="D694" s="1939"/>
      <c r="E694" s="1939"/>
      <c r="F694" s="1939"/>
      <c r="G694" s="817"/>
      <c r="H694" s="840"/>
      <c r="I694" s="1740"/>
      <c r="J694" s="840"/>
      <c r="K694" s="840"/>
    </row>
    <row r="695" spans="1:11">
      <c r="A695" s="793"/>
      <c r="B695" s="793"/>
      <c r="C695" s="793"/>
      <c r="D695" s="1939"/>
      <c r="E695" s="1939"/>
      <c r="F695" s="1939"/>
      <c r="G695" s="817"/>
      <c r="H695" s="840"/>
      <c r="I695" s="1740"/>
      <c r="J695" s="840"/>
      <c r="K695" s="840"/>
    </row>
    <row r="696" spans="1:11" ht="15" customHeight="1">
      <c r="A696" s="793"/>
      <c r="B696" s="793"/>
      <c r="C696" s="793"/>
      <c r="D696" s="1939"/>
      <c r="E696" s="1939"/>
      <c r="F696" s="1939"/>
      <c r="G696" s="817"/>
      <c r="H696" s="840"/>
      <c r="I696" s="1740"/>
      <c r="J696" s="840"/>
      <c r="K696" s="840"/>
    </row>
    <row r="697" spans="1:11" ht="15" customHeight="1">
      <c r="A697" s="793"/>
      <c r="B697" s="793"/>
      <c r="C697" s="793"/>
      <c r="D697" s="1939"/>
      <c r="E697" s="1939"/>
      <c r="F697" s="1939"/>
      <c r="G697" s="817"/>
      <c r="H697" s="840"/>
      <c r="I697" s="1740"/>
      <c r="J697" s="840"/>
      <c r="K697" s="840"/>
    </row>
    <row r="698" spans="1:11">
      <c r="A698" s="793"/>
      <c r="B698" s="793"/>
      <c r="C698" s="793"/>
      <c r="D698" s="1939"/>
      <c r="E698" s="1939"/>
      <c r="F698" s="1939"/>
      <c r="G698" s="817"/>
      <c r="H698" s="840"/>
      <c r="I698" s="1740"/>
      <c r="J698" s="840"/>
      <c r="K698" s="840"/>
    </row>
    <row r="699" spans="1:11">
      <c r="A699" s="793"/>
      <c r="B699" s="793"/>
      <c r="C699" s="793"/>
      <c r="D699" s="1939"/>
      <c r="E699" s="1939"/>
      <c r="F699" s="1939"/>
      <c r="G699" s="817"/>
      <c r="H699" s="840"/>
      <c r="I699" s="1740"/>
      <c r="J699" s="840"/>
      <c r="K699" s="840"/>
    </row>
    <row r="700" spans="1:11">
      <c r="A700" s="793"/>
      <c r="B700" s="793"/>
      <c r="C700" s="793"/>
      <c r="D700" s="1939"/>
      <c r="E700" s="1939"/>
      <c r="F700" s="1939"/>
      <c r="G700" s="817"/>
      <c r="H700" s="840"/>
      <c r="I700" s="1740"/>
      <c r="J700" s="840"/>
      <c r="K700" s="840"/>
    </row>
    <row r="701" spans="1:11" ht="15" customHeight="1">
      <c r="A701" s="793"/>
      <c r="B701" s="793"/>
      <c r="C701" s="793"/>
      <c r="D701" s="1939"/>
      <c r="E701" s="1939"/>
      <c r="F701" s="1939"/>
      <c r="G701" s="817"/>
      <c r="H701" s="840"/>
      <c r="I701" s="1740"/>
      <c r="J701" s="840"/>
      <c r="K701" s="840"/>
    </row>
    <row r="702" spans="1:11">
      <c r="A702" s="793"/>
      <c r="B702" s="793"/>
      <c r="C702" s="793"/>
      <c r="D702" s="1939"/>
      <c r="E702" s="1939"/>
      <c r="F702" s="1939"/>
      <c r="G702" s="817"/>
      <c r="H702" s="840"/>
      <c r="I702" s="1740"/>
      <c r="J702" s="840"/>
      <c r="K702" s="840"/>
    </row>
    <row r="703" spans="1:11">
      <c r="A703" s="793"/>
      <c r="B703" s="793"/>
      <c r="C703" s="793"/>
      <c r="D703" s="1939"/>
      <c r="E703" s="1939"/>
      <c r="F703" s="1939"/>
      <c r="G703" s="817"/>
      <c r="H703" s="840"/>
      <c r="I703" s="1740"/>
      <c r="J703" s="840"/>
      <c r="K703" s="840"/>
    </row>
    <row r="704" spans="1:11">
      <c r="A704" s="793"/>
      <c r="B704" s="793"/>
      <c r="C704" s="793"/>
      <c r="D704" s="1939"/>
      <c r="E704" s="1939"/>
      <c r="F704" s="1939"/>
      <c r="G704" s="817"/>
      <c r="H704" s="840"/>
      <c r="I704" s="1740"/>
      <c r="J704" s="840"/>
      <c r="K704" s="840"/>
    </row>
    <row r="705" spans="1:11">
      <c r="A705" s="793"/>
      <c r="B705" s="793"/>
      <c r="C705" s="793"/>
      <c r="D705" s="1939"/>
      <c r="E705" s="1939"/>
      <c r="F705" s="1939"/>
      <c r="G705" s="817"/>
      <c r="H705" s="840"/>
      <c r="I705" s="1740"/>
      <c r="J705" s="840"/>
      <c r="K705" s="840"/>
    </row>
    <row r="706" spans="1:11">
      <c r="A706" s="793"/>
      <c r="B706" s="796" t="s">
        <v>2638</v>
      </c>
      <c r="C706" s="793"/>
      <c r="D706" s="1939" t="s">
        <v>1217</v>
      </c>
      <c r="E706" s="1939"/>
      <c r="F706" s="1939"/>
      <c r="G706" s="817"/>
      <c r="H706" s="840"/>
      <c r="I706" s="1740" t="s">
        <v>2420</v>
      </c>
      <c r="J706" s="840"/>
      <c r="K706" s="840"/>
    </row>
    <row r="707" spans="1:11">
      <c r="A707" s="793"/>
      <c r="B707" s="793"/>
      <c r="C707" s="793"/>
      <c r="D707" s="1939"/>
      <c r="E707" s="1939"/>
      <c r="F707" s="1939"/>
      <c r="G707" s="817"/>
      <c r="H707" s="840"/>
      <c r="I707" s="1740"/>
      <c r="J707" s="840"/>
      <c r="K707" s="840"/>
    </row>
    <row r="708" spans="1:11">
      <c r="A708" s="793"/>
      <c r="B708" s="793"/>
      <c r="C708" s="793"/>
      <c r="D708" s="844"/>
      <c r="E708" s="844"/>
      <c r="F708" s="844"/>
      <c r="G708" s="817"/>
      <c r="H708" s="840"/>
      <c r="I708" s="1740"/>
      <c r="J708" s="840"/>
      <c r="K708" s="840"/>
    </row>
    <row r="709" spans="1:11">
      <c r="A709" s="793"/>
      <c r="B709" s="796" t="s">
        <v>2638</v>
      </c>
      <c r="C709" s="793"/>
      <c r="D709" s="1939" t="s">
        <v>1211</v>
      </c>
      <c r="E709" s="1939"/>
      <c r="F709" s="1939"/>
      <c r="G709" s="817"/>
      <c r="H709" s="840"/>
      <c r="I709" s="1740" t="s">
        <v>2420</v>
      </c>
      <c r="J709" s="840"/>
      <c r="K709" s="840"/>
    </row>
    <row r="710" spans="1:11">
      <c r="A710" s="793"/>
      <c r="B710" s="793"/>
      <c r="C710" s="793"/>
      <c r="D710" s="1939"/>
      <c r="E710" s="1939"/>
      <c r="F710" s="1939"/>
      <c r="G710" s="817"/>
      <c r="H710" s="840"/>
      <c r="I710" s="1740"/>
      <c r="J710" s="840"/>
      <c r="K710" s="840"/>
    </row>
    <row r="711" spans="1:11">
      <c r="A711" s="793"/>
      <c r="B711" s="793"/>
      <c r="C711" s="793"/>
      <c r="D711" s="1939"/>
      <c r="E711" s="1939"/>
      <c r="F711" s="1939"/>
      <c r="G711" s="817"/>
      <c r="H711" s="840"/>
      <c r="I711" s="1740"/>
      <c r="J711" s="840"/>
      <c r="K711" s="840"/>
    </row>
    <row r="712" spans="1:11">
      <c r="A712" s="793"/>
      <c r="B712" s="793"/>
      <c r="C712" s="793"/>
      <c r="D712" s="800"/>
      <c r="G712" s="817"/>
      <c r="H712" s="840"/>
      <c r="I712" s="1740"/>
      <c r="J712" s="840"/>
      <c r="K712" s="840"/>
    </row>
    <row r="713" spans="1:11">
      <c r="A713" s="793"/>
      <c r="B713" s="796" t="s">
        <v>2638</v>
      </c>
      <c r="C713" s="793"/>
      <c r="D713" s="1939" t="s">
        <v>1212</v>
      </c>
      <c r="E713" s="1939"/>
      <c r="F713" s="1939"/>
      <c r="G713" s="817"/>
      <c r="H713" s="840"/>
      <c r="I713" s="1740" t="s">
        <v>2420</v>
      </c>
      <c r="J713" s="840"/>
      <c r="K713" s="840"/>
    </row>
    <row r="714" spans="1:11">
      <c r="A714" s="793"/>
      <c r="B714" s="793"/>
      <c r="C714" s="793"/>
      <c r="D714" s="1939"/>
      <c r="E714" s="1939"/>
      <c r="F714" s="1939"/>
      <c r="G714" s="817"/>
      <c r="H714" s="840"/>
      <c r="I714" s="1740"/>
      <c r="J714" s="840"/>
      <c r="K714" s="840"/>
    </row>
    <row r="715" spans="1:11">
      <c r="A715" s="793"/>
      <c r="B715" s="793"/>
      <c r="C715" s="793"/>
      <c r="D715" s="1939"/>
      <c r="E715" s="1939"/>
      <c r="F715" s="1939"/>
      <c r="G715" s="817"/>
      <c r="H715" s="840"/>
      <c r="I715" s="1740"/>
      <c r="J715" s="840"/>
      <c r="K715" s="840"/>
    </row>
    <row r="716" spans="1:11">
      <c r="A716" s="793"/>
      <c r="B716" s="793"/>
      <c r="C716" s="793"/>
      <c r="D716" s="788"/>
      <c r="G716" s="817"/>
      <c r="H716" s="840"/>
      <c r="I716" s="1740"/>
      <c r="J716" s="840"/>
      <c r="K716" s="840"/>
    </row>
    <row r="717" spans="1:11">
      <c r="A717" s="795"/>
      <c r="B717" s="796" t="s">
        <v>2638</v>
      </c>
      <c r="C717" s="793"/>
      <c r="D717" s="1853" t="s">
        <v>1213</v>
      </c>
      <c r="E717" s="1853"/>
      <c r="F717" s="1853"/>
      <c r="G717" s="817"/>
      <c r="H717" s="840"/>
      <c r="I717" s="1740" t="s">
        <v>2369</v>
      </c>
      <c r="J717" s="840"/>
      <c r="K717" s="840"/>
    </row>
    <row r="718" spans="1:11">
      <c r="A718" s="793"/>
      <c r="B718" s="793"/>
      <c r="C718" s="793"/>
      <c r="D718" s="1853"/>
      <c r="E718" s="1853"/>
      <c r="F718" s="1853"/>
      <c r="G718" s="817"/>
      <c r="H718" s="840"/>
      <c r="I718" s="1740"/>
      <c r="J718" s="840"/>
      <c r="K718" s="840"/>
    </row>
    <row r="719" spans="1:11">
      <c r="A719" s="793"/>
      <c r="B719" s="793"/>
      <c r="C719" s="793"/>
      <c r="D719" s="1853"/>
      <c r="E719" s="1853"/>
      <c r="F719" s="1853"/>
      <c r="G719" s="817"/>
      <c r="H719" s="840"/>
      <c r="I719" s="1740"/>
      <c r="J719" s="840"/>
      <c r="K719" s="840"/>
    </row>
    <row r="720" spans="1:11">
      <c r="A720" s="793"/>
      <c r="B720" s="793"/>
      <c r="C720" s="793"/>
      <c r="D720" s="1853"/>
      <c r="E720" s="1853"/>
      <c r="F720" s="1853"/>
      <c r="G720" s="817"/>
      <c r="H720" s="840"/>
      <c r="I720" s="1740"/>
      <c r="J720" s="840"/>
      <c r="K720" s="840"/>
    </row>
    <row r="721" spans="1:11">
      <c r="A721" s="793"/>
      <c r="B721" s="793"/>
      <c r="C721" s="793"/>
      <c r="D721" s="820"/>
      <c r="G721" s="817"/>
      <c r="H721" s="840"/>
      <c r="I721" s="1740"/>
      <c r="J721" s="840"/>
      <c r="K721" s="840"/>
    </row>
    <row r="722" spans="1:11">
      <c r="A722" s="795"/>
      <c r="B722" s="796" t="s">
        <v>2637</v>
      </c>
      <c r="C722" s="793"/>
      <c r="D722" s="1939" t="s">
        <v>1346</v>
      </c>
      <c r="E722" s="1939"/>
      <c r="F722" s="1939"/>
      <c r="G722" s="817"/>
      <c r="H722" s="840"/>
      <c r="I722" s="1740" t="s">
        <v>2385</v>
      </c>
      <c r="J722" s="840"/>
      <c r="K722" s="840"/>
    </row>
    <row r="723" spans="1:11">
      <c r="A723" s="793"/>
      <c r="B723" s="793"/>
      <c r="C723" s="793"/>
      <c r="D723" s="1939"/>
      <c r="E723" s="1939"/>
      <c r="F723" s="1939"/>
      <c r="G723" s="817"/>
      <c r="H723" s="840"/>
      <c r="I723" s="1740"/>
      <c r="J723" s="840"/>
      <c r="K723" s="840"/>
    </row>
    <row r="724" spans="1:11">
      <c r="A724" s="793"/>
      <c r="B724" s="793"/>
      <c r="C724" s="793"/>
      <c r="D724" s="1939"/>
      <c r="E724" s="1939"/>
      <c r="F724" s="1939"/>
      <c r="G724" s="817"/>
      <c r="H724" s="840"/>
      <c r="I724" s="1740"/>
      <c r="J724" s="840"/>
      <c r="K724" s="840"/>
    </row>
    <row r="725" spans="1:11">
      <c r="A725" s="793"/>
      <c r="B725" s="793"/>
      <c r="C725" s="793"/>
      <c r="D725" s="1939"/>
      <c r="E725" s="1939"/>
      <c r="F725" s="1939"/>
      <c r="G725" s="817"/>
      <c r="H725" s="840"/>
      <c r="I725" s="1740"/>
      <c r="J725" s="840"/>
      <c r="K725" s="840"/>
    </row>
    <row r="726" spans="1:11">
      <c r="A726" s="793"/>
      <c r="B726" s="793"/>
      <c r="C726" s="793"/>
      <c r="D726" s="1939"/>
      <c r="E726" s="1939"/>
      <c r="F726" s="1939"/>
      <c r="G726" s="817"/>
      <c r="H726" s="840"/>
      <c r="I726" s="1740"/>
      <c r="J726" s="840"/>
      <c r="K726" s="840"/>
    </row>
    <row r="727" spans="1:11">
      <c r="A727" s="793"/>
      <c r="B727" s="793"/>
      <c r="C727" s="793"/>
      <c r="D727" s="1939"/>
      <c r="E727" s="1939"/>
      <c r="F727" s="1939"/>
      <c r="G727" s="817"/>
      <c r="H727" s="840"/>
      <c r="I727" s="1740"/>
      <c r="J727" s="840"/>
      <c r="K727" s="840"/>
    </row>
    <row r="728" spans="1:11">
      <c r="A728" s="793"/>
      <c r="B728" s="793"/>
      <c r="C728" s="793"/>
      <c r="D728" s="1939"/>
      <c r="E728" s="1939"/>
      <c r="F728" s="1939"/>
      <c r="G728" s="817"/>
      <c r="H728" s="840"/>
      <c r="I728" s="1740"/>
      <c r="J728" s="840"/>
      <c r="K728" s="840"/>
    </row>
    <row r="729" spans="1:11">
      <c r="A729" s="793"/>
      <c r="B729" s="793"/>
      <c r="C729" s="793"/>
      <c r="D729" s="1883" t="s">
        <v>1214</v>
      </c>
      <c r="E729" s="1883"/>
      <c r="F729" s="1883"/>
      <c r="G729" s="817"/>
      <c r="H729" s="840"/>
      <c r="I729" s="1740"/>
      <c r="J729" s="840"/>
      <c r="K729" s="840"/>
    </row>
    <row r="730" spans="1:11">
      <c r="A730" s="793"/>
      <c r="B730" s="793"/>
      <c r="C730" s="793"/>
      <c r="D730" s="780"/>
      <c r="G730" s="817"/>
      <c r="H730" s="840"/>
      <c r="I730" s="1740"/>
      <c r="J730" s="840"/>
      <c r="K730" s="840"/>
    </row>
    <row r="731" spans="1:11">
      <c r="A731" s="1885" t="s">
        <v>1171</v>
      </c>
      <c r="B731" s="1885"/>
      <c r="C731" s="1885"/>
      <c r="D731" s="1885"/>
      <c r="E731" s="1885"/>
      <c r="F731" s="1885"/>
      <c r="G731" s="1885"/>
      <c r="H731" s="1754"/>
      <c r="I731" s="1755"/>
      <c r="J731" s="840"/>
      <c r="K731" s="840"/>
    </row>
    <row r="732" spans="1:11">
      <c r="A732" s="793"/>
      <c r="B732" s="793"/>
      <c r="C732" s="793"/>
      <c r="D732" s="820"/>
      <c r="G732" s="845"/>
      <c r="H732" s="840"/>
      <c r="I732" s="1740"/>
      <c r="J732" s="840"/>
      <c r="K732" s="840"/>
    </row>
    <row r="733" spans="1:11" ht="13.75" customHeight="1">
      <c r="C733" s="793"/>
      <c r="D733" s="1924" t="s">
        <v>1187</v>
      </c>
      <c r="E733" s="1924"/>
      <c r="F733" s="1924"/>
      <c r="G733" s="845"/>
      <c r="H733" s="840"/>
      <c r="I733" s="1740"/>
      <c r="J733" s="840"/>
      <c r="K733" s="840"/>
    </row>
    <row r="734" spans="1:11">
      <c r="A734" s="793"/>
      <c r="B734" s="793"/>
      <c r="C734" s="793"/>
      <c r="D734" s="1879" t="s">
        <v>1188</v>
      </c>
      <c r="E734" s="1879"/>
      <c r="F734" s="1879"/>
      <c r="G734" s="845"/>
      <c r="H734" s="840"/>
      <c r="I734" s="1740"/>
      <c r="J734" s="840"/>
      <c r="K734" s="840"/>
    </row>
    <row r="735" spans="1:11">
      <c r="A735" s="793"/>
      <c r="B735" s="793"/>
      <c r="C735" s="793"/>
      <c r="G735" s="845"/>
      <c r="H735" s="840"/>
      <c r="I735" s="1740"/>
      <c r="J735" s="840"/>
      <c r="K735" s="840"/>
    </row>
    <row r="736" spans="1:11" s="789" customFormat="1">
      <c r="A736" s="795"/>
      <c r="B736" s="796" t="s">
        <v>2637</v>
      </c>
      <c r="C736" s="786"/>
      <c r="D736" s="1853" t="s">
        <v>1189</v>
      </c>
      <c r="E736" s="1853"/>
      <c r="F736" s="1853"/>
      <c r="G736" s="845"/>
      <c r="H736" s="843"/>
      <c r="I736" s="1741" t="s">
        <v>2370</v>
      </c>
      <c r="J736" s="843"/>
      <c r="K736" s="843"/>
    </row>
    <row r="737" spans="1:11" s="789" customFormat="1" ht="10.5" customHeight="1">
      <c r="A737" s="786"/>
      <c r="B737" s="786"/>
      <c r="C737" s="786"/>
      <c r="D737" s="1853"/>
      <c r="E737" s="1853"/>
      <c r="F737" s="1853"/>
      <c r="G737" s="845"/>
      <c r="H737" s="843"/>
      <c r="I737" s="1741"/>
      <c r="J737" s="843"/>
      <c r="K737" s="843"/>
    </row>
    <row r="738" spans="1:11" s="789" customFormat="1">
      <c r="A738" s="786"/>
      <c r="B738" s="786"/>
      <c r="C738" s="786"/>
      <c r="D738" s="1853"/>
      <c r="E738" s="1853"/>
      <c r="F738" s="1853"/>
      <c r="G738" s="845"/>
      <c r="H738" s="843"/>
      <c r="I738" s="1741"/>
      <c r="J738" s="843"/>
      <c r="K738" s="843"/>
    </row>
    <row r="739" spans="1:11">
      <c r="D739" s="1853"/>
      <c r="E739" s="1853"/>
      <c r="F739" s="1853"/>
      <c r="G739" s="845"/>
      <c r="H739" s="840"/>
      <c r="I739" s="1740"/>
      <c r="J739" s="840"/>
      <c r="K739" s="840"/>
    </row>
    <row r="740" spans="1:11">
      <c r="A740" s="799"/>
      <c r="B740" s="799"/>
      <c r="C740" s="799"/>
      <c r="D740" s="1853"/>
      <c r="E740" s="1853"/>
      <c r="F740" s="1853"/>
      <c r="G740" s="846"/>
      <c r="H740" s="840"/>
      <c r="I740" s="1740"/>
      <c r="J740" s="840"/>
      <c r="K740" s="840"/>
    </row>
    <row r="741" spans="1:11" ht="15.75" customHeight="1">
      <c r="A741" s="799"/>
      <c r="B741" s="799"/>
      <c r="C741" s="799"/>
      <c r="D741" s="1853"/>
      <c r="E741" s="1853"/>
      <c r="F741" s="1853"/>
      <c r="G741" s="846"/>
      <c r="H741" s="840"/>
      <c r="I741" s="1740"/>
      <c r="J741" s="840"/>
      <c r="K741" s="840"/>
    </row>
    <row r="742" spans="1:11">
      <c r="A742" s="799"/>
      <c r="B742" s="799"/>
      <c r="C742" s="799"/>
      <c r="D742" s="835"/>
      <c r="E742" s="847"/>
      <c r="F742" s="847"/>
      <c r="G742" s="846"/>
      <c r="H742" s="840"/>
      <c r="I742" s="1740"/>
      <c r="J742" s="840"/>
      <c r="K742" s="840"/>
    </row>
    <row r="743" spans="1:11" s="851" customFormat="1">
      <c r="A743" s="848"/>
      <c r="B743" s="796" t="s">
        <v>2637</v>
      </c>
      <c r="C743" s="849"/>
      <c r="D743" s="1854" t="s">
        <v>1452</v>
      </c>
      <c r="E743" s="1854"/>
      <c r="F743" s="1854"/>
      <c r="G743" s="850"/>
      <c r="I743" s="1742" t="s">
        <v>2370</v>
      </c>
    </row>
    <row r="744" spans="1:11" s="851" customFormat="1">
      <c r="A744" s="849"/>
      <c r="B744" s="849"/>
      <c r="C744" s="849"/>
      <c r="D744" s="1854"/>
      <c r="E744" s="1854"/>
      <c r="F744" s="1854"/>
      <c r="G744" s="850"/>
      <c r="I744" s="1742"/>
    </row>
    <row r="745" spans="1:11" s="851" customFormat="1">
      <c r="A745" s="849"/>
      <c r="B745" s="849"/>
      <c r="C745" s="849"/>
      <c r="D745" s="1854"/>
      <c r="E745" s="1854"/>
      <c r="F745" s="1854"/>
      <c r="G745" s="850"/>
      <c r="I745" s="1742"/>
    </row>
    <row r="746" spans="1:11" s="851" customFormat="1">
      <c r="A746" s="849"/>
      <c r="B746" s="849"/>
      <c r="C746" s="849"/>
      <c r="D746" s="1854"/>
      <c r="E746" s="1854"/>
      <c r="F746" s="1854"/>
      <c r="G746" s="850"/>
      <c r="I746" s="1742"/>
    </row>
    <row r="747" spans="1:11" s="851" customFormat="1">
      <c r="A747" s="849"/>
      <c r="B747" s="849"/>
      <c r="C747" s="849"/>
      <c r="D747" s="835"/>
      <c r="E747" s="850"/>
      <c r="F747" s="850"/>
      <c r="G747" s="850"/>
      <c r="I747" s="1742"/>
    </row>
    <row r="748" spans="1:11" s="851" customFormat="1">
      <c r="A748" s="795"/>
      <c r="B748" s="796" t="s">
        <v>2638</v>
      </c>
      <c r="C748" s="849"/>
      <c r="D748" s="1948" t="s">
        <v>1453</v>
      </c>
      <c r="E748" s="1948"/>
      <c r="F748" s="1948"/>
      <c r="G748" s="850"/>
      <c r="I748" s="1742" t="s">
        <v>2371</v>
      </c>
    </row>
    <row r="749" spans="1:11" s="851" customFormat="1">
      <c r="A749" s="849"/>
      <c r="B749" s="849"/>
      <c r="C749" s="849"/>
      <c r="D749" s="1948"/>
      <c r="E749" s="1948"/>
      <c r="F749" s="1948"/>
      <c r="G749" s="850"/>
      <c r="I749" s="1742"/>
    </row>
    <row r="750" spans="1:11" s="851" customFormat="1">
      <c r="A750" s="849"/>
      <c r="B750" s="849"/>
      <c r="C750" s="849"/>
      <c r="D750" s="1948"/>
      <c r="E750" s="1948"/>
      <c r="F750" s="1948"/>
      <c r="G750" s="850"/>
      <c r="I750" s="1742"/>
    </row>
    <row r="751" spans="1:11">
      <c r="A751" s="799"/>
      <c r="B751" s="799"/>
      <c r="C751" s="799"/>
      <c r="D751" s="835"/>
      <c r="E751" s="847"/>
      <c r="F751" s="847"/>
      <c r="G751" s="846"/>
      <c r="H751" s="840"/>
      <c r="I751" s="1740"/>
      <c r="J751" s="840"/>
      <c r="K751" s="840"/>
    </row>
    <row r="752" spans="1:11">
      <c r="A752" s="795"/>
      <c r="B752" s="796" t="s">
        <v>2638</v>
      </c>
      <c r="C752" s="799"/>
      <c r="D752" s="1854" t="s">
        <v>1396</v>
      </c>
      <c r="E752" s="1854"/>
      <c r="F752" s="1854"/>
      <c r="G752" s="846"/>
      <c r="H752" s="840"/>
      <c r="I752" s="1740" t="s">
        <v>2370</v>
      </c>
      <c r="J752" s="840"/>
      <c r="K752" s="840"/>
    </row>
    <row r="753" spans="1:11">
      <c r="A753" s="799"/>
      <c r="B753" s="799"/>
      <c r="C753" s="799"/>
      <c r="D753" s="1854"/>
      <c r="E753" s="1854"/>
      <c r="F753" s="1854"/>
      <c r="G753" s="846"/>
      <c r="H753" s="840"/>
      <c r="I753" s="1740"/>
      <c r="J753" s="840"/>
      <c r="K753" s="840"/>
    </row>
    <row r="754" spans="1:11">
      <c r="A754" s="799"/>
      <c r="B754" s="799"/>
      <c r="C754" s="799"/>
      <c r="D754" s="779"/>
      <c r="E754" s="779"/>
      <c r="F754" s="779"/>
      <c r="G754" s="846"/>
      <c r="H754" s="840"/>
      <c r="I754" s="1740"/>
      <c r="J754" s="840"/>
      <c r="K754" s="840"/>
    </row>
    <row r="755" spans="1:11">
      <c r="A755" s="799"/>
      <c r="B755" s="796" t="s">
        <v>2638</v>
      </c>
      <c r="C755" s="799"/>
      <c r="D755" s="1854" t="s">
        <v>1418</v>
      </c>
      <c r="E755" s="1854"/>
      <c r="F755" s="1854"/>
      <c r="G755" s="846"/>
      <c r="H755" s="840"/>
      <c r="I755" s="1740" t="s">
        <v>2370</v>
      </c>
      <c r="J755" s="840"/>
      <c r="K755" s="840"/>
    </row>
    <row r="756" spans="1:11">
      <c r="A756" s="799"/>
      <c r="B756" s="799"/>
      <c r="C756" s="799"/>
      <c r="D756" s="1854"/>
      <c r="E756" s="1854"/>
      <c r="F756" s="1854"/>
      <c r="G756" s="846"/>
      <c r="H756" s="840"/>
      <c r="I756" s="1740"/>
      <c r="J756" s="840"/>
      <c r="K756" s="840"/>
    </row>
    <row r="757" spans="1:11">
      <c r="A757" s="799"/>
      <c r="B757" s="799"/>
      <c r="C757" s="799"/>
      <c r="D757" s="1854"/>
      <c r="E757" s="1854"/>
      <c r="F757" s="1854"/>
      <c r="G757" s="846"/>
      <c r="H757" s="840"/>
      <c r="I757" s="1740"/>
      <c r="J757" s="840"/>
      <c r="K757" s="840"/>
    </row>
    <row r="758" spans="1:11">
      <c r="A758" s="799"/>
      <c r="B758" s="799"/>
      <c r="C758" s="799"/>
      <c r="D758" s="779"/>
      <c r="E758" s="779"/>
      <c r="F758" s="779"/>
      <c r="G758" s="846"/>
      <c r="H758" s="840"/>
      <c r="I758" s="1740"/>
      <c r="J758" s="840"/>
      <c r="K758" s="840"/>
    </row>
    <row r="759" spans="1:11">
      <c r="A759" s="1945" t="s">
        <v>2241</v>
      </c>
      <c r="B759" s="1945"/>
      <c r="C759" s="1945"/>
      <c r="D759" s="1945"/>
      <c r="E759" s="1945"/>
      <c r="F759" s="1945"/>
      <c r="G759" s="1945"/>
      <c r="H759" s="1752"/>
      <c r="I759" s="1753"/>
    </row>
    <row r="760" spans="1:11">
      <c r="A760" s="93"/>
      <c r="B760" s="93"/>
      <c r="C760" s="1635"/>
      <c r="D760" s="155"/>
      <c r="E760" s="155"/>
      <c r="F760" s="155"/>
      <c r="G760" s="684"/>
    </row>
    <row r="761" spans="1:11">
      <c r="A761" s="93"/>
      <c r="B761" s="93"/>
      <c r="C761" s="1635"/>
      <c r="D761" s="1946" t="s">
        <v>2298</v>
      </c>
      <c r="E761" s="1946"/>
      <c r="F761" s="1946"/>
      <c r="G761" s="684"/>
    </row>
    <row r="762" spans="1:11">
      <c r="A762" s="93"/>
      <c r="B762" s="93"/>
      <c r="C762" s="1635"/>
      <c r="D762" s="1928" t="s">
        <v>2186</v>
      </c>
      <c r="E762" s="1928"/>
      <c r="F762" s="1928"/>
      <c r="G762" s="684"/>
    </row>
    <row r="763" spans="1:11">
      <c r="A763" s="93"/>
      <c r="B763" s="93"/>
      <c r="C763" s="1635"/>
      <c r="D763" s="731"/>
      <c r="E763" s="731"/>
      <c r="F763" s="731"/>
      <c r="G763" s="684"/>
    </row>
    <row r="764" spans="1:11">
      <c r="A764" s="93"/>
      <c r="B764" s="796" t="s">
        <v>2637</v>
      </c>
      <c r="C764" s="1635"/>
      <c r="D764" s="1875" t="s">
        <v>2187</v>
      </c>
      <c r="E764" s="1875"/>
      <c r="F764" s="1875"/>
      <c r="G764" s="684"/>
      <c r="I764" s="1740" t="s">
        <v>2422</v>
      </c>
    </row>
    <row r="765" spans="1:11">
      <c r="A765" s="93"/>
      <c r="B765" s="93"/>
      <c r="C765" s="1635"/>
      <c r="D765" s="1875"/>
      <c r="E765" s="1875"/>
      <c r="F765" s="1875"/>
      <c r="G765" s="684"/>
    </row>
    <row r="766" spans="1:11">
      <c r="A766" s="718"/>
      <c r="B766" s="718"/>
      <c r="C766" s="313"/>
      <c r="D766" s="1875"/>
      <c r="E766" s="1875"/>
      <c r="F766" s="1875"/>
      <c r="G766" s="1636"/>
    </row>
    <row r="767" spans="1:11">
      <c r="A767" s="1629"/>
      <c r="B767" s="1629"/>
      <c r="C767" s="1637"/>
      <c r="D767" s="1613"/>
      <c r="E767" s="684"/>
      <c r="F767" s="684"/>
      <c r="G767" s="684"/>
    </row>
    <row r="768" spans="1:11">
      <c r="A768" s="267"/>
      <c r="B768" s="796" t="s">
        <v>2637</v>
      </c>
      <c r="C768" s="1638"/>
      <c r="D768" s="1875" t="s">
        <v>2188</v>
      </c>
      <c r="E768" s="1875"/>
      <c r="F768" s="1875"/>
      <c r="G768" s="684"/>
      <c r="I768" s="1740" t="s">
        <v>2422</v>
      </c>
    </row>
    <row r="769" spans="1:9">
      <c r="A769" s="1639"/>
      <c r="B769" s="1639"/>
      <c r="C769" s="1640"/>
      <c r="D769" s="1875"/>
      <c r="E769" s="1875"/>
      <c r="F769" s="1875"/>
      <c r="G769" s="684"/>
    </row>
    <row r="770" spans="1:9">
      <c r="A770" s="267"/>
      <c r="B770" s="267"/>
      <c r="C770" s="1638"/>
      <c r="D770" s="1875"/>
      <c r="E770" s="1875"/>
      <c r="F770" s="1875"/>
      <c r="G770" s="684"/>
    </row>
    <row r="771" spans="1:9">
      <c r="A771" s="718"/>
      <c r="B771" s="718"/>
      <c r="C771" s="313"/>
      <c r="D771" s="6"/>
      <c r="E771" s="1641"/>
      <c r="F771" s="1641"/>
      <c r="G771" s="1642"/>
    </row>
    <row r="772" spans="1:9">
      <c r="A772" s="712"/>
      <c r="B772" s="796" t="s">
        <v>2638</v>
      </c>
      <c r="C772" s="1643"/>
      <c r="D772" s="1875" t="s">
        <v>2189</v>
      </c>
      <c r="E772" s="1875"/>
      <c r="F772" s="1875"/>
      <c r="G772" s="1642"/>
      <c r="I772" s="1740" t="s">
        <v>2422</v>
      </c>
    </row>
    <row r="773" spans="1:9">
      <c r="A773" s="712"/>
      <c r="B773" s="712"/>
      <c r="C773" s="1643"/>
      <c r="D773" s="1875"/>
      <c r="E773" s="1875"/>
      <c r="F773" s="1875"/>
      <c r="G773" s="1642"/>
    </row>
    <row r="774" spans="1:9">
      <c r="A774" s="712"/>
      <c r="B774" s="712"/>
      <c r="C774" s="1643"/>
      <c r="D774" s="1875"/>
      <c r="E774" s="1875"/>
      <c r="F774" s="1875"/>
      <c r="G774" s="1642"/>
    </row>
    <row r="775" spans="1:9">
      <c r="A775" s="712"/>
      <c r="B775" s="712"/>
      <c r="C775" s="1643"/>
      <c r="D775" s="1611"/>
      <c r="E775" s="6"/>
      <c r="F775" s="6"/>
      <c r="G775" s="1642"/>
    </row>
    <row r="776" spans="1:9">
      <c r="A776" s="712"/>
      <c r="B776" s="796" t="s">
        <v>2638</v>
      </c>
      <c r="C776" s="1643"/>
      <c r="D776" s="1875" t="s">
        <v>2190</v>
      </c>
      <c r="E776" s="1875"/>
      <c r="F776" s="1875"/>
      <c r="G776" s="1642"/>
      <c r="I776" s="1740" t="s">
        <v>2422</v>
      </c>
    </row>
    <row r="777" spans="1:9">
      <c r="A777" s="712"/>
      <c r="B777" s="712"/>
      <c r="C777" s="1643"/>
      <c r="D777" s="1875"/>
      <c r="E777" s="1875"/>
      <c r="F777" s="1875"/>
      <c r="G777" s="1642"/>
    </row>
    <row r="778" spans="1:9">
      <c r="A778" s="712"/>
      <c r="B778" s="712"/>
      <c r="C778" s="1643"/>
      <c r="D778" s="1875"/>
      <c r="E778" s="1875"/>
      <c r="F778" s="1875"/>
      <c r="G778" s="1642"/>
    </row>
    <row r="779" spans="1:9">
      <c r="A779" s="712"/>
      <c r="B779" s="712"/>
      <c r="C779" s="1643"/>
      <c r="D779" s="1875"/>
      <c r="E779" s="1875"/>
      <c r="F779" s="1875"/>
      <c r="G779" s="1642"/>
    </row>
    <row r="780" spans="1:9">
      <c r="A780" s="712"/>
      <c r="B780" s="712"/>
      <c r="C780" s="1643"/>
      <c r="D780" s="1875"/>
      <c r="E780" s="1875"/>
      <c r="F780" s="1875"/>
      <c r="G780" s="1642"/>
    </row>
    <row r="781" spans="1:9">
      <c r="A781" s="712"/>
      <c r="B781" s="712"/>
      <c r="C781" s="1643"/>
      <c r="D781" s="1875"/>
      <c r="E781" s="1875"/>
      <c r="F781" s="1875"/>
      <c r="G781" s="1642"/>
    </row>
    <row r="782" spans="1:9">
      <c r="A782" s="712"/>
      <c r="B782" s="712"/>
      <c r="C782" s="1643"/>
      <c r="D782" s="1875" t="s">
        <v>2242</v>
      </c>
      <c r="E782" s="1875"/>
      <c r="F782" s="1875"/>
      <c r="G782" s="1642"/>
    </row>
    <row r="783" spans="1:9">
      <c r="A783" s="712"/>
      <c r="B783" s="712"/>
      <c r="C783" s="1643"/>
      <c r="D783" s="1875"/>
      <c r="E783" s="1875"/>
      <c r="F783" s="1875"/>
      <c r="G783" s="1642"/>
    </row>
    <row r="784" spans="1:9">
      <c r="A784" s="712"/>
      <c r="B784" s="712"/>
      <c r="C784" s="1643"/>
      <c r="D784" s="1875"/>
      <c r="E784" s="1875"/>
      <c r="F784" s="1875"/>
      <c r="G784" s="1642"/>
    </row>
    <row r="785" spans="1:9">
      <c r="A785" s="712"/>
      <c r="B785" s="554"/>
      <c r="C785" s="1643"/>
      <c r="D785" s="1644"/>
      <c r="E785" s="1644"/>
      <c r="F785" s="1644"/>
      <c r="G785" s="1642"/>
    </row>
    <row r="786" spans="1:9">
      <c r="A786" s="712"/>
      <c r="B786" s="796" t="s">
        <v>2638</v>
      </c>
      <c r="C786" s="1643"/>
      <c r="D786" s="1875" t="s">
        <v>2191</v>
      </c>
      <c r="E786" s="1875"/>
      <c r="F786" s="1875"/>
      <c r="G786" s="1642"/>
      <c r="I786" s="1740" t="s">
        <v>2422</v>
      </c>
    </row>
    <row r="787" spans="1:9">
      <c r="A787" s="712"/>
      <c r="B787" s="712"/>
      <c r="C787" s="1643"/>
      <c r="D787" s="1875"/>
      <c r="E787" s="1875"/>
      <c r="F787" s="1875"/>
      <c r="G787" s="1642"/>
    </row>
    <row r="788" spans="1:9">
      <c r="A788" s="712"/>
      <c r="B788" s="712"/>
      <c r="C788" s="1643"/>
      <c r="D788" s="1875"/>
      <c r="E788" s="1875"/>
      <c r="F788" s="1875"/>
      <c r="G788" s="1642"/>
    </row>
    <row r="789" spans="1:9">
      <c r="A789" s="712"/>
      <c r="B789" s="712"/>
      <c r="C789" s="1643"/>
      <c r="D789" s="1875"/>
      <c r="E789" s="1875"/>
      <c r="F789" s="1875"/>
      <c r="G789" s="1642"/>
    </row>
    <row r="790" spans="1:9">
      <c r="A790" s="712"/>
      <c r="B790" s="712"/>
      <c r="C790" s="1643"/>
      <c r="D790" s="1875"/>
      <c r="E790" s="1875"/>
      <c r="F790" s="1875"/>
      <c r="G790" s="1642"/>
    </row>
    <row r="791" spans="1:9">
      <c r="A791" s="712"/>
      <c r="B791" s="712"/>
      <c r="C791" s="1643"/>
      <c r="D791" s="1875"/>
      <c r="E791" s="1875"/>
      <c r="F791" s="1875"/>
      <c r="G791" s="1642"/>
    </row>
    <row r="792" spans="1:9">
      <c r="A792" s="712"/>
      <c r="B792" s="712"/>
      <c r="C792" s="1643"/>
      <c r="D792" s="1620"/>
      <c r="E792" s="1620"/>
      <c r="F792" s="1620"/>
      <c r="G792" s="1642"/>
    </row>
    <row r="793" spans="1:9">
      <c r="A793" s="712"/>
      <c r="B793" s="796" t="s">
        <v>2638</v>
      </c>
      <c r="C793" s="1643"/>
      <c r="D793" s="1875" t="s">
        <v>2192</v>
      </c>
      <c r="E793" s="1875"/>
      <c r="F793" s="1875"/>
      <c r="G793" s="1642"/>
      <c r="I793" s="1740" t="s">
        <v>2422</v>
      </c>
    </row>
    <row r="794" spans="1:9">
      <c r="A794" s="712"/>
      <c r="B794" s="712"/>
      <c r="C794" s="1643"/>
      <c r="D794" s="1875"/>
      <c r="E794" s="1875"/>
      <c r="F794" s="1875"/>
      <c r="G794" s="1642"/>
    </row>
    <row r="795" spans="1:9">
      <c r="A795" s="712"/>
      <c r="B795" s="712"/>
      <c r="C795" s="1643"/>
      <c r="D795" s="1875"/>
      <c r="E795" s="1875"/>
      <c r="F795" s="1875"/>
      <c r="G795" s="1642"/>
    </row>
    <row r="796" spans="1:9">
      <c r="A796" s="712"/>
      <c r="B796" s="712"/>
      <c r="C796" s="1643"/>
      <c r="D796" s="1875"/>
      <c r="E796" s="1875"/>
      <c r="F796" s="1875"/>
      <c r="G796" s="1642"/>
    </row>
    <row r="797" spans="1:9">
      <c r="A797" s="712"/>
      <c r="B797" s="712"/>
      <c r="C797" s="1643"/>
      <c r="D797" s="1875"/>
      <c r="E797" s="1875"/>
      <c r="F797" s="1875"/>
      <c r="G797" s="1642"/>
    </row>
    <row r="798" spans="1:9">
      <c r="A798" s="712"/>
      <c r="B798" s="712"/>
      <c r="C798" s="1643"/>
      <c r="D798" s="1875"/>
      <c r="E798" s="1875"/>
      <c r="F798" s="1875"/>
      <c r="G798" s="1642"/>
    </row>
    <row r="799" spans="1:9">
      <c r="A799" s="712"/>
      <c r="B799" s="712"/>
      <c r="C799" s="1643"/>
      <c r="D799" s="1620"/>
      <c r="E799" s="1620"/>
      <c r="F799" s="1620"/>
      <c r="G799" s="1642"/>
    </row>
    <row r="800" spans="1:9">
      <c r="A800" s="712"/>
      <c r="B800" s="796" t="s">
        <v>2638</v>
      </c>
      <c r="C800" s="1643"/>
      <c r="D800" s="1872" t="s">
        <v>2193</v>
      </c>
      <c r="E800" s="1872"/>
      <c r="F800" s="1872"/>
      <c r="G800" s="1642"/>
      <c r="I800" s="1740" t="s">
        <v>2422</v>
      </c>
    </row>
    <row r="801" spans="1:9">
      <c r="A801" s="712"/>
      <c r="B801" s="712"/>
      <c r="C801" s="1643"/>
      <c r="D801" s="1872"/>
      <c r="E801" s="1872"/>
      <c r="F801" s="1872"/>
      <c r="G801" s="1642"/>
    </row>
    <row r="802" spans="1:9">
      <c r="A802" s="1628"/>
      <c r="B802" s="1628"/>
      <c r="C802" s="1643"/>
      <c r="D802" s="1872"/>
      <c r="E802" s="1872"/>
      <c r="F802" s="1872"/>
      <c r="G802" s="1642"/>
    </row>
    <row r="803" spans="1:9">
      <c r="A803" s="712"/>
      <c r="B803" s="1628"/>
      <c r="C803" s="1643"/>
      <c r="D803" s="1872"/>
      <c r="E803" s="1872"/>
      <c r="F803" s="1872"/>
      <c r="G803" s="1642"/>
    </row>
    <row r="804" spans="1:9" ht="12.75" customHeight="1">
      <c r="A804" s="712"/>
      <c r="B804" s="1628"/>
      <c r="C804" s="1643"/>
      <c r="D804" s="1872"/>
      <c r="E804" s="1872"/>
      <c r="F804" s="1872"/>
      <c r="G804" s="1642"/>
    </row>
    <row r="805" spans="1:9" ht="12.75" customHeight="1">
      <c r="A805" s="712"/>
      <c r="B805" s="1628"/>
      <c r="C805" s="1643"/>
      <c r="D805" s="1872"/>
      <c r="E805" s="1872"/>
      <c r="F805" s="1872"/>
      <c r="G805" s="1642"/>
    </row>
    <row r="806" spans="1:9" ht="12.75" customHeight="1">
      <c r="A806" s="1628"/>
      <c r="B806" s="1628"/>
      <c r="C806" s="1643"/>
      <c r="D806" s="1641"/>
      <c r="E806" s="6"/>
      <c r="F806" s="6"/>
      <c r="G806" s="1642"/>
    </row>
    <row r="807" spans="1:9" ht="12.75" customHeight="1">
      <c r="A807" s="1884" t="s">
        <v>2194</v>
      </c>
      <c r="B807" s="1884"/>
      <c r="C807" s="1884"/>
      <c r="D807" s="1884"/>
      <c r="E807" s="1884"/>
      <c r="F807" s="1884"/>
      <c r="G807" s="1884"/>
      <c r="H807" s="1752"/>
      <c r="I807" s="1753"/>
    </row>
    <row r="808" spans="1:9" ht="12.75" customHeight="1">
      <c r="A808" s="1617"/>
      <c r="B808" s="1617"/>
      <c r="C808" s="1643"/>
      <c r="D808" s="1641"/>
      <c r="E808" s="1641"/>
      <c r="F808" s="1641"/>
      <c r="G808" s="1642"/>
    </row>
    <row r="809" spans="1:9" ht="12.75" customHeight="1">
      <c r="A809" s="712"/>
      <c r="B809" s="712"/>
      <c r="C809" s="554"/>
      <c r="D809" s="1864" t="s">
        <v>2243</v>
      </c>
      <c r="E809" s="1864"/>
      <c r="F809" s="1864"/>
      <c r="G809" s="676"/>
    </row>
    <row r="810" spans="1:9" ht="14.25" customHeight="1">
      <c r="A810" s="712"/>
      <c r="B810" s="712"/>
      <c r="C810" s="554"/>
      <c r="D810" s="1815" t="s">
        <v>2195</v>
      </c>
      <c r="E810" s="1815"/>
      <c r="F810" s="1815"/>
      <c r="G810" s="676"/>
    </row>
    <row r="811" spans="1:9" ht="12.75" customHeight="1">
      <c r="A811" s="712"/>
      <c r="B811" s="712"/>
      <c r="C811" s="554"/>
      <c r="D811" s="1606"/>
      <c r="E811" s="1606"/>
      <c r="F811" s="1606"/>
      <c r="G811" s="676"/>
    </row>
    <row r="812" spans="1:9" ht="12.75" customHeight="1">
      <c r="A812" s="1645"/>
      <c r="B812" s="796" t="s">
        <v>2637</v>
      </c>
      <c r="C812" s="1643"/>
      <c r="D812" s="1815" t="s">
        <v>2196</v>
      </c>
      <c r="E812" s="1815"/>
      <c r="F812" s="1815"/>
      <c r="G812" s="676"/>
      <c r="I812" s="1677" t="s">
        <v>2388</v>
      </c>
    </row>
    <row r="813" spans="1:9" ht="14.25" customHeight="1">
      <c r="A813" s="1628"/>
      <c r="B813" s="1628"/>
      <c r="C813" s="1643"/>
      <c r="D813" s="5" t="s">
        <v>2172</v>
      </c>
      <c r="E813" s="1824" t="s">
        <v>2197</v>
      </c>
      <c r="F813" s="1824"/>
      <c r="G813" s="676"/>
    </row>
    <row r="814" spans="1:9" ht="12.75" customHeight="1">
      <c r="A814" s="1628"/>
      <c r="B814" s="1628"/>
      <c r="C814" s="1643"/>
      <c r="D814" s="1646"/>
      <c r="E814" s="6"/>
      <c r="F814" s="6"/>
      <c r="G814" s="676"/>
    </row>
    <row r="815" spans="1:9" ht="14.25" hidden="1" customHeight="1">
      <c r="A815" s="1628"/>
      <c r="B815" s="796" t="s">
        <v>315</v>
      </c>
      <c r="C815" s="1643"/>
      <c r="D815" s="1922" t="s">
        <v>2198</v>
      </c>
      <c r="E815" s="1922"/>
      <c r="F815" s="1922"/>
      <c r="G815" s="676"/>
    </row>
    <row r="816" spans="1:9" ht="12.75" hidden="1" customHeight="1">
      <c r="A816" s="1628"/>
      <c r="B816" s="1628"/>
      <c r="C816" s="1643"/>
      <c r="D816" s="1922"/>
      <c r="E816" s="1922"/>
      <c r="F816" s="1922"/>
      <c r="G816" s="676"/>
    </row>
    <row r="817" spans="1:9" ht="12.75" hidden="1" customHeight="1">
      <c r="A817" s="1628"/>
      <c r="B817" s="1628"/>
      <c r="C817" s="1643"/>
      <c r="D817" s="1922"/>
      <c r="E817" s="1922"/>
      <c r="F817" s="1922"/>
      <c r="G817" s="676"/>
    </row>
    <row r="818" spans="1:9" ht="12.75" hidden="1" customHeight="1">
      <c r="A818" s="1628"/>
      <c r="B818" s="1628"/>
      <c r="C818" s="1643"/>
      <c r="D818" s="1922"/>
      <c r="E818" s="1922"/>
      <c r="F818" s="1922"/>
      <c r="G818" s="676"/>
    </row>
    <row r="819" spans="1:9" ht="12.75" hidden="1" customHeight="1">
      <c r="A819" s="1628"/>
      <c r="B819" s="1628"/>
      <c r="C819" s="1643"/>
      <c r="D819" s="1922"/>
      <c r="E819" s="1922"/>
      <c r="F819" s="1922"/>
      <c r="G819" s="676"/>
    </row>
    <row r="820" spans="1:9" ht="12.75" hidden="1" customHeight="1">
      <c r="A820" s="1628"/>
      <c r="B820" s="1628"/>
      <c r="C820" s="1643"/>
      <c r="D820" s="1922"/>
      <c r="E820" s="1922"/>
      <c r="F820" s="1922"/>
      <c r="G820" s="676"/>
    </row>
    <row r="821" spans="1:9" ht="12.75" hidden="1" customHeight="1">
      <c r="A821" s="1628"/>
      <c r="B821" s="1628"/>
      <c r="C821" s="1643"/>
      <c r="D821" s="1922"/>
      <c r="E821" s="1922"/>
      <c r="F821" s="1922"/>
      <c r="G821" s="676"/>
    </row>
    <row r="822" spans="1:9" ht="12.75" hidden="1" customHeight="1">
      <c r="A822" s="1628"/>
      <c r="B822" s="1628"/>
      <c r="C822" s="1643"/>
      <c r="D822" s="1922"/>
      <c r="E822" s="1922"/>
      <c r="F822" s="1922"/>
      <c r="G822" s="676"/>
    </row>
    <row r="823" spans="1:9" ht="12.75" hidden="1" customHeight="1">
      <c r="A823" s="1628"/>
      <c r="B823" s="1628"/>
      <c r="C823" s="1643"/>
      <c r="D823" s="1922"/>
      <c r="E823" s="1922"/>
      <c r="F823" s="1922"/>
      <c r="G823" s="676"/>
    </row>
    <row r="824" spans="1:9" ht="12.75" hidden="1" customHeight="1">
      <c r="A824" s="1628"/>
      <c r="B824" s="1628"/>
      <c r="C824" s="1643"/>
      <c r="D824" s="1922"/>
      <c r="E824" s="1922"/>
      <c r="F824" s="1922"/>
      <c r="G824" s="676"/>
    </row>
    <row r="825" spans="1:9" ht="12.75" hidden="1" customHeight="1">
      <c r="A825" s="1628"/>
      <c r="B825" s="1628"/>
      <c r="C825" s="1643"/>
      <c r="D825" s="1646"/>
      <c r="E825" s="6"/>
      <c r="F825" s="6"/>
      <c r="G825" s="676"/>
    </row>
    <row r="826" spans="1:9" ht="12.75" customHeight="1">
      <c r="A826" s="712"/>
      <c r="B826" s="796" t="s">
        <v>2637</v>
      </c>
      <c r="C826" s="1643"/>
      <c r="D826" s="1815" t="s">
        <v>2199</v>
      </c>
      <c r="E826" s="1815"/>
      <c r="F826" s="1815"/>
      <c r="G826" s="676"/>
      <c r="I826" s="1677" t="s">
        <v>2408</v>
      </c>
    </row>
    <row r="827" spans="1:9" ht="12.75" customHeight="1">
      <c r="A827" s="712"/>
      <c r="B827" s="712"/>
      <c r="C827" s="1643"/>
      <c r="D827" s="1815"/>
      <c r="E827" s="1815"/>
      <c r="F827" s="1815"/>
      <c r="G827" s="676"/>
    </row>
    <row r="828" spans="1:9" ht="12.75" customHeight="1">
      <c r="A828" s="712"/>
      <c r="B828" s="712"/>
      <c r="C828" s="1643"/>
      <c r="D828" s="1815"/>
      <c r="E828" s="1815"/>
      <c r="F828" s="1815"/>
      <c r="G828" s="676"/>
    </row>
    <row r="829" spans="1:9" ht="12.75" customHeight="1">
      <c r="A829" s="403"/>
      <c r="B829" s="403"/>
      <c r="C829" s="1647"/>
      <c r="D829" s="1624"/>
      <c r="E829" s="676"/>
      <c r="F829" s="676"/>
      <c r="G829" s="676"/>
    </row>
    <row r="830" spans="1:9" ht="12.75" customHeight="1">
      <c r="A830" s="1648"/>
      <c r="B830" s="796" t="s">
        <v>2638</v>
      </c>
      <c r="C830" s="1647"/>
      <c r="D830" s="1920" t="s">
        <v>2200</v>
      </c>
      <c r="E830" s="1920"/>
      <c r="F830" s="1920"/>
      <c r="G830" s="676"/>
    </row>
    <row r="831" spans="1:9" ht="12.75" customHeight="1">
      <c r="A831" s="554"/>
      <c r="B831" s="1648"/>
      <c r="C831" s="1647"/>
      <c r="D831" s="1920"/>
      <c r="E831" s="1920"/>
      <c r="F831" s="1920"/>
      <c r="G831" s="676"/>
    </row>
    <row r="832" spans="1:9" ht="12.75" customHeight="1">
      <c r="A832" s="403"/>
      <c r="B832" s="554"/>
      <c r="C832" s="1647"/>
      <c r="D832" s="1816" t="s">
        <v>2201</v>
      </c>
      <c r="E832" s="1816"/>
      <c r="F832" s="1816"/>
      <c r="G832" s="676"/>
    </row>
    <row r="833" spans="1:9" ht="12.75" customHeight="1">
      <c r="A833" s="403"/>
      <c r="B833" s="403"/>
      <c r="C833" s="1647"/>
      <c r="D833" s="1816"/>
      <c r="E833" s="1816"/>
      <c r="F833" s="1816"/>
      <c r="G833" s="676"/>
    </row>
    <row r="834" spans="1:9" ht="12.75" customHeight="1">
      <c r="A834" s="403"/>
      <c r="B834" s="403"/>
      <c r="C834" s="1647"/>
      <c r="D834" s="1816"/>
      <c r="E834" s="1816"/>
      <c r="F834" s="1816"/>
      <c r="G834" s="676"/>
    </row>
    <row r="835" spans="1:9" ht="12.75" customHeight="1">
      <c r="A835" s="403"/>
      <c r="B835" s="403"/>
      <c r="C835" s="1647"/>
      <c r="D835" s="1816"/>
      <c r="E835" s="1816"/>
      <c r="F835" s="1816"/>
      <c r="G835" s="676"/>
    </row>
    <row r="836" spans="1:9" ht="12.75" customHeight="1">
      <c r="A836" s="403"/>
      <c r="B836" s="403"/>
      <c r="C836" s="1647"/>
      <c r="D836" s="1816"/>
      <c r="E836" s="1816"/>
      <c r="F836" s="1816"/>
      <c r="G836" s="676"/>
    </row>
    <row r="837" spans="1:9" ht="12.75" customHeight="1">
      <c r="A837" s="403"/>
      <c r="B837" s="403"/>
      <c r="C837" s="1647"/>
      <c r="D837" s="1816"/>
      <c r="E837" s="1816"/>
      <c r="F837" s="1816"/>
      <c r="G837" s="676"/>
    </row>
    <row r="838" spans="1:9" ht="12.75" customHeight="1">
      <c r="A838" s="403"/>
      <c r="B838" s="403"/>
      <c r="C838" s="1647"/>
      <c r="D838" s="1624"/>
      <c r="E838" s="676"/>
      <c r="F838" s="676"/>
      <c r="G838" s="676"/>
    </row>
    <row r="839" spans="1:9" ht="12.75" customHeight="1">
      <c r="A839" s="403"/>
      <c r="B839" s="796" t="s">
        <v>2638</v>
      </c>
      <c r="C839" s="1647"/>
      <c r="D839" s="1816" t="s">
        <v>2202</v>
      </c>
      <c r="E839" s="1816"/>
      <c r="F839" s="1816"/>
      <c r="G839" s="676"/>
      <c r="I839" s="1677" t="s">
        <v>2389</v>
      </c>
    </row>
    <row r="840" spans="1:9" ht="12.75" customHeight="1">
      <c r="A840" s="403"/>
      <c r="B840" s="403"/>
      <c r="C840" s="1647"/>
      <c r="D840" s="1816" t="s">
        <v>2203</v>
      </c>
      <c r="E840" s="1816"/>
      <c r="F840" s="1816"/>
      <c r="G840" s="676"/>
    </row>
    <row r="841" spans="1:9" ht="12.75" customHeight="1">
      <c r="A841" s="403"/>
      <c r="B841" s="403"/>
      <c r="C841" s="1647"/>
      <c r="D841" s="183" t="s">
        <v>2169</v>
      </c>
      <c r="E841" s="1914" t="s">
        <v>2204</v>
      </c>
      <c r="F841" s="1914"/>
      <c r="G841" s="676"/>
    </row>
    <row r="842" spans="1:9" ht="12.75" customHeight="1">
      <c r="A842" s="403"/>
      <c r="B842" s="403"/>
      <c r="C842" s="1647"/>
      <c r="D842" s="1624"/>
      <c r="E842" s="676"/>
      <c r="F842" s="676"/>
      <c r="G842" s="676"/>
    </row>
    <row r="843" spans="1:9" ht="12.75" customHeight="1">
      <c r="A843" s="403"/>
      <c r="B843" s="796" t="s">
        <v>2638</v>
      </c>
      <c r="C843" s="1647"/>
      <c r="D843" s="1816" t="s">
        <v>2205</v>
      </c>
      <c r="E843" s="1816"/>
      <c r="F843" s="1816"/>
      <c r="G843" s="676"/>
      <c r="I843" s="1677" t="s">
        <v>2409</v>
      </c>
    </row>
    <row r="844" spans="1:9" ht="12.75" customHeight="1">
      <c r="A844" s="403"/>
      <c r="B844" s="403"/>
      <c r="C844" s="1647"/>
      <c r="D844" s="1816"/>
      <c r="E844" s="1816"/>
      <c r="F844" s="1816"/>
      <c r="G844" s="676"/>
    </row>
    <row r="845" spans="1:9" ht="12.75" customHeight="1">
      <c r="A845" s="403"/>
      <c r="B845" s="403"/>
      <c r="C845" s="1647"/>
      <c r="D845" s="1816"/>
      <c r="E845" s="1816"/>
      <c r="F845" s="1816"/>
      <c r="G845" s="676"/>
    </row>
    <row r="846" spans="1:9" ht="12.75" customHeight="1">
      <c r="A846" s="403"/>
      <c r="B846" s="403"/>
      <c r="C846" s="1647"/>
      <c r="D846" s="1816"/>
      <c r="E846" s="1816"/>
      <c r="F846" s="1816"/>
      <c r="G846" s="676"/>
    </row>
    <row r="847" spans="1:9" ht="12.75" customHeight="1">
      <c r="A847" s="1617"/>
      <c r="B847" s="1617"/>
      <c r="C847" s="1649"/>
      <c r="D847" s="1611"/>
      <c r="E847" s="6"/>
      <c r="F847" s="6"/>
      <c r="G847" s="676"/>
    </row>
    <row r="848" spans="1:9" ht="12.75" customHeight="1">
      <c r="A848" s="1623" t="s">
        <v>2206</v>
      </c>
      <c r="B848" s="1623"/>
      <c r="C848" s="1650"/>
      <c r="D848" s="1650"/>
      <c r="E848" s="1650"/>
      <c r="F848" s="1650"/>
      <c r="G848" s="1651"/>
      <c r="H848" s="1752"/>
      <c r="I848" s="1753"/>
    </row>
    <row r="849" spans="1:9" ht="12.75" customHeight="1">
      <c r="A849" s="1617"/>
      <c r="B849" s="1617"/>
      <c r="C849" s="1649"/>
      <c r="D849" s="1652"/>
      <c r="E849" s="6"/>
      <c r="F849" s="6"/>
      <c r="G849" s="676"/>
    </row>
    <row r="850" spans="1:9" ht="12.75" customHeight="1">
      <c r="A850" s="1645"/>
      <c r="B850" s="1645"/>
      <c r="C850" s="313"/>
      <c r="D850" s="1838" t="s">
        <v>2244</v>
      </c>
      <c r="E850" s="1838"/>
      <c r="F850" s="1838"/>
      <c r="G850" s="1642"/>
    </row>
    <row r="851" spans="1:9" ht="12.75" customHeight="1">
      <c r="A851" s="1645"/>
      <c r="B851" s="1645"/>
      <c r="C851" s="313"/>
      <c r="D851" s="1921" t="s">
        <v>2207</v>
      </c>
      <c r="E851" s="1921"/>
      <c r="F851" s="1921"/>
      <c r="G851" s="1642"/>
    </row>
    <row r="852" spans="1:9" ht="12.75" customHeight="1">
      <c r="A852" s="1645"/>
      <c r="B852" s="1645"/>
      <c r="C852" s="313"/>
      <c r="D852" s="1653"/>
      <c r="E852" s="1653"/>
      <c r="F852" s="1653"/>
      <c r="G852" s="1642"/>
    </row>
    <row r="853" spans="1:9" ht="12.75" customHeight="1">
      <c r="A853" s="712"/>
      <c r="B853" s="796" t="s">
        <v>2637</v>
      </c>
      <c r="C853" s="554"/>
      <c r="D853" s="1828" t="s">
        <v>2208</v>
      </c>
      <c r="E853" s="1828"/>
      <c r="F853" s="1828"/>
      <c r="G853" s="1642"/>
      <c r="I853" s="1677" t="s">
        <v>2389</v>
      </c>
    </row>
    <row r="854" spans="1:9" ht="12.75" customHeight="1">
      <c r="A854" s="1645"/>
      <c r="B854" s="1645"/>
      <c r="C854" s="554"/>
      <c r="D854" s="5" t="s">
        <v>2169</v>
      </c>
      <c r="E854" s="1916" t="s">
        <v>2204</v>
      </c>
      <c r="F854" s="1916"/>
      <c r="G854" s="1642"/>
    </row>
    <row r="855" spans="1:9" ht="12.75" customHeight="1">
      <c r="A855" s="1645"/>
      <c r="B855" s="1645"/>
      <c r="C855" s="554"/>
      <c r="D855" s="1611"/>
      <c r="E855" s="1641"/>
      <c r="F855" s="1641"/>
      <c r="G855" s="1642"/>
    </row>
    <row r="856" spans="1:9" ht="12.75" customHeight="1">
      <c r="A856" s="712"/>
      <c r="B856" s="796" t="s">
        <v>2637</v>
      </c>
      <c r="C856" s="554"/>
      <c r="D856" s="1815" t="s">
        <v>2209</v>
      </c>
      <c r="E856" s="1839"/>
      <c r="F856" s="1839"/>
      <c r="G856" s="676"/>
      <c r="I856" s="1677" t="s">
        <v>2409</v>
      </c>
    </row>
    <row r="857" spans="1:9" ht="12.75" customHeight="1">
      <c r="A857" s="1645"/>
      <c r="B857" s="1645"/>
      <c r="C857" s="554"/>
      <c r="D857" s="1839"/>
      <c r="E857" s="1839"/>
      <c r="F857" s="1839"/>
      <c r="G857" s="676"/>
    </row>
    <row r="858" spans="1:9" ht="12.75" customHeight="1">
      <c r="A858" s="1645"/>
      <c r="B858" s="1645"/>
      <c r="C858" s="554"/>
      <c r="D858" s="1611"/>
      <c r="E858" s="6"/>
      <c r="F858" s="6"/>
      <c r="G858" s="676"/>
    </row>
    <row r="859" spans="1:9" ht="12.75" customHeight="1">
      <c r="A859" s="554"/>
      <c r="B859" s="796" t="s">
        <v>2638</v>
      </c>
      <c r="C859" s="555"/>
      <c r="D859" s="1917" t="s">
        <v>2210</v>
      </c>
      <c r="E859" s="1917"/>
      <c r="F859" s="1917"/>
      <c r="G859" s="1642"/>
    </row>
    <row r="860" spans="1:9" ht="12.75" customHeight="1">
      <c r="A860" s="554"/>
      <c r="B860" s="1654"/>
      <c r="C860" s="555"/>
      <c r="D860" s="1917"/>
      <c r="E860" s="1917"/>
      <c r="F860" s="1917"/>
      <c r="G860" s="1642"/>
    </row>
    <row r="861" spans="1:9" ht="12.75" customHeight="1">
      <c r="A861" s="712"/>
      <c r="B861" s="675"/>
      <c r="C861" s="554"/>
      <c r="D861" s="1816" t="s">
        <v>2201</v>
      </c>
      <c r="E861" s="1816"/>
      <c r="F861" s="1816"/>
      <c r="G861" s="1642"/>
    </row>
    <row r="862" spans="1:9" ht="12.75" customHeight="1">
      <c r="A862" s="712"/>
      <c r="B862" s="712"/>
      <c r="C862" s="554"/>
      <c r="D862" s="1816"/>
      <c r="E862" s="1816"/>
      <c r="F862" s="1816"/>
      <c r="G862" s="1642"/>
    </row>
    <row r="863" spans="1:9" ht="12.75" customHeight="1">
      <c r="A863" s="712"/>
      <c r="B863" s="712"/>
      <c r="C863" s="554"/>
      <c r="D863" s="1816"/>
      <c r="E863" s="1816"/>
      <c r="F863" s="1816"/>
      <c r="G863" s="1642"/>
    </row>
    <row r="864" spans="1:9" ht="12.75" customHeight="1">
      <c r="A864" s="712"/>
      <c r="B864" s="712"/>
      <c r="C864" s="554"/>
      <c r="D864" s="1816"/>
      <c r="E864" s="1816"/>
      <c r="F864" s="1816"/>
      <c r="G864" s="1642"/>
    </row>
    <row r="865" spans="1:9" ht="12.75" customHeight="1">
      <c r="A865" s="712"/>
      <c r="B865" s="712"/>
      <c r="C865" s="554"/>
      <c r="D865" s="1816"/>
      <c r="E865" s="1816"/>
      <c r="F865" s="1816"/>
      <c r="G865" s="1642"/>
    </row>
    <row r="866" spans="1:9" ht="12.75" customHeight="1">
      <c r="A866" s="712"/>
      <c r="B866" s="712"/>
      <c r="C866" s="554"/>
      <c r="D866" s="1816"/>
      <c r="E866" s="1816"/>
      <c r="F866" s="1816"/>
      <c r="G866" s="1642"/>
    </row>
    <row r="867" spans="1:9" ht="12.75" customHeight="1">
      <c r="A867" s="712"/>
      <c r="B867" s="712"/>
      <c r="C867" s="554"/>
      <c r="D867" s="1611"/>
      <c r="E867" s="1641"/>
      <c r="F867" s="1641"/>
      <c r="G867" s="1642"/>
    </row>
    <row r="868" spans="1:9" ht="12.75" customHeight="1">
      <c r="A868" s="712"/>
      <c r="B868" s="796" t="s">
        <v>2638</v>
      </c>
      <c r="C868" s="554"/>
      <c r="D868" s="1881" t="s">
        <v>2202</v>
      </c>
      <c r="E868" s="1881"/>
      <c r="F868" s="1881"/>
      <c r="G868" s="1642"/>
      <c r="I868" s="1677" t="s">
        <v>2389</v>
      </c>
    </row>
    <row r="869" spans="1:9" ht="12.75" customHeight="1">
      <c r="A869" s="712"/>
      <c r="B869" s="712"/>
      <c r="C869" s="554"/>
      <c r="D869" s="1881" t="s">
        <v>2203</v>
      </c>
      <c r="E869" s="1881"/>
      <c r="F869" s="1881"/>
      <c r="G869" s="1642"/>
    </row>
    <row r="870" spans="1:9" ht="12.75" customHeight="1">
      <c r="A870" s="712"/>
      <c r="B870" s="712"/>
      <c r="C870" s="554"/>
      <c r="D870" s="5" t="s">
        <v>1496</v>
      </c>
      <c r="E870" s="1918" t="s">
        <v>2204</v>
      </c>
      <c r="F870" s="1918"/>
      <c r="G870" s="1642"/>
    </row>
    <row r="871" spans="1:9" ht="12.75" customHeight="1">
      <c r="A871" s="712"/>
      <c r="B871" s="712"/>
      <c r="C871" s="554"/>
      <c r="D871" s="1611"/>
      <c r="E871" s="1641"/>
      <c r="F871" s="1641"/>
      <c r="G871" s="1642"/>
    </row>
    <row r="872" spans="1:9" ht="12.75" customHeight="1">
      <c r="A872" s="712"/>
      <c r="B872" s="796" t="s">
        <v>2638</v>
      </c>
      <c r="C872" s="554"/>
      <c r="D872" s="1815" t="s">
        <v>2205</v>
      </c>
      <c r="E872" s="1815"/>
      <c r="F872" s="1815"/>
      <c r="G872" s="1642"/>
      <c r="I872" s="1677" t="s">
        <v>2409</v>
      </c>
    </row>
    <row r="873" spans="1:9" ht="12.75" customHeight="1">
      <c r="A873" s="712"/>
      <c r="B873" s="712"/>
      <c r="C873" s="554"/>
      <c r="D873" s="1815"/>
      <c r="E873" s="1815"/>
      <c r="F873" s="1815"/>
      <c r="G873" s="1642"/>
    </row>
    <row r="874" spans="1:9" ht="12.75" customHeight="1">
      <c r="A874" s="712"/>
      <c r="B874" s="712"/>
      <c r="C874" s="554"/>
      <c r="D874" s="1815"/>
      <c r="E874" s="1815"/>
      <c r="F874" s="1815"/>
      <c r="G874" s="1642"/>
    </row>
    <row r="875" spans="1:9" ht="12.75" customHeight="1">
      <c r="A875" s="712"/>
      <c r="B875" s="712"/>
      <c r="C875" s="554"/>
      <c r="D875" s="1815"/>
      <c r="E875" s="1815"/>
      <c r="F875" s="1815"/>
      <c r="G875" s="1642"/>
    </row>
    <row r="876" spans="1:9" ht="12.75" customHeight="1">
      <c r="A876" s="1612"/>
      <c r="B876" s="1612"/>
      <c r="C876" s="1643"/>
      <c r="D876" s="1641"/>
      <c r="E876" s="1641"/>
      <c r="F876" s="1641"/>
      <c r="G876" s="1642"/>
    </row>
    <row r="877" spans="1:9" ht="12.75" customHeight="1">
      <c r="A877" s="1884" t="s">
        <v>2245</v>
      </c>
      <c r="B877" s="1884"/>
      <c r="C877" s="1884"/>
      <c r="D877" s="1884"/>
      <c r="E877" s="1884"/>
      <c r="F877" s="1884"/>
      <c r="G877" s="1884"/>
      <c r="H877" s="1752"/>
      <c r="I877" s="1753"/>
    </row>
    <row r="878" spans="1:9" s="1675" customFormat="1" ht="12.75" customHeight="1">
      <c r="A878" s="93"/>
      <c r="B878" s="93"/>
      <c r="C878" s="93"/>
      <c r="D878" s="93"/>
      <c r="E878" s="93"/>
      <c r="F878" s="93"/>
      <c r="G878" s="93"/>
      <c r="I878" s="1677"/>
    </row>
    <row r="879" spans="1:9" s="1675" customFormat="1" ht="12.75" customHeight="1">
      <c r="A879" s="93"/>
      <c r="B879" s="93"/>
      <c r="C879" s="93"/>
      <c r="D879" s="1874" t="s">
        <v>2251</v>
      </c>
      <c r="E879" s="1874"/>
      <c r="F879" s="1874"/>
      <c r="G879" s="93"/>
      <c r="I879" s="1677"/>
    </row>
    <row r="880" spans="1:9" s="1675" customFormat="1" ht="12.75" customHeight="1">
      <c r="A880" s="93"/>
      <c r="B880" s="93"/>
      <c r="C880" s="93"/>
      <c r="D880" s="1619"/>
      <c r="E880" s="1619"/>
      <c r="F880" s="1619"/>
      <c r="G880" s="93"/>
      <c r="I880" s="1677"/>
    </row>
    <row r="881" spans="1:9" s="1675" customFormat="1" ht="12.75" customHeight="1">
      <c r="A881" s="93"/>
      <c r="B881" s="1678" t="s">
        <v>2637</v>
      </c>
      <c r="C881" s="93"/>
      <c r="D881" s="1625" t="s">
        <v>2252</v>
      </c>
      <c r="E881" s="1619"/>
      <c r="F881" s="1619"/>
      <c r="G881" s="93"/>
      <c r="I881" s="1677" t="s">
        <v>2423</v>
      </c>
    </row>
    <row r="882" spans="1:9" s="1675" customFormat="1" ht="12.75" customHeight="1">
      <c r="A882" s="93"/>
      <c r="B882" s="93"/>
      <c r="C882" s="93"/>
      <c r="D882" s="1619"/>
      <c r="E882" s="1619"/>
      <c r="F882" s="1619"/>
      <c r="G882" s="93"/>
      <c r="I882" s="1677"/>
    </row>
    <row r="883" spans="1:9" ht="12.75" customHeight="1">
      <c r="A883" s="1645"/>
      <c r="B883" s="1645"/>
      <c r="C883" s="1643"/>
      <c r="D883" s="1874" t="s">
        <v>2246</v>
      </c>
      <c r="E883" s="1874"/>
      <c r="F883" s="1874"/>
      <c r="G883" s="1642"/>
    </row>
    <row r="884" spans="1:9" ht="12.75" customHeight="1">
      <c r="A884" s="1617"/>
      <c r="B884" s="1617"/>
      <c r="C884" s="1649"/>
      <c r="D884" s="1828" t="s">
        <v>2211</v>
      </c>
      <c r="E884" s="1828"/>
      <c r="F884" s="1828"/>
      <c r="G884" s="1642"/>
    </row>
    <row r="885" spans="1:9" ht="12.75" customHeight="1">
      <c r="A885" s="1659"/>
      <c r="B885" s="1659"/>
      <c r="C885" s="1643"/>
      <c r="D885" s="5"/>
      <c r="E885" s="1641"/>
      <c r="F885" s="1641"/>
      <c r="G885" s="1642"/>
    </row>
    <row r="886" spans="1:9" ht="12.75" customHeight="1">
      <c r="A886" s="712"/>
      <c r="B886" s="796" t="s">
        <v>2637</v>
      </c>
      <c r="C886" s="554"/>
      <c r="D886" s="1815" t="s">
        <v>2215</v>
      </c>
      <c r="E886" s="1815"/>
      <c r="F886" s="1815"/>
      <c r="G886" s="676"/>
      <c r="I886" s="1677" t="s">
        <v>2373</v>
      </c>
    </row>
    <row r="887" spans="1:9" ht="12.75" customHeight="1">
      <c r="A887" s="1645"/>
      <c r="B887" s="1645"/>
      <c r="C887" s="554"/>
      <c r="D887" s="1815"/>
      <c r="E887" s="1815"/>
      <c r="F887" s="1815"/>
      <c r="G887" s="676"/>
    </row>
    <row r="888" spans="1:9" s="1675" customFormat="1" ht="12.75" customHeight="1">
      <c r="A888" s="1745"/>
      <c r="B888" s="1745"/>
      <c r="C888" s="1649"/>
      <c r="D888" s="1815" t="s">
        <v>2214</v>
      </c>
      <c r="E888" s="1815"/>
      <c r="F888" s="1815"/>
      <c r="G888" s="1642"/>
      <c r="I888" s="1677"/>
    </row>
    <row r="889" spans="1:9" s="1675" customFormat="1" ht="12.75" customHeight="1">
      <c r="A889" s="1745"/>
      <c r="B889" s="1745"/>
      <c r="C889" s="1649"/>
      <c r="D889" s="1815"/>
      <c r="E889" s="1815"/>
      <c r="F889" s="1815"/>
      <c r="G889" s="1642"/>
      <c r="I889" s="1677"/>
    </row>
    <row r="890" spans="1:9" ht="12.75" customHeight="1">
      <c r="A890" s="1617"/>
      <c r="B890" s="1617"/>
      <c r="C890" s="1649"/>
      <c r="D890" s="6"/>
      <c r="E890" s="6"/>
      <c r="F890" s="1641"/>
      <c r="G890" s="1642"/>
    </row>
    <row r="891" spans="1:9" ht="12.75" customHeight="1">
      <c r="A891" s="403"/>
      <c r="B891" s="796" t="s">
        <v>2637</v>
      </c>
      <c r="C891" s="486"/>
      <c r="D891" s="1914" t="s">
        <v>2212</v>
      </c>
      <c r="E891" s="1914"/>
      <c r="F891" s="1914"/>
      <c r="G891" s="1642"/>
      <c r="I891" s="1677" t="s">
        <v>2372</v>
      </c>
    </row>
    <row r="892" spans="1:9" ht="12.75" customHeight="1">
      <c r="A892" s="403"/>
      <c r="B892" s="403"/>
      <c r="C892" s="486"/>
      <c r="D892" s="1914"/>
      <c r="E892" s="1914"/>
      <c r="F892" s="1914"/>
      <c r="G892" s="1642"/>
    </row>
    <row r="893" spans="1:9" ht="12.75" customHeight="1">
      <c r="A893" s="403"/>
      <c r="B893" s="403"/>
      <c r="C893" s="486"/>
      <c r="D893" s="1914"/>
      <c r="E893" s="1914"/>
      <c r="F893" s="1914"/>
      <c r="G893" s="1642"/>
    </row>
    <row r="894" spans="1:9" s="1675" customFormat="1" ht="12.75" customHeight="1">
      <c r="A894" s="403"/>
      <c r="B894" s="403"/>
      <c r="C894" s="486"/>
      <c r="D894" s="1914"/>
      <c r="E894" s="1914"/>
      <c r="F894" s="1914"/>
      <c r="G894" s="1642"/>
      <c r="I894" s="1677"/>
    </row>
    <row r="895" spans="1:9" ht="12.75" customHeight="1">
      <c r="A895" s="403"/>
      <c r="B895" s="403"/>
      <c r="C895" s="486"/>
      <c r="D895" s="1914"/>
      <c r="E895" s="1914"/>
      <c r="F895" s="1914"/>
      <c r="G895" s="1642"/>
    </row>
    <row r="896" spans="1:9" ht="12.75" customHeight="1">
      <c r="A896" s="487"/>
      <c r="B896" s="487"/>
      <c r="C896" s="486"/>
      <c r="D896" s="1914"/>
      <c r="E896" s="1914"/>
      <c r="F896" s="1914"/>
      <c r="G896" s="1642"/>
    </row>
    <row r="897" spans="1:9" ht="12.75" customHeight="1">
      <c r="A897" s="487"/>
      <c r="B897" s="487"/>
      <c r="C897" s="486"/>
      <c r="D897" s="1914"/>
      <c r="E897" s="1914"/>
      <c r="F897" s="1914"/>
      <c r="G897" s="1642"/>
    </row>
    <row r="898" spans="1:9" ht="12.75" customHeight="1">
      <c r="A898" s="487"/>
      <c r="B898" s="487"/>
      <c r="C898" s="486"/>
      <c r="D898" s="1914"/>
      <c r="E898" s="1914"/>
      <c r="F898" s="1914"/>
      <c r="G898" s="1642"/>
    </row>
    <row r="899" spans="1:9" s="1675" customFormat="1" ht="12.75" customHeight="1">
      <c r="A899" s="487"/>
      <c r="B899" s="487"/>
      <c r="C899" s="486"/>
      <c r="D899" s="1746"/>
      <c r="E899" s="1746"/>
      <c r="F899" s="1746"/>
      <c r="G899" s="1642"/>
      <c r="I899" s="1677"/>
    </row>
    <row r="900" spans="1:9" ht="12.75" customHeight="1">
      <c r="A900" s="1659"/>
      <c r="B900" s="796" t="s">
        <v>2638</v>
      </c>
      <c r="C900" s="1643"/>
      <c r="D900" s="1815" t="s">
        <v>2216</v>
      </c>
      <c r="E900" s="1815"/>
      <c r="F900" s="1815"/>
      <c r="G900" s="1642"/>
    </row>
    <row r="901" spans="1:9" ht="12.75" customHeight="1">
      <c r="A901" s="1659"/>
      <c r="B901" s="1659"/>
      <c r="C901" s="1643"/>
      <c r="D901" s="1815"/>
      <c r="E901" s="1815"/>
      <c r="F901" s="1815"/>
      <c r="G901" s="1642"/>
    </row>
    <row r="902" spans="1:9" ht="12.75" customHeight="1">
      <c r="A902" s="1659"/>
      <c r="B902" s="1659"/>
      <c r="C902" s="1643"/>
      <c r="D902" s="1641"/>
      <c r="E902" s="1641"/>
      <c r="F902" s="1641"/>
      <c r="G902" s="1642"/>
    </row>
    <row r="903" spans="1:9" ht="12.75" customHeight="1">
      <c r="A903" s="1659"/>
      <c r="B903" s="796" t="s">
        <v>2638</v>
      </c>
      <c r="C903" s="1643"/>
      <c r="D903" s="1872" t="s">
        <v>2217</v>
      </c>
      <c r="E903" s="1872"/>
      <c r="F903" s="1872"/>
      <c r="G903" s="1642"/>
    </row>
    <row r="904" spans="1:9" ht="12.75" customHeight="1">
      <c r="A904" s="1659"/>
      <c r="B904" s="1659"/>
      <c r="C904" s="1643"/>
      <c r="D904" s="1872"/>
      <c r="E904" s="1872"/>
      <c r="F904" s="1872"/>
      <c r="G904" s="1642"/>
    </row>
    <row r="905" spans="1:9" ht="12.75" customHeight="1">
      <c r="A905" s="1659"/>
      <c r="B905" s="1659"/>
      <c r="C905" s="1643"/>
      <c r="D905" s="1872"/>
      <c r="E905" s="1872"/>
      <c r="F905" s="1872"/>
      <c r="G905" s="1642"/>
    </row>
    <row r="906" spans="1:9" ht="12.75" customHeight="1">
      <c r="A906" s="1659"/>
      <c r="B906" s="1659"/>
      <c r="C906" s="1643"/>
      <c r="D906" s="1872"/>
      <c r="E906" s="1872"/>
      <c r="F906" s="1872"/>
      <c r="G906" s="1642"/>
    </row>
    <row r="907" spans="1:9" ht="12.75" customHeight="1">
      <c r="A907" s="1659"/>
      <c r="B907" s="1659"/>
      <c r="C907" s="1643"/>
      <c r="D907" s="1611"/>
      <c r="E907" s="1641"/>
      <c r="F907" s="1641"/>
      <c r="G907" s="1642"/>
    </row>
    <row r="908" spans="1:9" ht="12.75" customHeight="1">
      <c r="A908" s="1659"/>
      <c r="B908" s="796" t="s">
        <v>2638</v>
      </c>
      <c r="C908" s="1643"/>
      <c r="D908" s="1828" t="s">
        <v>2218</v>
      </c>
      <c r="E908" s="1828"/>
      <c r="F908" s="1828"/>
      <c r="G908" s="1642"/>
    </row>
    <row r="909" spans="1:9" ht="12.75" customHeight="1">
      <c r="A909" s="1659"/>
      <c r="B909" s="1659"/>
      <c r="C909" s="1643"/>
      <c r="D909" s="1611"/>
      <c r="E909" s="1641"/>
      <c r="F909" s="1641"/>
      <c r="G909" s="1642"/>
    </row>
    <row r="910" spans="1:9" ht="12.75" customHeight="1">
      <c r="A910" s="1659"/>
      <c r="B910" s="796" t="s">
        <v>2638</v>
      </c>
      <c r="C910" s="1643"/>
      <c r="D910" s="1828" t="s">
        <v>2219</v>
      </c>
      <c r="E910" s="1828"/>
      <c r="F910" s="1828"/>
      <c r="G910" s="1642"/>
    </row>
    <row r="911" spans="1:9" ht="12.75" customHeight="1">
      <c r="A911" s="487"/>
      <c r="B911" s="487"/>
      <c r="C911" s="486"/>
      <c r="D911" s="183"/>
      <c r="E911" s="676"/>
      <c r="F911" s="1642"/>
      <c r="G911" s="1642"/>
    </row>
    <row r="912" spans="1:9" ht="12.75" customHeight="1">
      <c r="A912" s="1655"/>
      <c r="B912" s="796" t="s">
        <v>2638</v>
      </c>
      <c r="C912" s="1656"/>
      <c r="D912" s="1914" t="s">
        <v>2213</v>
      </c>
      <c r="E912" s="1914"/>
      <c r="F912" s="1914"/>
      <c r="G912" s="1657"/>
      <c r="I912" s="1677" t="s">
        <v>2424</v>
      </c>
    </row>
    <row r="913" spans="1:9" ht="12.75" customHeight="1">
      <c r="A913" s="1655"/>
      <c r="B913" s="1655"/>
      <c r="C913" s="1656"/>
      <c r="D913" s="1914"/>
      <c r="E913" s="1914"/>
      <c r="F913" s="1914"/>
      <c r="G913" s="1657"/>
    </row>
    <row r="914" spans="1:9" ht="12.75" customHeight="1">
      <c r="A914" s="1655"/>
      <c r="B914" s="1655"/>
      <c r="C914" s="1656"/>
      <c r="D914" s="1914"/>
      <c r="E914" s="1914"/>
      <c r="F914" s="1914"/>
      <c r="G914" s="1657"/>
    </row>
    <row r="915" spans="1:9" ht="12.75" customHeight="1">
      <c r="A915" s="1655"/>
      <c r="B915" s="1655"/>
      <c r="C915" s="1656"/>
      <c r="D915" s="1914"/>
      <c r="E915" s="1914"/>
      <c r="F915" s="1914"/>
      <c r="G915" s="1657"/>
    </row>
    <row r="916" spans="1:9" ht="12.75" customHeight="1">
      <c r="A916" s="1655"/>
      <c r="B916" s="1655"/>
      <c r="C916" s="1656"/>
      <c r="D916" s="1914"/>
      <c r="E916" s="1914"/>
      <c r="F916" s="1914"/>
      <c r="G916" s="1657"/>
    </row>
    <row r="917" spans="1:9" ht="12.75" customHeight="1">
      <c r="A917" s="1655"/>
      <c r="B917" s="1655"/>
      <c r="C917" s="1656"/>
      <c r="D917" s="1914"/>
      <c r="E917" s="1914"/>
      <c r="F917" s="1914"/>
      <c r="G917" s="1657"/>
    </row>
    <row r="918" spans="1:9" ht="12.75" customHeight="1">
      <c r="A918" s="1655"/>
      <c r="B918" s="1655"/>
      <c r="C918" s="1656"/>
      <c r="D918" s="1914"/>
      <c r="E918" s="1914"/>
      <c r="F918" s="1914"/>
      <c r="G918" s="1657"/>
    </row>
    <row r="919" spans="1:9" ht="12.75" customHeight="1">
      <c r="A919" s="1655"/>
      <c r="B919" s="1655"/>
      <c r="C919" s="1656"/>
      <c r="D919" s="1914"/>
      <c r="E919" s="1914"/>
      <c r="F919" s="1914"/>
      <c r="G919" s="1657"/>
    </row>
    <row r="920" spans="1:9" ht="12.75" customHeight="1">
      <c r="A920" s="1655"/>
      <c r="B920" s="1655"/>
      <c r="C920" s="1656"/>
      <c r="D920" s="1914"/>
      <c r="E920" s="1914"/>
      <c r="F920" s="1914"/>
      <c r="G920" s="1657"/>
    </row>
    <row r="921" spans="1:9" ht="12.75" customHeight="1">
      <c r="A921" s="487"/>
      <c r="B921" s="487"/>
      <c r="C921" s="486"/>
      <c r="D921" s="183"/>
      <c r="E921" s="676"/>
      <c r="F921" s="1642"/>
      <c r="G921" s="1642"/>
    </row>
    <row r="922" spans="1:9" ht="12.75" customHeight="1">
      <c r="A922" s="403"/>
      <c r="B922" s="796" t="s">
        <v>2637</v>
      </c>
      <c r="C922" s="486"/>
      <c r="D922" s="1915" t="s">
        <v>2427</v>
      </c>
      <c r="E922" s="1915"/>
      <c r="F922" s="1915"/>
      <c r="G922" s="1642"/>
      <c r="I922" s="1677" t="s">
        <v>2424</v>
      </c>
    </row>
    <row r="923" spans="1:9" ht="12.75" customHeight="1">
      <c r="A923" s="403"/>
      <c r="B923" s="403"/>
      <c r="C923" s="486"/>
      <c r="D923" s="1915"/>
      <c r="E923" s="1915"/>
      <c r="F923" s="1915"/>
      <c r="G923" s="1642"/>
    </row>
    <row r="924" spans="1:9" ht="12.75" customHeight="1">
      <c r="A924" s="403"/>
      <c r="B924" s="403"/>
      <c r="C924" s="486"/>
      <c r="D924" s="1915"/>
      <c r="E924" s="1915"/>
      <c r="F924" s="1915"/>
      <c r="G924" s="1642"/>
    </row>
    <row r="925" spans="1:9" ht="12.75" customHeight="1">
      <c r="A925" s="403"/>
      <c r="B925" s="403"/>
      <c r="C925" s="486"/>
      <c r="D925" s="1915"/>
      <c r="E925" s="1915"/>
      <c r="F925" s="1915"/>
      <c r="G925" s="1642"/>
    </row>
    <row r="926" spans="1:9" ht="12.75" customHeight="1">
      <c r="A926" s="403"/>
      <c r="B926" s="403"/>
      <c r="C926" s="486"/>
      <c r="D926" s="1915"/>
      <c r="E926" s="1915"/>
      <c r="F926" s="1915"/>
      <c r="G926" s="1642"/>
    </row>
    <row r="927" spans="1:9" ht="12.75" customHeight="1">
      <c r="A927" s="403"/>
      <c r="B927" s="403"/>
      <c r="C927" s="486"/>
      <c r="D927" s="1915"/>
      <c r="E927" s="1915"/>
      <c r="F927" s="1915"/>
      <c r="G927" s="1642"/>
    </row>
    <row r="928" spans="1:9" ht="12.75" customHeight="1">
      <c r="A928" s="403"/>
      <c r="B928" s="403"/>
      <c r="C928" s="486"/>
      <c r="D928" s="1915"/>
      <c r="E928" s="1915"/>
      <c r="F928" s="1915"/>
      <c r="G928" s="1642"/>
    </row>
    <row r="929" spans="1:9" s="1675" customFormat="1" ht="12.75" customHeight="1">
      <c r="A929" s="403"/>
      <c r="B929" s="403"/>
      <c r="C929" s="486"/>
      <c r="D929" s="1747"/>
      <c r="E929" s="1747"/>
      <c r="F929" s="1747"/>
      <c r="G929" s="1642"/>
      <c r="I929" s="1677"/>
    </row>
    <row r="930" spans="1:9" s="1675" customFormat="1" ht="12.75" customHeight="1">
      <c r="A930" s="403"/>
      <c r="B930" s="1678" t="s">
        <v>2637</v>
      </c>
      <c r="C930" s="486"/>
      <c r="D930" s="1827" t="s">
        <v>2425</v>
      </c>
      <c r="E930" s="1827"/>
      <c r="F930" s="1827"/>
      <c r="G930" s="1642"/>
      <c r="I930" s="1677"/>
    </row>
    <row r="931" spans="1:9" s="1675" customFormat="1" ht="12.75" customHeight="1">
      <c r="A931" s="403"/>
      <c r="B931" s="403"/>
      <c r="C931" s="486"/>
      <c r="D931" s="1827"/>
      <c r="E931" s="1827"/>
      <c r="F931" s="1827"/>
      <c r="G931" s="1642"/>
      <c r="I931" s="1677"/>
    </row>
    <row r="932" spans="1:9" s="1675" customFormat="1" ht="12.75" customHeight="1">
      <c r="A932" s="403"/>
      <c r="B932" s="403"/>
      <c r="C932" s="486"/>
      <c r="D932" s="1827"/>
      <c r="E932" s="1827"/>
      <c r="F932" s="1827"/>
      <c r="G932" s="1642"/>
      <c r="I932" s="1677"/>
    </row>
    <row r="933" spans="1:9" s="1675" customFormat="1" ht="12.75" customHeight="1">
      <c r="A933" s="403"/>
      <c r="B933" s="403"/>
      <c r="C933" s="486"/>
      <c r="D933" s="1827"/>
      <c r="E933" s="1827"/>
      <c r="F933" s="1827"/>
      <c r="G933" s="1642"/>
      <c r="I933" s="1677"/>
    </row>
    <row r="934" spans="1:9" s="1675" customFormat="1" ht="12.75" customHeight="1">
      <c r="A934" s="403"/>
      <c r="B934" s="403"/>
      <c r="C934" s="486"/>
      <c r="D934" s="1827"/>
      <c r="E934" s="1827"/>
      <c r="F934" s="1827"/>
      <c r="G934" s="1642"/>
      <c r="I934" s="1677"/>
    </row>
    <row r="935" spans="1:9" s="1675" customFormat="1" ht="12.75" customHeight="1">
      <c r="A935" s="403"/>
      <c r="B935" s="403"/>
      <c r="C935" s="486"/>
      <c r="D935" s="1827"/>
      <c r="E935" s="1827"/>
      <c r="F935" s="1827"/>
      <c r="G935" s="1642"/>
      <c r="I935" s="1677"/>
    </row>
    <row r="936" spans="1:9" s="1675" customFormat="1" ht="12.75" customHeight="1">
      <c r="A936" s="403"/>
      <c r="B936" s="403"/>
      <c r="C936" s="486"/>
      <c r="D936" s="1747"/>
      <c r="E936" s="1747"/>
      <c r="F936" s="1747"/>
      <c r="G936" s="1642"/>
      <c r="I936" s="1677"/>
    </row>
    <row r="937" spans="1:9" ht="12.75" customHeight="1">
      <c r="A937" s="1659"/>
      <c r="B937" s="796" t="s">
        <v>2638</v>
      </c>
      <c r="C937" s="1643"/>
      <c r="D937" s="1919" t="s">
        <v>2220</v>
      </c>
      <c r="E937" s="1919"/>
      <c r="F937" s="1919"/>
      <c r="G937" s="1642"/>
    </row>
    <row r="938" spans="1:9" ht="12.75" customHeight="1">
      <c r="A938" s="1659"/>
      <c r="B938" s="1659"/>
      <c r="C938" s="1643"/>
      <c r="D938" s="1919"/>
      <c r="E938" s="1919"/>
      <c r="F938" s="1919"/>
      <c r="G938" s="1642"/>
    </row>
    <row r="939" spans="1:9" ht="12.75" customHeight="1">
      <c r="A939" s="1659"/>
      <c r="B939" s="1659"/>
      <c r="C939" s="1643"/>
      <c r="D939" s="1919"/>
      <c r="E939" s="1919"/>
      <c r="F939" s="1919"/>
      <c r="G939" s="1642"/>
    </row>
    <row r="940" spans="1:9" s="1675" customFormat="1" ht="12.75" customHeight="1">
      <c r="A940" s="403"/>
      <c r="B940" s="403"/>
      <c r="C940" s="486"/>
      <c r="D940" s="1747"/>
      <c r="E940" s="1747"/>
      <c r="F940" s="1747"/>
      <c r="G940" s="1642"/>
      <c r="I940" s="1677"/>
    </row>
    <row r="941" spans="1:9" ht="12.75" customHeight="1">
      <c r="A941" s="403"/>
      <c r="B941" s="403"/>
      <c r="C941" s="486"/>
      <c r="D941" s="1658"/>
      <c r="E941" s="676"/>
      <c r="F941" s="1642"/>
      <c r="G941" s="1642"/>
    </row>
    <row r="942" spans="1:9" ht="12.75" customHeight="1">
      <c r="A942" s="403"/>
      <c r="B942" s="796" t="s">
        <v>2638</v>
      </c>
      <c r="C942" s="486"/>
      <c r="D942" s="1914" t="s">
        <v>2426</v>
      </c>
      <c r="E942" s="1914"/>
      <c r="F942" s="1914"/>
      <c r="G942" s="1642"/>
      <c r="I942" s="1677" t="s">
        <v>2424</v>
      </c>
    </row>
    <row r="943" spans="1:9" ht="12.75" customHeight="1">
      <c r="A943" s="403"/>
      <c r="B943" s="403"/>
      <c r="C943" s="486"/>
      <c r="D943" s="1914"/>
      <c r="E943" s="1914"/>
      <c r="F943" s="1914"/>
      <c r="G943" s="1642"/>
    </row>
    <row r="944" spans="1:9" ht="12.75" customHeight="1">
      <c r="A944" s="403"/>
      <c r="B944" s="403"/>
      <c r="C944" s="486"/>
      <c r="D944" s="1914"/>
      <c r="E944" s="1914"/>
      <c r="F944" s="1914"/>
      <c r="G944" s="1642"/>
    </row>
    <row r="945" spans="1:9" ht="12.75" customHeight="1">
      <c r="A945" s="403"/>
      <c r="B945" s="403"/>
      <c r="C945" s="486"/>
      <c r="D945" s="1914"/>
      <c r="E945" s="1914"/>
      <c r="F945" s="1914"/>
      <c r="G945" s="1642"/>
    </row>
    <row r="946" spans="1:9" ht="12.75" customHeight="1">
      <c r="A946" s="1661"/>
      <c r="B946" s="1661"/>
      <c r="C946" s="1647"/>
      <c r="D946" s="1608"/>
      <c r="E946" s="1608"/>
      <c r="F946" s="1608"/>
      <c r="G946" s="1608"/>
    </row>
    <row r="947" spans="1:9" ht="12.75" customHeight="1">
      <c r="A947" s="1645"/>
      <c r="B947" s="1645"/>
      <c r="C947" s="554"/>
      <c r="D947" s="1838" t="s">
        <v>2221</v>
      </c>
      <c r="E947" s="1838"/>
      <c r="F947" s="1838"/>
      <c r="G947" s="676"/>
    </row>
    <row r="948" spans="1:9" ht="12.75" customHeight="1">
      <c r="A948" s="712"/>
      <c r="B948" s="796" t="s">
        <v>2638</v>
      </c>
      <c r="C948" s="554"/>
      <c r="D948" s="1828" t="s">
        <v>2247</v>
      </c>
      <c r="E948" s="1828"/>
      <c r="F948" s="1828"/>
      <c r="G948" s="676"/>
      <c r="I948" s="1677" t="s">
        <v>2424</v>
      </c>
    </row>
    <row r="949" spans="1:9" ht="12.75" customHeight="1">
      <c r="A949" s="1645"/>
      <c r="B949" s="1645"/>
      <c r="C949" s="554"/>
      <c r="D949" s="6"/>
      <c r="E949" s="6"/>
      <c r="F949" s="6"/>
      <c r="G949" s="676"/>
    </row>
    <row r="950" spans="1:9" ht="12.75" customHeight="1">
      <c r="A950" s="1645"/>
      <c r="B950" s="1645"/>
      <c r="C950" s="554"/>
      <c r="D950" s="1838" t="s">
        <v>2222</v>
      </c>
      <c r="E950" s="1838"/>
      <c r="F950" s="1838"/>
      <c r="G950" s="675"/>
    </row>
    <row r="951" spans="1:9" ht="12.75" customHeight="1">
      <c r="A951" s="712"/>
      <c r="B951" s="796" t="s">
        <v>2638</v>
      </c>
      <c r="C951" s="554"/>
      <c r="D951" s="1815" t="s">
        <v>2223</v>
      </c>
      <c r="E951" s="1815"/>
      <c r="F951" s="1815"/>
      <c r="G951" s="675"/>
      <c r="I951" s="1677" t="s">
        <v>2424</v>
      </c>
    </row>
    <row r="952" spans="1:9" ht="12.75" customHeight="1">
      <c r="A952" s="712"/>
      <c r="B952" s="712"/>
      <c r="C952" s="554"/>
      <c r="D952" s="1815"/>
      <c r="E952" s="1815"/>
      <c r="F952" s="1815"/>
      <c r="G952" s="675"/>
    </row>
    <row r="953" spans="1:9" ht="12.75" customHeight="1">
      <c r="A953" s="712"/>
      <c r="B953" s="712"/>
      <c r="C953" s="554"/>
      <c r="D953" s="1815"/>
      <c r="E953" s="1815"/>
      <c r="F953" s="1815"/>
      <c r="G953" s="675"/>
    </row>
    <row r="954" spans="1:9" ht="12.75" customHeight="1">
      <c r="A954" s="712"/>
      <c r="B954" s="712"/>
      <c r="C954" s="554"/>
      <c r="D954" s="1815"/>
      <c r="E954" s="1815"/>
      <c r="F954" s="1815"/>
      <c r="G954" s="675"/>
    </row>
    <row r="955" spans="1:9" ht="12.75" customHeight="1">
      <c r="A955" s="712"/>
      <c r="B955" s="712"/>
      <c r="C955" s="554"/>
      <c r="D955" s="1815"/>
      <c r="E955" s="1815"/>
      <c r="F955" s="1815"/>
      <c r="G955" s="675"/>
    </row>
    <row r="956" spans="1:9" ht="12.75" customHeight="1">
      <c r="A956" s="712"/>
      <c r="B956" s="712"/>
      <c r="C956" s="554"/>
      <c r="D956" s="1815"/>
      <c r="E956" s="1815"/>
      <c r="F956" s="1815"/>
      <c r="G956" s="675"/>
    </row>
    <row r="957" spans="1:9" ht="12.75" customHeight="1">
      <c r="A957" s="712"/>
      <c r="B957" s="712"/>
      <c r="C957" s="554"/>
      <c r="D957" s="1815"/>
      <c r="E957" s="1815"/>
      <c r="F957" s="1815"/>
      <c r="G957" s="675"/>
    </row>
    <row r="958" spans="1:9" ht="12.75" customHeight="1">
      <c r="A958" s="712"/>
      <c r="B958" s="712"/>
      <c r="C958" s="554"/>
      <c r="D958" s="1815"/>
      <c r="E958" s="1815"/>
      <c r="F958" s="1815"/>
      <c r="G958" s="675"/>
    </row>
    <row r="959" spans="1:9" ht="12.75" customHeight="1">
      <c r="A959" s="712"/>
      <c r="B959" s="712"/>
      <c r="C959" s="554"/>
      <c r="D959" s="1815"/>
      <c r="E959" s="1815"/>
      <c r="F959" s="1815"/>
      <c r="G959" s="675"/>
    </row>
    <row r="960" spans="1:9" ht="12.75" customHeight="1">
      <c r="A960" s="712"/>
      <c r="B960" s="712"/>
      <c r="C960" s="554"/>
      <c r="D960" s="1815"/>
      <c r="E960" s="1815"/>
      <c r="F960" s="1815"/>
      <c r="G960" s="675"/>
    </row>
    <row r="961" spans="1:9" ht="12.75" customHeight="1">
      <c r="A961" s="712"/>
      <c r="B961" s="712"/>
      <c r="C961" s="554"/>
      <c r="D961" s="1815"/>
      <c r="E961" s="1815"/>
      <c r="F961" s="1815"/>
      <c r="G961" s="675"/>
    </row>
    <row r="962" spans="1:9" ht="12.75" customHeight="1">
      <c r="A962" s="712"/>
      <c r="B962" s="712"/>
      <c r="C962" s="554"/>
      <c r="D962" s="1815"/>
      <c r="E962" s="1815"/>
      <c r="F962" s="1815"/>
      <c r="G962" s="675"/>
    </row>
    <row r="963" spans="1:9" s="1675" customFormat="1" ht="12.75" customHeight="1">
      <c r="A963" s="712"/>
      <c r="B963" s="712"/>
      <c r="C963" s="554"/>
      <c r="D963" s="1815"/>
      <c r="E963" s="1815"/>
      <c r="F963" s="1815"/>
      <c r="G963" s="675"/>
      <c r="I963" s="1677"/>
    </row>
    <row r="964" spans="1:9" ht="12.75" customHeight="1">
      <c r="A964" s="712"/>
      <c r="B964" s="712"/>
      <c r="C964" s="554"/>
      <c r="D964" s="1815"/>
      <c r="E964" s="1815"/>
      <c r="F964" s="1815"/>
      <c r="G964" s="675"/>
    </row>
    <row r="965" spans="1:9" ht="12.75" customHeight="1">
      <c r="A965" s="712"/>
      <c r="B965" s="712"/>
      <c r="C965" s="554"/>
      <c r="D965" s="1815"/>
      <c r="E965" s="1815"/>
      <c r="F965" s="1815"/>
      <c r="G965" s="676"/>
    </row>
    <row r="966" spans="1:9" ht="12.75" customHeight="1">
      <c r="A966" s="1645"/>
      <c r="B966" s="1645"/>
      <c r="C966" s="554"/>
      <c r="D966" s="6"/>
      <c r="E966" s="6"/>
      <c r="F966" s="6"/>
      <c r="G966" s="676"/>
    </row>
    <row r="967" spans="1:9" ht="12.75" customHeight="1">
      <c r="A967" s="1884" t="s">
        <v>2224</v>
      </c>
      <c r="B967" s="1884"/>
      <c r="C967" s="1884"/>
      <c r="D967" s="1884"/>
      <c r="E967" s="1884"/>
      <c r="F967" s="1884"/>
      <c r="G967" s="1884"/>
      <c r="H967" s="1752"/>
      <c r="I967" s="1753"/>
    </row>
    <row r="968" spans="1:9" ht="12.75" customHeight="1">
      <c r="A968" s="1612"/>
      <c r="B968" s="1612"/>
      <c r="C968" s="554"/>
      <c r="D968" s="6"/>
      <c r="E968" s="6"/>
      <c r="F968" s="6"/>
      <c r="G968" s="676"/>
    </row>
    <row r="969" spans="1:9" ht="12.75" customHeight="1">
      <c r="A969" s="1645"/>
      <c r="B969" s="1645"/>
      <c r="C969" s="1643"/>
      <c r="D969" s="1838" t="s">
        <v>2248</v>
      </c>
      <c r="E969" s="1838"/>
      <c r="F969" s="1838"/>
      <c r="G969" s="676"/>
    </row>
    <row r="970" spans="1:9" ht="12.75" customHeight="1">
      <c r="A970" s="1617"/>
      <c r="B970" s="1617"/>
      <c r="C970" s="1649"/>
      <c r="D970" s="1828" t="s">
        <v>2225</v>
      </c>
      <c r="E970" s="1828"/>
      <c r="F970" s="1828"/>
      <c r="G970" s="676"/>
    </row>
    <row r="971" spans="1:9" ht="12.75" customHeight="1">
      <c r="A971" s="1617"/>
      <c r="B971" s="1617"/>
      <c r="C971" s="1649"/>
      <c r="D971" s="6"/>
      <c r="E971" s="6"/>
      <c r="F971" s="1641"/>
      <c r="G971" s="675"/>
    </row>
    <row r="972" spans="1:9" ht="12.75" customHeight="1">
      <c r="A972" s="1645"/>
      <c r="B972" s="796" t="s">
        <v>2637</v>
      </c>
      <c r="C972" s="554"/>
      <c r="D972" s="1824" t="s">
        <v>2226</v>
      </c>
      <c r="E972" s="1824"/>
      <c r="F972" s="1824"/>
      <c r="G972" s="675"/>
      <c r="I972" s="1677" t="s">
        <v>2402</v>
      </c>
    </row>
    <row r="973" spans="1:9" ht="12.75" customHeight="1">
      <c r="A973" s="1645"/>
      <c r="B973" s="1645"/>
      <c r="C973" s="554"/>
      <c r="D973" s="1824"/>
      <c r="E973" s="1824"/>
      <c r="F973" s="1824"/>
      <c r="G973" s="675"/>
    </row>
    <row r="974" spans="1:9" ht="12.75" customHeight="1">
      <c r="A974" s="1645"/>
      <c r="B974" s="1645"/>
      <c r="C974" s="554"/>
      <c r="D974" s="1824"/>
      <c r="E974" s="1824"/>
      <c r="F974" s="1824"/>
      <c r="G974" s="675"/>
    </row>
    <row r="975" spans="1:9" ht="12.75" customHeight="1">
      <c r="A975" s="1645"/>
      <c r="B975" s="1645"/>
      <c r="C975" s="554"/>
      <c r="D975" s="1824"/>
      <c r="E975" s="1824"/>
      <c r="F975" s="1824"/>
      <c r="G975" s="675"/>
    </row>
    <row r="976" spans="1:9" ht="12.75" customHeight="1">
      <c r="A976" s="1629"/>
      <c r="B976" s="1629"/>
      <c r="C976" s="555"/>
      <c r="D976" s="1824"/>
      <c r="E976" s="1824"/>
      <c r="F976" s="1824"/>
      <c r="G976" s="675"/>
    </row>
    <row r="977" spans="1:7" ht="12.75" customHeight="1">
      <c r="A977" s="1629"/>
      <c r="B977" s="1629"/>
      <c r="C977" s="555"/>
      <c r="D977" s="1824"/>
      <c r="E977" s="1824"/>
      <c r="F977" s="1824"/>
      <c r="G977" s="675"/>
    </row>
    <row r="978" spans="1:7" ht="12.75" customHeight="1">
      <c r="A978" s="718"/>
      <c r="B978" s="718"/>
      <c r="C978" s="313"/>
      <c r="D978" s="1824"/>
      <c r="E978" s="1824"/>
      <c r="F978" s="1824"/>
      <c r="G978" s="675"/>
    </row>
    <row r="979" spans="1:7" ht="12.75" customHeight="1">
      <c r="A979" s="718"/>
      <c r="B979" s="718"/>
      <c r="C979" s="313"/>
      <c r="D979" s="1824"/>
      <c r="E979" s="1824"/>
      <c r="F979" s="1824"/>
      <c r="G979" s="675"/>
    </row>
    <row r="980" spans="1:7" ht="12.75" customHeight="1">
      <c r="A980" s="718"/>
      <c r="B980" s="718"/>
      <c r="C980" s="313"/>
      <c r="D980" s="1609"/>
      <c r="E980" s="1609"/>
      <c r="F980" s="1609"/>
      <c r="G980" s="675"/>
    </row>
    <row r="981" spans="1:7" ht="12.75" customHeight="1">
      <c r="A981" s="718"/>
      <c r="B981" s="796" t="s">
        <v>2638</v>
      </c>
      <c r="C981" s="313"/>
      <c r="D981" s="1816" t="s">
        <v>2227</v>
      </c>
      <c r="E981" s="1816"/>
      <c r="F981" s="1816"/>
      <c r="G981" s="675"/>
    </row>
    <row r="982" spans="1:7" ht="12.75" customHeight="1">
      <c r="A982" s="718"/>
      <c r="B982" s="718"/>
      <c r="C982" s="313"/>
      <c r="D982" s="1816"/>
      <c r="E982" s="1816"/>
      <c r="F982" s="1816"/>
      <c r="G982" s="675"/>
    </row>
    <row r="983" spans="1:7" ht="12.75" customHeight="1">
      <c r="A983" s="718"/>
      <c r="B983" s="718"/>
      <c r="C983" s="313"/>
      <c r="D983" s="1816"/>
      <c r="E983" s="1816"/>
      <c r="F983" s="1816"/>
      <c r="G983" s="675"/>
    </row>
    <row r="984" spans="1:7" ht="12.75" customHeight="1">
      <c r="A984" s="718"/>
      <c r="B984" s="718"/>
      <c r="C984" s="313"/>
      <c r="D984" s="1816"/>
      <c r="E984" s="1816"/>
      <c r="F984" s="1816"/>
      <c r="G984" s="675"/>
    </row>
    <row r="985" spans="1:7" ht="12.75" customHeight="1">
      <c r="A985" s="718"/>
      <c r="B985" s="718"/>
      <c r="C985" s="313"/>
      <c r="D985" s="1607"/>
      <c r="E985" s="1607"/>
      <c r="F985" s="1607"/>
      <c r="G985" s="675"/>
    </row>
    <row r="986" spans="1:7" ht="12.75" customHeight="1">
      <c r="A986" s="718"/>
      <c r="B986" s="796" t="s">
        <v>2638</v>
      </c>
      <c r="C986" s="313"/>
      <c r="D986" s="1816" t="s">
        <v>2228</v>
      </c>
      <c r="E986" s="1816"/>
      <c r="F986" s="1816"/>
      <c r="G986" s="675"/>
    </row>
    <row r="987" spans="1:7" ht="12.75" customHeight="1">
      <c r="A987" s="718"/>
      <c r="B987" s="718"/>
      <c r="C987" s="313"/>
      <c r="D987" s="1816"/>
      <c r="E987" s="1816"/>
      <c r="F987" s="1816"/>
      <c r="G987" s="675"/>
    </row>
    <row r="988" spans="1:7" ht="12.75" customHeight="1">
      <c r="A988" s="718"/>
      <c r="B988" s="718"/>
      <c r="C988" s="313"/>
      <c r="D988" s="1607"/>
      <c r="E988" s="1607"/>
      <c r="F988" s="1607"/>
      <c r="G988" s="675"/>
    </row>
    <row r="989" spans="1:7" ht="12.75" customHeight="1">
      <c r="A989" s="712"/>
      <c r="B989" s="796" t="s">
        <v>2637</v>
      </c>
      <c r="C989" s="554"/>
      <c r="D989" s="1828" t="s">
        <v>2229</v>
      </c>
      <c r="E989" s="1828"/>
      <c r="F989" s="1828"/>
      <c r="G989" s="675"/>
    </row>
    <row r="990" spans="1:7" ht="12.75" customHeight="1">
      <c r="A990" s="1645"/>
      <c r="B990" s="1645"/>
      <c r="C990" s="554"/>
      <c r="D990" s="6"/>
      <c r="E990" s="6"/>
      <c r="F990" s="6"/>
      <c r="G990" s="675"/>
    </row>
    <row r="991" spans="1:7" ht="12.75" customHeight="1">
      <c r="A991" s="712"/>
      <c r="B991" s="796" t="s">
        <v>2638</v>
      </c>
      <c r="C991" s="554"/>
      <c r="D991" s="1828" t="s">
        <v>2230</v>
      </c>
      <c r="E991" s="1828"/>
      <c r="F991" s="1828"/>
      <c r="G991" s="675"/>
    </row>
    <row r="992" spans="1:7" ht="12.75" customHeight="1">
      <c r="A992" s="1645"/>
      <c r="B992" s="1645"/>
      <c r="C992" s="554"/>
      <c r="D992" s="1611"/>
      <c r="E992" s="6"/>
      <c r="F992" s="6"/>
      <c r="G992" s="675"/>
    </row>
    <row r="993" spans="1:9" ht="12.75" customHeight="1">
      <c r="A993" s="712"/>
      <c r="B993" s="796" t="s">
        <v>2637</v>
      </c>
      <c r="C993" s="554"/>
      <c r="D993" s="1828" t="s">
        <v>2231</v>
      </c>
      <c r="E993" s="1828"/>
      <c r="F993" s="1828"/>
      <c r="G993" s="675"/>
    </row>
    <row r="994" spans="1:9" ht="12.75" customHeight="1">
      <c r="A994" s="1645"/>
      <c r="B994" s="1645"/>
      <c r="C994" s="554"/>
      <c r="D994" s="1611"/>
      <c r="E994" s="6"/>
      <c r="F994" s="6"/>
      <c r="G994" s="675"/>
    </row>
    <row r="995" spans="1:9" ht="12.75" customHeight="1">
      <c r="A995" s="712"/>
      <c r="B995" s="796" t="s">
        <v>2638</v>
      </c>
      <c r="C995" s="554"/>
      <c r="D995" s="1815" t="s">
        <v>2232</v>
      </c>
      <c r="E995" s="1815"/>
      <c r="F995" s="1815"/>
      <c r="G995" s="675"/>
    </row>
    <row r="996" spans="1:9" ht="12.75" customHeight="1">
      <c r="A996" s="712"/>
      <c r="B996" s="712"/>
      <c r="C996" s="554"/>
      <c r="D996" s="1815"/>
      <c r="E996" s="1815"/>
      <c r="F996" s="1815"/>
      <c r="G996" s="675"/>
    </row>
    <row r="997" spans="1:9" ht="12.75" customHeight="1">
      <c r="A997" s="712"/>
      <c r="B997" s="712"/>
      <c r="C997" s="554"/>
      <c r="D997" s="1611"/>
      <c r="E997" s="6"/>
      <c r="F997" s="6"/>
      <c r="G997" s="676"/>
    </row>
    <row r="998" spans="1:9" ht="12.75" customHeight="1">
      <c r="A998" s="407"/>
      <c r="B998" s="796" t="s">
        <v>2638</v>
      </c>
      <c r="C998" s="1662"/>
      <c r="D998" s="1882" t="s">
        <v>2233</v>
      </c>
      <c r="E998" s="1882"/>
      <c r="F998" s="1882"/>
      <c r="G998" s="1663"/>
    </row>
    <row r="999" spans="1:9" ht="12.75" customHeight="1">
      <c r="A999" s="1662"/>
      <c r="B999" s="1662"/>
      <c r="C999" s="1662"/>
      <c r="D999" s="1882"/>
      <c r="E999" s="1882"/>
      <c r="F999" s="1882"/>
      <c r="G999" s="1663"/>
    </row>
    <row r="1000" spans="1:9" ht="12.75" customHeight="1">
      <c r="A1000" s="1662"/>
      <c r="B1000" s="1662"/>
      <c r="C1000" s="1662"/>
      <c r="D1000" s="1664"/>
      <c r="E1000" s="1665"/>
      <c r="F1000" s="1665"/>
      <c r="G1000" s="1663"/>
    </row>
    <row r="1001" spans="1:9" ht="12.75" customHeight="1">
      <c r="A1001" s="407"/>
      <c r="B1001" s="796" t="s">
        <v>2638</v>
      </c>
      <c r="C1001" s="1662"/>
      <c r="D1001" s="1913" t="s">
        <v>2234</v>
      </c>
      <c r="E1001" s="1913"/>
      <c r="F1001" s="1913"/>
      <c r="G1001" s="1663"/>
    </row>
    <row r="1002" spans="1:9" ht="12.75" customHeight="1">
      <c r="A1002" s="1662"/>
      <c r="B1002" s="1662"/>
      <c r="C1002" s="1662"/>
      <c r="D1002" s="1664"/>
      <c r="E1002" s="1665"/>
      <c r="F1002" s="1665"/>
      <c r="G1002" s="1663"/>
    </row>
    <row r="1003" spans="1:9" ht="12.75" customHeight="1">
      <c r="A1003" s="712"/>
      <c r="B1003" s="796" t="s">
        <v>2638</v>
      </c>
      <c r="C1003" s="554"/>
      <c r="D1003" s="1828" t="s">
        <v>2235</v>
      </c>
      <c r="E1003" s="1828"/>
      <c r="F1003" s="1828"/>
      <c r="G1003" s="676"/>
    </row>
    <row r="1004" spans="1:9" ht="12.75" customHeight="1">
      <c r="A1004" s="712"/>
      <c r="B1004" s="712"/>
      <c r="C1004" s="554"/>
      <c r="D1004" s="1611"/>
      <c r="E1004" s="6"/>
      <c r="F1004" s="6"/>
      <c r="G1004" s="676"/>
    </row>
    <row r="1005" spans="1:9" ht="12.75" customHeight="1">
      <c r="A1005" s="712"/>
      <c r="B1005" s="796" t="s">
        <v>2638</v>
      </c>
      <c r="C1005" s="554"/>
      <c r="D1005" s="1815" t="s">
        <v>2236</v>
      </c>
      <c r="E1005" s="1815"/>
      <c r="F1005" s="1815"/>
      <c r="G1005" s="676"/>
    </row>
    <row r="1006" spans="1:9" ht="12.75" customHeight="1">
      <c r="A1006" s="712"/>
      <c r="B1006" s="712"/>
      <c r="C1006" s="554"/>
      <c r="D1006" s="1815"/>
      <c r="E1006" s="1815"/>
      <c r="F1006" s="1815"/>
      <c r="G1006" s="676"/>
    </row>
    <row r="1007" spans="1:9" ht="12.75" customHeight="1">
      <c r="A1007" s="1645"/>
      <c r="B1007" s="1645"/>
      <c r="C1007" s="554"/>
      <c r="D1007" s="6"/>
      <c r="E1007" s="6"/>
      <c r="F1007" s="6"/>
      <c r="G1007" s="676"/>
    </row>
    <row r="1008" spans="1:9" ht="12.75" customHeight="1">
      <c r="A1008" s="1884" t="s">
        <v>2237</v>
      </c>
      <c r="B1008" s="1884"/>
      <c r="C1008" s="1884"/>
      <c r="D1008" s="1884"/>
      <c r="E1008" s="1884"/>
      <c r="F1008" s="1884"/>
      <c r="G1008" s="1884"/>
      <c r="H1008" s="1752"/>
      <c r="I1008" s="1753"/>
    </row>
    <row r="1009" spans="1:9" ht="12.75" customHeight="1">
      <c r="A1009" s="1645"/>
      <c r="B1009" s="1645"/>
      <c r="C1009" s="554"/>
      <c r="D1009" s="6"/>
      <c r="E1009" s="6"/>
      <c r="F1009" s="6"/>
      <c r="G1009" s="676"/>
    </row>
    <row r="1010" spans="1:9" ht="12.75" customHeight="1">
      <c r="A1010" s="1629"/>
      <c r="B1010" s="1629"/>
      <c r="C1010" s="555"/>
      <c r="D1010" s="1874" t="s">
        <v>2238</v>
      </c>
      <c r="E1010" s="1874"/>
      <c r="F1010" s="1874"/>
      <c r="G1010" s="676"/>
    </row>
    <row r="1011" spans="1:9" ht="12.75" customHeight="1">
      <c r="A1011" s="1629"/>
      <c r="B1011" s="1629"/>
      <c r="C1011" s="555"/>
      <c r="D1011" s="1912" t="s">
        <v>2239</v>
      </c>
      <c r="E1011" s="1912"/>
      <c r="F1011" s="1912"/>
      <c r="G1011" s="676"/>
    </row>
    <row r="1012" spans="1:9" ht="12.75" customHeight="1">
      <c r="A1012" s="672"/>
      <c r="B1012" s="672"/>
      <c r="C1012" s="1618"/>
      <c r="D1012" s="676"/>
      <c r="E1012" s="676"/>
      <c r="F1012" s="676"/>
      <c r="G1012" s="676"/>
    </row>
    <row r="1013" spans="1:9" ht="12.75" customHeight="1">
      <c r="A1013" s="712"/>
      <c r="B1013" s="712"/>
      <c r="C1013" s="313"/>
      <c r="D1013" s="1874" t="s">
        <v>2253</v>
      </c>
      <c r="E1013" s="1874"/>
      <c r="F1013" s="1874"/>
      <c r="G1013" s="676"/>
      <c r="I1013" s="1677" t="s">
        <v>2374</v>
      </c>
    </row>
    <row r="1014" spans="1:9" ht="12.75" customHeight="1">
      <c r="A1014" s="1645"/>
      <c r="B1014" s="796" t="s">
        <v>2637</v>
      </c>
      <c r="C1014" s="554"/>
      <c r="D1014" s="1912" t="s">
        <v>1497</v>
      </c>
      <c r="E1014" s="1912"/>
      <c r="F1014" s="1912"/>
      <c r="G1014" s="676"/>
    </row>
    <row r="1015" spans="1:9" s="1675" customFormat="1" ht="12.75" customHeight="1">
      <c r="A1015" s="1645"/>
      <c r="B1015" s="712"/>
      <c r="C1015" s="554"/>
      <c r="D1015" s="1909" t="s">
        <v>2240</v>
      </c>
      <c r="E1015" s="1909"/>
      <c r="F1015" s="1909"/>
      <c r="G1015" s="676"/>
      <c r="I1015" s="1677"/>
    </row>
    <row r="1016" spans="1:9" ht="12.75" customHeight="1">
      <c r="A1016" s="1645"/>
      <c r="B1016" s="1645"/>
      <c r="C1016" s="554"/>
      <c r="D1016" s="1912"/>
      <c r="E1016" s="1912"/>
      <c r="F1016" s="1912"/>
      <c r="G1016" s="676"/>
    </row>
    <row r="1017" spans="1:9" ht="12.75" customHeight="1">
      <c r="A1017" s="1904" t="s">
        <v>2249</v>
      </c>
      <c r="B1017" s="1904"/>
      <c r="C1017" s="1904"/>
      <c r="D1017" s="1904"/>
      <c r="E1017" s="1904"/>
      <c r="F1017" s="1904"/>
      <c r="G1017" s="1904"/>
      <c r="H1017" s="1752"/>
      <c r="I1017" s="1753"/>
    </row>
    <row r="1018" spans="1:9" ht="12.75" customHeight="1">
      <c r="A1018" s="254"/>
      <c r="B1018" s="254"/>
      <c r="C1018" s="1637"/>
      <c r="D1018" s="684"/>
      <c r="E1018" s="684"/>
      <c r="F1018" s="684"/>
      <c r="G1018" s="684"/>
    </row>
    <row r="1019" spans="1:9" ht="12.75" customHeight="1">
      <c r="A1019" s="254"/>
      <c r="B1019" s="1672"/>
      <c r="C1019" s="1679"/>
      <c r="D1019" s="1888" t="s">
        <v>1498</v>
      </c>
      <c r="E1019" s="1888"/>
      <c r="F1019" s="1888"/>
      <c r="G1019" s="684"/>
    </row>
    <row r="1020" spans="1:9" ht="12.75" customHeight="1">
      <c r="A1020" s="254"/>
      <c r="B1020" s="1678" t="s">
        <v>2638</v>
      </c>
      <c r="C1020" s="1679"/>
      <c r="D1020" s="1891" t="s">
        <v>1497</v>
      </c>
      <c r="E1020" s="1891"/>
      <c r="F1020" s="1891"/>
      <c r="G1020" s="684"/>
    </row>
    <row r="1021" spans="1:9" ht="12.75" customHeight="1">
      <c r="A1021" s="254"/>
      <c r="B1021" s="1675"/>
      <c r="C1021" s="1679"/>
      <c r="D1021" s="1891" t="s">
        <v>2250</v>
      </c>
      <c r="E1021" s="1891"/>
      <c r="F1021" s="1891"/>
      <c r="G1021" s="684"/>
    </row>
    <row r="1022" spans="1:9" s="1675" customFormat="1" ht="12.75" customHeight="1">
      <c r="A1022" s="254"/>
      <c r="C1022" s="1679"/>
      <c r="D1022" s="1673"/>
      <c r="E1022" s="1673"/>
      <c r="F1022" s="1673"/>
      <c r="G1022" s="684"/>
      <c r="I1022" s="1677"/>
    </row>
    <row r="1023" spans="1:9" ht="12.75" customHeight="1">
      <c r="A1023" s="254"/>
      <c r="B1023" s="254"/>
      <c r="C1023" s="1637"/>
      <c r="D1023" s="1910" t="s">
        <v>1178</v>
      </c>
      <c r="E1023" s="1910"/>
      <c r="F1023" s="1910"/>
      <c r="G1023" s="684"/>
      <c r="I1023" s="1677" t="s">
        <v>2403</v>
      </c>
    </row>
    <row r="1024" spans="1:9" ht="12.75" customHeight="1">
      <c r="A1024" s="501"/>
      <c r="B1024" s="501"/>
      <c r="C1024" s="500"/>
      <c r="D1024" s="1911" t="s">
        <v>1195</v>
      </c>
      <c r="E1024" s="1911"/>
      <c r="F1024" s="1911"/>
      <c r="G1024" s="1666"/>
    </row>
    <row r="1025" spans="1:9" ht="12.75" customHeight="1">
      <c r="A1025" s="712"/>
      <c r="B1025" s="1678" t="s">
        <v>2638</v>
      </c>
      <c r="C1025" s="555"/>
      <c r="D1025" s="1881" t="s">
        <v>1063</v>
      </c>
      <c r="E1025" s="1881"/>
      <c r="F1025" s="1881"/>
      <c r="G1025" s="676"/>
    </row>
    <row r="1026" spans="1:9" ht="12.75" customHeight="1">
      <c r="A1026" s="1629"/>
      <c r="B1026" s="1629"/>
      <c r="C1026" s="555"/>
      <c r="D1026" s="6"/>
      <c r="E1026" s="1906" t="s">
        <v>1179</v>
      </c>
      <c r="F1026" s="1906"/>
      <c r="G1026" s="676"/>
    </row>
    <row r="1027" spans="1:9">
      <c r="A1027" s="788"/>
      <c r="B1027" s="788"/>
      <c r="C1027" s="788"/>
      <c r="D1027" s="788"/>
      <c r="E1027" s="788"/>
      <c r="F1027" s="788"/>
      <c r="G1027" s="788"/>
    </row>
    <row r="1028" spans="1:9">
      <c r="A1028" s="1904" t="s">
        <v>2270</v>
      </c>
      <c r="B1028" s="1904"/>
      <c r="C1028" s="1904"/>
      <c r="D1028" s="1904"/>
      <c r="E1028" s="1904"/>
      <c r="F1028" s="1904"/>
      <c r="G1028" s="1904"/>
      <c r="H1028" s="1752"/>
      <c r="I1028" s="1753"/>
    </row>
    <row r="1029" spans="1:9">
      <c r="A1029" s="788"/>
      <c r="B1029" s="788"/>
      <c r="C1029" s="788"/>
      <c r="D1029" s="788"/>
      <c r="E1029" s="788"/>
      <c r="F1029" s="788"/>
      <c r="G1029" s="788"/>
    </row>
    <row r="1030" spans="1:9">
      <c r="A1030" s="788"/>
      <c r="B1030" s="788"/>
      <c r="C1030" s="788"/>
      <c r="D1030" s="1677" t="s">
        <v>2256</v>
      </c>
      <c r="E1030" s="788"/>
      <c r="F1030" s="788"/>
      <c r="G1030" s="788"/>
    </row>
    <row r="1031" spans="1:9" s="1675" customFormat="1">
      <c r="D1031" s="1674" t="s">
        <v>2255</v>
      </c>
      <c r="I1031" s="1677"/>
    </row>
    <row r="1032" spans="1:9" s="1675" customFormat="1">
      <c r="D1032" s="1677"/>
      <c r="I1032" s="1677"/>
    </row>
    <row r="1033" spans="1:9">
      <c r="A1033" s="788"/>
      <c r="B1033" s="1678" t="s">
        <v>2638</v>
      </c>
      <c r="C1033" s="788"/>
      <c r="D1033" s="1907" t="s">
        <v>2254</v>
      </c>
      <c r="E1033" s="1907"/>
      <c r="F1033" s="1907"/>
      <c r="G1033" s="788"/>
      <c r="I1033" s="1677" t="s">
        <v>2375</v>
      </c>
    </row>
    <row r="1034" spans="1:9">
      <c r="A1034" s="788"/>
      <c r="B1034" s="788"/>
      <c r="C1034" s="788"/>
      <c r="D1034" s="1907"/>
      <c r="E1034" s="1907"/>
      <c r="F1034" s="1907"/>
      <c r="G1034" s="788"/>
    </row>
    <row r="1035" spans="1:9">
      <c r="A1035" s="788"/>
      <c r="B1035" s="788"/>
      <c r="C1035" s="788"/>
      <c r="D1035" s="1907"/>
      <c r="E1035" s="1907"/>
      <c r="F1035" s="1907"/>
      <c r="G1035" s="788"/>
    </row>
    <row r="1036" spans="1:9">
      <c r="A1036" s="788"/>
      <c r="B1036" s="788"/>
      <c r="C1036" s="788"/>
      <c r="D1036" s="1907"/>
      <c r="E1036" s="1907"/>
      <c r="F1036" s="1907"/>
      <c r="G1036" s="788"/>
    </row>
    <row r="1037" spans="1:9">
      <c r="A1037" s="788"/>
      <c r="B1037" s="788"/>
      <c r="C1037" s="788"/>
      <c r="D1037" s="788"/>
      <c r="E1037" s="788"/>
      <c r="F1037" s="788"/>
      <c r="G1037" s="788"/>
    </row>
    <row r="1038" spans="1:9">
      <c r="A1038" s="788"/>
      <c r="B1038" s="1675"/>
      <c r="C1038" s="788"/>
      <c r="D1038" s="1677" t="s">
        <v>1576</v>
      </c>
      <c r="E1038" s="788"/>
      <c r="F1038" s="788"/>
      <c r="G1038" s="788"/>
    </row>
    <row r="1039" spans="1:9">
      <c r="A1039" s="788"/>
      <c r="B1039" s="788"/>
      <c r="C1039" s="788"/>
      <c r="D1039" s="1675" t="s">
        <v>2257</v>
      </c>
      <c r="E1039" s="788"/>
      <c r="F1039" s="788"/>
      <c r="G1039" s="788"/>
    </row>
    <row r="1040" spans="1:9">
      <c r="A1040" s="788"/>
      <c r="B1040" s="788"/>
      <c r="C1040" s="788"/>
      <c r="D1040" s="788"/>
      <c r="E1040" s="788"/>
      <c r="F1040" s="788"/>
      <c r="G1040" s="788"/>
    </row>
    <row r="1041" spans="1:9">
      <c r="A1041" s="788"/>
      <c r="B1041" s="1678" t="s">
        <v>2637</v>
      </c>
      <c r="C1041" s="788"/>
      <c r="D1041" s="1675" t="s">
        <v>2252</v>
      </c>
      <c r="E1041" s="788"/>
      <c r="F1041" s="788"/>
      <c r="G1041" s="788"/>
      <c r="I1041" s="1677" t="s">
        <v>2376</v>
      </c>
    </row>
    <row r="1042" spans="1:9">
      <c r="A1042" s="788"/>
      <c r="B1042" s="788"/>
      <c r="C1042" s="788"/>
      <c r="D1042" s="788"/>
      <c r="E1042" s="788"/>
      <c r="F1042" s="788"/>
      <c r="G1042" s="788"/>
    </row>
    <row r="1043" spans="1:9">
      <c r="A1043" s="788"/>
      <c r="B1043" s="1678" t="s">
        <v>2637</v>
      </c>
      <c r="C1043" s="788"/>
      <c r="D1043" s="1907" t="s">
        <v>2258</v>
      </c>
      <c r="E1043" s="1907"/>
      <c r="F1043" s="1907"/>
      <c r="G1043" s="788"/>
      <c r="I1043" s="1677" t="s">
        <v>2377</v>
      </c>
    </row>
    <row r="1044" spans="1:9">
      <c r="A1044" s="788"/>
      <c r="B1044" s="788"/>
      <c r="C1044" s="788"/>
      <c r="D1044" s="1907"/>
      <c r="E1044" s="1907"/>
      <c r="F1044" s="1907"/>
      <c r="G1044" s="788"/>
    </row>
    <row r="1045" spans="1:9">
      <c r="A1045" s="788"/>
      <c r="B1045" s="788"/>
      <c r="C1045" s="788"/>
      <c r="D1045" s="1907"/>
      <c r="E1045" s="1907"/>
      <c r="F1045" s="1907"/>
      <c r="G1045" s="788"/>
    </row>
    <row r="1046" spans="1:9">
      <c r="A1046" s="788"/>
      <c r="B1046" s="788"/>
      <c r="C1046" s="788"/>
      <c r="D1046" s="1907"/>
      <c r="E1046" s="1907"/>
      <c r="F1046" s="1907"/>
      <c r="G1046" s="788"/>
    </row>
    <row r="1047" spans="1:9">
      <c r="A1047" s="788"/>
      <c r="B1047" s="788"/>
      <c r="C1047" s="788"/>
      <c r="D1047" s="1907"/>
      <c r="E1047" s="1907"/>
      <c r="F1047" s="1907"/>
      <c r="G1047" s="788"/>
    </row>
    <row r="1048" spans="1:9">
      <c r="A1048" s="788"/>
      <c r="B1048" s="788"/>
      <c r="C1048" s="788"/>
      <c r="D1048" s="788"/>
      <c r="E1048" s="788"/>
      <c r="F1048" s="788"/>
      <c r="G1048" s="788"/>
    </row>
    <row r="1049" spans="1:9">
      <c r="A1049" s="1904" t="s">
        <v>2259</v>
      </c>
      <c r="B1049" s="1904"/>
      <c r="C1049" s="1904"/>
      <c r="D1049" s="1904"/>
      <c r="E1049" s="1904"/>
      <c r="F1049" s="1904"/>
      <c r="G1049" s="1904"/>
      <c r="H1049" s="1752"/>
      <c r="I1049" s="1753"/>
    </row>
    <row r="1050" spans="1:9">
      <c r="A1050" s="788"/>
      <c r="B1050" s="788"/>
      <c r="C1050" s="788"/>
      <c r="D1050" s="788"/>
      <c r="E1050" s="788"/>
      <c r="F1050" s="788"/>
      <c r="G1050" s="788"/>
    </row>
    <row r="1051" spans="1:9">
      <c r="A1051" s="788"/>
      <c r="B1051" s="788"/>
      <c r="C1051" s="788"/>
      <c r="D1051" s="788"/>
      <c r="E1051" s="788"/>
      <c r="F1051" s="788"/>
      <c r="G1051" s="788"/>
    </row>
    <row r="1052" spans="1:9">
      <c r="A1052" s="788"/>
      <c r="B1052" s="1678" t="s">
        <v>2637</v>
      </c>
      <c r="C1052" s="788"/>
      <c r="D1052" s="1670" t="s">
        <v>2262</v>
      </c>
      <c r="E1052" s="1674"/>
      <c r="F1052" s="788"/>
      <c r="G1052" s="788"/>
      <c r="I1052" s="1677" t="s">
        <v>2378</v>
      </c>
    </row>
    <row r="1053" spans="1:9">
      <c r="A1053" s="788"/>
      <c r="B1053" s="788"/>
      <c r="C1053" s="788"/>
      <c r="D1053" s="1670" t="s">
        <v>2264</v>
      </c>
      <c r="E1053" s="1674"/>
      <c r="F1053" s="788"/>
      <c r="G1053" s="788"/>
    </row>
    <row r="1054" spans="1:9" s="1675" customFormat="1">
      <c r="D1054" s="1670"/>
      <c r="E1054" s="1674"/>
      <c r="I1054" s="1677"/>
    </row>
    <row r="1055" spans="1:9">
      <c r="A1055" s="788"/>
      <c r="B1055" s="1678" t="s">
        <v>2638</v>
      </c>
      <c r="C1055" s="788"/>
      <c r="D1055" s="1670" t="s">
        <v>2265</v>
      </c>
      <c r="E1055" s="1674"/>
      <c r="F1055" s="788"/>
      <c r="G1055" s="788"/>
      <c r="I1055" s="1677" t="s">
        <v>2379</v>
      </c>
    </row>
    <row r="1056" spans="1:9" s="1675" customFormat="1">
      <c r="D1056" s="1670" t="s">
        <v>2263</v>
      </c>
      <c r="E1056" s="1674"/>
      <c r="I1056" s="1677"/>
    </row>
    <row r="1057" spans="1:9" s="1675" customFormat="1">
      <c r="D1057" s="1670"/>
      <c r="E1057" s="1674"/>
      <c r="I1057" s="1677"/>
    </row>
    <row r="1058" spans="1:9">
      <c r="A1058" s="788"/>
      <c r="B1058" s="1678" t="s">
        <v>2638</v>
      </c>
      <c r="C1058" s="788"/>
      <c r="D1058" s="1669" t="s">
        <v>2268</v>
      </c>
      <c r="E1058" s="1674"/>
      <c r="F1058" s="788"/>
      <c r="G1058" s="788"/>
      <c r="I1058" s="1677" t="s">
        <v>2380</v>
      </c>
    </row>
    <row r="1059" spans="1:9" s="1675" customFormat="1">
      <c r="D1059" s="1908" t="s">
        <v>2269</v>
      </c>
      <c r="E1059" s="1908"/>
      <c r="F1059" s="1908"/>
      <c r="I1059" s="1677"/>
    </row>
    <row r="1060" spans="1:9" s="1675" customFormat="1">
      <c r="D1060" s="1908"/>
      <c r="E1060" s="1908"/>
      <c r="F1060" s="1908"/>
      <c r="I1060" s="1677"/>
    </row>
    <row r="1061" spans="1:9" s="1675" customFormat="1">
      <c r="D1061" s="1908"/>
      <c r="E1061" s="1908"/>
      <c r="F1061" s="1908"/>
      <c r="I1061" s="1677"/>
    </row>
    <row r="1062" spans="1:9" s="1675" customFormat="1">
      <c r="D1062" s="1908"/>
      <c r="E1062" s="1908"/>
      <c r="F1062" s="1908"/>
      <c r="I1062" s="1677"/>
    </row>
    <row r="1063" spans="1:9" s="1675" customFormat="1">
      <c r="D1063" s="1669" t="s">
        <v>2267</v>
      </c>
      <c r="E1063" s="1674"/>
      <c r="I1063" s="1677"/>
    </row>
    <row r="1064" spans="1:9" s="1675" customFormat="1">
      <c r="D1064" s="1669"/>
      <c r="E1064" s="1674"/>
      <c r="I1064" s="1677"/>
    </row>
    <row r="1065" spans="1:9">
      <c r="A1065" s="788"/>
      <c r="B1065" s="788"/>
      <c r="C1065" s="788"/>
      <c r="D1065" s="1670" t="s">
        <v>2260</v>
      </c>
      <c r="E1065" s="1674"/>
      <c r="F1065" s="788"/>
      <c r="G1065" s="788"/>
      <c r="I1065" s="1677" t="s">
        <v>2381</v>
      </c>
    </row>
    <row r="1066" spans="1:9">
      <c r="A1066" s="788"/>
      <c r="B1066" s="1678" t="s">
        <v>2638</v>
      </c>
      <c r="C1066" s="788"/>
      <c r="D1066" s="1903" t="s">
        <v>2261</v>
      </c>
      <c r="E1066" s="1903"/>
      <c r="F1066" s="1903"/>
      <c r="G1066" s="788"/>
    </row>
    <row r="1067" spans="1:9" s="1675" customFormat="1">
      <c r="D1067" s="1903"/>
      <c r="E1067" s="1903"/>
      <c r="F1067" s="1903"/>
      <c r="I1067" s="1677"/>
    </row>
    <row r="1068" spans="1:9" s="1675" customFormat="1">
      <c r="D1068" s="1903"/>
      <c r="E1068" s="1903"/>
      <c r="F1068" s="1903"/>
      <c r="I1068" s="1677"/>
    </row>
    <row r="1069" spans="1:9" s="1675" customFormat="1">
      <c r="D1069" s="1903"/>
      <c r="E1069" s="1903"/>
      <c r="F1069" s="1903"/>
      <c r="I1069" s="1677"/>
    </row>
    <row r="1070" spans="1:9">
      <c r="A1070" s="788"/>
      <c r="B1070" s="788"/>
      <c r="C1070" s="788"/>
      <c r="D1070" s="1903"/>
      <c r="E1070" s="1903"/>
      <c r="F1070" s="1903"/>
      <c r="G1070" s="788"/>
    </row>
    <row r="1071" spans="1:9">
      <c r="A1071" s="788"/>
      <c r="B1071" s="788"/>
      <c r="C1071" s="788"/>
      <c r="D1071" s="1670" t="s">
        <v>2266</v>
      </c>
      <c r="E1071" s="788"/>
      <c r="F1071" s="788"/>
      <c r="G1071" s="788"/>
    </row>
    <row r="1072" spans="1:9">
      <c r="A1072" s="788"/>
      <c r="B1072" s="788"/>
      <c r="C1072" s="788"/>
      <c r="D1072" s="788"/>
      <c r="E1072" s="788"/>
      <c r="F1072" s="788"/>
      <c r="G1072" s="788"/>
    </row>
    <row r="1073" spans="1:9">
      <c r="A1073" s="1904" t="s">
        <v>2271</v>
      </c>
      <c r="B1073" s="1904"/>
      <c r="C1073" s="1904"/>
      <c r="D1073" s="1904"/>
      <c r="E1073" s="1904"/>
      <c r="F1073" s="1904"/>
      <c r="G1073" s="1904"/>
      <c r="H1073" s="1752"/>
      <c r="I1073" s="1753"/>
    </row>
    <row r="1074" spans="1:9">
      <c r="A1074" s="788"/>
      <c r="B1074" s="788"/>
      <c r="C1074" s="788"/>
      <c r="D1074" s="788"/>
      <c r="E1074" s="788"/>
      <c r="F1074" s="788"/>
      <c r="G1074" s="788"/>
    </row>
    <row r="1075" spans="1:9">
      <c r="A1075" s="788"/>
      <c r="B1075" s="788"/>
      <c r="C1075" s="788"/>
      <c r="D1075" s="788"/>
      <c r="E1075" s="788"/>
      <c r="F1075" s="788"/>
      <c r="G1075" s="788"/>
    </row>
    <row r="1076" spans="1:9">
      <c r="A1076" s="788"/>
      <c r="B1076" s="1678" t="s">
        <v>2638</v>
      </c>
      <c r="C1076" s="788"/>
      <c r="D1076" s="1903" t="s">
        <v>2272</v>
      </c>
      <c r="E1076" s="1903"/>
      <c r="F1076" s="1903"/>
      <c r="G1076" s="788"/>
      <c r="I1076" s="1677" t="s">
        <v>2382</v>
      </c>
    </row>
    <row r="1077" spans="1:9" s="1675" customFormat="1">
      <c r="D1077" s="1903"/>
      <c r="E1077" s="1903"/>
      <c r="F1077" s="1903"/>
      <c r="I1077" s="1677"/>
    </row>
    <row r="1078" spans="1:9" s="1675" customFormat="1">
      <c r="D1078" s="1903"/>
      <c r="E1078" s="1903"/>
      <c r="F1078" s="1903"/>
      <c r="I1078" s="1677"/>
    </row>
    <row r="1079" spans="1:9" s="1675" customFormat="1">
      <c r="D1079" s="1670"/>
      <c r="I1079" s="1677"/>
    </row>
    <row r="1080" spans="1:9">
      <c r="A1080" s="788"/>
      <c r="B1080" s="1678" t="s">
        <v>2638</v>
      </c>
      <c r="C1080" s="788"/>
      <c r="D1080" s="1903" t="s">
        <v>2273</v>
      </c>
      <c r="E1080" s="1903"/>
      <c r="F1080" s="1903"/>
      <c r="G1080" s="788"/>
      <c r="I1080" s="1677" t="s">
        <v>2383</v>
      </c>
    </row>
    <row r="1081" spans="1:9" s="1675" customFormat="1">
      <c r="D1081" s="1903"/>
      <c r="E1081" s="1903"/>
      <c r="F1081" s="1903"/>
      <c r="I1081" s="1677"/>
    </row>
    <row r="1082" spans="1:9" s="1675" customFormat="1">
      <c r="D1082" s="1670"/>
      <c r="I1082" s="1677"/>
    </row>
    <row r="1083" spans="1:9">
      <c r="A1083" s="788"/>
      <c r="B1083" s="1678" t="s">
        <v>2638</v>
      </c>
      <c r="C1083" s="788"/>
      <c r="D1083" s="1903" t="s">
        <v>2430</v>
      </c>
      <c r="E1083" s="1903"/>
      <c r="F1083" s="1903"/>
      <c r="G1083" s="788"/>
      <c r="I1083" s="1677" t="s">
        <v>2428</v>
      </c>
    </row>
    <row r="1084" spans="1:9" s="1675" customFormat="1">
      <c r="D1084" s="1903"/>
      <c r="E1084" s="1903"/>
      <c r="F1084" s="1903"/>
      <c r="I1084" s="1677"/>
    </row>
    <row r="1085" spans="1:9" s="1675" customFormat="1">
      <c r="D1085" s="1903"/>
      <c r="E1085" s="1903"/>
      <c r="F1085" s="1903"/>
      <c r="I1085" s="1677"/>
    </row>
    <row r="1086" spans="1:9" s="1675" customFormat="1">
      <c r="D1086" s="1903"/>
      <c r="E1086" s="1903"/>
      <c r="F1086" s="1903"/>
      <c r="I1086" s="1677"/>
    </row>
    <row r="1087" spans="1:9" s="1675" customFormat="1">
      <c r="D1087" s="1903"/>
      <c r="E1087" s="1903"/>
      <c r="F1087" s="1903"/>
      <c r="I1087" s="1677"/>
    </row>
    <row r="1088" spans="1:9" s="1675" customFormat="1">
      <c r="D1088" s="1903"/>
      <c r="E1088" s="1903"/>
      <c r="F1088" s="1903"/>
      <c r="I1088" s="1677"/>
    </row>
    <row r="1089" spans="1:9" s="1676" customFormat="1" ht="12.5">
      <c r="B1089" s="1675"/>
      <c r="D1089" s="1670" t="s">
        <v>2429</v>
      </c>
    </row>
    <row r="1090" spans="1:9">
      <c r="A1090" s="788"/>
      <c r="B1090" s="1678" t="s">
        <v>2638</v>
      </c>
      <c r="C1090" s="788"/>
      <c r="D1090" s="1903" t="s">
        <v>2274</v>
      </c>
      <c r="E1090" s="1903"/>
      <c r="F1090" s="1903"/>
      <c r="G1090" s="788"/>
      <c r="I1090" s="1736" t="s">
        <v>2384</v>
      </c>
    </row>
    <row r="1091" spans="1:9" s="1675" customFormat="1">
      <c r="D1091" s="1903"/>
      <c r="E1091" s="1903"/>
      <c r="F1091" s="1903"/>
      <c r="I1091" s="1677"/>
    </row>
    <row r="1092" spans="1:9" s="1675" customFormat="1">
      <c r="D1092" s="1903"/>
      <c r="E1092" s="1903"/>
      <c r="F1092" s="1903"/>
      <c r="I1092" s="1677"/>
    </row>
    <row r="1093" spans="1:9" s="1675" customFormat="1">
      <c r="D1093" s="1670"/>
      <c r="I1093" s="1677"/>
    </row>
    <row r="1094" spans="1:9">
      <c r="A1094" s="788"/>
      <c r="B1094" s="1678" t="s">
        <v>2637</v>
      </c>
      <c r="C1094" s="788"/>
      <c r="D1094" s="1905" t="s">
        <v>2431</v>
      </c>
      <c r="E1094" s="1905"/>
      <c r="F1094" s="1905"/>
      <c r="G1094" s="788"/>
      <c r="I1094" s="1677" t="s">
        <v>2385</v>
      </c>
    </row>
    <row r="1095" spans="1:9">
      <c r="A1095" s="788"/>
      <c r="B1095" s="788"/>
      <c r="C1095" s="788"/>
      <c r="D1095" s="1905"/>
      <c r="E1095" s="1905"/>
      <c r="F1095" s="1905"/>
      <c r="G1095" s="788"/>
    </row>
    <row r="1096" spans="1:9">
      <c r="A1096" s="788"/>
      <c r="B1096" s="788"/>
      <c r="C1096" s="788"/>
      <c r="D1096" s="1905"/>
      <c r="E1096" s="1905"/>
      <c r="F1096" s="1905"/>
      <c r="G1096" s="788"/>
    </row>
    <row r="1097" spans="1:9" s="1675" customFormat="1">
      <c r="D1097" s="1748"/>
      <c r="E1097" s="1748"/>
      <c r="F1097" s="1748"/>
      <c r="I1097" s="1677"/>
    </row>
    <row r="1098" spans="1:9" s="1675" customFormat="1" ht="15.75" customHeight="1">
      <c r="B1098" s="1678" t="s">
        <v>2637</v>
      </c>
      <c r="D1098" s="1816" t="s">
        <v>2433</v>
      </c>
      <c r="E1098" s="1816"/>
      <c r="F1098" s="1816"/>
      <c r="I1098" s="1677" t="s">
        <v>2432</v>
      </c>
    </row>
    <row r="1099" spans="1:9" s="1675" customFormat="1">
      <c r="D1099" s="1816"/>
      <c r="E1099" s="1816"/>
      <c r="F1099" s="1816"/>
      <c r="I1099" s="1677"/>
    </row>
    <row r="1100" spans="1:9" s="1675" customFormat="1">
      <c r="D1100" s="1816"/>
      <c r="E1100" s="1816"/>
      <c r="F1100" s="1816"/>
      <c r="I1100" s="1677"/>
    </row>
    <row r="1101" spans="1:9" s="1675" customFormat="1">
      <c r="D1101" s="1816"/>
      <c r="E1101" s="1816"/>
      <c r="F1101" s="1816"/>
      <c r="I1101" s="1677"/>
    </row>
    <row r="1102" spans="1:9" s="1675" customFormat="1">
      <c r="D1102" s="1748"/>
      <c r="E1102" s="1748"/>
      <c r="F1102" s="1748"/>
      <c r="I1102" s="1677"/>
    </row>
    <row r="1103" spans="1:9" ht="37.5">
      <c r="A1103" s="788"/>
      <c r="B1103" s="788"/>
      <c r="C1103" s="788"/>
      <c r="D1103" s="788"/>
      <c r="E1103" s="788"/>
      <c r="F1103" s="788"/>
      <c r="G1103" s="788"/>
      <c r="I1103" s="1743" t="s">
        <v>2434</v>
      </c>
    </row>
    <row r="1104" spans="1:9">
      <c r="A1104" s="788"/>
      <c r="B1104" s="788"/>
      <c r="C1104" s="788"/>
      <c r="D1104" s="788"/>
      <c r="E1104" s="788"/>
      <c r="F1104" s="788"/>
      <c r="G1104" s="788"/>
    </row>
    <row r="1105" spans="1:7">
      <c r="A1105" s="788"/>
      <c r="B1105" s="788"/>
      <c r="C1105" s="788"/>
      <c r="D1105" s="788"/>
      <c r="E1105" s="788"/>
      <c r="F1105" s="788"/>
      <c r="G1105" s="788"/>
    </row>
    <row r="1106" spans="1:7">
      <c r="A1106" s="788"/>
      <c r="B1106" s="788"/>
      <c r="C1106" s="788"/>
      <c r="D1106" s="788"/>
      <c r="E1106" s="788"/>
      <c r="F1106" s="788"/>
      <c r="G1106" s="788"/>
    </row>
    <row r="1107" spans="1:7">
      <c r="A1107" s="788"/>
      <c r="B1107" s="788"/>
      <c r="C1107" s="788"/>
      <c r="D1107" s="788"/>
      <c r="E1107" s="788"/>
      <c r="F1107" s="788"/>
      <c r="G1107" s="788"/>
    </row>
    <row r="1108" spans="1:7">
      <c r="A1108" s="788"/>
      <c r="B1108" s="788"/>
      <c r="C1108" s="788"/>
      <c r="D1108" s="788"/>
      <c r="E1108" s="788"/>
      <c r="F1108" s="788"/>
      <c r="G1108" s="788"/>
    </row>
    <row r="1109" spans="1:7">
      <c r="A1109" s="788"/>
      <c r="B1109" s="788"/>
      <c r="C1109" s="788"/>
      <c r="D1109" s="788"/>
      <c r="E1109" s="788"/>
      <c r="F1109" s="788"/>
      <c r="G1109" s="788"/>
    </row>
    <row r="1110" spans="1:7">
      <c r="A1110" s="788"/>
      <c r="B1110" s="788"/>
      <c r="C1110" s="788"/>
      <c r="D1110" s="788"/>
      <c r="E1110" s="788"/>
      <c r="F1110" s="788"/>
      <c r="G1110" s="788"/>
    </row>
    <row r="1111" spans="1:7">
      <c r="A1111" s="788"/>
      <c r="B1111" s="788"/>
      <c r="C1111" s="788"/>
      <c r="D1111" s="788"/>
      <c r="E1111" s="788"/>
      <c r="F1111" s="788"/>
      <c r="G1111" s="788"/>
    </row>
    <row r="1112" spans="1:7">
      <c r="A1112" s="788"/>
      <c r="B1112" s="788"/>
      <c r="C1112" s="788"/>
      <c r="D1112" s="788"/>
      <c r="E1112" s="788"/>
      <c r="F1112" s="788"/>
      <c r="G1112" s="788"/>
    </row>
    <row r="1113" spans="1:7">
      <c r="A1113" s="788"/>
      <c r="B1113" s="788"/>
      <c r="C1113" s="788"/>
      <c r="D1113" s="788"/>
      <c r="E1113" s="788"/>
      <c r="F1113" s="788"/>
      <c r="G1113" s="788"/>
    </row>
    <row r="1114" spans="1:7">
      <c r="A1114" s="788"/>
      <c r="B1114" s="788"/>
      <c r="C1114" s="788"/>
      <c r="D1114" s="788"/>
      <c r="E1114" s="788"/>
      <c r="F1114" s="788"/>
      <c r="G1114" s="788"/>
    </row>
    <row r="1115" spans="1:7">
      <c r="A1115" s="788"/>
      <c r="B1115" s="788"/>
      <c r="C1115" s="788"/>
      <c r="D1115" s="788"/>
      <c r="E1115" s="788"/>
      <c r="F1115" s="788"/>
      <c r="G1115" s="788"/>
    </row>
    <row r="1116" spans="1:7">
      <c r="A1116" s="788"/>
      <c r="B1116" s="788"/>
      <c r="C1116" s="788"/>
      <c r="D1116" s="788"/>
      <c r="E1116" s="788"/>
      <c r="F1116" s="788"/>
      <c r="G1116" s="788"/>
    </row>
    <row r="1117" spans="1:7">
      <c r="A1117" s="788"/>
      <c r="B1117" s="788"/>
      <c r="C1117" s="788"/>
      <c r="D1117" s="788"/>
      <c r="E1117" s="788"/>
      <c r="F1117" s="788"/>
      <c r="G1117" s="788"/>
    </row>
    <row r="1118" spans="1:7">
      <c r="A1118" s="788"/>
      <c r="B1118" s="788"/>
      <c r="C1118" s="788"/>
      <c r="D1118" s="788"/>
      <c r="E1118" s="788"/>
      <c r="F1118" s="788"/>
      <c r="G1118" s="788"/>
    </row>
    <row r="1119" spans="1:7">
      <c r="A1119" s="788"/>
      <c r="B1119" s="788"/>
      <c r="C1119" s="788"/>
      <c r="D1119" s="788"/>
      <c r="E1119" s="788"/>
      <c r="F1119" s="788"/>
      <c r="G1119" s="788"/>
    </row>
    <row r="1120" spans="1:7">
      <c r="A1120" s="788"/>
      <c r="B1120" s="788"/>
      <c r="C1120" s="788"/>
      <c r="D1120" s="788"/>
      <c r="E1120" s="788"/>
      <c r="F1120" s="788"/>
      <c r="G1120" s="788"/>
    </row>
    <row r="1121" spans="1:7"/>
    <row r="1122" spans="1:7"/>
    <row r="1123" spans="1:7"/>
    <row r="1124" spans="1:7"/>
    <row r="1125" spans="1:7"/>
    <row r="1126" spans="1:7"/>
    <row r="1127" spans="1:7"/>
    <row r="1128" spans="1:7">
      <c r="A1128" s="788"/>
      <c r="B1128" s="788"/>
      <c r="C1128" s="788"/>
      <c r="D1128" s="788"/>
      <c r="E1128" s="788"/>
      <c r="F1128" s="788"/>
      <c r="G1128" s="788"/>
    </row>
    <row r="1129" spans="1:7">
      <c r="A1129" s="788"/>
      <c r="B1129" s="788"/>
      <c r="C1129" s="788"/>
      <c r="D1129" s="788"/>
      <c r="E1129" s="788"/>
      <c r="F1129" s="788"/>
      <c r="G1129" s="788"/>
    </row>
    <row r="1130" spans="1:7">
      <c r="A1130" s="788"/>
      <c r="B1130" s="788"/>
      <c r="C1130" s="788"/>
      <c r="D1130" s="788"/>
      <c r="E1130" s="788"/>
      <c r="F1130" s="788"/>
      <c r="G1130" s="788"/>
    </row>
    <row r="1131" spans="1:7">
      <c r="A1131" s="788"/>
      <c r="B1131" s="788"/>
      <c r="C1131" s="788"/>
      <c r="D1131" s="788"/>
      <c r="E1131" s="788"/>
      <c r="F1131" s="788"/>
      <c r="G1131" s="788"/>
    </row>
    <row r="1132" spans="1:7">
      <c r="A1132" s="788"/>
      <c r="B1132" s="788"/>
      <c r="C1132" s="788"/>
      <c r="D1132" s="788"/>
      <c r="E1132" s="788"/>
      <c r="F1132" s="788"/>
      <c r="G1132" s="788"/>
    </row>
    <row r="1133" spans="1:7">
      <c r="A1133" s="788"/>
      <c r="B1133" s="788"/>
      <c r="C1133" s="788"/>
      <c r="D1133" s="788"/>
      <c r="E1133" s="788"/>
      <c r="F1133" s="788"/>
      <c r="G1133" s="788"/>
    </row>
    <row r="1134" spans="1:7">
      <c r="A1134" s="788"/>
      <c r="B1134" s="788"/>
      <c r="C1134" s="788"/>
      <c r="D1134" s="788"/>
      <c r="E1134" s="788"/>
      <c r="F1134" s="788"/>
      <c r="G1134" s="788"/>
    </row>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row r="1369" spans="1:7"/>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c r="A1375" s="788"/>
      <c r="B1375" s="788"/>
      <c r="C1375" s="788"/>
      <c r="D1375" s="788"/>
      <c r="E1375" s="788"/>
      <c r="F1375" s="788"/>
      <c r="G1375" s="788"/>
    </row>
    <row r="1376" spans="1:7">
      <c r="A1376" s="788"/>
      <c r="B1376" s="788"/>
      <c r="C1376" s="788"/>
      <c r="D1376" s="788"/>
      <c r="E1376" s="788"/>
      <c r="F1376" s="788"/>
      <c r="G1376" s="788"/>
    </row>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9">
      <c r="A1505" s="788"/>
      <c r="B1505" s="788"/>
      <c r="C1505" s="788"/>
      <c r="D1505" s="788"/>
      <c r="E1505" s="788"/>
      <c r="F1505" s="788"/>
      <c r="G1505" s="788"/>
    </row>
    <row r="1506" spans="1:9">
      <c r="A1506" s="788"/>
      <c r="B1506" s="788"/>
      <c r="C1506" s="788"/>
      <c r="D1506" s="788"/>
      <c r="E1506" s="788"/>
      <c r="F1506" s="788"/>
      <c r="G1506" s="788"/>
    </row>
    <row r="1507" spans="1:9">
      <c r="A1507" s="788"/>
      <c r="B1507" s="788"/>
      <c r="C1507" s="788"/>
      <c r="D1507" s="788"/>
      <c r="E1507" s="788"/>
      <c r="F1507" s="788"/>
      <c r="G1507" s="788"/>
    </row>
    <row r="1508" spans="1:9">
      <c r="A1508" s="788"/>
      <c r="B1508" s="788"/>
      <c r="C1508" s="788"/>
      <c r="D1508" s="788"/>
      <c r="E1508" s="788"/>
      <c r="F1508" s="788"/>
      <c r="G1508" s="788"/>
    </row>
    <row r="1509" spans="1:9">
      <c r="A1509" s="788"/>
      <c r="B1509" s="788"/>
      <c r="C1509" s="788"/>
      <c r="D1509" s="788"/>
      <c r="E1509" s="788"/>
      <c r="F1509" s="788"/>
      <c r="G1509" s="788"/>
    </row>
    <row r="1510" spans="1:9">
      <c r="A1510" s="788"/>
      <c r="B1510" s="788"/>
      <c r="C1510" s="788"/>
      <c r="D1510" s="788"/>
      <c r="E1510" s="788"/>
      <c r="F1510" s="788"/>
      <c r="G1510" s="788"/>
    </row>
    <row r="1511" spans="1:9">
      <c r="A1511" s="788"/>
      <c r="B1511" s="788"/>
      <c r="C1511" s="788"/>
      <c r="D1511" s="788"/>
      <c r="E1511" s="788"/>
      <c r="F1511" s="788"/>
      <c r="G1511" s="788"/>
    </row>
    <row r="1512" spans="1:9">
      <c r="A1512" s="788"/>
      <c r="B1512" s="788"/>
      <c r="C1512" s="788"/>
      <c r="D1512" s="788"/>
      <c r="E1512" s="788"/>
      <c r="F1512" s="788"/>
      <c r="G1512" s="788"/>
    </row>
    <row r="1513" spans="1:9"/>
    <row r="1514" spans="1:9"/>
    <row r="1515" spans="1:9"/>
    <row r="1516" spans="1:9">
      <c r="G1516" s="1852"/>
      <c r="H1516" s="1852"/>
      <c r="I1516" s="1852"/>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oJtdVLCtjUzeqYBdY2Fg6T+5WBmvBA2fbrcWKUKRmHCzfjto6D2JbEy4xBtTScBkCyvNHm4ToCE/BKlrOg5Q9A==" saltValue="Z7bGZqPjeSPhv8UbyZ7a8g=="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087"/>
  <sheetViews>
    <sheetView showGridLines="0" showZeros="0" tabSelected="1" topLeftCell="A319" zoomScale="120" zoomScaleNormal="120" zoomScaleSheetLayoutView="80" workbookViewId="0">
      <selection activeCell="AL338" sqref="AL338"/>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51" width="3.453125" style="39" hidden="1"/>
    <col min="52" max="76" width="3.453125" style="12" hidden="1"/>
    <col min="77" max="95" width="0" style="12" hidden="1"/>
    <col min="96" max="96" width="0" style="25" hidden="1"/>
    <col min="97" max="16383" width="0" style="12" hidden="1"/>
    <col min="16384" max="16384" width="3.4531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6">
        <v>4</v>
      </c>
      <c r="AT1" s="679"/>
      <c r="AU1" s="679"/>
      <c r="AV1" s="679"/>
      <c r="AW1" s="679"/>
      <c r="AX1" s="679"/>
      <c r="AY1" s="679"/>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5"/>
    <row r="8" spans="1:96" ht="17.5">
      <c r="A8" s="2233" t="s">
        <v>105</v>
      </c>
      <c r="B8" s="2233"/>
      <c r="C8" s="2233"/>
      <c r="D8" s="2233"/>
      <c r="E8" s="2233"/>
      <c r="F8" s="2233"/>
      <c r="G8" s="2233"/>
      <c r="H8" s="2233"/>
      <c r="I8" s="2233"/>
      <c r="J8" s="2233"/>
      <c r="K8" s="2233"/>
      <c r="L8" s="2233"/>
      <c r="M8" s="2233"/>
      <c r="N8" s="2233"/>
      <c r="O8" s="2233"/>
      <c r="P8" s="2233"/>
      <c r="Q8" s="2233"/>
      <c r="R8" s="2233"/>
      <c r="S8" s="2233"/>
      <c r="T8" s="2233"/>
      <c r="U8" s="2233"/>
      <c r="V8" s="2233"/>
      <c r="W8" s="2233"/>
      <c r="X8" s="2233"/>
      <c r="Y8" s="2233"/>
      <c r="Z8" s="2233"/>
      <c r="AA8" s="2233"/>
      <c r="AB8" s="2233"/>
      <c r="AC8" s="2233"/>
      <c r="AD8" s="2233"/>
      <c r="AE8" s="2233"/>
      <c r="AF8" s="2233"/>
      <c r="AG8" s="2233"/>
      <c r="AH8" s="2233"/>
      <c r="AI8" s="2233"/>
      <c r="AJ8" s="2233"/>
      <c r="AK8" s="2233"/>
      <c r="AL8" s="2233"/>
      <c r="AM8" s="1476"/>
      <c r="AN8" s="1476"/>
      <c r="AO8" s="1476"/>
      <c r="AP8" s="1476"/>
      <c r="AQ8" s="1476"/>
      <c r="AR8" s="1476"/>
      <c r="AS8" s="1476"/>
      <c r="AT8" s="1476"/>
      <c r="AU8" s="1476"/>
      <c r="AV8" s="1476"/>
      <c r="AW8" s="1476"/>
      <c r="AX8" s="1476"/>
      <c r="AY8" s="1476"/>
    </row>
    <row r="9" spans="1:96" s="717" customFormat="1" ht="13">
      <c r="A9" s="2426" t="s">
        <v>1943</v>
      </c>
      <c r="B9" s="2426"/>
      <c r="C9" s="2426"/>
      <c r="D9" s="2426"/>
      <c r="E9" s="2426"/>
      <c r="F9" s="2426"/>
      <c r="G9" s="2426"/>
      <c r="H9" s="2426"/>
      <c r="I9" s="2426"/>
      <c r="J9" s="2426"/>
      <c r="K9" s="2426"/>
      <c r="L9" s="2426"/>
      <c r="M9" s="2426"/>
      <c r="N9" s="2426"/>
      <c r="O9" s="2426"/>
      <c r="P9" s="2426"/>
      <c r="Q9" s="2426"/>
      <c r="R9" s="2426"/>
      <c r="S9" s="2426"/>
      <c r="T9" s="2426"/>
      <c r="U9" s="2426"/>
      <c r="V9" s="2426"/>
      <c r="W9" s="2426"/>
      <c r="X9" s="2426"/>
      <c r="Y9" s="2426"/>
      <c r="Z9" s="2426"/>
      <c r="AA9" s="2426"/>
      <c r="AB9" s="2426"/>
      <c r="AC9" s="2426"/>
      <c r="AD9" s="2426"/>
      <c r="AE9" s="2426"/>
      <c r="AF9" s="2426"/>
      <c r="AG9" s="2426"/>
      <c r="AH9" s="2426"/>
      <c r="AI9" s="2426"/>
      <c r="AJ9" s="2426"/>
      <c r="AK9" s="2426"/>
      <c r="AL9" s="2426"/>
      <c r="AM9" s="1460"/>
      <c r="AN9" s="1460"/>
      <c r="AO9" s="1460"/>
      <c r="AP9" s="1460"/>
      <c r="AQ9" s="1460"/>
      <c r="AR9" s="1460"/>
      <c r="AS9" s="1460"/>
      <c r="AT9" s="1460"/>
      <c r="AU9" s="1460"/>
      <c r="AV9" s="1460"/>
      <c r="AW9" s="1460"/>
      <c r="AX9" s="1460"/>
      <c r="AY9" s="1460"/>
      <c r="CR9" s="25"/>
    </row>
    <row r="10" spans="1:96" ht="15" customHeight="1">
      <c r="A10" s="2392" t="s">
        <v>2447</v>
      </c>
      <c r="B10" s="2392"/>
      <c r="C10" s="2392"/>
      <c r="D10" s="2392"/>
      <c r="E10" s="2392"/>
      <c r="F10" s="2392"/>
      <c r="G10" s="2392"/>
      <c r="H10" s="2392"/>
      <c r="I10" s="2392"/>
      <c r="J10" s="2392"/>
      <c r="K10" s="2392"/>
      <c r="L10" s="2392"/>
      <c r="M10" s="2392"/>
      <c r="N10" s="2392"/>
      <c r="O10" s="2392"/>
      <c r="P10" s="2392"/>
      <c r="Q10" s="2392"/>
      <c r="R10" s="2392"/>
      <c r="S10" s="2392"/>
      <c r="T10" s="2392"/>
      <c r="U10" s="2392"/>
      <c r="V10" s="2392"/>
      <c r="W10" s="2392"/>
      <c r="X10" s="2392"/>
      <c r="Y10" s="2392"/>
      <c r="Z10" s="2392"/>
      <c r="AA10" s="2392"/>
      <c r="AB10" s="2392"/>
      <c r="AC10" s="2392"/>
      <c r="AD10" s="2392"/>
      <c r="AE10" s="2392"/>
      <c r="AF10" s="2392"/>
      <c r="AG10" s="2392"/>
      <c r="AH10" s="2392"/>
      <c r="AI10" s="2392"/>
      <c r="AJ10" s="2392"/>
      <c r="AK10" s="2392"/>
      <c r="AL10" s="2392"/>
      <c r="AM10" s="20"/>
      <c r="AN10" s="20"/>
      <c r="AO10" s="20"/>
      <c r="AP10" s="20"/>
      <c r="AQ10" s="20"/>
      <c r="AR10" s="20"/>
      <c r="AS10" s="20"/>
      <c r="AT10" s="20"/>
      <c r="AU10" s="20"/>
      <c r="AV10" s="20"/>
      <c r="AW10" s="20"/>
      <c r="AX10" s="20"/>
      <c r="AY10" s="20"/>
    </row>
    <row r="11" spans="1:96" ht="15" customHeight="1">
      <c r="A11" s="2426" t="s">
        <v>1963</v>
      </c>
      <c r="B11" s="2426"/>
      <c r="C11" s="2426"/>
      <c r="D11" s="2426"/>
      <c r="E11" s="2426"/>
      <c r="F11" s="2426"/>
      <c r="G11" s="2426"/>
      <c r="H11" s="2426"/>
      <c r="I11" s="2426"/>
      <c r="J11" s="2426"/>
      <c r="K11" s="2426"/>
      <c r="L11" s="2426"/>
      <c r="M11" s="2426"/>
      <c r="N11" s="2426"/>
      <c r="O11" s="2426"/>
      <c r="P11" s="2426"/>
      <c r="Q11" s="2426"/>
      <c r="R11" s="2426"/>
      <c r="S11" s="2426"/>
      <c r="T11" s="2426"/>
      <c r="U11" s="2426"/>
      <c r="V11" s="2426"/>
      <c r="W11" s="2426"/>
      <c r="X11" s="2426"/>
      <c r="Y11" s="2426"/>
      <c r="Z11" s="2426"/>
      <c r="AA11" s="2426"/>
      <c r="AB11" s="2426"/>
      <c r="AC11" s="2426"/>
      <c r="AD11" s="2426"/>
      <c r="AE11" s="2426"/>
      <c r="AF11" s="2426"/>
      <c r="AG11" s="2426"/>
      <c r="AH11" s="2426"/>
      <c r="AI11" s="2426"/>
      <c r="AJ11" s="2426"/>
      <c r="AK11" s="2426"/>
      <c r="AL11" s="2426"/>
      <c r="AM11" s="1460"/>
      <c r="AN11" s="1460"/>
      <c r="AO11" s="1460"/>
      <c r="AP11" s="1460"/>
      <c r="AQ11" s="1460"/>
      <c r="AR11" s="1460"/>
      <c r="AS11" s="1460"/>
      <c r="AT11" s="1460"/>
      <c r="AU11" s="1460"/>
      <c r="AV11" s="1460"/>
      <c r="AW11" s="1460"/>
      <c r="AX11" s="1460"/>
      <c r="AY11" s="1460"/>
    </row>
    <row r="12" spans="1:96" ht="12.5">
      <c r="A12" s="2440" t="s">
        <v>2477</v>
      </c>
      <c r="B12" s="2441"/>
      <c r="C12" s="2441"/>
      <c r="D12" s="2441"/>
      <c r="E12" s="2441"/>
      <c r="F12" s="2441"/>
      <c r="G12" s="2441"/>
      <c r="H12" s="2441"/>
      <c r="I12" s="2441"/>
      <c r="J12" s="2441"/>
      <c r="K12" s="2441"/>
      <c r="L12" s="2441"/>
      <c r="M12" s="2441"/>
      <c r="N12" s="2441"/>
      <c r="O12" s="2441"/>
      <c r="P12" s="2441"/>
      <c r="Q12" s="2441"/>
      <c r="R12" s="2441"/>
      <c r="S12" s="2441"/>
      <c r="T12" s="2441"/>
      <c r="U12" s="2441"/>
      <c r="V12" s="2441"/>
      <c r="W12" s="2441"/>
      <c r="X12" s="2441"/>
      <c r="Y12" s="2441"/>
      <c r="Z12" s="2441"/>
      <c r="AA12" s="2441"/>
      <c r="AB12" s="2441"/>
      <c r="AC12" s="2441"/>
      <c r="AD12" s="2441"/>
      <c r="AE12" s="2441"/>
      <c r="AF12" s="2441"/>
      <c r="AG12" s="2441"/>
      <c r="AH12" s="2441"/>
      <c r="AI12" s="2441"/>
      <c r="AJ12" s="2441"/>
      <c r="AK12" s="2441"/>
      <c r="AL12" s="2441"/>
      <c r="AM12" s="1466"/>
      <c r="AN12" s="1466"/>
      <c r="AO12" s="1466"/>
      <c r="AP12" s="1466"/>
      <c r="AQ12" s="1466"/>
      <c r="AR12" s="1466"/>
      <c r="AS12" s="1466"/>
      <c r="AT12" s="1466"/>
      <c r="AU12" s="1466"/>
      <c r="AV12" s="1466"/>
      <c r="AW12" s="1466"/>
      <c r="AX12" s="1466"/>
      <c r="AY12" s="1466"/>
    </row>
    <row r="13" spans="1:96" ht="13">
      <c r="A13" s="1811" t="s">
        <v>1379</v>
      </c>
      <c r="B13" s="1811"/>
      <c r="C13" s="1811"/>
      <c r="D13" s="1811"/>
      <c r="E13" s="1811"/>
      <c r="F13" s="1811"/>
      <c r="G13" s="1811"/>
      <c r="H13" s="1811"/>
      <c r="I13" s="1811"/>
      <c r="J13" s="1811"/>
      <c r="K13" s="1811"/>
      <c r="L13" s="1811"/>
      <c r="M13" s="1811"/>
      <c r="N13" s="1811"/>
      <c r="O13" s="1811"/>
      <c r="P13" s="1811"/>
      <c r="Q13" s="1811"/>
      <c r="R13" s="1811"/>
      <c r="S13" s="1811"/>
      <c r="T13" s="1811"/>
      <c r="U13" s="1811"/>
      <c r="V13" s="1811"/>
      <c r="W13" s="1811"/>
      <c r="X13" s="1811"/>
      <c r="Y13" s="1811"/>
      <c r="Z13" s="1811"/>
      <c r="AA13" s="1811"/>
      <c r="AB13" s="1811"/>
      <c r="AC13" s="1811"/>
      <c r="AD13" s="1811"/>
      <c r="AE13" s="1811"/>
      <c r="AF13" s="1811"/>
      <c r="AG13" s="1811"/>
      <c r="AH13" s="1811"/>
      <c r="AI13" s="1811"/>
      <c r="AJ13" s="1811"/>
      <c r="AK13" s="1811"/>
      <c r="AL13" s="1811"/>
      <c r="AM13" s="1477"/>
      <c r="AN13" s="1477"/>
      <c r="AO13" s="1477"/>
      <c r="AP13" s="1477"/>
      <c r="AQ13" s="1477"/>
      <c r="AR13" s="1477"/>
      <c r="AS13" s="1477"/>
      <c r="AT13" s="1477"/>
      <c r="AU13" s="1477"/>
      <c r="AV13" s="1477"/>
      <c r="AW13" s="1477"/>
      <c r="AX13" s="1477"/>
      <c r="AY13" s="1477"/>
    </row>
    <row r="14" spans="1:96" ht="12.75" customHeight="1" thickBot="1">
      <c r="A14" s="1812"/>
      <c r="B14" s="1812"/>
      <c r="C14" s="1812"/>
      <c r="D14" s="1812"/>
      <c r="E14" s="1812"/>
      <c r="F14" s="1812"/>
      <c r="G14" s="1812"/>
      <c r="H14" s="1812"/>
      <c r="I14" s="1812"/>
      <c r="J14" s="1812"/>
      <c r="K14" s="1812"/>
      <c r="L14" s="1812"/>
      <c r="M14" s="1812"/>
      <c r="N14" s="1812"/>
      <c r="O14" s="1812"/>
      <c r="P14" s="1812"/>
      <c r="Q14" s="1812"/>
      <c r="R14" s="1812"/>
      <c r="S14" s="1812"/>
      <c r="T14" s="1812"/>
      <c r="U14" s="1812"/>
      <c r="V14" s="1812"/>
      <c r="W14" s="1812"/>
      <c r="X14" s="1812"/>
      <c r="Y14" s="1812"/>
      <c r="Z14" s="1812"/>
      <c r="AA14" s="1812"/>
      <c r="AB14" s="1812"/>
      <c r="AC14" s="1812"/>
      <c r="AD14" s="1812"/>
      <c r="AE14" s="1812"/>
      <c r="AF14" s="1812"/>
      <c r="AG14" s="1812"/>
      <c r="AH14" s="1812"/>
      <c r="AI14" s="1812"/>
      <c r="AJ14" s="1812"/>
      <c r="AK14" s="1812"/>
      <c r="AL14" s="1812"/>
      <c r="AM14" s="1477"/>
      <c r="AN14" s="1477"/>
      <c r="AO14" s="1477"/>
      <c r="AP14" s="1477"/>
      <c r="AQ14" s="1477"/>
      <c r="AR14" s="1477"/>
      <c r="AS14" s="1477"/>
      <c r="AT14" s="1477"/>
      <c r="AU14" s="1477"/>
      <c r="AV14" s="1477"/>
      <c r="AW14" s="1477"/>
      <c r="AX14" s="1477"/>
      <c r="AY14" s="1477"/>
    </row>
    <row r="15" spans="1:96" ht="12.75" customHeight="1" thickTop="1">
      <c r="A15" s="145"/>
      <c r="B15" s="145"/>
      <c r="C15" s="145"/>
      <c r="D15" s="145"/>
      <c r="E15" s="145"/>
      <c r="F15" s="145"/>
      <c r="G15" s="145"/>
      <c r="AC15" s="145"/>
      <c r="AD15" s="145"/>
      <c r="AE15" s="145"/>
      <c r="AF15" s="145"/>
      <c r="AG15" s="145"/>
      <c r="AH15" s="145"/>
      <c r="AI15" s="145"/>
      <c r="AJ15" s="145"/>
      <c r="AK15" s="145"/>
      <c r="AL15" s="145"/>
      <c r="AM15" s="1478"/>
      <c r="AN15" s="1478"/>
      <c r="AO15" s="1478"/>
      <c r="AP15" s="1478"/>
      <c r="AQ15" s="1478"/>
      <c r="AR15" s="1478"/>
      <c r="AS15" s="1478"/>
      <c r="AT15" s="1478"/>
      <c r="AU15" s="1478"/>
      <c r="AV15" s="1478"/>
      <c r="AW15" s="1478"/>
      <c r="AX15" s="1478"/>
      <c r="AY15" s="1478"/>
    </row>
    <row r="16" spans="1:96" ht="12.75" customHeight="1">
      <c r="A16" s="134" t="s">
        <v>1367</v>
      </c>
      <c r="C16" s="7"/>
      <c r="D16" s="7"/>
      <c r="E16" s="7"/>
      <c r="F16" s="7"/>
      <c r="G16" s="7"/>
      <c r="H16" s="2287" t="s">
        <v>2480</v>
      </c>
      <c r="I16" s="2288"/>
      <c r="J16" s="2288"/>
      <c r="K16" s="2288"/>
      <c r="L16" s="2288"/>
      <c r="M16" s="2288"/>
      <c r="N16" s="2288"/>
      <c r="O16" s="2288"/>
      <c r="P16" s="2288"/>
      <c r="Q16" s="2288"/>
      <c r="R16" s="2288"/>
      <c r="S16" s="2288"/>
      <c r="T16" s="2288"/>
      <c r="U16" s="2288"/>
      <c r="V16" s="2288"/>
      <c r="W16" s="2288"/>
      <c r="X16" s="2288"/>
      <c r="Y16" s="2288"/>
      <c r="Z16" s="2288"/>
      <c r="AA16" s="2288"/>
      <c r="AB16" s="2288"/>
      <c r="AC16" s="2288"/>
      <c r="AD16" s="2288"/>
      <c r="AE16" s="2288"/>
      <c r="AF16" s="2288"/>
      <c r="AG16" s="2288"/>
      <c r="AH16" s="2288"/>
      <c r="AI16" s="2288"/>
      <c r="AJ16" s="2288"/>
    </row>
    <row r="17" spans="1:96" ht="12.75" customHeight="1"/>
    <row r="18" spans="1:96" ht="12.75" customHeight="1">
      <c r="A18" s="134" t="s">
        <v>106</v>
      </c>
      <c r="C18" s="7"/>
      <c r="D18" s="7"/>
      <c r="E18" s="7"/>
      <c r="F18" s="7"/>
      <c r="G18" s="7"/>
      <c r="H18" s="2004" t="s">
        <v>2479</v>
      </c>
      <c r="I18" s="2282"/>
      <c r="J18" s="2282"/>
      <c r="K18" s="2282"/>
      <c r="L18" s="2282"/>
      <c r="M18" s="2282"/>
      <c r="N18" s="2282"/>
      <c r="O18" s="2282"/>
      <c r="P18" s="2282"/>
      <c r="Q18" s="2282"/>
      <c r="R18" s="2282"/>
      <c r="S18" s="2282"/>
      <c r="T18" s="2282"/>
      <c r="U18" s="2282"/>
      <c r="V18" s="2282"/>
      <c r="W18" s="2282"/>
      <c r="X18" s="2282"/>
      <c r="Y18" s="2282"/>
      <c r="Z18" s="2282"/>
      <c r="AA18" s="2282"/>
      <c r="AB18" s="2282"/>
      <c r="AC18" s="2282"/>
      <c r="AD18" s="2282"/>
      <c r="AE18" s="2282"/>
      <c r="AF18" s="2282"/>
      <c r="AG18" s="2282"/>
      <c r="AH18" s="2282"/>
      <c r="AI18" s="2282"/>
      <c r="AJ18" s="2282"/>
    </row>
    <row r="19" spans="1:96" ht="12.75" customHeight="1"/>
    <row r="20" spans="1:96" ht="14.25" customHeight="1">
      <c r="A20" s="2435" t="s">
        <v>934</v>
      </c>
      <c r="B20" s="2435"/>
      <c r="C20" s="2435"/>
      <c r="D20" s="2435"/>
      <c r="E20" s="2435"/>
      <c r="F20" s="2435"/>
      <c r="G20" s="2435"/>
      <c r="H20" s="2435"/>
      <c r="I20" s="2435"/>
      <c r="J20" s="2435"/>
      <c r="K20" s="2435"/>
      <c r="L20" s="2435"/>
      <c r="M20" s="2435"/>
      <c r="N20" s="2435"/>
      <c r="O20" s="2435"/>
      <c r="P20" s="2435"/>
      <c r="Q20" s="2435"/>
      <c r="R20" s="2435"/>
      <c r="S20" s="2435"/>
      <c r="T20" s="2435"/>
      <c r="U20" s="2435"/>
      <c r="V20" s="2435"/>
      <c r="W20" s="2435"/>
      <c r="X20" s="2435"/>
      <c r="Y20" s="2435"/>
      <c r="Z20" s="2435"/>
      <c r="AA20" s="2435"/>
      <c r="AB20" s="2435"/>
      <c r="AC20" s="2435"/>
      <c r="AD20" s="2435"/>
      <c r="AE20" s="2435"/>
      <c r="AF20" s="2435"/>
      <c r="AG20" s="2435"/>
      <c r="AH20" s="2435"/>
      <c r="AI20" s="2435"/>
      <c r="AJ20" s="2435"/>
      <c r="AK20" s="2435"/>
      <c r="AL20" s="2435"/>
      <c r="AM20" s="1479"/>
      <c r="AN20" s="1479"/>
      <c r="AO20" s="1479"/>
      <c r="AP20" s="1479"/>
      <c r="AQ20" s="1479"/>
      <c r="AR20" s="1479"/>
      <c r="AS20" s="1479"/>
      <c r="AT20" s="1479"/>
      <c r="AU20" s="1479"/>
      <c r="AV20" s="1479"/>
      <c r="AW20" s="1479"/>
      <c r="AX20" s="1479"/>
      <c r="AY20" s="1479"/>
    </row>
    <row r="21" spans="1:96" ht="12.75" customHeight="1">
      <c r="A21" s="2443" t="s">
        <v>1109</v>
      </c>
      <c r="B21" s="2443"/>
      <c r="C21" s="2443"/>
      <c r="D21" s="2443"/>
      <c r="E21" s="2443"/>
      <c r="F21" s="2443"/>
      <c r="G21" s="2443"/>
      <c r="H21" s="2443"/>
      <c r="I21" s="2443"/>
      <c r="J21" s="2443"/>
      <c r="K21" s="2443"/>
      <c r="L21" s="2443"/>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1480"/>
      <c r="AN21" s="1480"/>
      <c r="AO21" s="1480"/>
      <c r="AP21" s="1480"/>
      <c r="AQ21" s="1480"/>
      <c r="AR21" s="1480"/>
      <c r="AS21" s="1480"/>
      <c r="AT21" s="1480"/>
      <c r="AU21" s="1480"/>
      <c r="AV21" s="1480"/>
      <c r="AW21" s="1480"/>
      <c r="AX21" s="1480"/>
      <c r="AY21" s="1480"/>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1"/>
      <c r="AN23" s="1481"/>
      <c r="AO23" s="1481"/>
      <c r="AP23" s="1481"/>
      <c r="AQ23" s="1481"/>
      <c r="AR23" s="1481"/>
      <c r="AS23" s="1481"/>
      <c r="AT23" s="1481"/>
      <c r="AU23" s="1481"/>
      <c r="AV23" s="1481"/>
      <c r="AW23" s="1481"/>
      <c r="AX23" s="1481"/>
      <c r="AY23" s="1481"/>
      <c r="AZ23" s="28"/>
    </row>
    <row r="24" spans="1:96" ht="12.75" customHeight="1">
      <c r="A24" s="173" t="s">
        <v>1064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1"/>
      <c r="AN24" s="1481"/>
      <c r="AO24" s="1481"/>
      <c r="AP24" s="1481"/>
      <c r="AQ24" s="1481"/>
      <c r="AR24" s="1481"/>
      <c r="AS24" s="1481"/>
      <c r="AT24" s="1481"/>
      <c r="AU24" s="1481"/>
      <c r="AV24" s="1481"/>
      <c r="AW24" s="1481"/>
      <c r="AX24" s="1481"/>
      <c r="AY24" s="1481"/>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2">
        <f>'Basis &amp; Credits'!AB56</f>
        <v>3890456</v>
      </c>
      <c r="N26" s="2442"/>
      <c r="O26" s="2442"/>
      <c r="P26" s="2442"/>
      <c r="Q26" s="2442"/>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9">
        <f>'Basis &amp; Credits'!AB77</f>
        <v>0</v>
      </c>
      <c r="N27" s="1989"/>
      <c r="O27" s="1989"/>
      <c r="P27" s="1989"/>
      <c r="Q27" s="1989"/>
      <c r="R27" s="58" t="s">
        <v>1492</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91" t="s">
        <v>704</v>
      </c>
      <c r="P33" s="1991"/>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1"/>
      <c r="AN42" s="1461"/>
      <c r="AO42" s="1461"/>
      <c r="AP42" s="1461"/>
      <c r="AQ42" s="1461"/>
      <c r="AR42" s="1461"/>
      <c r="AS42" s="1461"/>
      <c r="AT42" s="1461"/>
      <c r="AU42" s="1461"/>
      <c r="AV42" s="1461"/>
      <c r="AW42" s="1461"/>
      <c r="AX42" s="1461"/>
      <c r="AY42" s="1461"/>
      <c r="AZ42" s="31"/>
    </row>
    <row r="43" spans="1:96" ht="12.75" customHeight="1">
      <c r="A43" s="906" t="s">
        <v>1542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1"/>
      <c r="AN55" s="1461"/>
      <c r="AO55" s="1461"/>
      <c r="AP55" s="1461"/>
      <c r="AQ55" s="1461"/>
      <c r="AR55" s="1461"/>
      <c r="AS55" s="1461"/>
      <c r="AT55" s="1461"/>
      <c r="AU55" s="1461"/>
      <c r="AV55" s="1461"/>
      <c r="AW55" s="1461"/>
      <c r="AX55" s="1461"/>
      <c r="AY55" s="1461"/>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1"/>
      <c r="AN56" s="1461"/>
      <c r="AO56" s="1461"/>
      <c r="AP56" s="1461"/>
      <c r="AQ56" s="1461"/>
      <c r="AR56" s="1461"/>
      <c r="AS56" s="1461"/>
      <c r="AT56" s="1461"/>
      <c r="AU56" s="1461"/>
      <c r="AV56" s="1461"/>
      <c r="AW56" s="1461"/>
      <c r="AX56" s="1461"/>
      <c r="AY56" s="146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1"/>
      <c r="AN57" s="1461"/>
      <c r="AO57" s="1461"/>
      <c r="AP57" s="1461"/>
      <c r="AQ57" s="1461"/>
      <c r="AR57" s="1461"/>
      <c r="AS57" s="1461"/>
      <c r="AT57" s="1461"/>
      <c r="AU57" s="1461"/>
      <c r="AV57" s="1461"/>
      <c r="AW57" s="1461"/>
      <c r="AX57" s="1461"/>
      <c r="AY57" s="1461"/>
      <c r="AZ57" s="32"/>
    </row>
    <row r="58" spans="1:52" ht="12.5">
      <c r="A58" s="138" t="s">
        <v>1067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1"/>
      <c r="AN58" s="1461"/>
      <c r="AO58" s="1461"/>
      <c r="AP58" s="1461"/>
      <c r="AQ58" s="1461"/>
      <c r="AR58" s="1461"/>
      <c r="AS58" s="1461"/>
      <c r="AT58" s="1461"/>
      <c r="AU58" s="1461"/>
      <c r="AV58" s="1461"/>
      <c r="AW58" s="1461"/>
      <c r="AX58" s="1461"/>
      <c r="AY58" s="1461"/>
      <c r="AZ58" s="32"/>
    </row>
    <row r="59" spans="1:52" ht="12.5">
      <c r="A59" s="175" t="s">
        <v>1068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1069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2"/>
      <c r="AN65" s="1482"/>
      <c r="AO65" s="1482"/>
      <c r="AP65" s="1482"/>
      <c r="AQ65" s="1482"/>
      <c r="AR65" s="1482"/>
      <c r="AS65" s="1482"/>
      <c r="AT65" s="1482"/>
      <c r="AU65" s="1482"/>
      <c r="AV65" s="1482"/>
      <c r="AW65" s="1482"/>
      <c r="AX65" s="1482"/>
      <c r="AY65" s="1482"/>
      <c r="AZ65" s="31"/>
    </row>
    <row r="66" spans="1:52" ht="12.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2"/>
      <c r="AN66" s="1482"/>
      <c r="AO66" s="1482"/>
      <c r="AP66" s="1482"/>
      <c r="AQ66" s="1482"/>
      <c r="AR66" s="1482"/>
      <c r="AS66" s="1482"/>
      <c r="AT66" s="1482"/>
      <c r="AU66" s="1482"/>
      <c r="AV66" s="1482"/>
      <c r="AW66" s="1482"/>
      <c r="AX66" s="1482"/>
      <c r="AY66" s="1482"/>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1"/>
      <c r="AN67" s="1461"/>
      <c r="AO67" s="1461"/>
      <c r="AP67" s="1461"/>
      <c r="AQ67" s="1461"/>
      <c r="AR67" s="1461"/>
      <c r="AS67" s="1461"/>
      <c r="AT67" s="1461"/>
      <c r="AU67" s="1461"/>
      <c r="AV67" s="1461"/>
      <c r="AW67" s="1461"/>
      <c r="AX67" s="1461"/>
      <c r="AY67" s="1461"/>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1"/>
      <c r="AN68" s="1461"/>
      <c r="AO68" s="1461"/>
      <c r="AP68" s="1461"/>
      <c r="AQ68" s="1461"/>
      <c r="AR68" s="1461"/>
      <c r="AS68" s="1461"/>
      <c r="AT68" s="1461"/>
      <c r="AU68" s="1461"/>
      <c r="AV68" s="1461"/>
      <c r="AW68" s="1461"/>
      <c r="AX68" s="1461"/>
      <c r="AY68" s="1461"/>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1"/>
      <c r="AN69" s="1461"/>
      <c r="AO69" s="1461"/>
      <c r="AP69" s="1461"/>
      <c r="AQ69" s="1461"/>
      <c r="AR69" s="1461"/>
      <c r="AS69" s="1461"/>
      <c r="AT69" s="1461"/>
      <c r="AU69" s="1461"/>
      <c r="AV69" s="1461"/>
      <c r="AW69" s="1461"/>
      <c r="AX69" s="1461"/>
      <c r="AY69" s="146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1066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1065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3"/>
      <c r="AN89" s="1483"/>
      <c r="AO89" s="1483"/>
      <c r="AP89" s="1483"/>
      <c r="AQ89" s="1483"/>
      <c r="AR89" s="1483"/>
      <c r="AS89" s="1483"/>
      <c r="AT89" s="1483"/>
      <c r="AU89" s="1483"/>
      <c r="AV89" s="1483"/>
      <c r="AW89" s="1483"/>
      <c r="AX89" s="1483"/>
      <c r="AY89" s="1483"/>
      <c r="AZ89" s="279"/>
      <c r="CR89" s="679"/>
    </row>
    <row r="90" spans="1:96" s="39" customFormat="1" ht="12.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3"/>
      <c r="AN90" s="1483"/>
      <c r="AO90" s="1483"/>
      <c r="AP90" s="1483"/>
      <c r="AQ90" s="1483"/>
      <c r="AR90" s="1483"/>
      <c r="AS90" s="1483"/>
      <c r="AT90" s="1483"/>
      <c r="AU90" s="1483"/>
      <c r="AV90" s="1483"/>
      <c r="AW90" s="1483"/>
      <c r="AX90" s="1483"/>
      <c r="AY90" s="1483"/>
      <c r="AZ90" s="279"/>
      <c r="CR90" s="679"/>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3"/>
      <c r="AN91" s="1483"/>
      <c r="AO91" s="1483"/>
      <c r="AP91" s="1483"/>
      <c r="AQ91" s="1483"/>
      <c r="AR91" s="1483"/>
      <c r="AS91" s="1483"/>
      <c r="AT91" s="1483"/>
      <c r="AU91" s="1483"/>
      <c r="AV91" s="1483"/>
      <c r="AW91" s="1483"/>
      <c r="AX91" s="1483"/>
      <c r="AY91" s="1483"/>
      <c r="AZ91" s="279"/>
      <c r="CR91" s="679"/>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5">
      <c r="A93" s="206" t="s">
        <v>1077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5">
      <c r="A94" s="173" t="s">
        <v>1076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5">
      <c r="A95" s="138" t="s">
        <v>1075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5">
      <c r="A100" s="878" t="s">
        <v>1457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5">
      <c r="A101" s="39" t="s">
        <v>1458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5">
      <c r="A102" s="679" t="s">
        <v>1459</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5">
      <c r="A103" s="879" t="s">
        <v>1460</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1461</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9" t="s">
        <v>1462</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9" t="s">
        <v>1463</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9" t="s">
        <v>1464</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9" t="s">
        <v>1465</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0" t="s">
        <v>1122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5">
      <c r="A112" s="451" t="s">
        <v>1125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811</v>
      </c>
      <c r="B117" s="35"/>
      <c r="C117" s="35"/>
    </row>
    <row r="118" spans="1:96" ht="12.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185</v>
      </c>
      <c r="G122" s="2436">
        <v>14</v>
      </c>
      <c r="H122" s="2436"/>
      <c r="I122" s="239" t="s">
        <v>186</v>
      </c>
      <c r="L122" s="2436" t="s">
        <v>2641</v>
      </c>
      <c r="M122" s="2436"/>
      <c r="N122" s="2436"/>
      <c r="O122" s="909" t="s">
        <v>2642</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5">
      <c r="A124" s="58"/>
      <c r="B124" s="58"/>
      <c r="C124" s="2446" t="s">
        <v>769</v>
      </c>
      <c r="D124" s="2446"/>
      <c r="E124" s="2446"/>
      <c r="F124" s="2446"/>
      <c r="G124" s="2446"/>
      <c r="H124" s="2446"/>
      <c r="I124" s="2446"/>
      <c r="J124" s="2446"/>
      <c r="K124" s="2446"/>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661</v>
      </c>
      <c r="Y126" s="2436"/>
      <c r="Z126" s="2436"/>
      <c r="AA126" s="2436"/>
      <c r="AB126" s="2436"/>
      <c r="AC126" s="2436"/>
      <c r="AD126" s="2436"/>
      <c r="AE126" s="2436"/>
      <c r="AF126" s="2436"/>
      <c r="AG126" s="2436"/>
      <c r="AH126" s="2436"/>
      <c r="AI126" s="2436"/>
      <c r="AJ126" s="2436"/>
      <c r="AK126" s="2436"/>
    </row>
    <row r="127" spans="1:96" ht="12.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5"/>
      <c r="B128" s="25"/>
      <c r="R128" s="25"/>
      <c r="S128" s="25"/>
      <c r="T128" s="25"/>
      <c r="U128" s="25"/>
      <c r="V128" s="25"/>
      <c r="W128" s="25"/>
      <c r="X128" s="58"/>
      <c r="AL128" s="695"/>
      <c r="AM128" s="1484"/>
      <c r="AN128" s="1484"/>
      <c r="AO128" s="1484"/>
      <c r="AP128" s="1484"/>
      <c r="AQ128" s="1484"/>
      <c r="AR128" s="1484"/>
      <c r="AS128" s="1484"/>
      <c r="AT128" s="1484"/>
      <c r="AU128" s="1484"/>
      <c r="AV128" s="1484"/>
      <c r="AW128" s="1484"/>
      <c r="AX128" s="1484"/>
      <c r="AY128" s="1484"/>
    </row>
    <row r="129" spans="1:96" ht="12.5">
      <c r="A129" s="695"/>
      <c r="B129" s="150"/>
      <c r="R129" s="265"/>
      <c r="S129" s="265"/>
      <c r="T129" s="265"/>
      <c r="U129" s="265"/>
      <c r="V129" s="265"/>
      <c r="W129" s="265"/>
      <c r="X129" s="58"/>
      <c r="Y129" s="2417" t="s">
        <v>2655</v>
      </c>
      <c r="Z129" s="2417"/>
      <c r="AA129" s="2417"/>
      <c r="AB129" s="2417"/>
      <c r="AC129" s="2417"/>
      <c r="AD129" s="2417"/>
      <c r="AE129" s="2417"/>
      <c r="AF129" s="2417"/>
      <c r="AG129" s="2417"/>
      <c r="AH129" s="2417"/>
      <c r="AI129" s="2417"/>
      <c r="AJ129" s="2417"/>
      <c r="AK129" s="2417"/>
      <c r="AL129" s="695"/>
      <c r="AM129" s="1484"/>
      <c r="AN129" s="1484"/>
      <c r="AO129" s="1484"/>
      <c r="AP129" s="1484"/>
      <c r="AQ129" s="1484"/>
      <c r="AR129" s="1484"/>
      <c r="AS129" s="1484"/>
      <c r="AT129" s="1484"/>
      <c r="AU129" s="1484"/>
      <c r="AV129" s="1484"/>
      <c r="AW129" s="1484"/>
      <c r="AX129" s="1484"/>
      <c r="AY129" s="1484"/>
    </row>
    <row r="130" spans="1:96" ht="12.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417" t="s">
        <v>2656</v>
      </c>
      <c r="Z132" s="2417"/>
      <c r="AA132" s="2417"/>
      <c r="AB132" s="2417"/>
      <c r="AC132" s="2417"/>
      <c r="AD132" s="2417"/>
      <c r="AE132" s="2417"/>
      <c r="AF132" s="2417"/>
      <c r="AG132" s="2417"/>
      <c r="AH132" s="2417"/>
      <c r="AI132" s="2417"/>
      <c r="AJ132" s="2417"/>
      <c r="AK132" s="241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44"/>
      <c r="G150" s="2444"/>
      <c r="H150" s="2444"/>
      <c r="I150" s="2444"/>
      <c r="J150" s="2444"/>
      <c r="K150" s="2444"/>
      <c r="L150" s="2444"/>
      <c r="M150" s="2444"/>
      <c r="N150" s="2444"/>
      <c r="O150" s="2444"/>
      <c r="P150" s="2444"/>
      <c r="Q150" s="2444"/>
      <c r="R150" s="2444"/>
      <c r="S150" s="2444"/>
      <c r="T150" s="244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678</v>
      </c>
      <c r="F153" s="32"/>
      <c r="G153" s="32"/>
      <c r="H153" s="32"/>
      <c r="I153" s="32"/>
      <c r="J153" s="32"/>
      <c r="K153" s="32"/>
      <c r="L153" s="32"/>
      <c r="M153" s="32"/>
      <c r="N153" s="32"/>
      <c r="O153" s="2004" t="s">
        <v>2481</v>
      </c>
      <c r="P153" s="2004"/>
      <c r="Q153" s="2004"/>
      <c r="R153" s="2004"/>
      <c r="S153" s="2004"/>
      <c r="T153" s="2004"/>
      <c r="U153" s="2004"/>
      <c r="V153" s="2004"/>
      <c r="W153" s="2004"/>
      <c r="X153" s="2004"/>
      <c r="Y153" s="2004"/>
      <c r="Z153" s="2004"/>
      <c r="AA153" s="2004"/>
      <c r="AB153" s="2004"/>
      <c r="AC153" s="2004"/>
      <c r="AD153" s="2004"/>
      <c r="AE153" s="2004"/>
      <c r="AF153" s="2004"/>
      <c r="AG153" s="2004"/>
      <c r="AH153" s="2004"/>
    </row>
    <row r="154" spans="1:96" ht="12.75" customHeight="1">
      <c r="D154" s="466" t="s">
        <v>461</v>
      </c>
      <c r="F154" s="32"/>
      <c r="G154" s="32"/>
      <c r="H154" s="32"/>
      <c r="I154" s="32"/>
      <c r="J154" s="32"/>
      <c r="K154" s="32"/>
      <c r="L154" s="32"/>
      <c r="M154" s="32"/>
      <c r="N154" s="32"/>
      <c r="O154" s="1993" t="s">
        <v>2482</v>
      </c>
      <c r="P154" s="1993"/>
      <c r="Q154" s="1993"/>
      <c r="R154" s="1993"/>
      <c r="S154" s="1993"/>
      <c r="T154" s="1993"/>
      <c r="U154" s="1993"/>
      <c r="V154" s="1993"/>
      <c r="W154" s="1993"/>
      <c r="X154" s="1993"/>
      <c r="Y154" s="1993"/>
      <c r="Z154" s="1993"/>
      <c r="AA154" s="1993"/>
      <c r="AB154" s="1993"/>
      <c r="AC154" s="1993"/>
      <c r="AD154" s="1993"/>
      <c r="AE154" s="1993"/>
      <c r="AF154" s="1993"/>
      <c r="AG154" s="1993"/>
      <c r="AH154" s="1993"/>
      <c r="AZ154" s="25"/>
    </row>
    <row r="155" spans="1:96" ht="12.5">
      <c r="D155" s="13" t="s">
        <v>462</v>
      </c>
      <c r="F155" s="13"/>
      <c r="G155" s="13"/>
      <c r="H155" s="13"/>
      <c r="I155" s="13"/>
      <c r="J155" s="13"/>
      <c r="K155" s="13"/>
      <c r="L155" s="13"/>
      <c r="M155" s="13"/>
      <c r="N155" s="13"/>
      <c r="O155" s="2427" t="s">
        <v>2484</v>
      </c>
      <c r="P155" s="2428"/>
      <c r="Q155" s="2428"/>
      <c r="R155" s="2428"/>
      <c r="S155" s="2428"/>
      <c r="T155" s="2428"/>
      <c r="U155" s="2428"/>
      <c r="V155" s="2428"/>
      <c r="W155" s="2428"/>
      <c r="X155" s="2428"/>
      <c r="Y155" s="2428"/>
      <c r="Z155" s="2428"/>
      <c r="AA155" s="2428"/>
      <c r="AB155" s="2428"/>
      <c r="AC155" s="2428"/>
      <c r="AD155" s="2428"/>
      <c r="AE155" s="2428"/>
      <c r="AF155" s="2428"/>
      <c r="AG155" s="2428"/>
      <c r="AH155" s="2428"/>
      <c r="AZ155" s="25"/>
    </row>
    <row r="156" spans="1:96" ht="12.5">
      <c r="D156" s="32" t="s">
        <v>321</v>
      </c>
      <c r="F156" s="32"/>
      <c r="G156" s="32"/>
      <c r="H156" s="32"/>
      <c r="I156" s="32"/>
      <c r="J156" s="32"/>
      <c r="K156" s="32"/>
      <c r="L156" s="32"/>
      <c r="M156" s="32"/>
      <c r="N156" s="32"/>
      <c r="O156" s="2004" t="s">
        <v>2483</v>
      </c>
      <c r="P156" s="2003"/>
      <c r="Q156" s="2003"/>
      <c r="R156" s="2003"/>
      <c r="S156" s="2003"/>
      <c r="T156" s="2003"/>
      <c r="U156" s="2003"/>
      <c r="V156" s="2003"/>
      <c r="W156" s="2003"/>
      <c r="X156" s="2003"/>
      <c r="Y156" s="2003"/>
      <c r="Z156" s="2003"/>
      <c r="AA156" s="2003"/>
      <c r="AB156" s="2003"/>
      <c r="AC156" s="2003"/>
      <c r="AD156" s="2003"/>
      <c r="AE156" s="2003"/>
      <c r="AF156" s="2003"/>
      <c r="AG156" s="2003"/>
      <c r="AH156" s="2003"/>
      <c r="BT156" s="12" t="s">
        <v>315</v>
      </c>
    </row>
    <row r="157" spans="1:96" ht="13">
      <c r="D157" s="32" t="s">
        <v>322</v>
      </c>
      <c r="F157" s="32"/>
      <c r="G157" s="32"/>
      <c r="H157" s="32"/>
      <c r="I157" s="32"/>
      <c r="J157" s="32"/>
      <c r="K157" s="32"/>
      <c r="L157" s="32"/>
      <c r="M157" s="32"/>
      <c r="N157" s="32"/>
      <c r="O157" s="2004" t="s">
        <v>769</v>
      </c>
      <c r="P157" s="2004"/>
      <c r="Q157" s="2004"/>
      <c r="R157" s="2004"/>
      <c r="S157" s="2004"/>
      <c r="T157" s="2004"/>
      <c r="U157" s="2004"/>
      <c r="V157" s="2004"/>
      <c r="W157" s="2004"/>
      <c r="X157" s="2004"/>
      <c r="Y157" s="14"/>
      <c r="Z157" s="14"/>
      <c r="AA157" s="14"/>
      <c r="AB157" s="14"/>
      <c r="AC157" s="14"/>
      <c r="AD157" s="14"/>
      <c r="AE157" s="14"/>
      <c r="AF157" s="14"/>
      <c r="BN157" s="36" t="s">
        <v>669</v>
      </c>
      <c r="BT157" s="12" t="s">
        <v>507</v>
      </c>
    </row>
    <row r="158" spans="1:96" ht="13">
      <c r="D158" s="32" t="s">
        <v>323</v>
      </c>
      <c r="F158" s="32"/>
      <c r="G158" s="32"/>
      <c r="H158" s="32"/>
      <c r="I158" s="32"/>
      <c r="J158" s="32"/>
      <c r="K158" s="32"/>
      <c r="L158" s="32"/>
      <c r="M158" s="32"/>
      <c r="N158" s="32"/>
      <c r="O158" s="2429">
        <v>94103</v>
      </c>
      <c r="P158" s="2429"/>
      <c r="Q158" s="2429"/>
      <c r="R158" s="2429"/>
      <c r="S158" s="15"/>
      <c r="T158" s="15"/>
      <c r="U158" s="15"/>
      <c r="V158" s="15"/>
      <c r="W158" s="15"/>
      <c r="X158" s="15"/>
      <c r="Y158" s="15"/>
      <c r="Z158" s="15"/>
      <c r="AA158" s="15"/>
      <c r="AB158" s="15"/>
      <c r="AC158" s="15"/>
      <c r="AD158" s="15"/>
      <c r="AE158" s="15"/>
      <c r="AF158" s="15"/>
      <c r="BN158" s="36" t="s">
        <v>670</v>
      </c>
      <c r="BT158" s="12" t="s">
        <v>508</v>
      </c>
    </row>
    <row r="159" spans="1:96" ht="13">
      <c r="D159" s="32" t="s">
        <v>324</v>
      </c>
      <c r="F159" s="32"/>
      <c r="G159" s="32"/>
      <c r="H159" s="32"/>
      <c r="I159" s="32"/>
      <c r="J159" s="32"/>
      <c r="K159" s="32"/>
      <c r="L159" s="32"/>
      <c r="M159" s="32"/>
      <c r="N159" s="32"/>
      <c r="O159" s="2284" t="s">
        <v>2485</v>
      </c>
      <c r="P159" s="2431"/>
      <c r="Q159" s="2431"/>
      <c r="R159" s="2431"/>
      <c r="S159" s="2431"/>
      <c r="T159" s="2431"/>
      <c r="V159" s="146" t="s">
        <v>276</v>
      </c>
      <c r="W159" s="2430"/>
      <c r="X159" s="2430"/>
      <c r="Y159" s="16"/>
      <c r="Z159" s="16"/>
      <c r="AA159" s="16"/>
      <c r="AB159" s="16"/>
      <c r="AC159" s="16"/>
      <c r="AD159" s="16"/>
      <c r="AE159" s="16"/>
      <c r="AF159" s="16"/>
      <c r="BN159" s="36" t="s">
        <v>348</v>
      </c>
      <c r="BT159" s="12" t="s">
        <v>509</v>
      </c>
    </row>
    <row r="160" spans="1:96" ht="13">
      <c r="D160" s="32" t="s">
        <v>325</v>
      </c>
      <c r="F160" s="32"/>
      <c r="G160" s="32"/>
      <c r="H160" s="32"/>
      <c r="I160" s="32"/>
      <c r="J160" s="32"/>
      <c r="K160" s="32"/>
      <c r="L160" s="32"/>
      <c r="M160" s="32"/>
      <c r="N160" s="32"/>
      <c r="O160" s="2431" t="s">
        <v>2486</v>
      </c>
      <c r="P160" s="2431"/>
      <c r="Q160" s="2431"/>
      <c r="R160" s="2431"/>
      <c r="S160" s="2431"/>
      <c r="T160" s="2431"/>
      <c r="U160" s="16"/>
      <c r="V160" s="16"/>
      <c r="W160" s="16"/>
      <c r="X160" s="16"/>
      <c r="Y160" s="16"/>
      <c r="Z160" s="16"/>
      <c r="AA160" s="16"/>
      <c r="AB160" s="16"/>
      <c r="AC160" s="16"/>
      <c r="AD160" s="16"/>
      <c r="AE160" s="16"/>
      <c r="AF160" s="16"/>
      <c r="BN160" s="36" t="s">
        <v>695</v>
      </c>
      <c r="BT160" s="12" t="s">
        <v>510</v>
      </c>
    </row>
    <row r="161" spans="1:72" ht="13">
      <c r="D161" s="32" t="s">
        <v>326</v>
      </c>
      <c r="F161" s="32"/>
      <c r="G161" s="32"/>
      <c r="H161" s="32"/>
      <c r="I161" s="32"/>
      <c r="J161" s="32"/>
      <c r="K161" s="32"/>
      <c r="L161" s="32"/>
      <c r="M161" s="32"/>
      <c r="N161" s="32"/>
      <c r="O161" s="2310" t="s">
        <v>2487</v>
      </c>
      <c r="P161" s="2310"/>
      <c r="Q161" s="2310"/>
      <c r="R161" s="2310"/>
      <c r="S161" s="2310"/>
      <c r="T161" s="2310"/>
      <c r="U161" s="2310"/>
      <c r="V161" s="2310"/>
      <c r="W161" s="2310"/>
      <c r="X161" s="2310"/>
      <c r="Y161" s="2310"/>
      <c r="Z161" s="2310"/>
      <c r="AA161" s="2310"/>
      <c r="AB161" s="2310"/>
      <c r="AC161" s="2310"/>
      <c r="AD161" s="2310"/>
      <c r="AE161" s="2310"/>
      <c r="AF161" s="2310"/>
      <c r="AG161" s="2310"/>
      <c r="AH161" s="2310"/>
      <c r="BJ161" s="12" t="s">
        <v>704</v>
      </c>
      <c r="BN161" s="36" t="s">
        <v>696</v>
      </c>
      <c r="BT161" s="12" t="s">
        <v>511</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3">
      <c r="C164" s="141"/>
      <c r="D164" s="2447" t="s">
        <v>1449</v>
      </c>
      <c r="E164" s="2447"/>
      <c r="F164" s="2447"/>
      <c r="G164" s="2447"/>
      <c r="H164" s="2447"/>
      <c r="I164" s="2447"/>
      <c r="J164" s="2447"/>
      <c r="K164" s="2447"/>
      <c r="L164" s="2447"/>
      <c r="M164" s="2447"/>
      <c r="N164" s="2447"/>
      <c r="O164" s="2447"/>
      <c r="P164" s="2447"/>
      <c r="Q164" s="2447"/>
      <c r="R164" s="2447"/>
      <c r="S164" s="2447"/>
      <c r="T164" s="2447"/>
      <c r="U164" s="2447"/>
      <c r="V164" s="2447"/>
      <c r="W164" s="2447"/>
      <c r="X164" s="2447"/>
      <c r="Y164" s="2447"/>
      <c r="Z164" s="2447"/>
      <c r="AA164" s="2447"/>
      <c r="AB164" s="2447"/>
      <c r="AC164" s="2447"/>
      <c r="AD164" s="2447"/>
      <c r="AE164" s="2447"/>
      <c r="AF164" s="2447"/>
      <c r="AG164" s="2447"/>
      <c r="AH164" s="2447"/>
      <c r="AI164" s="39"/>
      <c r="AJ164" s="39"/>
      <c r="AK164" s="39"/>
      <c r="AL164" s="39"/>
      <c r="BN164" s="36" t="s">
        <v>699</v>
      </c>
      <c r="BT164" s="12" t="s">
        <v>514</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3">
      <c r="A169" s="2343" t="s">
        <v>570</v>
      </c>
      <c r="B169" s="2343"/>
      <c r="C169" s="2343"/>
      <c r="D169" s="2343"/>
      <c r="E169" s="2343"/>
      <c r="F169" s="2343"/>
      <c r="G169" s="2343"/>
      <c r="H169" s="2343"/>
      <c r="I169" s="2343"/>
      <c r="J169" s="2343"/>
      <c r="K169" s="2343"/>
      <c r="L169" s="2343"/>
      <c r="M169" s="2343"/>
      <c r="N169" s="2343"/>
      <c r="O169" s="2343"/>
      <c r="P169" s="2343"/>
      <c r="Q169" s="2343"/>
      <c r="R169" s="2343"/>
      <c r="S169" s="2343"/>
      <c r="T169" s="2343"/>
      <c r="U169" s="2343"/>
      <c r="V169" s="2343"/>
      <c r="W169" s="2343"/>
      <c r="X169" s="2343"/>
      <c r="Y169" s="2343"/>
      <c r="Z169" s="2343"/>
      <c r="AA169" s="2343"/>
      <c r="AB169" s="2343"/>
      <c r="AC169" s="2343"/>
      <c r="AD169" s="2343"/>
      <c r="AE169" s="2343"/>
      <c r="AF169" s="2343"/>
      <c r="AG169" s="2343"/>
      <c r="AH169" s="2343"/>
      <c r="AI169" s="2343"/>
      <c r="AJ169" s="2343"/>
      <c r="AK169" s="2343"/>
      <c r="AL169" s="2343"/>
      <c r="AM169" s="144"/>
      <c r="AN169" s="144"/>
      <c r="AO169" s="144"/>
      <c r="AP169" s="144"/>
      <c r="AQ169" s="144"/>
      <c r="AR169" s="144"/>
      <c r="AS169" s="144"/>
      <c r="AT169" s="144"/>
      <c r="AU169" s="144"/>
      <c r="AV169" s="144"/>
      <c r="AW169" s="144"/>
      <c r="AX169" s="144"/>
      <c r="AY169" s="144"/>
      <c r="BN169" s="36" t="s">
        <v>708</v>
      </c>
      <c r="BT169" s="12" t="s">
        <v>519</v>
      </c>
    </row>
    <row r="170" spans="1:72" ht="13.5" thickBot="1">
      <c r="A170" s="2344"/>
      <c r="B170" s="2344"/>
      <c r="C170" s="2344"/>
      <c r="D170" s="2344"/>
      <c r="E170" s="2344"/>
      <c r="F170" s="2344"/>
      <c r="G170" s="2344"/>
      <c r="H170" s="2344"/>
      <c r="I170" s="2344"/>
      <c r="J170" s="2344"/>
      <c r="K170" s="2344"/>
      <c r="L170" s="2344"/>
      <c r="M170" s="2344"/>
      <c r="N170" s="2344"/>
      <c r="O170" s="2344"/>
      <c r="P170" s="2344"/>
      <c r="Q170" s="2344"/>
      <c r="R170" s="2344"/>
      <c r="S170" s="2344"/>
      <c r="T170" s="2344"/>
      <c r="U170" s="2344"/>
      <c r="V170" s="2344"/>
      <c r="W170" s="2344"/>
      <c r="X170" s="2344"/>
      <c r="Y170" s="2344"/>
      <c r="Z170" s="2344"/>
      <c r="AA170" s="2344"/>
      <c r="AB170" s="2344"/>
      <c r="AC170" s="2344"/>
      <c r="AD170" s="2344"/>
      <c r="AE170" s="2344"/>
      <c r="AF170" s="2344"/>
      <c r="AG170" s="2344"/>
      <c r="AH170" s="2344"/>
      <c r="AI170" s="2344"/>
      <c r="AJ170" s="2344"/>
      <c r="AK170" s="2344"/>
      <c r="AL170" s="2344"/>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216</v>
      </c>
      <c r="BT171" s="12" t="s">
        <v>521</v>
      </c>
    </row>
    <row r="172" spans="1:72" ht="13">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218</v>
      </c>
      <c r="BT172" s="12" t="s">
        <v>522</v>
      </c>
    </row>
    <row r="173" spans="1:72" ht="13">
      <c r="A173" s="25"/>
      <c r="C173" s="38"/>
      <c r="D173" s="39" t="s">
        <v>329</v>
      </c>
      <c r="J173" s="2445" t="s">
        <v>388</v>
      </c>
      <c r="K173" s="2445"/>
      <c r="L173" s="2445"/>
      <c r="M173" s="2445"/>
      <c r="N173" s="2445"/>
      <c r="O173" s="2445"/>
      <c r="P173" s="2445"/>
      <c r="Q173" s="2445"/>
      <c r="R173" s="2445"/>
      <c r="S173" s="2445"/>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219</v>
      </c>
      <c r="BT173" s="12" t="s">
        <v>523</v>
      </c>
    </row>
    <row r="174" spans="1:72" ht="13">
      <c r="A174" s="25"/>
      <c r="C174" s="38"/>
      <c r="D174" s="58" t="s">
        <v>1402</v>
      </c>
      <c r="E174" s="25"/>
      <c r="F174" s="25"/>
      <c r="G174" s="25"/>
      <c r="H174" s="25"/>
      <c r="I174" s="25"/>
      <c r="J174" s="2003" t="s">
        <v>2488</v>
      </c>
      <c r="K174" s="2003"/>
      <c r="L174" s="2003"/>
      <c r="M174" s="2003"/>
      <c r="N174" s="2003"/>
      <c r="O174" s="2003"/>
      <c r="P174" s="2003"/>
      <c r="Q174" s="2003"/>
      <c r="R174" s="2003"/>
      <c r="S174" s="2003"/>
      <c r="T174" s="2003"/>
      <c r="U174" s="2003"/>
      <c r="V174" s="2003"/>
      <c r="W174" s="2003"/>
      <c r="X174" s="2003"/>
      <c r="Y174" s="2003"/>
      <c r="Z174" s="2003"/>
      <c r="AA174" s="3"/>
      <c r="AH174" s="25"/>
      <c r="AJ174" s="3"/>
      <c r="AK174" s="3"/>
      <c r="AL174" s="3"/>
      <c r="AM174" s="679"/>
      <c r="AN174" s="679"/>
      <c r="AO174" s="679"/>
      <c r="AP174" s="679"/>
      <c r="AQ174" s="679"/>
      <c r="AR174" s="679"/>
      <c r="AS174" s="679"/>
      <c r="AT174" s="679"/>
      <c r="AU174" s="679"/>
      <c r="AV174" s="679"/>
      <c r="AW174" s="679"/>
      <c r="AX174" s="679"/>
      <c r="AY174" s="679"/>
      <c r="BN174" s="36" t="s">
        <v>221</v>
      </c>
      <c r="BT174" s="12" t="s">
        <v>524</v>
      </c>
    </row>
    <row r="175" spans="1:72" ht="13">
      <c r="A175" s="25"/>
      <c r="C175" s="13"/>
      <c r="D175" s="58" t="s">
        <v>330</v>
      </c>
      <c r="F175" s="717"/>
      <c r="G175" s="717"/>
      <c r="H175" s="717"/>
      <c r="I175" s="717"/>
      <c r="J175" s="717"/>
      <c r="K175" s="717"/>
      <c r="L175" s="717"/>
      <c r="M175" s="717"/>
      <c r="N175" s="717"/>
      <c r="O175" s="42"/>
      <c r="Q175" s="25"/>
      <c r="R175" s="25"/>
      <c r="T175" s="717"/>
      <c r="U175" s="1991" t="s">
        <v>704</v>
      </c>
      <c r="V175" s="1991"/>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222</v>
      </c>
      <c r="BT175" s="12" t="s">
        <v>525</v>
      </c>
    </row>
    <row r="176" spans="1:72" ht="13">
      <c r="A176" s="25"/>
      <c r="C176" s="13"/>
      <c r="D176" s="41"/>
      <c r="E176" s="717" t="s">
        <v>311</v>
      </c>
      <c r="F176" s="717"/>
      <c r="G176" s="717"/>
      <c r="H176" s="717"/>
      <c r="I176" s="717"/>
      <c r="J176" s="717"/>
      <c r="K176" s="717"/>
      <c r="L176" s="717"/>
      <c r="M176" s="717"/>
      <c r="N176" s="717"/>
      <c r="O176" s="42"/>
      <c r="P176" s="25" t="s">
        <v>312</v>
      </c>
      <c r="Q176" s="25"/>
      <c r="R176" s="25"/>
      <c r="S176" s="25" t="s">
        <v>313</v>
      </c>
      <c r="T176" s="717"/>
      <c r="U176" s="2013"/>
      <c r="V176" s="2013"/>
      <c r="W176" s="4" t="s">
        <v>314</v>
      </c>
      <c r="X176" s="2421"/>
      <c r="Y176" s="2421"/>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224</v>
      </c>
      <c r="BT176" s="12" t="s">
        <v>526</v>
      </c>
    </row>
    <row r="177" spans="1:96" s="717" customFormat="1" ht="13">
      <c r="A177" s="25"/>
      <c r="B177" s="12"/>
      <c r="C177" s="43"/>
      <c r="D177" s="25" t="s">
        <v>254</v>
      </c>
      <c r="E177" s="12"/>
      <c r="F177" s="12"/>
      <c r="G177" s="12"/>
      <c r="H177" s="12"/>
      <c r="I177" s="12"/>
      <c r="J177" s="12"/>
      <c r="K177" s="12"/>
      <c r="L177" s="12"/>
      <c r="M177" s="25"/>
      <c r="N177" s="12"/>
      <c r="O177" s="12"/>
      <c r="P177" s="12"/>
      <c r="Q177" s="12"/>
      <c r="R177" s="1991" t="s">
        <v>704</v>
      </c>
      <c r="S177" s="1991"/>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225</v>
      </c>
      <c r="BT177" s="717" t="s">
        <v>527</v>
      </c>
      <c r="CR177" s="25"/>
    </row>
    <row r="178" spans="1:96" s="717" customFormat="1" ht="13">
      <c r="A178" s="25"/>
      <c r="B178" s="12"/>
      <c r="C178" s="43"/>
      <c r="D178" s="58" t="s">
        <v>1403</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240"/>
      <c r="AG178" s="2240"/>
      <c r="AH178" s="4" t="s">
        <v>314</v>
      </c>
      <c r="AI178" s="2433"/>
      <c r="AJ178" s="2433"/>
      <c r="AK178" s="2433"/>
      <c r="AL178" s="679"/>
      <c r="AM178" s="679"/>
      <c r="AN178" s="679"/>
      <c r="AO178" s="679"/>
      <c r="AP178" s="679"/>
      <c r="AQ178" s="679"/>
      <c r="AR178" s="679"/>
      <c r="AS178" s="679"/>
      <c r="AT178" s="679"/>
      <c r="AU178" s="679"/>
      <c r="AV178" s="679"/>
      <c r="AW178" s="679"/>
      <c r="AX178" s="679"/>
      <c r="AY178" s="679"/>
      <c r="BN178" s="36" t="s">
        <v>226</v>
      </c>
      <c r="BT178" s="717" t="s">
        <v>56</v>
      </c>
      <c r="CR178" s="25"/>
    </row>
    <row r="179" spans="1:96" s="717" customFormat="1" ht="13">
      <c r="A179" s="25"/>
      <c r="B179" s="12"/>
      <c r="C179" s="43"/>
      <c r="AL179" s="679"/>
      <c r="AM179" s="679"/>
      <c r="AN179" s="679"/>
      <c r="AO179" s="679"/>
      <c r="AP179" s="679"/>
      <c r="AQ179" s="679"/>
      <c r="AR179" s="679"/>
      <c r="AS179" s="679"/>
      <c r="AT179" s="679"/>
      <c r="AU179" s="679"/>
      <c r="AV179" s="679"/>
      <c r="AW179" s="679"/>
      <c r="AX179" s="679"/>
      <c r="AY179" s="679"/>
      <c r="BN179" s="36" t="s">
        <v>227</v>
      </c>
      <c r="BT179" s="717" t="s">
        <v>57</v>
      </c>
      <c r="CR179" s="25"/>
    </row>
    <row r="180" spans="1:96" s="717" customFormat="1" ht="13">
      <c r="A180" s="25"/>
      <c r="B180" s="12"/>
      <c r="C180" s="43"/>
      <c r="D180" s="679" t="s">
        <v>463</v>
      </c>
      <c r="E180" s="25"/>
      <c r="X180" s="1991" t="s">
        <v>704</v>
      </c>
      <c r="Y180" s="1991"/>
      <c r="Z180" s="875"/>
      <c r="AK180" s="679"/>
      <c r="AL180" s="679"/>
      <c r="AM180" s="679"/>
      <c r="AN180" s="679"/>
      <c r="AO180" s="679"/>
      <c r="AP180" s="679"/>
      <c r="AQ180" s="679"/>
      <c r="AR180" s="679"/>
      <c r="AS180" s="679"/>
      <c r="AT180" s="679"/>
      <c r="AU180" s="679"/>
      <c r="AV180" s="679"/>
      <c r="AW180" s="679"/>
      <c r="AX180" s="679"/>
      <c r="AY180" s="679"/>
      <c r="BN180" s="36" t="s">
        <v>229</v>
      </c>
      <c r="BT180" s="717" t="s">
        <v>58</v>
      </c>
      <c r="CR180" s="25"/>
    </row>
    <row r="181" spans="1:96" s="717" customFormat="1" ht="13" customHeight="1">
      <c r="A181" s="25"/>
      <c r="B181" s="12"/>
      <c r="C181" s="44"/>
      <c r="E181" s="7" t="s">
        <v>1051</v>
      </c>
      <c r="Z181" s="25"/>
      <c r="AA181" s="25"/>
      <c r="AJ181" s="679"/>
      <c r="AK181" s="679"/>
      <c r="AL181" s="679"/>
      <c r="AM181" s="679"/>
      <c r="AN181" s="679"/>
      <c r="AO181" s="679"/>
      <c r="AP181" s="679"/>
      <c r="AQ181" s="679"/>
      <c r="AR181" s="679"/>
      <c r="AS181" s="679"/>
      <c r="AT181" s="679"/>
      <c r="AU181" s="679"/>
      <c r="AV181" s="679"/>
      <c r="AW181" s="679"/>
      <c r="AX181" s="679"/>
      <c r="AY181" s="679"/>
      <c r="BN181" s="36" t="s">
        <v>230</v>
      </c>
      <c r="BT181" s="717" t="s">
        <v>59</v>
      </c>
      <c r="CR181" s="25"/>
    </row>
    <row r="182" spans="1:96" ht="13">
      <c r="A182" s="3"/>
      <c r="C182" s="913"/>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231</v>
      </c>
      <c r="BT182" s="12" t="s">
        <v>63</v>
      </c>
    </row>
    <row r="183" spans="1:96" ht="13">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233</v>
      </c>
      <c r="BT183" s="12" t="s">
        <v>64</v>
      </c>
    </row>
    <row r="184" spans="1:96" ht="13">
      <c r="A184" s="25"/>
      <c r="C184" s="45"/>
      <c r="D184" s="25" t="s">
        <v>611</v>
      </c>
      <c r="E184" s="25"/>
      <c r="F184" s="25"/>
      <c r="G184" s="25"/>
      <c r="H184" s="25"/>
      <c r="I184" s="1984" t="str">
        <f>H18</f>
        <v xml:space="preserve">The Kelsey Civic Center </v>
      </c>
      <c r="J184" s="1984"/>
      <c r="K184" s="1984"/>
      <c r="L184" s="1984"/>
      <c r="M184" s="1984"/>
      <c r="N184" s="1984"/>
      <c r="O184" s="1984"/>
      <c r="P184" s="1984"/>
      <c r="Q184" s="1984"/>
      <c r="R184" s="1984"/>
      <c r="S184" s="1984"/>
      <c r="T184" s="1984"/>
      <c r="U184" s="1984"/>
      <c r="V184" s="1984"/>
      <c r="W184" s="1984"/>
      <c r="X184" s="1984"/>
      <c r="Y184" s="1984"/>
      <c r="Z184" s="1984"/>
      <c r="AA184" s="1984"/>
      <c r="AB184" s="1984"/>
      <c r="AC184" s="1984"/>
      <c r="AD184" s="1984"/>
      <c r="AE184" s="1984"/>
      <c r="AF184" s="25"/>
      <c r="AH184" s="25"/>
      <c r="AJ184" s="3"/>
      <c r="AK184" s="3"/>
      <c r="AL184" s="3"/>
      <c r="AM184" s="679"/>
      <c r="AN184" s="679"/>
      <c r="AO184" s="679"/>
      <c r="AP184" s="679"/>
      <c r="AQ184" s="679"/>
      <c r="AR184" s="679"/>
      <c r="AS184" s="679"/>
      <c r="AT184" s="679"/>
      <c r="AU184" s="679"/>
      <c r="AV184" s="679"/>
      <c r="AW184" s="679"/>
      <c r="AX184" s="679"/>
      <c r="AY184" s="679"/>
      <c r="BC184" s="25" t="s">
        <v>620</v>
      </c>
      <c r="BN184" s="36" t="s">
        <v>235</v>
      </c>
      <c r="BT184" s="12" t="s">
        <v>65</v>
      </c>
    </row>
    <row r="185" spans="1:96" ht="13">
      <c r="A185" s="25"/>
      <c r="C185" s="45"/>
      <c r="D185" s="25" t="s">
        <v>612</v>
      </c>
      <c r="E185" s="25"/>
      <c r="F185" s="25"/>
      <c r="G185" s="25"/>
      <c r="H185" s="25"/>
      <c r="I185" s="2005" t="s">
        <v>2489</v>
      </c>
      <c r="J185" s="2005"/>
      <c r="K185" s="2005"/>
      <c r="L185" s="2005"/>
      <c r="M185" s="2005"/>
      <c r="N185" s="2005"/>
      <c r="O185" s="2005"/>
      <c r="P185" s="2005"/>
      <c r="Q185" s="2005"/>
      <c r="R185" s="2005"/>
      <c r="S185" s="2005"/>
      <c r="T185" s="2005"/>
      <c r="U185" s="2005"/>
      <c r="V185" s="2005"/>
      <c r="W185" s="2005"/>
      <c r="X185" s="2005"/>
      <c r="Y185" s="2005"/>
      <c r="Z185" s="2005"/>
      <c r="AA185" s="2005"/>
      <c r="AB185" s="2005"/>
      <c r="AC185" s="2005"/>
      <c r="AD185" s="2005"/>
      <c r="AE185" s="2005"/>
      <c r="AF185" s="25"/>
      <c r="AH185" s="25"/>
      <c r="AJ185" s="3"/>
      <c r="AK185" s="3"/>
      <c r="AL185" s="3"/>
      <c r="AM185" s="679"/>
      <c r="AN185" s="679"/>
      <c r="AO185" s="679"/>
      <c r="AP185" s="679"/>
      <c r="AQ185" s="679"/>
      <c r="AR185" s="679"/>
      <c r="AS185" s="679"/>
      <c r="AT185" s="679"/>
      <c r="AU185" s="679"/>
      <c r="AV185" s="679"/>
      <c r="AW185" s="679"/>
      <c r="AX185" s="679"/>
      <c r="AY185" s="679"/>
      <c r="BC185" s="25" t="s">
        <v>621</v>
      </c>
      <c r="BN185" s="36" t="s">
        <v>236</v>
      </c>
      <c r="BT185" s="12" t="s">
        <v>66</v>
      </c>
    </row>
    <row r="186" spans="1:96" ht="1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237</v>
      </c>
      <c r="BT186" s="12" t="s">
        <v>67</v>
      </c>
    </row>
    <row r="187" spans="1:96" ht="13">
      <c r="A187" s="25"/>
      <c r="C187" s="45"/>
      <c r="D187" s="25"/>
      <c r="E187" s="2424"/>
      <c r="F187" s="2424"/>
      <c r="G187" s="2424"/>
      <c r="H187" s="2424"/>
      <c r="I187" s="2424"/>
      <c r="J187" s="2424"/>
      <c r="K187" s="2424"/>
      <c r="L187" s="2424"/>
      <c r="M187" s="2424"/>
      <c r="N187" s="2424"/>
      <c r="O187" s="2424"/>
      <c r="P187" s="2424"/>
      <c r="Q187" s="2424"/>
      <c r="R187" s="2424"/>
      <c r="S187" s="2424"/>
      <c r="T187" s="2424"/>
      <c r="U187" s="2424"/>
      <c r="V187" s="2424"/>
      <c r="W187" s="2424"/>
      <c r="X187" s="2424"/>
      <c r="Y187" s="2424"/>
      <c r="Z187" s="2424"/>
      <c r="AA187" s="2424"/>
      <c r="AB187" s="2424"/>
      <c r="AC187" s="2424"/>
      <c r="AD187" s="2424"/>
      <c r="AE187" s="2424"/>
      <c r="AF187" s="25"/>
      <c r="AH187" s="25"/>
      <c r="AJ187" s="3"/>
      <c r="AK187" s="3"/>
      <c r="AL187" s="3"/>
      <c r="AM187" s="679"/>
      <c r="AN187" s="679"/>
      <c r="AO187" s="679"/>
      <c r="AP187" s="679"/>
      <c r="AQ187" s="679"/>
      <c r="AR187" s="679"/>
      <c r="AS187" s="679"/>
      <c r="AT187" s="679"/>
      <c r="AU187" s="679"/>
      <c r="AV187" s="679"/>
      <c r="AW187" s="679"/>
      <c r="AX187" s="679"/>
      <c r="AY187" s="679"/>
      <c r="BN187" s="36" t="s">
        <v>238</v>
      </c>
      <c r="BT187" s="12" t="s">
        <v>68</v>
      </c>
    </row>
    <row r="188" spans="1:96" ht="13">
      <c r="A188" s="25"/>
      <c r="C188" s="45"/>
      <c r="D188" s="25"/>
      <c r="E188" s="2425"/>
      <c r="F188" s="2425"/>
      <c r="G188" s="2425"/>
      <c r="H188" s="2425"/>
      <c r="I188" s="2425"/>
      <c r="J188" s="2425"/>
      <c r="K188" s="2425"/>
      <c r="L188" s="2425"/>
      <c r="M188" s="2425"/>
      <c r="N188" s="2425"/>
      <c r="O188" s="2425"/>
      <c r="P188" s="2425"/>
      <c r="Q188" s="2425"/>
      <c r="R188" s="2425"/>
      <c r="S188" s="2425"/>
      <c r="T188" s="2425"/>
      <c r="U188" s="2425"/>
      <c r="V188" s="2425"/>
      <c r="W188" s="2425"/>
      <c r="X188" s="2425"/>
      <c r="Y188" s="2425"/>
      <c r="Z188" s="2425"/>
      <c r="AA188" s="2425"/>
      <c r="AB188" s="2425"/>
      <c r="AC188" s="2425"/>
      <c r="AD188" s="2425"/>
      <c r="AE188" s="2425"/>
      <c r="AF188" s="25"/>
      <c r="AH188" s="25"/>
      <c r="AJ188" s="3"/>
      <c r="AK188" s="3"/>
      <c r="AL188" s="3"/>
      <c r="AM188" s="679"/>
      <c r="AN188" s="679"/>
      <c r="AO188" s="679"/>
      <c r="AP188" s="679"/>
      <c r="AQ188" s="679"/>
      <c r="AR188" s="679"/>
      <c r="AS188" s="679"/>
      <c r="AT188" s="679"/>
      <c r="AU188" s="679"/>
      <c r="AV188" s="679"/>
      <c r="AW188" s="679"/>
      <c r="AX188" s="679"/>
      <c r="AY188" s="679"/>
      <c r="BN188" s="36" t="s">
        <v>240</v>
      </c>
      <c r="BT188" s="12" t="s">
        <v>69</v>
      </c>
    </row>
    <row r="189" spans="1:96" ht="13">
      <c r="A189" s="25"/>
      <c r="C189" s="45"/>
      <c r="D189" s="25" t="s">
        <v>613</v>
      </c>
      <c r="E189" s="25"/>
      <c r="I189" s="2003" t="s">
        <v>769</v>
      </c>
      <c r="J189" s="2003"/>
      <c r="K189" s="2003"/>
      <c r="L189" s="2003"/>
      <c r="M189" s="2003"/>
      <c r="N189" s="2003"/>
      <c r="O189" s="2003"/>
      <c r="P189" s="2003"/>
      <c r="Q189" s="25" t="s">
        <v>615</v>
      </c>
      <c r="T189" s="2003" t="s">
        <v>769</v>
      </c>
      <c r="U189" s="2003"/>
      <c r="V189" s="2003"/>
      <c r="W189" s="2003"/>
      <c r="X189" s="2003"/>
      <c r="Y189" s="2003"/>
      <c r="Z189" s="2003"/>
      <c r="AA189" s="2003"/>
      <c r="AB189" s="2003"/>
      <c r="AC189" s="2003"/>
      <c r="AD189" s="2003"/>
      <c r="AE189" s="2003"/>
      <c r="AH189" s="25"/>
      <c r="AJ189" s="3"/>
      <c r="AK189" s="3"/>
      <c r="AL189" s="3"/>
      <c r="AM189" s="679"/>
      <c r="AN189" s="679"/>
      <c r="AO189" s="679"/>
      <c r="AP189" s="679"/>
      <c r="AQ189" s="679"/>
      <c r="AR189" s="679"/>
      <c r="AS189" s="679"/>
      <c r="AT189" s="679"/>
      <c r="AU189" s="679"/>
      <c r="AV189" s="679"/>
      <c r="AW189" s="679"/>
      <c r="AX189" s="679"/>
      <c r="AY189" s="679"/>
      <c r="BC189" s="717" t="s">
        <v>315</v>
      </c>
      <c r="BH189" s="58" t="s">
        <v>624</v>
      </c>
      <c r="BN189" s="36" t="s">
        <v>241</v>
      </c>
      <c r="BT189" s="12" t="s">
        <v>70</v>
      </c>
    </row>
    <row r="190" spans="1:96" ht="13">
      <c r="A190" s="25"/>
      <c r="C190" s="46"/>
      <c r="D190" s="25" t="s">
        <v>616</v>
      </c>
      <c r="E190" s="25"/>
      <c r="F190" s="25"/>
      <c r="G190" s="25"/>
      <c r="I190" s="2005">
        <v>94102</v>
      </c>
      <c r="J190" s="2005"/>
      <c r="K190" s="2005"/>
      <c r="L190" s="2005"/>
      <c r="M190" s="2005"/>
      <c r="N190" s="2005"/>
      <c r="O190" s="25" t="s">
        <v>618</v>
      </c>
      <c r="P190" s="25"/>
      <c r="Q190" s="25"/>
      <c r="R190" s="25"/>
      <c r="S190" s="25"/>
      <c r="T190" s="2438">
        <v>124.05</v>
      </c>
      <c r="U190" s="2438"/>
      <c r="V190" s="2438"/>
      <c r="W190" s="2438"/>
      <c r="X190" s="2438"/>
      <c r="Y190" s="2438"/>
      <c r="Z190" s="2438"/>
      <c r="AA190" s="2438"/>
      <c r="AB190" s="2438"/>
      <c r="AC190" s="2438"/>
      <c r="AD190" s="2438"/>
      <c r="AE190" s="2438"/>
      <c r="AF190" s="25"/>
      <c r="AH190" s="25"/>
      <c r="AJ190" s="3"/>
      <c r="AK190" s="3"/>
      <c r="AL190" s="3"/>
      <c r="AM190" s="679"/>
      <c r="AN190" s="679"/>
      <c r="AO190" s="679"/>
      <c r="AP190" s="679"/>
      <c r="AQ190" s="679"/>
      <c r="AR190" s="679"/>
      <c r="AS190" s="679"/>
      <c r="AT190" s="679"/>
      <c r="AU190" s="679"/>
      <c r="AV190" s="679"/>
      <c r="AW190" s="679"/>
      <c r="AX190" s="679"/>
      <c r="AY190" s="679"/>
      <c r="BC190" s="717" t="s">
        <v>1148</v>
      </c>
      <c r="BH190" s="717" t="s">
        <v>1148</v>
      </c>
      <c r="BN190" s="36" t="s">
        <v>668</v>
      </c>
      <c r="BT190" s="12" t="s">
        <v>71</v>
      </c>
    </row>
    <row r="191" spans="1:96" ht="13">
      <c r="A191" s="25"/>
      <c r="C191" s="46"/>
      <c r="D191" s="25" t="s">
        <v>493</v>
      </c>
      <c r="E191" s="25"/>
      <c r="F191" s="25"/>
      <c r="G191" s="25"/>
      <c r="H191" s="25"/>
      <c r="I191" s="25"/>
      <c r="J191" s="25"/>
      <c r="K191" s="25"/>
      <c r="L191" s="25"/>
      <c r="M191" s="25"/>
      <c r="N191" s="2424" t="s">
        <v>2490</v>
      </c>
      <c r="O191" s="2424"/>
      <c r="P191" s="2424"/>
      <c r="Q191" s="2424"/>
      <c r="R191" s="2424"/>
      <c r="S191" s="2424"/>
      <c r="T191" s="2424"/>
      <c r="U191" s="2424"/>
      <c r="V191" s="2424"/>
      <c r="W191" s="2424"/>
      <c r="X191" s="2424"/>
      <c r="Y191" s="2424"/>
      <c r="Z191" s="2424"/>
      <c r="AA191" s="2424"/>
      <c r="AB191" s="2424"/>
      <c r="AC191" s="2424"/>
      <c r="AD191" s="2424"/>
      <c r="AE191" s="2424"/>
      <c r="AF191" s="25"/>
      <c r="AH191" s="25"/>
      <c r="AJ191" s="3"/>
      <c r="AK191" s="3"/>
      <c r="AL191" s="3"/>
      <c r="AM191" s="679"/>
      <c r="AN191" s="679"/>
      <c r="AO191" s="679"/>
      <c r="AP191" s="679"/>
      <c r="AQ191" s="679"/>
      <c r="AR191" s="679"/>
      <c r="AS191" s="679"/>
      <c r="AT191" s="679"/>
      <c r="AU191" s="679"/>
      <c r="AV191" s="679"/>
      <c r="AW191" s="679"/>
      <c r="AX191" s="679"/>
      <c r="AY191" s="679"/>
      <c r="BC191" s="717" t="s">
        <v>1147</v>
      </c>
      <c r="BH191" s="717" t="s">
        <v>1147</v>
      </c>
      <c r="BN191" s="36" t="s">
        <v>724</v>
      </c>
      <c r="BT191" s="12" t="s">
        <v>766</v>
      </c>
    </row>
    <row r="192" spans="1:96" ht="13">
      <c r="A192" s="25"/>
      <c r="C192" s="46"/>
      <c r="D192" s="25"/>
      <c r="E192" s="25"/>
      <c r="F192" s="25"/>
      <c r="G192" s="25"/>
      <c r="H192" s="25"/>
      <c r="I192" s="25"/>
      <c r="J192" s="25"/>
      <c r="K192" s="25"/>
      <c r="L192" s="25"/>
      <c r="M192" s="170"/>
      <c r="N192" s="2425"/>
      <c r="O192" s="2425"/>
      <c r="P192" s="2425"/>
      <c r="Q192" s="2425"/>
      <c r="R192" s="2425"/>
      <c r="S192" s="2425"/>
      <c r="T192" s="2425"/>
      <c r="U192" s="2425"/>
      <c r="V192" s="2425"/>
      <c r="W192" s="2425"/>
      <c r="X192" s="2425"/>
      <c r="Y192" s="2425"/>
      <c r="Z192" s="2425"/>
      <c r="AA192" s="2425"/>
      <c r="AB192" s="2425"/>
      <c r="AC192" s="2425"/>
      <c r="AD192" s="2425"/>
      <c r="AE192" s="2425"/>
      <c r="AF192" s="25"/>
      <c r="AH192" s="25"/>
      <c r="AJ192" s="3"/>
      <c r="AK192" s="3"/>
      <c r="AL192" s="3"/>
      <c r="AM192" s="679"/>
      <c r="AN192" s="679"/>
      <c r="AO192" s="679"/>
      <c r="AP192" s="679"/>
      <c r="AQ192" s="679"/>
      <c r="AR192" s="679"/>
      <c r="AS192" s="679"/>
      <c r="AT192" s="679"/>
      <c r="AU192" s="679"/>
      <c r="AV192" s="679"/>
      <c r="AW192" s="679"/>
      <c r="AX192" s="679"/>
      <c r="AY192" s="679"/>
      <c r="BC192" s="717" t="s">
        <v>1150</v>
      </c>
      <c r="BH192" s="58" t="s">
        <v>1929</v>
      </c>
      <c r="BN192" s="36" t="s">
        <v>725</v>
      </c>
      <c r="BT192" s="12" t="s">
        <v>767</v>
      </c>
    </row>
    <row r="193" spans="1:96" ht="13">
      <c r="A193" s="25"/>
      <c r="B193" s="717"/>
      <c r="C193" s="46"/>
      <c r="D193" s="685" t="s">
        <v>1965</v>
      </c>
      <c r="E193" s="25"/>
      <c r="F193" s="25"/>
      <c r="G193" s="25"/>
      <c r="H193" s="25"/>
      <c r="I193" s="25"/>
      <c r="J193" s="25"/>
      <c r="K193" s="25"/>
      <c r="L193" s="25"/>
      <c r="M193" s="170"/>
      <c r="N193" s="1468"/>
      <c r="O193" s="1468"/>
      <c r="P193" s="1468"/>
      <c r="Q193" s="1468"/>
      <c r="R193" s="1468"/>
      <c r="S193" s="1468"/>
      <c r="T193" s="2422" t="s">
        <v>2491</v>
      </c>
      <c r="U193" s="2422"/>
      <c r="V193" s="2422"/>
      <c r="W193" s="2422"/>
      <c r="X193" s="2422"/>
      <c r="Y193" s="2422"/>
      <c r="Z193" s="2422"/>
      <c r="AA193" s="2422"/>
      <c r="AB193" s="2422"/>
      <c r="AC193" s="2422"/>
      <c r="AD193" s="2422"/>
      <c r="AE193" s="2422"/>
      <c r="AF193" s="2422"/>
      <c r="AG193" s="2422"/>
      <c r="AH193" s="2422"/>
      <c r="AI193" s="2422"/>
      <c r="AJ193" s="679"/>
      <c r="AK193" s="679"/>
      <c r="AL193" s="679"/>
      <c r="AM193" s="679"/>
      <c r="AN193" s="679"/>
      <c r="AO193" s="679"/>
      <c r="AP193" s="679"/>
      <c r="AQ193" s="679"/>
      <c r="AR193" s="679"/>
      <c r="AS193" s="679"/>
      <c r="AT193" s="679"/>
      <c r="AU193" s="679"/>
      <c r="AV193" s="679"/>
      <c r="AW193" s="679"/>
      <c r="AX193" s="679"/>
      <c r="AY193" s="679"/>
      <c r="BC193" s="717" t="s">
        <v>1149</v>
      </c>
      <c r="BH193" s="58" t="s">
        <v>1930</v>
      </c>
      <c r="BN193" s="36" t="s">
        <v>726</v>
      </c>
      <c r="BT193" s="12" t="s">
        <v>768</v>
      </c>
    </row>
    <row r="194" spans="1:96" ht="13">
      <c r="A194" s="25"/>
      <c r="C194" s="46"/>
      <c r="D194" s="25" t="s">
        <v>339</v>
      </c>
      <c r="E194" s="25"/>
      <c r="F194" s="25"/>
      <c r="G194" s="25"/>
      <c r="H194" s="25"/>
      <c r="I194" s="25"/>
      <c r="J194" s="25"/>
      <c r="K194" s="25"/>
      <c r="L194" s="25"/>
      <c r="M194" s="25"/>
      <c r="N194" s="25"/>
      <c r="O194" s="25"/>
      <c r="P194" s="25"/>
      <c r="Q194" s="25"/>
      <c r="R194" s="25"/>
      <c r="T194" s="1991" t="s">
        <v>704</v>
      </c>
      <c r="U194" s="1991"/>
      <c r="W194" s="25" t="s">
        <v>720</v>
      </c>
      <c r="X194" s="25"/>
      <c r="Y194" s="25"/>
      <c r="Z194" s="25"/>
      <c r="AA194" s="25"/>
      <c r="AB194" s="25"/>
      <c r="AC194" s="25"/>
      <c r="AD194" s="25"/>
      <c r="AE194" s="25"/>
      <c r="AF194" s="25"/>
      <c r="AG194" s="25"/>
      <c r="AH194" s="1991">
        <v>12</v>
      </c>
      <c r="AI194" s="1991"/>
      <c r="AJ194" s="3"/>
      <c r="AK194" s="3"/>
      <c r="AL194" s="3"/>
      <c r="AM194" s="679"/>
      <c r="AN194" s="679"/>
      <c r="AO194" s="679"/>
      <c r="AP194" s="679"/>
      <c r="AQ194" s="679"/>
      <c r="AR194" s="679"/>
      <c r="AS194" s="679"/>
      <c r="AT194" s="679"/>
      <c r="AU194" s="679"/>
      <c r="AV194" s="679"/>
      <c r="AW194" s="679"/>
      <c r="AX194" s="679"/>
      <c r="AY194" s="679"/>
      <c r="BC194" s="717" t="s">
        <v>1627</v>
      </c>
      <c r="BN194" s="36" t="s">
        <v>727</v>
      </c>
      <c r="BT194" s="12" t="s">
        <v>769</v>
      </c>
    </row>
    <row r="195" spans="1:96" s="717" customFormat="1" ht="13">
      <c r="A195" s="25"/>
      <c r="B195" s="12"/>
      <c r="C195" s="46"/>
      <c r="D195" s="25" t="s">
        <v>403</v>
      </c>
      <c r="E195" s="25"/>
      <c r="F195" s="25"/>
      <c r="G195" s="25"/>
      <c r="H195" s="25"/>
      <c r="I195" s="25"/>
      <c r="J195" s="25"/>
      <c r="K195" s="25"/>
      <c r="L195" s="25"/>
      <c r="M195" s="25"/>
      <c r="N195" s="25"/>
      <c r="O195" s="25"/>
      <c r="P195" s="25"/>
      <c r="Q195" s="25"/>
      <c r="R195" s="25"/>
      <c r="S195" s="12"/>
      <c r="T195" s="2136" t="s">
        <v>576</v>
      </c>
      <c r="U195" s="2136"/>
      <c r="V195" s="12"/>
      <c r="W195" s="25" t="s">
        <v>721</v>
      </c>
      <c r="X195" s="25"/>
      <c r="Y195" s="25"/>
      <c r="Z195" s="25"/>
      <c r="AA195" s="25"/>
      <c r="AB195" s="25"/>
      <c r="AC195" s="25"/>
      <c r="AD195" s="25"/>
      <c r="AE195" s="25"/>
      <c r="AF195" s="25"/>
      <c r="AG195" s="25"/>
      <c r="AH195" s="1991">
        <v>17</v>
      </c>
      <c r="AI195" s="1991"/>
      <c r="AJ195" s="3"/>
      <c r="AK195" s="3"/>
      <c r="AL195" s="3"/>
      <c r="AM195" s="679"/>
      <c r="AN195" s="679"/>
      <c r="AO195" s="679"/>
      <c r="AP195" s="679"/>
      <c r="AQ195" s="679"/>
      <c r="AR195" s="679"/>
      <c r="AS195" s="679"/>
      <c r="AT195" s="679"/>
      <c r="AU195" s="679"/>
      <c r="AV195" s="679"/>
      <c r="AW195" s="679"/>
      <c r="AX195" s="679"/>
      <c r="AY195" s="679"/>
      <c r="BC195" s="717" t="s">
        <v>2300</v>
      </c>
      <c r="BN195" s="36" t="s">
        <v>247</v>
      </c>
      <c r="BT195" s="12" t="s">
        <v>770</v>
      </c>
      <c r="CR195" s="25"/>
    </row>
    <row r="196" spans="1:96" ht="13">
      <c r="A196" s="25"/>
      <c r="C196" s="46"/>
      <c r="D196" s="177" t="s">
        <v>173</v>
      </c>
      <c r="E196" s="25"/>
      <c r="F196" s="25"/>
      <c r="G196" s="25"/>
      <c r="H196" s="25"/>
      <c r="I196" s="25"/>
      <c r="J196" s="25"/>
      <c r="K196" s="25"/>
      <c r="L196" s="25"/>
      <c r="M196" s="25"/>
      <c r="N196" s="25"/>
      <c r="O196" s="25"/>
      <c r="P196" s="25"/>
      <c r="Q196" s="25"/>
      <c r="R196" s="25"/>
      <c r="T196" s="2136" t="s">
        <v>704</v>
      </c>
      <c r="U196" s="2136"/>
      <c r="W196" s="25" t="s">
        <v>722</v>
      </c>
      <c r="X196" s="25"/>
      <c r="Y196" s="25"/>
      <c r="Z196" s="25"/>
      <c r="AA196" s="25"/>
      <c r="AB196" s="25"/>
      <c r="AC196" s="25"/>
      <c r="AD196" s="25"/>
      <c r="AE196" s="25"/>
      <c r="AF196" s="25"/>
      <c r="AG196" s="25"/>
      <c r="AH196" s="1991">
        <v>11</v>
      </c>
      <c r="AI196" s="1991"/>
      <c r="AJ196" s="3"/>
      <c r="AK196" s="3"/>
      <c r="AL196" s="3"/>
      <c r="AM196" s="679"/>
      <c r="AN196" s="679"/>
      <c r="AO196" s="679"/>
      <c r="AP196" s="679"/>
      <c r="AQ196" s="679"/>
      <c r="AR196" s="679"/>
      <c r="AS196" s="679"/>
      <c r="AT196" s="679"/>
      <c r="AU196" s="679"/>
      <c r="AV196" s="679"/>
      <c r="AW196" s="679"/>
      <c r="AX196" s="679"/>
      <c r="AY196" s="679"/>
      <c r="BN196" s="36" t="s">
        <v>248</v>
      </c>
      <c r="BT196" s="12" t="s">
        <v>72</v>
      </c>
    </row>
    <row r="197" spans="1:96" ht="12.75" customHeight="1">
      <c r="A197" s="25"/>
      <c r="B197" s="717"/>
      <c r="C197" s="46"/>
      <c r="D197" s="240" t="s">
        <v>1957</v>
      </c>
      <c r="E197" s="25"/>
      <c r="F197" s="25"/>
      <c r="G197" s="25"/>
      <c r="H197" s="25"/>
      <c r="I197" s="25"/>
      <c r="J197" s="25"/>
      <c r="K197" s="25"/>
      <c r="L197" s="25"/>
      <c r="M197" s="25"/>
      <c r="N197" s="25"/>
      <c r="O197" s="25"/>
      <c r="P197" s="25"/>
      <c r="Q197" s="25"/>
      <c r="R197" s="25"/>
      <c r="S197" s="717"/>
      <c r="T197" s="2136" t="s">
        <v>624</v>
      </c>
      <c r="U197" s="2136"/>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315</v>
      </c>
      <c r="BD197" s="678"/>
      <c r="BN197" s="36" t="s">
        <v>249</v>
      </c>
      <c r="BT197" s="12" t="s">
        <v>73</v>
      </c>
    </row>
    <row r="198" spans="1:96" s="51" customFormat="1" ht="12.75" customHeight="1">
      <c r="A198" s="25"/>
      <c r="B198" s="12"/>
      <c r="C198" s="46"/>
      <c r="D198" s="177" t="s">
        <v>1411</v>
      </c>
      <c r="E198" s="25"/>
      <c r="F198" s="25"/>
      <c r="G198" s="25"/>
      <c r="H198" s="25"/>
      <c r="I198" s="25"/>
      <c r="J198" s="25"/>
      <c r="K198" s="25"/>
      <c r="L198" s="25"/>
      <c r="M198" s="25"/>
      <c r="N198" s="25"/>
      <c r="O198" s="25"/>
      <c r="P198" s="25"/>
      <c r="Q198" s="25"/>
      <c r="R198" s="25"/>
      <c r="S198" s="12"/>
      <c r="T198" s="12"/>
      <c r="U198" s="12"/>
      <c r="V198" s="12"/>
      <c r="W198" s="25"/>
      <c r="X198" s="25"/>
      <c r="Y198" s="1991" t="s">
        <v>704</v>
      </c>
      <c r="Z198" s="1991"/>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938</v>
      </c>
      <c r="BD198" s="678"/>
      <c r="BE198" s="21"/>
      <c r="BF198" s="21"/>
      <c r="BN198" s="36" t="s">
        <v>734</v>
      </c>
      <c r="BO198" s="12"/>
      <c r="BP198" s="12"/>
      <c r="BQ198" s="12"/>
      <c r="BR198" s="12"/>
      <c r="BS198" s="12"/>
      <c r="BT198" s="12" t="s">
        <v>196</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7"/>
      <c r="AI199" s="1687"/>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937</v>
      </c>
      <c r="BD199" s="715"/>
      <c r="BE199" s="21"/>
      <c r="BF199" s="21"/>
      <c r="BN199" s="36" t="s">
        <v>735</v>
      </c>
      <c r="BO199" s="717"/>
      <c r="BP199" s="717"/>
      <c r="BQ199" s="717"/>
      <c r="BR199" s="717"/>
      <c r="BS199" s="717"/>
      <c r="BT199" s="54" t="s">
        <v>197</v>
      </c>
      <c r="BU199" s="717"/>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1173</v>
      </c>
      <c r="BD200" s="681"/>
      <c r="BE200" s="21"/>
      <c r="BF200" s="21"/>
      <c r="BN200" s="36" t="s">
        <v>736</v>
      </c>
      <c r="BO200" s="12"/>
      <c r="BP200" s="12"/>
      <c r="BQ200" s="12"/>
      <c r="BR200" s="12"/>
      <c r="BS200" s="12"/>
      <c r="BT200" s="54" t="s">
        <v>198</v>
      </c>
      <c r="BU200" s="12"/>
      <c r="CR200" s="112"/>
    </row>
    <row r="201" spans="1:96" s="51" customFormat="1" ht="13">
      <c r="A201" s="25"/>
      <c r="B201" s="12"/>
      <c r="C201" s="46"/>
      <c r="D201" s="911"/>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644</v>
      </c>
      <c r="BD201" s="681"/>
      <c r="BE201" s="21"/>
      <c r="BF201" s="21"/>
      <c r="BN201" s="36" t="s">
        <v>737</v>
      </c>
      <c r="BO201" s="53"/>
      <c r="BP201" s="54"/>
      <c r="BQ201" s="54"/>
      <c r="BR201" s="54"/>
      <c r="BS201" s="54"/>
      <c r="BT201" s="55" t="s">
        <v>199</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1174</v>
      </c>
      <c r="BD202" s="681"/>
      <c r="BN202" s="36" t="s">
        <v>738</v>
      </c>
      <c r="BO202" s="51"/>
      <c r="BP202" s="54"/>
      <c r="BQ202" s="54"/>
      <c r="BR202" s="54"/>
      <c r="BS202" s="54"/>
      <c r="BT202" s="55" t="s">
        <v>200</v>
      </c>
    </row>
    <row r="203" spans="1:96" ht="12.75" customHeight="1">
      <c r="A203" s="25"/>
      <c r="C203" s="25"/>
      <c r="D203" s="1984" t="s">
        <v>402</v>
      </c>
      <c r="E203" s="1984"/>
      <c r="F203" s="1984"/>
      <c r="G203" s="1984"/>
      <c r="H203" s="1984"/>
      <c r="I203" s="1984"/>
      <c r="J203" s="1984"/>
      <c r="K203" s="1984"/>
      <c r="L203" s="1984"/>
      <c r="M203" s="1984"/>
      <c r="P203" s="2434">
        <f>M26</f>
        <v>3890456</v>
      </c>
      <c r="Q203" s="2420"/>
      <c r="R203" s="2420"/>
      <c r="S203" s="2420"/>
      <c r="T203" s="2420"/>
      <c r="U203" s="2420"/>
      <c r="V203" s="25"/>
      <c r="W203" s="25"/>
      <c r="X203" s="25"/>
      <c r="Y203" s="25"/>
      <c r="Z203" s="2418" t="s">
        <v>1377</v>
      </c>
      <c r="AA203" s="2418"/>
      <c r="AB203" s="2418"/>
      <c r="AC203" s="2418"/>
      <c r="AD203" s="2418"/>
      <c r="AE203" s="2418"/>
      <c r="AF203" s="2418"/>
      <c r="AG203" s="25"/>
      <c r="AH203" s="25"/>
      <c r="AI203" s="25"/>
      <c r="AJ203" s="3"/>
      <c r="AK203" s="3"/>
      <c r="AL203" s="3"/>
      <c r="AM203" s="679"/>
      <c r="AN203" s="679"/>
      <c r="AO203" s="679"/>
      <c r="AP203" s="679"/>
      <c r="AQ203" s="679"/>
      <c r="AR203" s="679"/>
      <c r="AS203" s="679"/>
      <c r="AT203" s="679"/>
      <c r="AU203" s="679"/>
      <c r="AV203" s="679"/>
      <c r="AW203" s="679"/>
      <c r="AX203" s="679"/>
      <c r="AY203" s="679"/>
      <c r="BC203" s="679" t="s">
        <v>1175</v>
      </c>
      <c r="BD203" s="678"/>
      <c r="BN203" s="36" t="s">
        <v>739</v>
      </c>
      <c r="BO203" s="51"/>
      <c r="BP203" s="54"/>
      <c r="BQ203" s="54"/>
      <c r="BR203" s="54"/>
      <c r="BS203" s="55"/>
      <c r="BT203" s="55" t="s">
        <v>201</v>
      </c>
    </row>
    <row r="204" spans="1:96" ht="12.75" customHeight="1">
      <c r="A204" s="25"/>
      <c r="C204" s="45"/>
      <c r="D204" s="2423" t="s">
        <v>1470</v>
      </c>
      <c r="E204" s="1984"/>
      <c r="F204" s="1984"/>
      <c r="G204" s="1984"/>
      <c r="H204" s="1984"/>
      <c r="I204" s="1984"/>
      <c r="J204" s="1984"/>
      <c r="K204" s="1984"/>
      <c r="L204" s="1984"/>
      <c r="M204" s="1984"/>
      <c r="P204" s="2420">
        <f>M27</f>
        <v>0</v>
      </c>
      <c r="Q204" s="2420"/>
      <c r="R204" s="2420"/>
      <c r="S204" s="2420"/>
      <c r="T204" s="2420"/>
      <c r="U204" s="2420"/>
      <c r="V204" s="47"/>
      <c r="W204" s="58" t="s">
        <v>2136</v>
      </c>
      <c r="Z204" s="2418"/>
      <c r="AA204" s="2418"/>
      <c r="AB204" s="2418"/>
      <c r="AC204" s="2418"/>
      <c r="AD204" s="2418"/>
      <c r="AE204" s="2418"/>
      <c r="AF204" s="2418"/>
      <c r="AG204" s="25" t="s">
        <v>1471</v>
      </c>
      <c r="AH204" s="25"/>
      <c r="AI204" s="25"/>
      <c r="AJ204" s="25"/>
      <c r="AK204" s="25"/>
      <c r="AL204" s="25"/>
      <c r="AM204" s="25"/>
      <c r="AN204" s="25"/>
      <c r="AO204" s="25"/>
      <c r="AP204" s="1991" t="s">
        <v>704</v>
      </c>
      <c r="AQ204" s="1991"/>
      <c r="AR204" s="679"/>
      <c r="AS204" s="679"/>
      <c r="AT204" s="679"/>
      <c r="AU204" s="679"/>
      <c r="AV204" s="679"/>
      <c r="AW204" s="679"/>
      <c r="AX204" s="679"/>
      <c r="AY204" s="679"/>
      <c r="BC204" s="682" t="s">
        <v>643</v>
      </c>
      <c r="BD204" s="678"/>
      <c r="BN204" s="36" t="s">
        <v>740</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19"/>
      <c r="AA205" s="2419"/>
      <c r="AB205" s="2419"/>
      <c r="AC205" s="2419"/>
      <c r="AD205" s="2419"/>
      <c r="AE205" s="2419"/>
      <c r="AF205" s="2419"/>
      <c r="AH205" s="25"/>
      <c r="AJ205" s="3"/>
      <c r="AK205" s="3"/>
      <c r="AL205" s="3"/>
      <c r="AM205" s="679"/>
      <c r="AN205" s="679"/>
      <c r="AO205" s="679"/>
      <c r="AP205" s="679"/>
      <c r="AQ205" s="679"/>
      <c r="AR205" s="679"/>
      <c r="AS205" s="679"/>
      <c r="AT205" s="679"/>
      <c r="AU205" s="679"/>
      <c r="AV205" s="679"/>
      <c r="AW205" s="679"/>
      <c r="AX205" s="679"/>
      <c r="AY205" s="679"/>
      <c r="BC205" s="682" t="s">
        <v>1132</v>
      </c>
      <c r="BD205" s="678"/>
      <c r="BN205" s="36" t="s">
        <v>114</v>
      </c>
      <c r="BT205" s="55" t="s">
        <v>178</v>
      </c>
      <c r="BU205" s="51"/>
    </row>
    <row r="206" spans="1:96" ht="13">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1176</v>
      </c>
      <c r="BD206" s="678"/>
      <c r="BN206" s="36" t="s">
        <v>115</v>
      </c>
      <c r="BT206" s="55" t="s">
        <v>203</v>
      </c>
      <c r="BU206" s="56"/>
    </row>
    <row r="207" spans="1:96" ht="13">
      <c r="A207" s="25"/>
      <c r="C207" s="45"/>
      <c r="D207" s="2282" t="s">
        <v>2492</v>
      </c>
      <c r="E207" s="2282"/>
      <c r="F207" s="2282"/>
      <c r="G207" s="2282"/>
      <c r="H207" s="2282"/>
      <c r="I207" s="2282"/>
      <c r="J207" s="2282"/>
      <c r="K207" s="2282"/>
      <c r="L207" s="2282"/>
      <c r="M207" s="228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1420</v>
      </c>
      <c r="BD207" s="678"/>
      <c r="BN207" s="36" t="s">
        <v>48</v>
      </c>
      <c r="BT207" s="55" t="s">
        <v>204</v>
      </c>
    </row>
    <row r="208" spans="1:96" ht="13">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1177</v>
      </c>
      <c r="BD208" s="678"/>
      <c r="BN208" s="36" t="s">
        <v>49</v>
      </c>
      <c r="BT208" s="55" t="s">
        <v>205</v>
      </c>
    </row>
    <row r="209" spans="1:96" ht="13">
      <c r="A209" s="50" t="s">
        <v>623</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694</v>
      </c>
      <c r="BD209" s="678"/>
      <c r="BN209" s="36" t="s">
        <v>50</v>
      </c>
      <c r="BT209" s="55" t="s">
        <v>206</v>
      </c>
    </row>
    <row r="210" spans="1:96" ht="13">
      <c r="C210" s="45"/>
      <c r="D210" s="2282" t="s">
        <v>2300</v>
      </c>
      <c r="E210" s="2282"/>
      <c r="F210" s="2282"/>
      <c r="G210" s="2282"/>
      <c r="H210" s="2282"/>
      <c r="I210" s="2282"/>
      <c r="J210" s="2282"/>
      <c r="K210" s="2282"/>
      <c r="L210" s="2282"/>
      <c r="M210" s="2282"/>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207</v>
      </c>
    </row>
    <row r="211" spans="1:96" ht="13">
      <c r="A211" s="717"/>
      <c r="B211" s="717"/>
      <c r="C211" s="45"/>
      <c r="D211" s="717" t="s">
        <v>1456</v>
      </c>
      <c r="E211" s="717"/>
      <c r="F211" s="717"/>
      <c r="G211" s="717"/>
      <c r="H211" s="717"/>
      <c r="I211" s="717"/>
      <c r="J211" s="717"/>
      <c r="K211" s="717"/>
      <c r="L211" s="717"/>
      <c r="M211" s="717"/>
      <c r="N211" s="717"/>
      <c r="O211" s="717"/>
      <c r="P211" s="717"/>
      <c r="Q211" s="717"/>
      <c r="R211" s="717"/>
      <c r="S211" s="717"/>
      <c r="T211" s="717"/>
      <c r="U211" s="717"/>
      <c r="V211" s="717"/>
      <c r="W211" s="717"/>
      <c r="X211" s="717"/>
      <c r="Y211" s="1991"/>
      <c r="Z211" s="1991"/>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
      <c r="D212" s="58" t="s">
        <v>1928</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315</v>
      </c>
      <c r="BN212" s="36" t="s">
        <v>52</v>
      </c>
      <c r="BT212" s="55" t="s">
        <v>208</v>
      </c>
    </row>
    <row r="213" spans="1:96" s="717" customFormat="1" ht="13">
      <c r="D213" s="2514" t="s">
        <v>624</v>
      </c>
      <c r="E213" s="2514"/>
      <c r="F213" s="2514"/>
      <c r="G213" s="2514"/>
      <c r="H213" s="2514"/>
      <c r="I213" s="2514"/>
      <c r="J213" s="2514"/>
      <c r="K213" s="2514"/>
      <c r="L213" s="2514"/>
      <c r="M213" s="2514"/>
      <c r="N213" s="2514"/>
      <c r="O213" s="2514"/>
      <c r="P213" s="2514"/>
      <c r="Q213" s="2514"/>
      <c r="R213" s="2514"/>
      <c r="S213" s="2514"/>
      <c r="T213" s="2514"/>
      <c r="U213" s="2514"/>
      <c r="V213" s="2514"/>
      <c r="W213" s="2514"/>
      <c r="X213" s="2514"/>
      <c r="Y213" s="2514"/>
      <c r="Z213" s="2514"/>
      <c r="AG213" s="679"/>
      <c r="AJ213" s="679"/>
      <c r="AK213" s="679"/>
      <c r="AL213" s="679"/>
      <c r="AM213" s="679"/>
      <c r="AN213" s="679"/>
      <c r="AO213" s="679"/>
      <c r="AP213" s="679"/>
      <c r="AQ213" s="679"/>
      <c r="AR213" s="679"/>
      <c r="AS213" s="679"/>
      <c r="AT213" s="679"/>
      <c r="AU213" s="679"/>
      <c r="AV213" s="679"/>
      <c r="AW213" s="679"/>
      <c r="AX213" s="679"/>
      <c r="AY213" s="679"/>
      <c r="BC213" s="12" t="s">
        <v>557</v>
      </c>
      <c r="BN213" s="36" t="s">
        <v>53</v>
      </c>
      <c r="BT213" s="55" t="s">
        <v>209</v>
      </c>
      <c r="CR213" s="25"/>
    </row>
    <row r="214" spans="1:96" ht="13">
      <c r="A214" s="717"/>
      <c r="B214" s="717"/>
      <c r="C214" s="717"/>
      <c r="D214" s="58" t="s">
        <v>1958</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81"/>
      <c r="AC214" s="2481"/>
      <c r="AD214" s="2481"/>
      <c r="AE214" s="2481"/>
      <c r="AF214" s="2481"/>
      <c r="AG214" s="2481"/>
      <c r="AH214" s="2481"/>
      <c r="AI214" s="2481"/>
      <c r="AJ214" s="2481"/>
      <c r="AK214" s="2481"/>
      <c r="AL214" s="2481"/>
      <c r="AM214" s="46"/>
      <c r="AN214" s="46"/>
      <c r="AO214" s="46"/>
      <c r="AP214" s="46"/>
      <c r="AQ214" s="46"/>
      <c r="AR214" s="46"/>
      <c r="AS214" s="46"/>
      <c r="AT214" s="46"/>
      <c r="AU214" s="46"/>
      <c r="AV214" s="46"/>
      <c r="AW214" s="46"/>
      <c r="AX214" s="46"/>
      <c r="AY214" s="46"/>
      <c r="AZ214" s="717"/>
      <c r="BA214" s="717"/>
      <c r="BC214" s="12" t="s">
        <v>561</v>
      </c>
      <c r="BN214" s="36" t="s">
        <v>334</v>
      </c>
      <c r="BT214" s="55" t="s">
        <v>210</v>
      </c>
    </row>
    <row r="215" spans="1:96" s="717" customFormat="1" ht="12.75" customHeight="1">
      <c r="A215" s="12"/>
      <c r="B215" s="12"/>
      <c r="C215" s="12"/>
      <c r="D215" s="58" t="s">
        <v>1956</v>
      </c>
      <c r="Z215" s="69"/>
      <c r="AB215" s="2481"/>
      <c r="AC215" s="2481"/>
      <c r="AD215" s="2481"/>
      <c r="AE215" s="2481"/>
      <c r="AF215" s="2481"/>
      <c r="AG215" s="2481"/>
      <c r="AH215" s="2481"/>
      <c r="AI215" s="2481"/>
      <c r="AJ215" s="2481"/>
      <c r="AK215" s="2481"/>
      <c r="AL215" s="2481"/>
      <c r="AM215" s="46"/>
      <c r="AN215" s="46"/>
      <c r="AO215" s="46"/>
      <c r="AP215" s="46"/>
      <c r="AQ215" s="46"/>
      <c r="AR215" s="46"/>
      <c r="AS215" s="46"/>
      <c r="AT215" s="46"/>
      <c r="AU215" s="46"/>
      <c r="AV215" s="46"/>
      <c r="AW215" s="46"/>
      <c r="AX215" s="46"/>
      <c r="AY215" s="46"/>
      <c r="BC215" s="39" t="s">
        <v>558</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7" customFormat="1" ht="13">
      <c r="A217" s="502" t="s">
        <v>625</v>
      </c>
      <c r="B217" s="39"/>
      <c r="C217" s="502" t="s">
        <v>1429</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559</v>
      </c>
      <c r="CR217" s="25"/>
    </row>
    <row r="218" spans="1:96" ht="13">
      <c r="A218" s="50"/>
      <c r="C218" s="50"/>
      <c r="D218" s="7" t="s">
        <v>1080</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560</v>
      </c>
    </row>
    <row r="219" spans="1:96" s="39" customFormat="1" ht="12.75" customHeight="1">
      <c r="A219" s="50"/>
      <c r="B219" s="12"/>
      <c r="C219" s="50"/>
      <c r="D219" s="2282" t="s">
        <v>694</v>
      </c>
      <c r="E219" s="2282"/>
      <c r="F219" s="2282"/>
      <c r="G219" s="2282"/>
      <c r="H219" s="2282"/>
      <c r="I219" s="2282"/>
      <c r="J219" s="2282"/>
      <c r="K219" s="2282"/>
      <c r="L219" s="2282"/>
      <c r="M219" s="2282"/>
      <c r="N219" s="2282"/>
      <c r="O219" s="2282"/>
      <c r="P219" s="2282"/>
      <c r="Q219" s="2282"/>
      <c r="R219" s="2282"/>
      <c r="S219" s="2282"/>
      <c r="T219" s="2282"/>
      <c r="U219" s="2282"/>
      <c r="V219" s="2282"/>
      <c r="W219" s="2282"/>
      <c r="X219" s="2282"/>
      <c r="Y219" s="2282"/>
      <c r="Z219" s="2282"/>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3">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307</v>
      </c>
    </row>
    <row r="221" spans="1:96" ht="13">
      <c r="A221" s="2343" t="s">
        <v>571</v>
      </c>
      <c r="B221" s="2343"/>
      <c r="C221" s="2343"/>
      <c r="D221" s="2343"/>
      <c r="E221" s="2343"/>
      <c r="F221" s="2343"/>
      <c r="G221" s="2343"/>
      <c r="H221" s="2343"/>
      <c r="I221" s="2343"/>
      <c r="J221" s="2343"/>
      <c r="K221" s="2343"/>
      <c r="L221" s="2343"/>
      <c r="M221" s="2343"/>
      <c r="N221" s="2343"/>
      <c r="O221" s="2343"/>
      <c r="P221" s="2343"/>
      <c r="Q221" s="2343"/>
      <c r="R221" s="2343"/>
      <c r="S221" s="2343"/>
      <c r="T221" s="2343"/>
      <c r="U221" s="2343"/>
      <c r="V221" s="2343"/>
      <c r="W221" s="2343"/>
      <c r="X221" s="2343"/>
      <c r="Y221" s="2343"/>
      <c r="Z221" s="2343"/>
      <c r="AA221" s="2343"/>
      <c r="AB221" s="2343"/>
      <c r="AC221" s="2343"/>
      <c r="AD221" s="2343"/>
      <c r="AE221" s="2343"/>
      <c r="AF221" s="2343"/>
      <c r="AG221" s="2343"/>
      <c r="AH221" s="2343"/>
      <c r="AI221" s="2343"/>
      <c r="AJ221" s="2343"/>
      <c r="AK221" s="2343"/>
      <c r="AL221" s="2343"/>
      <c r="AM221" s="144"/>
      <c r="AN221" s="144"/>
      <c r="AO221" s="144"/>
      <c r="AP221" s="144"/>
      <c r="AQ221" s="144"/>
      <c r="AR221" s="144"/>
      <c r="AS221" s="144"/>
      <c r="AT221" s="144"/>
      <c r="AU221" s="144"/>
      <c r="AV221" s="144"/>
      <c r="AW221" s="144"/>
      <c r="AX221" s="144"/>
      <c r="AY221" s="144"/>
      <c r="BA221" s="58"/>
    </row>
    <row r="222" spans="1:96" ht="13.5" thickBot="1">
      <c r="A222" s="2344"/>
      <c r="B222" s="2344"/>
      <c r="C222" s="2344"/>
      <c r="D222" s="2344"/>
      <c r="E222" s="2344"/>
      <c r="F222" s="2344"/>
      <c r="G222" s="2344"/>
      <c r="H222" s="2344"/>
      <c r="I222" s="2344"/>
      <c r="J222" s="2344"/>
      <c r="K222" s="2344"/>
      <c r="L222" s="2344"/>
      <c r="M222" s="2344"/>
      <c r="N222" s="2344"/>
      <c r="O222" s="2344"/>
      <c r="P222" s="2344"/>
      <c r="Q222" s="2344"/>
      <c r="R222" s="2344"/>
      <c r="S222" s="2344"/>
      <c r="T222" s="2344"/>
      <c r="U222" s="2344"/>
      <c r="V222" s="2344"/>
      <c r="W222" s="2344"/>
      <c r="X222" s="2344"/>
      <c r="Y222" s="2344"/>
      <c r="Z222" s="2344"/>
      <c r="AA222" s="2344"/>
      <c r="AB222" s="2344"/>
      <c r="AC222" s="2344"/>
      <c r="AD222" s="2344"/>
      <c r="AE222" s="2344"/>
      <c r="AF222" s="2344"/>
      <c r="AG222" s="2344"/>
      <c r="AH222" s="2344"/>
      <c r="AI222" s="2344"/>
      <c r="AJ222" s="2344"/>
      <c r="AK222" s="2344"/>
      <c r="AL222" s="2344"/>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327</v>
      </c>
      <c r="B224" s="50"/>
      <c r="C224" s="50" t="s">
        <v>1368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1" t="s">
        <v>624</v>
      </c>
      <c r="AJ225" s="1991"/>
      <c r="AL225" s="58"/>
      <c r="AM225" s="239"/>
      <c r="AN225" s="239"/>
      <c r="AO225" s="239"/>
      <c r="AP225" s="239"/>
      <c r="AQ225" s="239"/>
      <c r="AR225" s="239"/>
      <c r="AS225" s="239"/>
      <c r="AT225" s="239"/>
      <c r="AU225" s="239"/>
      <c r="AV225" s="239"/>
      <c r="AW225" s="239"/>
      <c r="AX225" s="239"/>
      <c r="AY225" s="239"/>
      <c r="BO225" s="61"/>
    </row>
    <row r="226" spans="1:69" ht="12.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1" t="s">
        <v>624</v>
      </c>
      <c r="AJ226" s="1991"/>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1" t="s">
        <v>576</v>
      </c>
      <c r="AJ227" s="1991"/>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1" t="s">
        <v>624</v>
      </c>
      <c r="AJ228" s="1991"/>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0</v>
      </c>
      <c r="BO229" s="61"/>
    </row>
    <row r="230" spans="1:69" ht="13">
      <c r="A230" s="50" t="s">
        <v>609</v>
      </c>
      <c r="B230" s="30"/>
      <c r="C230" s="50" t="s">
        <v>1369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5">
      <c r="D231" s="57" t="s">
        <v>501</v>
      </c>
      <c r="E231" s="57"/>
      <c r="F231" s="57"/>
      <c r="G231" s="57"/>
      <c r="H231" s="57"/>
      <c r="I231" s="57"/>
      <c r="J231" s="57"/>
      <c r="K231" s="7"/>
      <c r="M231" s="2439" t="str">
        <f>H16</f>
        <v>The Kelsey Civic Center, L.P.</v>
      </c>
      <c r="N231" s="2439"/>
      <c r="O231" s="2439"/>
      <c r="P231" s="2439"/>
      <c r="Q231" s="2439"/>
      <c r="R231" s="2439"/>
      <c r="S231" s="2439"/>
      <c r="T231" s="2439"/>
      <c r="U231" s="2439"/>
      <c r="V231" s="2439"/>
      <c r="W231" s="2439"/>
      <c r="X231" s="2439"/>
      <c r="Y231" s="2439"/>
      <c r="Z231" s="2439"/>
      <c r="AA231" s="2439"/>
      <c r="AB231" s="2439"/>
      <c r="AC231" s="2439"/>
      <c r="AD231" s="2439"/>
      <c r="AE231" s="2439"/>
      <c r="AF231" s="2439"/>
      <c r="AG231" s="2439"/>
      <c r="AH231" s="2439"/>
      <c r="AI231" s="2439"/>
      <c r="AJ231" s="2439"/>
      <c r="AK231" s="2439"/>
      <c r="BA231" s="58"/>
      <c r="BB231" s="384"/>
      <c r="BG231" s="387"/>
      <c r="BQ231" s="61"/>
    </row>
    <row r="232" spans="1:69" ht="13">
      <c r="D232" s="57" t="s">
        <v>90</v>
      </c>
      <c r="E232" s="57"/>
      <c r="F232" s="57"/>
      <c r="G232" s="57"/>
      <c r="H232" s="57"/>
      <c r="I232" s="57"/>
      <c r="J232" s="57"/>
      <c r="K232" s="7"/>
      <c r="M232" s="2004" t="s">
        <v>2493</v>
      </c>
      <c r="N232" s="2004"/>
      <c r="O232" s="2004"/>
      <c r="P232" s="2004"/>
      <c r="Q232" s="2004"/>
      <c r="R232" s="2004"/>
      <c r="S232" s="2004"/>
      <c r="T232" s="2004"/>
      <c r="U232" s="2004"/>
      <c r="V232" s="2004"/>
      <c r="W232" s="2004"/>
      <c r="X232" s="2004"/>
      <c r="Y232" s="2004"/>
      <c r="Z232" s="2004"/>
      <c r="AA232" s="2004"/>
      <c r="AB232" s="2004"/>
      <c r="AC232" s="2004"/>
      <c r="AD232" s="2004"/>
      <c r="AE232" s="2004"/>
      <c r="AZ232" s="7"/>
      <c r="BA232" s="58"/>
      <c r="BB232" s="334" t="s">
        <v>569</v>
      </c>
      <c r="BG232" s="389">
        <f>IF(AND(AND($M$248="nonprofit",$M$256="nonprofit",$M$264="for profit")),2,0)</f>
        <v>0</v>
      </c>
      <c r="BQ232" s="61"/>
    </row>
    <row r="233" spans="1:69" ht="13">
      <c r="D233" s="57" t="s">
        <v>613</v>
      </c>
      <c r="E233" s="57"/>
      <c r="M233" s="2004" t="s">
        <v>769</v>
      </c>
      <c r="N233" s="2004"/>
      <c r="O233" s="2004"/>
      <c r="P233" s="2004"/>
      <c r="Q233" s="2004"/>
      <c r="R233" s="2004"/>
      <c r="S233" s="2004"/>
      <c r="T233" s="2004"/>
      <c r="V233" s="59" t="s">
        <v>91</v>
      </c>
      <c r="W233" s="1993" t="s">
        <v>2494</v>
      </c>
      <c r="X233" s="1992"/>
      <c r="Y233" s="57" t="s">
        <v>616</v>
      </c>
      <c r="AC233" s="2282">
        <v>94102</v>
      </c>
      <c r="AD233" s="2282"/>
      <c r="AE233" s="2282"/>
      <c r="BB233" s="334" t="s">
        <v>569</v>
      </c>
      <c r="BG233" s="389">
        <f>IF(AND(AND($M$248="nonprofit",$M$256="for profit",$M$264="nonprofit")),2,0)</f>
        <v>0</v>
      </c>
    </row>
    <row r="234" spans="1:69" ht="13">
      <c r="D234" s="60" t="s">
        <v>92</v>
      </c>
      <c r="E234" s="7"/>
      <c r="F234" s="7"/>
      <c r="G234" s="7"/>
      <c r="H234" s="7"/>
      <c r="I234" s="7"/>
      <c r="J234" s="7"/>
      <c r="K234" s="29"/>
      <c r="M234" s="2004" t="s">
        <v>2495</v>
      </c>
      <c r="N234" s="2282"/>
      <c r="O234" s="2282"/>
      <c r="P234" s="2282"/>
      <c r="Q234" s="2282"/>
      <c r="R234" s="2282"/>
      <c r="S234" s="2282"/>
      <c r="T234" s="2282"/>
      <c r="U234" s="2282"/>
      <c r="V234" s="2282"/>
      <c r="W234" s="2282"/>
      <c r="X234" s="2282"/>
      <c r="Y234" s="2282"/>
      <c r="Z234" s="2282"/>
      <c r="AA234" s="2282"/>
      <c r="AB234" s="2282"/>
      <c r="AC234" s="2282"/>
      <c r="AD234" s="2282"/>
      <c r="AE234" s="2282"/>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3">
      <c r="D235" s="60" t="s">
        <v>93</v>
      </c>
      <c r="E235" s="7"/>
      <c r="F235" s="7"/>
      <c r="M235" s="2008" t="s">
        <v>2496</v>
      </c>
      <c r="N235" s="2007"/>
      <c r="O235" s="2007"/>
      <c r="P235" s="2007"/>
      <c r="Q235" s="2007"/>
      <c r="R235" s="2007"/>
      <c r="S235" s="7" t="s">
        <v>211</v>
      </c>
      <c r="T235" s="7"/>
      <c r="U235" s="1992"/>
      <c r="V235" s="1992"/>
      <c r="W235" s="1992"/>
      <c r="X235" s="7" t="s">
        <v>94</v>
      </c>
      <c r="Z235" s="2008" t="s">
        <v>2497</v>
      </c>
      <c r="AA235" s="2008"/>
      <c r="AB235" s="2008"/>
      <c r="AC235" s="2008"/>
      <c r="AD235" s="2008"/>
      <c r="AE235" s="2008"/>
      <c r="BB235" s="385"/>
      <c r="BG235" s="386"/>
    </row>
    <row r="236" spans="1:69" ht="12.5">
      <c r="D236" s="60" t="s">
        <v>95</v>
      </c>
      <c r="E236" s="7"/>
      <c r="F236" s="7"/>
      <c r="M236" s="2310" t="s">
        <v>2498</v>
      </c>
      <c r="N236" s="2310"/>
      <c r="O236" s="2310"/>
      <c r="P236" s="2310"/>
      <c r="Q236" s="2310"/>
      <c r="R236" s="2310"/>
      <c r="S236" s="2310"/>
      <c r="T236" s="2310"/>
      <c r="U236" s="2310"/>
      <c r="V236" s="2310"/>
      <c r="W236" s="2310"/>
      <c r="X236" s="2310"/>
      <c r="Y236" s="2310"/>
      <c r="Z236" s="2310"/>
      <c r="AA236" s="2310"/>
      <c r="AB236" s="2310"/>
      <c r="AC236" s="2310"/>
      <c r="AD236" s="2310"/>
      <c r="AE236" s="231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1</v>
      </c>
    </row>
    <row r="237" spans="1:69" ht="13">
      <c r="A237" s="50" t="s">
        <v>619</v>
      </c>
      <c r="C237" s="37" t="s">
        <v>556</v>
      </c>
      <c r="M237" s="2005" t="s">
        <v>559</v>
      </c>
      <c r="N237" s="2005"/>
      <c r="O237" s="2005"/>
      <c r="P237" s="2005"/>
      <c r="Q237" s="2005"/>
      <c r="R237" s="2005"/>
      <c r="S237" s="2005"/>
      <c r="T237" s="2005"/>
      <c r="U237" s="387" t="s">
        <v>973</v>
      </c>
      <c r="V237" s="325"/>
      <c r="W237" s="325"/>
      <c r="X237" s="325"/>
      <c r="Y237" s="325"/>
      <c r="Z237" s="325"/>
      <c r="AA237" s="2289" t="s">
        <v>2499</v>
      </c>
      <c r="AB237" s="2290"/>
      <c r="AC237" s="2290"/>
      <c r="AD237" s="2290"/>
      <c r="AE237" s="2290"/>
      <c r="AF237" s="2290"/>
      <c r="AG237" s="2290"/>
      <c r="AH237" s="2290"/>
      <c r="AI237" s="2290"/>
      <c r="AJ237" s="2290"/>
      <c r="AK237" s="2290"/>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5">
      <c r="D238" s="12" t="s">
        <v>562</v>
      </c>
      <c r="M238" s="2003"/>
      <c r="N238" s="2003"/>
      <c r="O238" s="2003"/>
      <c r="P238" s="2003"/>
      <c r="Q238" s="2003"/>
      <c r="R238" s="2003"/>
      <c r="S238" s="2003"/>
      <c r="T238" s="2003"/>
      <c r="U238" s="2003"/>
      <c r="V238" s="2003"/>
      <c r="W238" s="2003"/>
      <c r="X238" s="2003"/>
      <c r="Y238" s="2003"/>
      <c r="Z238" s="2003"/>
      <c r="AA238" s="2003"/>
      <c r="AB238" s="2003"/>
      <c r="AC238" s="2003"/>
      <c r="AD238" s="2003"/>
      <c r="AE238" s="200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5">
      <c r="D239" s="60"/>
      <c r="K239" s="3"/>
      <c r="BB239" s="383" t="s">
        <v>940</v>
      </c>
      <c r="BG239" s="389">
        <f>IF(AND(AND($M$248="for profit",$M$256="for profit",$M$264="(select one)")),3,0)</f>
        <v>0</v>
      </c>
    </row>
    <row r="240" spans="1:69" ht="13">
      <c r="A240" s="50" t="s">
        <v>622</v>
      </c>
      <c r="C240" s="50" t="s">
        <v>1376</v>
      </c>
      <c r="D240" s="60"/>
      <c r="K240" s="3"/>
      <c r="L240" s="14"/>
      <c r="M240" s="14"/>
      <c r="N240" s="14"/>
      <c r="BB240" s="383" t="s">
        <v>940</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3">
      <c r="A242" s="29"/>
      <c r="B242" s="7"/>
      <c r="C242" s="136" t="s">
        <v>504</v>
      </c>
      <c r="D242" s="57" t="s">
        <v>563</v>
      </c>
      <c r="E242" s="57"/>
      <c r="F242" s="57"/>
      <c r="G242" s="57"/>
      <c r="H242" s="57"/>
      <c r="I242" s="57"/>
      <c r="J242" s="57"/>
      <c r="K242" s="57"/>
      <c r="L242" s="7"/>
      <c r="M242" s="2287" t="s">
        <v>2501</v>
      </c>
      <c r="N242" s="2287"/>
      <c r="O242" s="2287"/>
      <c r="P242" s="2287"/>
      <c r="Q242" s="2287"/>
      <c r="R242" s="2287"/>
      <c r="S242" s="2287"/>
      <c r="T242" s="2287"/>
      <c r="U242" s="2287"/>
      <c r="V242" s="2287"/>
      <c r="W242" s="2287"/>
      <c r="X242" s="2287"/>
      <c r="Y242" s="2287"/>
      <c r="Z242" s="2287"/>
      <c r="AA242" s="2287"/>
      <c r="AB242" s="2287"/>
      <c r="AC242" s="2287"/>
      <c r="AD242" s="2287"/>
      <c r="AE242" s="2287"/>
      <c r="AF242" s="2288" t="s">
        <v>2502</v>
      </c>
      <c r="AG242" s="2288"/>
      <c r="AH242" s="2288"/>
      <c r="AI242" s="2288"/>
      <c r="AJ242" s="2288"/>
      <c r="AK242" s="2288"/>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04" t="s">
        <v>2493</v>
      </c>
      <c r="N243" s="2004"/>
      <c r="O243" s="2004"/>
      <c r="P243" s="2004"/>
      <c r="Q243" s="2004"/>
      <c r="R243" s="2004"/>
      <c r="S243" s="2004"/>
      <c r="T243" s="2004"/>
      <c r="U243" s="2004"/>
      <c r="V243" s="2004"/>
      <c r="W243" s="2004"/>
      <c r="X243" s="2004"/>
      <c r="Y243" s="2004"/>
      <c r="Z243" s="2004"/>
      <c r="AA243" s="2004"/>
      <c r="AB243" s="2004"/>
      <c r="AC243" s="2004"/>
      <c r="AD243" s="2004"/>
      <c r="AE243" s="2004"/>
      <c r="AF243" s="58" t="s">
        <v>1372</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613</v>
      </c>
      <c r="E244" s="57"/>
      <c r="M244" s="2004" t="s">
        <v>769</v>
      </c>
      <c r="N244" s="2004"/>
      <c r="O244" s="2004"/>
      <c r="P244" s="2004"/>
      <c r="Q244" s="2004"/>
      <c r="R244" s="2004"/>
      <c r="S244" s="2004"/>
      <c r="T244" s="2004"/>
      <c r="V244" s="59" t="s">
        <v>91</v>
      </c>
      <c r="W244" s="1993" t="s">
        <v>2494</v>
      </c>
      <c r="X244" s="1992"/>
      <c r="Y244" s="57" t="s">
        <v>616</v>
      </c>
      <c r="AC244" s="2282">
        <v>94102</v>
      </c>
      <c r="AD244" s="2282"/>
      <c r="AE244" s="2282"/>
      <c r="AF244" s="58" t="s">
        <v>1373</v>
      </c>
      <c r="AG244" s="717"/>
      <c r="AH244" s="717"/>
      <c r="AI244" s="717"/>
      <c r="AJ244" s="717"/>
      <c r="AK244" s="717"/>
      <c r="BB244" s="12" t="s">
        <v>315</v>
      </c>
      <c r="BG244" s="12">
        <v>1</v>
      </c>
      <c r="BH244" s="12" t="s">
        <v>565</v>
      </c>
      <c r="BM244" s="25"/>
      <c r="BN244" s="3"/>
      <c r="BO244" s="3"/>
    </row>
    <row r="245" spans="1:72" ht="12.5">
      <c r="A245" s="29"/>
      <c r="B245" s="7"/>
      <c r="C245" s="7"/>
      <c r="D245" s="60" t="s">
        <v>92</v>
      </c>
      <c r="E245" s="7"/>
      <c r="F245" s="7"/>
      <c r="G245" s="7"/>
      <c r="H245" s="7"/>
      <c r="I245" s="7"/>
      <c r="J245" s="7"/>
      <c r="K245" s="7"/>
      <c r="L245" s="29"/>
      <c r="M245" s="2004" t="s">
        <v>2509</v>
      </c>
      <c r="N245" s="2282"/>
      <c r="O245" s="2282"/>
      <c r="P245" s="2282"/>
      <c r="Q245" s="2282"/>
      <c r="R245" s="2282"/>
      <c r="S245" s="2282"/>
      <c r="T245" s="2282"/>
      <c r="U245" s="2282"/>
      <c r="V245" s="2282"/>
      <c r="W245" s="2282"/>
      <c r="X245" s="2282"/>
      <c r="Y245" s="2282"/>
      <c r="Z245" s="2282"/>
      <c r="AA245" s="2282"/>
      <c r="AB245" s="2282"/>
      <c r="AC245" s="2282"/>
      <c r="AD245" s="2282"/>
      <c r="AE245" s="2282"/>
      <c r="AH245" s="2432">
        <v>5.0000000000000001E-3</v>
      </c>
      <c r="AI245" s="2432"/>
      <c r="AJ245" s="2432"/>
      <c r="AK245" s="2432"/>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Nonprofit</v>
      </c>
    </row>
    <row r="246" spans="1:72" ht="12.5">
      <c r="A246" s="29"/>
      <c r="B246" s="7"/>
      <c r="C246" s="7"/>
      <c r="D246" s="60" t="s">
        <v>93</v>
      </c>
      <c r="E246" s="7"/>
      <c r="F246" s="7"/>
      <c r="M246" s="2008" t="s">
        <v>2510</v>
      </c>
      <c r="N246" s="2007"/>
      <c r="O246" s="2007"/>
      <c r="P246" s="2007"/>
      <c r="Q246" s="2007"/>
      <c r="R246" s="2007"/>
      <c r="S246" s="7" t="s">
        <v>211</v>
      </c>
      <c r="T246" s="7"/>
      <c r="U246" s="1992"/>
      <c r="V246" s="1992"/>
      <c r="W246" s="1992"/>
      <c r="X246" s="7" t="s">
        <v>94</v>
      </c>
      <c r="Z246" s="2008" t="s">
        <v>2497</v>
      </c>
      <c r="AA246" s="2008"/>
      <c r="AB246" s="2008"/>
      <c r="AC246" s="2008"/>
      <c r="AD246" s="2008"/>
      <c r="AE246" s="2008"/>
      <c r="BB246" s="7" t="s">
        <v>177</v>
      </c>
      <c r="BG246" s="12">
        <v>3</v>
      </c>
      <c r="BH246" s="12" t="s">
        <v>567</v>
      </c>
      <c r="BN246" s="390"/>
      <c r="BO246" s="39"/>
    </row>
    <row r="247" spans="1:72" ht="12.5">
      <c r="A247" s="29"/>
      <c r="B247" s="7"/>
      <c r="C247" s="7"/>
      <c r="D247" s="60" t="s">
        <v>95</v>
      </c>
      <c r="E247" s="7"/>
      <c r="F247" s="7"/>
      <c r="M247" s="2310" t="s">
        <v>2511</v>
      </c>
      <c r="N247" s="2310"/>
      <c r="O247" s="2310"/>
      <c r="P247" s="2310"/>
      <c r="Q247" s="2310"/>
      <c r="R247" s="2310"/>
      <c r="S247" s="2310"/>
      <c r="T247" s="2310"/>
      <c r="U247" s="2310"/>
      <c r="V247" s="2310"/>
      <c r="W247" s="2310"/>
      <c r="X247" s="2310"/>
      <c r="Y247" s="2310"/>
      <c r="Z247" s="2310"/>
      <c r="AA247" s="2310"/>
      <c r="AB247" s="2310"/>
      <c r="AC247" s="2310"/>
      <c r="AD247" s="2310"/>
      <c r="AE247" s="231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566</v>
      </c>
      <c r="E248" s="7"/>
      <c r="F248" s="7"/>
      <c r="G248" s="7"/>
      <c r="H248" s="7"/>
      <c r="I248" s="7"/>
      <c r="J248" s="7"/>
      <c r="K248" s="7"/>
      <c r="L248" s="7"/>
      <c r="M248" s="2005" t="s">
        <v>565</v>
      </c>
      <c r="N248" s="2005"/>
      <c r="O248" s="2005"/>
      <c r="P248" s="2005"/>
      <c r="Q248" s="2005"/>
      <c r="R248" s="2005"/>
      <c r="S248" s="2005"/>
      <c r="T248" s="2005"/>
      <c r="U248" s="387" t="s">
        <v>973</v>
      </c>
      <c r="V248" s="325"/>
      <c r="W248" s="325"/>
      <c r="X248" s="325"/>
      <c r="Y248" s="325"/>
      <c r="Z248" s="325"/>
      <c r="AA248" s="2289" t="s">
        <v>2500</v>
      </c>
      <c r="AB248" s="2290"/>
      <c r="AC248" s="2290"/>
      <c r="AD248" s="2290"/>
      <c r="AE248" s="2290"/>
      <c r="AF248" s="2290"/>
      <c r="AG248" s="2290"/>
      <c r="AH248" s="2290"/>
      <c r="AI248" s="2290"/>
      <c r="AJ248" s="2290"/>
      <c r="AK248" s="2290"/>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1032</v>
      </c>
      <c r="E250" s="57"/>
      <c r="F250" s="57"/>
      <c r="G250" s="57"/>
      <c r="H250" s="57"/>
      <c r="I250" s="57"/>
      <c r="J250" s="57"/>
      <c r="K250" s="57"/>
      <c r="L250" s="7"/>
      <c r="M250" s="2287" t="s">
        <v>2503</v>
      </c>
      <c r="N250" s="2288"/>
      <c r="O250" s="2288"/>
      <c r="P250" s="2288"/>
      <c r="Q250" s="2288"/>
      <c r="R250" s="2288"/>
      <c r="S250" s="2288"/>
      <c r="T250" s="2288"/>
      <c r="U250" s="2288"/>
      <c r="V250" s="2288"/>
      <c r="W250" s="2288"/>
      <c r="X250" s="2288"/>
      <c r="Y250" s="2288"/>
      <c r="Z250" s="2288"/>
      <c r="AA250" s="2288"/>
      <c r="AB250" s="2288"/>
      <c r="AC250" s="2288"/>
      <c r="AD250" s="2288"/>
      <c r="AE250" s="2288"/>
      <c r="AF250" s="2288" t="s">
        <v>2595</v>
      </c>
      <c r="AG250" s="2288"/>
      <c r="AH250" s="2288"/>
      <c r="AI250" s="2288"/>
      <c r="AJ250" s="2288"/>
      <c r="AK250" s="2288"/>
      <c r="BN250" s="61"/>
    </row>
    <row r="251" spans="1:72" ht="12.5">
      <c r="A251" s="29"/>
      <c r="B251" s="7"/>
      <c r="C251" s="7"/>
      <c r="D251" s="57" t="s">
        <v>90</v>
      </c>
      <c r="E251" s="57"/>
      <c r="F251" s="57"/>
      <c r="G251" s="57"/>
      <c r="H251" s="57"/>
      <c r="I251" s="57"/>
      <c r="J251" s="57"/>
      <c r="K251" s="57"/>
      <c r="L251" s="7"/>
      <c r="M251" s="2004" t="s">
        <v>2505</v>
      </c>
      <c r="N251" s="2282"/>
      <c r="O251" s="2282"/>
      <c r="P251" s="2282"/>
      <c r="Q251" s="2282"/>
      <c r="R251" s="2282"/>
      <c r="S251" s="2282"/>
      <c r="T251" s="2282"/>
      <c r="U251" s="2282"/>
      <c r="V251" s="2282"/>
      <c r="W251" s="2282"/>
      <c r="X251" s="2282"/>
      <c r="Y251" s="2282"/>
      <c r="Z251" s="2282"/>
      <c r="AA251" s="2282"/>
      <c r="AB251" s="2282"/>
      <c r="AC251" s="2282"/>
      <c r="AD251" s="2282"/>
      <c r="AE251" s="2282"/>
      <c r="AF251" s="58" t="s">
        <v>1372</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613</v>
      </c>
      <c r="E252" s="57"/>
      <c r="M252" s="2004" t="s">
        <v>769</v>
      </c>
      <c r="N252" s="2282"/>
      <c r="O252" s="2282"/>
      <c r="P252" s="2282"/>
      <c r="Q252" s="2282"/>
      <c r="R252" s="2282"/>
      <c r="S252" s="2282"/>
      <c r="T252" s="2282"/>
      <c r="V252" s="59" t="s">
        <v>91</v>
      </c>
      <c r="W252" s="1993" t="s">
        <v>2494</v>
      </c>
      <c r="X252" s="1992"/>
      <c r="Y252" s="57" t="s">
        <v>616</v>
      </c>
      <c r="AC252" s="2282">
        <v>94103</v>
      </c>
      <c r="AD252" s="2282"/>
      <c r="AE252" s="2282"/>
      <c r="AF252" s="58" t="s">
        <v>1373</v>
      </c>
      <c r="AG252" s="717"/>
      <c r="AH252" s="717"/>
      <c r="AI252" s="717"/>
      <c r="AJ252" s="717"/>
      <c r="AK252" s="717"/>
      <c r="BN252" s="61"/>
    </row>
    <row r="253" spans="1:72" ht="12.5">
      <c r="A253" s="29"/>
      <c r="B253" s="7"/>
      <c r="C253" s="7"/>
      <c r="D253" s="60" t="s">
        <v>92</v>
      </c>
      <c r="E253" s="7"/>
      <c r="F253" s="7"/>
      <c r="G253" s="7"/>
      <c r="H253" s="7"/>
      <c r="I253" s="7"/>
      <c r="J253" s="7"/>
      <c r="K253" s="7"/>
      <c r="L253" s="29"/>
      <c r="M253" s="2004" t="s">
        <v>2512</v>
      </c>
      <c r="N253" s="2282"/>
      <c r="O253" s="2282"/>
      <c r="P253" s="2282"/>
      <c r="Q253" s="2282"/>
      <c r="R253" s="2282"/>
      <c r="S253" s="2282"/>
      <c r="T253" s="2282"/>
      <c r="U253" s="2282"/>
      <c r="V253" s="2282"/>
      <c r="W253" s="2282"/>
      <c r="X253" s="2282"/>
      <c r="Y253" s="2282"/>
      <c r="Z253" s="2282"/>
      <c r="AA253" s="2282"/>
      <c r="AB253" s="2282"/>
      <c r="AC253" s="2282"/>
      <c r="AD253" s="2282"/>
      <c r="AE253" s="2282"/>
      <c r="AF253" s="717"/>
      <c r="AG253" s="717"/>
      <c r="AH253" s="2432">
        <v>5.0000000000000001E-3</v>
      </c>
      <c r="AI253" s="2432"/>
      <c r="AJ253" s="2432"/>
      <c r="AK253" s="2432"/>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08" t="s">
        <v>2571</v>
      </c>
      <c r="N254" s="2007"/>
      <c r="O254" s="2007"/>
      <c r="P254" s="2007"/>
      <c r="Q254" s="2007"/>
      <c r="R254" s="2007"/>
      <c r="S254" s="7" t="s">
        <v>211</v>
      </c>
      <c r="T254" s="7"/>
      <c r="U254" s="1992"/>
      <c r="V254" s="1992"/>
      <c r="W254" s="1992"/>
      <c r="X254" s="7" t="s">
        <v>94</v>
      </c>
      <c r="Z254" s="2007"/>
      <c r="AA254" s="2007"/>
      <c r="AB254" s="2007"/>
      <c r="AC254" s="2007"/>
      <c r="AD254" s="2007"/>
      <c r="AE254" s="2007"/>
    </row>
    <row r="255" spans="1:72" ht="12.5">
      <c r="A255" s="29"/>
      <c r="B255" s="7"/>
      <c r="C255" s="7"/>
      <c r="D255" s="60" t="s">
        <v>95</v>
      </c>
      <c r="E255" s="7"/>
      <c r="F255" s="7"/>
      <c r="M255" s="2310" t="s">
        <v>2513</v>
      </c>
      <c r="N255" s="2310"/>
      <c r="O255" s="2310"/>
      <c r="P255" s="2310"/>
      <c r="Q255" s="2310"/>
      <c r="R255" s="2310"/>
      <c r="S255" s="2310"/>
      <c r="T255" s="2310"/>
      <c r="U255" s="2310"/>
      <c r="V255" s="2310"/>
      <c r="W255" s="2310"/>
      <c r="X255" s="2310"/>
      <c r="Y255" s="2310"/>
      <c r="Z255" s="2310"/>
      <c r="AA255" s="2310"/>
      <c r="AB255" s="2310"/>
      <c r="AC255" s="2310"/>
      <c r="AD255" s="2310"/>
      <c r="AE255" s="231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566</v>
      </c>
      <c r="E256" s="7"/>
      <c r="F256" s="7"/>
      <c r="G256" s="7"/>
      <c r="H256" s="7"/>
      <c r="I256" s="7"/>
      <c r="J256" s="7"/>
      <c r="K256" s="7"/>
      <c r="L256" s="7"/>
      <c r="M256" s="2005" t="s">
        <v>565</v>
      </c>
      <c r="N256" s="2005"/>
      <c r="O256" s="2005"/>
      <c r="P256" s="2005"/>
      <c r="Q256" s="2005"/>
      <c r="R256" s="2005"/>
      <c r="S256" s="2005"/>
      <c r="T256" s="2005"/>
      <c r="U256" s="387" t="s">
        <v>973</v>
      </c>
      <c r="V256" s="325"/>
      <c r="W256" s="325"/>
      <c r="X256" s="325"/>
      <c r="Y256" s="325"/>
      <c r="Z256" s="325"/>
      <c r="AA256" s="2289" t="s">
        <v>2504</v>
      </c>
      <c r="AB256" s="2290"/>
      <c r="AC256" s="2290"/>
      <c r="AD256" s="2290"/>
      <c r="AE256" s="2290"/>
      <c r="AF256" s="2290"/>
      <c r="AG256" s="2290"/>
      <c r="AH256" s="2290"/>
      <c r="AI256" s="2290"/>
      <c r="AJ256" s="2290"/>
      <c r="AK256" s="229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288"/>
      <c r="N258" s="2288"/>
      <c r="O258" s="2288"/>
      <c r="P258" s="2288"/>
      <c r="Q258" s="2288"/>
      <c r="R258" s="2288"/>
      <c r="S258" s="2288"/>
      <c r="T258" s="2288"/>
      <c r="U258" s="2288"/>
      <c r="V258" s="2288"/>
      <c r="W258" s="2288"/>
      <c r="X258" s="2288"/>
      <c r="Y258" s="2288"/>
      <c r="Z258" s="2288"/>
      <c r="AA258" s="2288"/>
      <c r="AB258" s="2288"/>
      <c r="AC258" s="2288"/>
      <c r="AD258" s="2288"/>
      <c r="AE258" s="2288"/>
      <c r="AF258" s="2288" t="s">
        <v>315</v>
      </c>
      <c r="AG258" s="2288"/>
      <c r="AH258" s="2288"/>
      <c r="AI258" s="2288"/>
      <c r="AJ258" s="2288"/>
      <c r="AK258" s="228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82"/>
      <c r="N259" s="2282"/>
      <c r="O259" s="2282"/>
      <c r="P259" s="2282"/>
      <c r="Q259" s="2282"/>
      <c r="R259" s="2282"/>
      <c r="S259" s="2282"/>
      <c r="T259" s="2282"/>
      <c r="U259" s="2282"/>
      <c r="V259" s="2282"/>
      <c r="W259" s="2282"/>
      <c r="X259" s="2282"/>
      <c r="Y259" s="2282"/>
      <c r="Z259" s="2282"/>
      <c r="AA259" s="2282"/>
      <c r="AB259" s="2282"/>
      <c r="AC259" s="2282"/>
      <c r="AD259" s="2282"/>
      <c r="AE259" s="2282"/>
      <c r="AF259" s="58" t="s">
        <v>1372</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282"/>
      <c r="N260" s="2282"/>
      <c r="O260" s="2282"/>
      <c r="P260" s="2282"/>
      <c r="Q260" s="2282"/>
      <c r="R260" s="2282"/>
      <c r="S260" s="2282"/>
      <c r="T260" s="2282"/>
      <c r="V260" s="59" t="s">
        <v>91</v>
      </c>
      <c r="W260" s="1992"/>
      <c r="X260" s="1992"/>
      <c r="Y260" s="57" t="s">
        <v>616</v>
      </c>
      <c r="AC260" s="2282"/>
      <c r="AD260" s="2282"/>
      <c r="AE260" s="2282"/>
      <c r="AF260" s="58" t="s">
        <v>1373</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82"/>
      <c r="N261" s="2282"/>
      <c r="O261" s="2282"/>
      <c r="P261" s="2282"/>
      <c r="Q261" s="2282"/>
      <c r="R261" s="2282"/>
      <c r="S261" s="2282"/>
      <c r="T261" s="2282"/>
      <c r="U261" s="2282"/>
      <c r="V261" s="2282"/>
      <c r="W261" s="2282"/>
      <c r="X261" s="2282"/>
      <c r="Y261" s="2282"/>
      <c r="Z261" s="2282"/>
      <c r="AA261" s="2282"/>
      <c r="AB261" s="2282"/>
      <c r="AC261" s="2282"/>
      <c r="AD261" s="2282"/>
      <c r="AE261" s="2282"/>
      <c r="AF261" s="717"/>
      <c r="AG261" s="717"/>
      <c r="AH261" s="2432"/>
      <c r="AI261" s="2432"/>
      <c r="AJ261" s="2432"/>
      <c r="AK261" s="2432"/>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07"/>
      <c r="N262" s="2007"/>
      <c r="O262" s="2007"/>
      <c r="P262" s="2007"/>
      <c r="Q262" s="2007"/>
      <c r="R262" s="2007"/>
      <c r="S262" s="7" t="s">
        <v>211</v>
      </c>
      <c r="T262" s="7"/>
      <c r="U262" s="1992"/>
      <c r="V262" s="1992"/>
      <c r="W262" s="1992"/>
      <c r="X262" s="7" t="s">
        <v>94</v>
      </c>
      <c r="Z262" s="2007"/>
      <c r="AA262" s="2007"/>
      <c r="AB262" s="2007"/>
      <c r="AC262" s="2007"/>
      <c r="AD262" s="2007"/>
      <c r="AE262" s="2007"/>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10"/>
      <c r="N263" s="2310"/>
      <c r="O263" s="2310"/>
      <c r="P263" s="2310"/>
      <c r="Q263" s="2310"/>
      <c r="R263" s="2310"/>
      <c r="S263" s="2310"/>
      <c r="T263" s="2310"/>
      <c r="U263" s="2310"/>
      <c r="V263" s="2310"/>
      <c r="W263" s="2310"/>
      <c r="X263" s="2310"/>
      <c r="Y263" s="2310"/>
      <c r="Z263" s="2310"/>
      <c r="AA263" s="2474"/>
      <c r="AB263" s="2474"/>
      <c r="AC263" s="2474"/>
      <c r="AD263" s="2474"/>
      <c r="AE263" s="247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566</v>
      </c>
      <c r="E264" s="7"/>
      <c r="F264" s="7"/>
      <c r="G264" s="7"/>
      <c r="H264" s="7"/>
      <c r="I264" s="7"/>
      <c r="J264" s="7"/>
      <c r="K264" s="7"/>
      <c r="L264" s="7"/>
      <c r="M264" s="2005" t="s">
        <v>315</v>
      </c>
      <c r="N264" s="2005"/>
      <c r="O264" s="2005"/>
      <c r="P264" s="2005"/>
      <c r="Q264" s="2005"/>
      <c r="R264" s="2005"/>
      <c r="S264" s="2005"/>
      <c r="T264" s="2005"/>
      <c r="U264" s="387" t="s">
        <v>973</v>
      </c>
      <c r="V264" s="325"/>
      <c r="W264" s="325"/>
      <c r="X264" s="325"/>
      <c r="Y264" s="325"/>
      <c r="Z264" s="325"/>
      <c r="AA264" s="2437"/>
      <c r="AB264" s="2437"/>
      <c r="AC264" s="2437"/>
      <c r="AD264" s="2437"/>
      <c r="AE264" s="2437"/>
      <c r="AF264" s="2437"/>
      <c r="AG264" s="2437"/>
      <c r="AH264" s="2437"/>
      <c r="AI264" s="2437"/>
      <c r="AJ264" s="2437"/>
      <c r="AK264" s="2437"/>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623</v>
      </c>
      <c r="B266" s="7"/>
      <c r="C266" s="50" t="s">
        <v>302</v>
      </c>
      <c r="D266" s="7"/>
      <c r="E266" s="7"/>
      <c r="F266" s="7"/>
      <c r="G266" s="7"/>
      <c r="H266" s="7"/>
      <c r="I266" s="7"/>
      <c r="J266" s="7"/>
      <c r="K266" s="7"/>
      <c r="L266" s="7"/>
      <c r="M266" s="147"/>
      <c r="N266" s="147"/>
      <c r="O266" s="147"/>
      <c r="P266" s="147"/>
      <c r="Q266" s="147"/>
      <c r="T266" s="2291" t="str">
        <f>BO245</f>
        <v>Nonprofit</v>
      </c>
      <c r="U266" s="2291"/>
      <c r="V266" s="2291"/>
      <c r="W266" s="2291"/>
      <c r="X266" s="2291"/>
      <c r="Z266" s="480" t="s">
        <v>1031</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5">
      <c r="A269" s="57"/>
      <c r="B269" s="63">
        <v>0</v>
      </c>
      <c r="D269" s="2282" t="s">
        <v>285</v>
      </c>
      <c r="E269" s="2282"/>
      <c r="F269" s="2282"/>
      <c r="G269" s="2282"/>
      <c r="H269" s="2282"/>
      <c r="J269" s="12" t="s">
        <v>284</v>
      </c>
      <c r="X269" s="2255"/>
      <c r="Y269" s="2255"/>
      <c r="Z269" s="2255"/>
      <c r="AA269" s="2255"/>
      <c r="AB269" s="2255"/>
      <c r="AC269" s="2255"/>
      <c r="BN269" s="61"/>
    </row>
    <row r="270" spans="1:66" ht="12.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5">
      <c r="D273" s="57" t="s">
        <v>303</v>
      </c>
      <c r="E273" s="57"/>
      <c r="F273" s="57"/>
      <c r="G273" s="57"/>
      <c r="H273" s="57"/>
      <c r="I273" s="57"/>
      <c r="J273" s="57"/>
      <c r="K273" s="7"/>
      <c r="L273" s="2287" t="s">
        <v>2506</v>
      </c>
      <c r="M273" s="2287"/>
      <c r="N273" s="2287"/>
      <c r="O273" s="2287"/>
      <c r="P273" s="2287"/>
      <c r="Q273" s="2287"/>
      <c r="R273" s="2287"/>
      <c r="S273" s="2287"/>
      <c r="T273" s="2287"/>
      <c r="U273" s="2287"/>
      <c r="V273" s="2287"/>
      <c r="W273" s="2287"/>
      <c r="X273" s="2287"/>
      <c r="Y273" s="2287"/>
      <c r="Z273" s="2287"/>
      <c r="AA273" s="2287"/>
      <c r="AB273" s="2287"/>
      <c r="AC273" s="2287"/>
      <c r="AD273" s="2287"/>
      <c r="AE273" s="2287"/>
      <c r="AF273" s="2287"/>
      <c r="AG273" s="2287"/>
      <c r="AH273" s="2287"/>
      <c r="AI273" s="2287"/>
      <c r="AJ273" s="2287"/>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04" t="s">
        <v>2493</v>
      </c>
      <c r="M274" s="2004"/>
      <c r="N274" s="2004"/>
      <c r="O274" s="2004"/>
      <c r="P274" s="2004"/>
      <c r="Q274" s="2004"/>
      <c r="R274" s="2004"/>
      <c r="S274" s="2004"/>
      <c r="T274" s="2004"/>
      <c r="U274" s="2004"/>
      <c r="V274" s="2004"/>
      <c r="W274" s="2004"/>
      <c r="X274" s="2004"/>
      <c r="Y274" s="2004"/>
      <c r="Z274" s="2004"/>
      <c r="AA274" s="2004"/>
      <c r="AB274" s="2004"/>
      <c r="AC274" s="2004"/>
      <c r="AD274" s="2004"/>
      <c r="AK274" s="58"/>
      <c r="AL274" s="58"/>
      <c r="AM274" s="239"/>
      <c r="AN274" s="239"/>
      <c r="AO274" s="239"/>
      <c r="AP274" s="239"/>
      <c r="AQ274" s="239"/>
      <c r="AR274" s="239"/>
      <c r="AS274" s="239"/>
      <c r="AT274" s="239"/>
      <c r="AU274" s="239"/>
      <c r="AV274" s="239"/>
      <c r="AW274" s="239"/>
      <c r="AX274" s="239"/>
      <c r="AY274" s="239"/>
      <c r="BN274" s="61"/>
    </row>
    <row r="275" spans="1:66" ht="12.5">
      <c r="D275" s="57" t="s">
        <v>613</v>
      </c>
      <c r="E275" s="57"/>
      <c r="L275" s="2004" t="s">
        <v>769</v>
      </c>
      <c r="M275" s="2004"/>
      <c r="N275" s="2004"/>
      <c r="O275" s="2004"/>
      <c r="P275" s="2004"/>
      <c r="Q275" s="2004"/>
      <c r="R275" s="2004"/>
      <c r="S275" s="2004"/>
      <c r="U275" s="59" t="s">
        <v>91</v>
      </c>
      <c r="V275" s="1993" t="s">
        <v>2494</v>
      </c>
      <c r="W275" s="1992"/>
      <c r="X275" s="57" t="s">
        <v>616</v>
      </c>
      <c r="AB275" s="2282">
        <v>94102</v>
      </c>
      <c r="AC275" s="2282"/>
      <c r="AD275" s="228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04" t="s">
        <v>2495</v>
      </c>
      <c r="M276" s="2282"/>
      <c r="N276" s="2282"/>
      <c r="O276" s="2282"/>
      <c r="P276" s="2282"/>
      <c r="Q276" s="2282"/>
      <c r="R276" s="2282"/>
      <c r="S276" s="2282"/>
      <c r="T276" s="2282"/>
      <c r="U276" s="2282"/>
      <c r="V276" s="2282"/>
      <c r="W276" s="2282"/>
      <c r="X276" s="2282"/>
      <c r="Y276" s="2282"/>
      <c r="Z276" s="2282"/>
      <c r="AA276" s="2282"/>
      <c r="AB276" s="2282"/>
      <c r="AC276" s="2282"/>
      <c r="AD276" s="2282"/>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008" t="s">
        <v>2496</v>
      </c>
      <c r="M277" s="2007"/>
      <c r="N277" s="2007"/>
      <c r="O277" s="2007"/>
      <c r="P277" s="2007"/>
      <c r="Q277" s="2007"/>
      <c r="R277" s="7" t="s">
        <v>211</v>
      </c>
      <c r="S277" s="7"/>
      <c r="T277" s="1992"/>
      <c r="U277" s="1992"/>
      <c r="V277" s="1992"/>
      <c r="W277" s="7" t="s">
        <v>94</v>
      </c>
      <c r="Y277" s="2008" t="s">
        <v>2497</v>
      </c>
      <c r="Z277" s="2008"/>
      <c r="AA277" s="2008"/>
      <c r="AB277" s="2008"/>
      <c r="AC277" s="2008"/>
      <c r="AD277" s="2008"/>
      <c r="BN277" s="61"/>
    </row>
    <row r="278" spans="1:66" ht="12.5">
      <c r="D278" s="60" t="s">
        <v>95</v>
      </c>
      <c r="E278" s="7"/>
      <c r="F278" s="7"/>
      <c r="L278" s="2310" t="s">
        <v>2498</v>
      </c>
      <c r="M278" s="2310"/>
      <c r="N278" s="2310"/>
      <c r="O278" s="2310"/>
      <c r="P278" s="2310"/>
      <c r="Q278" s="2310"/>
      <c r="R278" s="2310"/>
      <c r="S278" s="2310"/>
      <c r="T278" s="2310"/>
      <c r="U278" s="2310"/>
      <c r="V278" s="2310"/>
      <c r="W278" s="2310"/>
      <c r="X278" s="2310"/>
      <c r="Y278" s="2310"/>
      <c r="Z278" s="2310"/>
      <c r="AA278" s="2310"/>
      <c r="AB278" s="2310"/>
      <c r="AC278" s="2310"/>
      <c r="AD278" s="2310"/>
      <c r="AF278" s="7"/>
      <c r="AG278" s="7"/>
      <c r="AH278" s="7"/>
      <c r="AI278" s="7"/>
      <c r="AJ278" s="7"/>
      <c r="BN278" s="61"/>
    </row>
    <row r="279" spans="1:66" ht="12.5">
      <c r="D279" s="58" t="s">
        <v>656</v>
      </c>
      <c r="E279" s="58"/>
      <c r="F279" s="58"/>
      <c r="G279" s="58"/>
      <c r="H279" s="58"/>
      <c r="I279" s="58"/>
      <c r="L279" s="1993" t="s">
        <v>2507</v>
      </c>
      <c r="M279" s="1993"/>
      <c r="N279" s="1993"/>
      <c r="O279" s="1993"/>
      <c r="P279" s="1993"/>
      <c r="Q279" s="1993"/>
      <c r="R279" s="1993"/>
      <c r="S279" s="1993"/>
      <c r="T279" s="1993"/>
      <c r="U279" s="1993"/>
      <c r="V279" s="1993"/>
      <c r="W279" s="1993"/>
      <c r="X279" s="1993"/>
      <c r="Y279" s="1993"/>
      <c r="Z279" s="1993"/>
      <c r="AA279" s="1993"/>
      <c r="AB279" s="1993"/>
      <c r="AC279" s="1993"/>
      <c r="AD279" s="1993"/>
      <c r="AK279" s="58"/>
      <c r="AL279" s="58"/>
      <c r="AM279" s="239"/>
      <c r="AN279" s="239"/>
      <c r="AO279" s="239"/>
      <c r="AP279" s="239"/>
      <c r="AQ279" s="239"/>
      <c r="AR279" s="239"/>
      <c r="AS279" s="239"/>
      <c r="AT279" s="239"/>
      <c r="AU279" s="239"/>
      <c r="AV279" s="239"/>
      <c r="AW279" s="239"/>
      <c r="AX279" s="239"/>
      <c r="AY279" s="239"/>
      <c r="BN279" s="61"/>
    </row>
    <row r="280" spans="1:66" ht="12.5">
      <c r="L280" s="35" t="s">
        <v>657</v>
      </c>
      <c r="BN280" s="61"/>
    </row>
    <row r="281" spans="1:66" ht="13">
      <c r="A281" s="2343" t="s">
        <v>572</v>
      </c>
      <c r="B281" s="2343"/>
      <c r="C281" s="2343"/>
      <c r="D281" s="2343"/>
      <c r="E281" s="2343"/>
      <c r="F281" s="2343"/>
      <c r="G281" s="2343"/>
      <c r="H281" s="2343"/>
      <c r="I281" s="2343"/>
      <c r="J281" s="2343"/>
      <c r="K281" s="2343"/>
      <c r="L281" s="2343"/>
      <c r="M281" s="2343"/>
      <c r="N281" s="2343"/>
      <c r="O281" s="2343"/>
      <c r="P281" s="2343"/>
      <c r="Q281" s="2343"/>
      <c r="R281" s="2343"/>
      <c r="S281" s="2343"/>
      <c r="T281" s="2343"/>
      <c r="U281" s="2343"/>
      <c r="V281" s="2343"/>
      <c r="W281" s="2343"/>
      <c r="X281" s="2343"/>
      <c r="Y281" s="2343"/>
      <c r="Z281" s="2343"/>
      <c r="AA281" s="2343"/>
      <c r="AB281" s="2343"/>
      <c r="AC281" s="2343"/>
      <c r="AD281" s="2343"/>
      <c r="AE281" s="2343"/>
      <c r="AF281" s="2343"/>
      <c r="AG281" s="2343"/>
      <c r="AH281" s="2343"/>
      <c r="AI281" s="2343"/>
      <c r="AJ281" s="2343"/>
      <c r="AK281" s="2343"/>
      <c r="AL281" s="2343"/>
      <c r="AM281" s="144"/>
      <c r="AN281" s="144"/>
      <c r="AO281" s="144"/>
      <c r="AP281" s="144"/>
      <c r="AQ281" s="144"/>
      <c r="AR281" s="144"/>
      <c r="AS281" s="144"/>
      <c r="AT281" s="144"/>
      <c r="AU281" s="144"/>
      <c r="AV281" s="144"/>
      <c r="AW281" s="144"/>
      <c r="AX281" s="144"/>
      <c r="AY281" s="144"/>
      <c r="BN281" s="61"/>
    </row>
    <row r="282" spans="1:66" ht="13.5" thickBot="1">
      <c r="A282" s="2344"/>
      <c r="B282" s="2344"/>
      <c r="C282" s="2344"/>
      <c r="D282" s="2344"/>
      <c r="E282" s="2344"/>
      <c r="F282" s="2344"/>
      <c r="G282" s="2344"/>
      <c r="H282" s="2344"/>
      <c r="I282" s="2344"/>
      <c r="J282" s="2344"/>
      <c r="K282" s="2344"/>
      <c r="L282" s="2344"/>
      <c r="M282" s="2344"/>
      <c r="N282" s="2344"/>
      <c r="O282" s="2344"/>
      <c r="P282" s="2344"/>
      <c r="Q282" s="2344"/>
      <c r="R282" s="2344"/>
      <c r="S282" s="2344"/>
      <c r="T282" s="2344"/>
      <c r="U282" s="2344"/>
      <c r="V282" s="2344"/>
      <c r="W282" s="2344"/>
      <c r="X282" s="2344"/>
      <c r="Y282" s="2344"/>
      <c r="Z282" s="2344"/>
      <c r="AA282" s="2344"/>
      <c r="AB282" s="2344"/>
      <c r="AC282" s="2344"/>
      <c r="AD282" s="2344"/>
      <c r="AE282" s="2344"/>
      <c r="AF282" s="2344"/>
      <c r="AG282" s="2344"/>
      <c r="AH282" s="2344"/>
      <c r="AI282" s="2344"/>
      <c r="AJ282" s="2344"/>
      <c r="AK282" s="2344"/>
      <c r="AL282" s="2344"/>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659</v>
      </c>
      <c r="C286" s="58"/>
      <c r="D286" s="58"/>
      <c r="E286" s="58"/>
      <c r="F286" s="58"/>
      <c r="H286" s="2003" t="s">
        <v>2506</v>
      </c>
      <c r="I286" s="2003"/>
      <c r="J286" s="2003"/>
      <c r="K286" s="2003"/>
      <c r="L286" s="2003"/>
      <c r="M286" s="2003"/>
      <c r="N286" s="2003"/>
      <c r="O286" s="2003"/>
      <c r="P286" s="2003"/>
      <c r="Q286" s="2003"/>
      <c r="R286" s="2003"/>
      <c r="T286" s="58" t="s">
        <v>598</v>
      </c>
      <c r="V286" s="58"/>
      <c r="W286" s="58"/>
      <c r="X286" s="58"/>
      <c r="Y286" s="58"/>
      <c r="AA286" s="2004" t="s">
        <v>2514</v>
      </c>
      <c r="AB286" s="2003"/>
      <c r="AC286" s="2003"/>
      <c r="AD286" s="2003"/>
      <c r="AE286" s="2003"/>
      <c r="AF286" s="2003"/>
      <c r="AG286" s="2003"/>
      <c r="AH286" s="2003"/>
      <c r="AI286" s="2003"/>
      <c r="AJ286" s="2003"/>
      <c r="AK286" s="2003"/>
      <c r="BN286" s="61"/>
    </row>
    <row r="287" spans="1:66" ht="12.5">
      <c r="B287" s="58" t="s">
        <v>502</v>
      </c>
      <c r="C287" s="58"/>
      <c r="D287" s="58"/>
      <c r="E287" s="58"/>
      <c r="F287" s="58"/>
      <c r="H287" s="2005" t="s">
        <v>2493</v>
      </c>
      <c r="I287" s="2005"/>
      <c r="J287" s="2005"/>
      <c r="K287" s="2005"/>
      <c r="L287" s="2005"/>
      <c r="M287" s="2005"/>
      <c r="N287" s="2005"/>
      <c r="O287" s="2005"/>
      <c r="P287" s="2005"/>
      <c r="Q287" s="2005"/>
      <c r="R287" s="2005"/>
      <c r="T287" s="58" t="s">
        <v>502</v>
      </c>
      <c r="V287" s="58"/>
      <c r="W287" s="58"/>
      <c r="X287" s="58"/>
      <c r="Y287" s="58"/>
      <c r="AA287" s="2005" t="s">
        <v>2608</v>
      </c>
      <c r="AB287" s="2005"/>
      <c r="AC287" s="2005"/>
      <c r="AD287" s="2005"/>
      <c r="AE287" s="2005"/>
      <c r="AF287" s="2005"/>
      <c r="AG287" s="2005"/>
      <c r="AH287" s="2005"/>
      <c r="AI287" s="2005"/>
      <c r="AJ287" s="2005"/>
      <c r="AK287" s="2005"/>
      <c r="BN287" s="61"/>
    </row>
    <row r="288" spans="1:66" ht="12.5">
      <c r="B288" s="58" t="s">
        <v>503</v>
      </c>
      <c r="C288" s="58"/>
      <c r="D288" s="58"/>
      <c r="E288" s="58"/>
      <c r="F288" s="58"/>
      <c r="H288" s="1993" t="s">
        <v>2508</v>
      </c>
      <c r="I288" s="2005"/>
      <c r="J288" s="2005"/>
      <c r="K288" s="2005"/>
      <c r="L288" s="2005"/>
      <c r="M288" s="2005"/>
      <c r="N288" s="2005"/>
      <c r="O288" s="2005"/>
      <c r="P288" s="2005"/>
      <c r="Q288" s="2005"/>
      <c r="R288" s="2005"/>
      <c r="T288" s="58" t="s">
        <v>79</v>
      </c>
      <c r="V288" s="58"/>
      <c r="W288" s="58"/>
      <c r="X288" s="58"/>
      <c r="Y288" s="58"/>
      <c r="AA288" s="1993" t="s">
        <v>2609</v>
      </c>
      <c r="AB288" s="2005"/>
      <c r="AC288" s="2005"/>
      <c r="AD288" s="2005"/>
      <c r="AE288" s="2005"/>
      <c r="AF288" s="2005"/>
      <c r="AG288" s="2005"/>
      <c r="AH288" s="2005"/>
      <c r="AI288" s="2005"/>
      <c r="AJ288" s="2005"/>
      <c r="AK288" s="2005"/>
      <c r="BN288" s="61"/>
    </row>
    <row r="289" spans="2:66" ht="12.75" customHeight="1">
      <c r="B289" s="58" t="s">
        <v>92</v>
      </c>
      <c r="C289" s="58"/>
      <c r="D289" s="58"/>
      <c r="E289" s="58"/>
      <c r="F289" s="58"/>
      <c r="H289" s="2005" t="s">
        <v>2495</v>
      </c>
      <c r="I289" s="2005"/>
      <c r="J289" s="2005"/>
      <c r="K289" s="2005"/>
      <c r="L289" s="2005"/>
      <c r="M289" s="2005"/>
      <c r="N289" s="2005"/>
      <c r="O289" s="2005"/>
      <c r="P289" s="2005"/>
      <c r="Q289" s="2005"/>
      <c r="R289" s="2005"/>
      <c r="T289" s="58" t="s">
        <v>92</v>
      </c>
      <c r="V289" s="58"/>
      <c r="W289" s="58"/>
      <c r="X289" s="58"/>
      <c r="Y289" s="58"/>
      <c r="AA289" s="1993" t="s">
        <v>2515</v>
      </c>
      <c r="AB289" s="2005"/>
      <c r="AC289" s="2005"/>
      <c r="AD289" s="2005"/>
      <c r="AE289" s="2005"/>
      <c r="AF289" s="2005"/>
      <c r="AG289" s="2005"/>
      <c r="AH289" s="2005"/>
      <c r="AI289" s="2005"/>
      <c r="AJ289" s="2005"/>
      <c r="AK289" s="2005"/>
      <c r="BN289" s="61"/>
    </row>
    <row r="290" spans="2:66" ht="12.75" customHeight="1">
      <c r="B290" s="58" t="s">
        <v>93</v>
      </c>
      <c r="C290" s="58"/>
      <c r="D290" s="58"/>
      <c r="E290" s="58"/>
      <c r="F290" s="58"/>
      <c r="G290" s="58"/>
      <c r="H290" s="2008" t="s">
        <v>2496</v>
      </c>
      <c r="I290" s="2007"/>
      <c r="J290" s="2007"/>
      <c r="K290" s="2007"/>
      <c r="L290" s="2007"/>
      <c r="M290" s="2007"/>
      <c r="N290" s="7" t="s">
        <v>211</v>
      </c>
      <c r="O290" s="7"/>
      <c r="P290" s="2282"/>
      <c r="Q290" s="2282"/>
      <c r="R290" s="2282"/>
      <c r="S290" s="58"/>
      <c r="T290" s="58" t="s">
        <v>93</v>
      </c>
      <c r="V290" s="58"/>
      <c r="W290" s="58"/>
      <c r="X290" s="58"/>
      <c r="Y290" s="58"/>
      <c r="AA290" s="2284" t="s">
        <v>2526</v>
      </c>
      <c r="AB290" s="2284"/>
      <c r="AC290" s="2284"/>
      <c r="AD290" s="2284"/>
      <c r="AE290" s="2284"/>
      <c r="AF290" s="2284"/>
      <c r="AG290" s="7" t="s">
        <v>211</v>
      </c>
      <c r="AH290" s="7"/>
      <c r="AI290" s="2282"/>
      <c r="AJ290" s="2282"/>
      <c r="AK290" s="2282"/>
      <c r="BN290" s="61"/>
    </row>
    <row r="291" spans="2:66" ht="12.75" customHeight="1">
      <c r="B291" s="58" t="s">
        <v>94</v>
      </c>
      <c r="C291" s="58"/>
      <c r="D291" s="58"/>
      <c r="E291" s="58"/>
      <c r="F291" s="58"/>
      <c r="G291" s="58"/>
      <c r="H291" s="2008" t="s">
        <v>2497</v>
      </c>
      <c r="I291" s="2008"/>
      <c r="J291" s="2008"/>
      <c r="K291" s="2008"/>
      <c r="L291" s="2008"/>
      <c r="M291" s="2008"/>
      <c r="N291" s="60"/>
      <c r="O291" s="60"/>
      <c r="P291" s="62"/>
      <c r="Q291" s="62"/>
      <c r="R291" s="62"/>
      <c r="S291" s="58"/>
      <c r="T291" s="58" t="s">
        <v>94</v>
      </c>
      <c r="V291" s="58"/>
      <c r="W291" s="58"/>
      <c r="X291" s="58"/>
      <c r="Y291" s="58"/>
      <c r="AA291" s="2007"/>
      <c r="AB291" s="2007"/>
      <c r="AC291" s="2007"/>
      <c r="AD291" s="2007"/>
      <c r="AE291" s="2007"/>
      <c r="AF291" s="2007"/>
      <c r="AG291" s="60"/>
      <c r="AH291" s="60"/>
      <c r="AI291" s="62"/>
      <c r="AJ291" s="62"/>
      <c r="AK291" s="62"/>
      <c r="BN291" s="61"/>
    </row>
    <row r="292" spans="2:66" ht="12.75" customHeight="1">
      <c r="B292" s="58" t="s">
        <v>80</v>
      </c>
      <c r="C292" s="58"/>
      <c r="D292" s="58"/>
      <c r="E292" s="58"/>
      <c r="F292" s="58"/>
      <c r="G292" s="58"/>
      <c r="H292" s="2005" t="s">
        <v>2498</v>
      </c>
      <c r="I292" s="2005"/>
      <c r="J292" s="2005"/>
      <c r="K292" s="2005"/>
      <c r="L292" s="2005"/>
      <c r="M292" s="2005"/>
      <c r="N292" s="2003"/>
      <c r="O292" s="2003"/>
      <c r="P292" s="2003"/>
      <c r="Q292" s="2003"/>
      <c r="R292" s="2003"/>
      <c r="S292" s="58"/>
      <c r="T292" s="58" t="s">
        <v>80</v>
      </c>
      <c r="V292" s="58"/>
      <c r="W292" s="58"/>
      <c r="X292" s="58"/>
      <c r="Y292" s="58"/>
      <c r="AA292" s="1993" t="s">
        <v>2516</v>
      </c>
      <c r="AB292" s="2005"/>
      <c r="AC292" s="2005"/>
      <c r="AD292" s="2005"/>
      <c r="AE292" s="2005"/>
      <c r="AF292" s="2005"/>
      <c r="AG292" s="2003"/>
      <c r="AH292" s="2003"/>
      <c r="AI292" s="2003"/>
      <c r="AJ292" s="2003"/>
      <c r="AK292" s="2003"/>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331</v>
      </c>
      <c r="C294" s="58"/>
      <c r="D294" s="58"/>
      <c r="E294" s="58"/>
      <c r="F294" s="58"/>
      <c r="H294" s="2003" t="str">
        <f>H302</f>
        <v>Gubb &amp; Barshay LLP</v>
      </c>
      <c r="I294" s="2003"/>
      <c r="J294" s="2003"/>
      <c r="K294" s="2003"/>
      <c r="L294" s="2003"/>
      <c r="M294" s="2003"/>
      <c r="N294" s="2003"/>
      <c r="O294" s="2003"/>
      <c r="P294" s="2003"/>
      <c r="Q294" s="2003"/>
      <c r="R294" s="2003"/>
      <c r="T294" s="58" t="s">
        <v>373</v>
      </c>
      <c r="V294" s="58"/>
      <c r="W294" s="58"/>
      <c r="X294" s="58"/>
      <c r="Y294" s="58"/>
      <c r="AA294" s="2004" t="s">
        <v>2522</v>
      </c>
      <c r="AB294" s="2003"/>
      <c r="AC294" s="2003"/>
      <c r="AD294" s="2003"/>
      <c r="AE294" s="2003"/>
      <c r="AF294" s="2003"/>
      <c r="AG294" s="2003"/>
      <c r="AH294" s="2003"/>
      <c r="AI294" s="2003"/>
      <c r="AJ294" s="2003"/>
      <c r="AK294" s="2003"/>
      <c r="BN294" s="61"/>
    </row>
    <row r="295" spans="2:66" ht="12.5">
      <c r="B295" s="58" t="s">
        <v>502</v>
      </c>
      <c r="C295" s="58"/>
      <c r="D295" s="58"/>
      <c r="E295" s="58"/>
      <c r="F295" s="58"/>
      <c r="H295" s="1993" t="s">
        <v>2518</v>
      </c>
      <c r="I295" s="2005"/>
      <c r="J295" s="2005"/>
      <c r="K295" s="2005"/>
      <c r="L295" s="2005"/>
      <c r="M295" s="2005"/>
      <c r="N295" s="2005"/>
      <c r="O295" s="2005"/>
      <c r="P295" s="2005"/>
      <c r="Q295" s="2005"/>
      <c r="R295" s="2005"/>
      <c r="T295" s="58" t="s">
        <v>502</v>
      </c>
      <c r="V295" s="58"/>
      <c r="W295" s="58"/>
      <c r="X295" s="58"/>
      <c r="Y295" s="58"/>
      <c r="AA295" s="1993" t="s">
        <v>2523</v>
      </c>
      <c r="AB295" s="2005"/>
      <c r="AC295" s="2005"/>
      <c r="AD295" s="2005"/>
      <c r="AE295" s="2005"/>
      <c r="AF295" s="2005"/>
      <c r="AG295" s="2005"/>
      <c r="AH295" s="2005"/>
      <c r="AI295" s="2005"/>
      <c r="AJ295" s="2005"/>
      <c r="AK295" s="2005"/>
      <c r="BN295" s="61"/>
    </row>
    <row r="296" spans="2:66" ht="12.5">
      <c r="B296" s="58" t="s">
        <v>503</v>
      </c>
      <c r="C296" s="58"/>
      <c r="D296" s="58"/>
      <c r="E296" s="58"/>
      <c r="F296" s="58"/>
      <c r="H296" s="1993" t="s">
        <v>2519</v>
      </c>
      <c r="I296" s="2005"/>
      <c r="J296" s="2005"/>
      <c r="K296" s="2005"/>
      <c r="L296" s="2005"/>
      <c r="M296" s="2005"/>
      <c r="N296" s="2005"/>
      <c r="O296" s="2005"/>
      <c r="P296" s="2005"/>
      <c r="Q296" s="2005"/>
      <c r="R296" s="2005"/>
      <c r="T296" s="58" t="s">
        <v>79</v>
      </c>
      <c r="V296" s="58"/>
      <c r="W296" s="58"/>
      <c r="X296" s="58"/>
      <c r="Y296" s="58"/>
      <c r="AA296" s="1993" t="s">
        <v>2524</v>
      </c>
      <c r="AB296" s="2005"/>
      <c r="AC296" s="2005"/>
      <c r="AD296" s="2005"/>
      <c r="AE296" s="2005"/>
      <c r="AF296" s="2005"/>
      <c r="AG296" s="2005"/>
      <c r="AH296" s="2005"/>
      <c r="AI296" s="2005"/>
      <c r="AJ296" s="2005"/>
      <c r="AK296" s="2005"/>
      <c r="BN296" s="61"/>
    </row>
    <row r="297" spans="2:66" ht="12.5">
      <c r="B297" s="58" t="s">
        <v>92</v>
      </c>
      <c r="C297" s="58"/>
      <c r="D297" s="58"/>
      <c r="E297" s="58"/>
      <c r="F297" s="58"/>
      <c r="H297" s="1993" t="s">
        <v>2520</v>
      </c>
      <c r="I297" s="2005"/>
      <c r="J297" s="2005"/>
      <c r="K297" s="2005"/>
      <c r="L297" s="2005"/>
      <c r="M297" s="2005"/>
      <c r="N297" s="2005"/>
      <c r="O297" s="2005"/>
      <c r="P297" s="2005"/>
      <c r="Q297" s="2005"/>
      <c r="R297" s="2005"/>
      <c r="T297" s="58" t="s">
        <v>92</v>
      </c>
      <c r="V297" s="58"/>
      <c r="W297" s="58"/>
      <c r="X297" s="58"/>
      <c r="Y297" s="58"/>
      <c r="AA297" s="1993" t="s">
        <v>2525</v>
      </c>
      <c r="AB297" s="2005"/>
      <c r="AC297" s="2005"/>
      <c r="AD297" s="2005"/>
      <c r="AE297" s="2005"/>
      <c r="AF297" s="2005"/>
      <c r="AG297" s="2005"/>
      <c r="AH297" s="2005"/>
      <c r="AI297" s="2005"/>
      <c r="AJ297" s="2005"/>
      <c r="AK297" s="2005"/>
      <c r="BN297" s="61"/>
    </row>
    <row r="298" spans="2:66" ht="12.5">
      <c r="B298" s="58" t="s">
        <v>93</v>
      </c>
      <c r="C298" s="58"/>
      <c r="D298" s="58"/>
      <c r="E298" s="58"/>
      <c r="F298" s="58"/>
      <c r="G298" s="58"/>
      <c r="H298" s="2284" t="s">
        <v>2527</v>
      </c>
      <c r="I298" s="2284"/>
      <c r="J298" s="2284"/>
      <c r="K298" s="2284"/>
      <c r="L298" s="2284"/>
      <c r="M298" s="2284"/>
      <c r="N298" s="7" t="s">
        <v>211</v>
      </c>
      <c r="O298" s="7"/>
      <c r="P298" s="2282"/>
      <c r="Q298" s="2282"/>
      <c r="R298" s="2282"/>
      <c r="S298" s="58"/>
      <c r="T298" s="58" t="s">
        <v>93</v>
      </c>
      <c r="V298" s="58"/>
      <c r="W298" s="58"/>
      <c r="X298" s="58"/>
      <c r="Y298" s="58"/>
      <c r="AA298" s="2284" t="s">
        <v>2528</v>
      </c>
      <c r="AB298" s="2283"/>
      <c r="AC298" s="2283"/>
      <c r="AD298" s="2283"/>
      <c r="AE298" s="2283"/>
      <c r="AF298" s="2283"/>
      <c r="AG298" s="7" t="s">
        <v>211</v>
      </c>
      <c r="AH298" s="7"/>
      <c r="AI298" s="2282"/>
      <c r="AJ298" s="2282"/>
      <c r="AK298" s="2282"/>
      <c r="BN298" s="61"/>
    </row>
    <row r="299" spans="2:66" ht="12.75" customHeight="1">
      <c r="B299" s="58" t="s">
        <v>94</v>
      </c>
      <c r="C299" s="58"/>
      <c r="D299" s="58"/>
      <c r="E299" s="58"/>
      <c r="F299" s="58"/>
      <c r="G299" s="58"/>
      <c r="H299" s="2007"/>
      <c r="I299" s="2007"/>
      <c r="J299" s="2007"/>
      <c r="K299" s="2007"/>
      <c r="L299" s="2007"/>
      <c r="M299" s="2007"/>
      <c r="N299" s="60"/>
      <c r="O299" s="60"/>
      <c r="P299" s="62"/>
      <c r="Q299" s="62"/>
      <c r="R299" s="62"/>
      <c r="S299" s="58"/>
      <c r="T299" s="58" t="s">
        <v>94</v>
      </c>
      <c r="V299" s="58"/>
      <c r="W299" s="58"/>
      <c r="X299" s="58"/>
      <c r="Y299" s="58"/>
      <c r="AA299" s="2007"/>
      <c r="AB299" s="2007"/>
      <c r="AC299" s="2007"/>
      <c r="AD299" s="2007"/>
      <c r="AE299" s="2007"/>
      <c r="AF299" s="2007"/>
      <c r="AG299" s="60"/>
      <c r="AH299" s="60"/>
      <c r="AI299" s="62"/>
      <c r="AJ299" s="62"/>
      <c r="AK299" s="62"/>
      <c r="BN299" s="61"/>
    </row>
    <row r="300" spans="2:66" ht="12.75" customHeight="1">
      <c r="B300" s="58" t="s">
        <v>80</v>
      </c>
      <c r="C300" s="58"/>
      <c r="D300" s="58"/>
      <c r="E300" s="58"/>
      <c r="F300" s="58"/>
      <c r="G300" s="58"/>
      <c r="H300" s="1993" t="s">
        <v>2521</v>
      </c>
      <c r="I300" s="2005"/>
      <c r="J300" s="2005"/>
      <c r="K300" s="2005"/>
      <c r="L300" s="2005"/>
      <c r="M300" s="2005"/>
      <c r="N300" s="2003"/>
      <c r="O300" s="2003"/>
      <c r="P300" s="2003"/>
      <c r="Q300" s="2003"/>
      <c r="R300" s="2003"/>
      <c r="S300" s="58"/>
      <c r="T300" s="58" t="s">
        <v>80</v>
      </c>
      <c r="V300" s="58"/>
      <c r="W300" s="58"/>
      <c r="X300" s="58"/>
      <c r="Y300" s="58"/>
      <c r="AA300" s="1993" t="s">
        <v>2529</v>
      </c>
      <c r="AB300" s="2005"/>
      <c r="AC300" s="2005"/>
      <c r="AD300" s="2005"/>
      <c r="AE300" s="2005"/>
      <c r="AF300" s="2005"/>
      <c r="AG300" s="2003"/>
      <c r="AH300" s="2003"/>
      <c r="AI300" s="2003"/>
      <c r="AJ300" s="2003"/>
      <c r="AK300" s="2003"/>
      <c r="BN300" s="61"/>
    </row>
    <row r="301" spans="2:66" ht="12.75" customHeight="1">
      <c r="BN301" s="61"/>
    </row>
    <row r="302" spans="2:66" ht="12.75" customHeight="1">
      <c r="B302" s="58" t="s">
        <v>81</v>
      </c>
      <c r="C302" s="58"/>
      <c r="D302" s="58"/>
      <c r="E302" s="58"/>
      <c r="F302" s="58"/>
      <c r="H302" s="2004" t="s">
        <v>2517</v>
      </c>
      <c r="I302" s="2003"/>
      <c r="J302" s="2003"/>
      <c r="K302" s="2003"/>
      <c r="L302" s="2003"/>
      <c r="M302" s="2003"/>
      <c r="N302" s="2003"/>
      <c r="O302" s="2003"/>
      <c r="P302" s="2003"/>
      <c r="Q302" s="2003"/>
      <c r="R302" s="2003"/>
      <c r="T302" s="7" t="s">
        <v>941</v>
      </c>
      <c r="V302" s="58"/>
      <c r="W302" s="58"/>
      <c r="X302" s="58"/>
      <c r="Y302" s="58"/>
      <c r="AA302" s="2004" t="s">
        <v>2530</v>
      </c>
      <c r="AB302" s="2003"/>
      <c r="AC302" s="2003"/>
      <c r="AD302" s="2003"/>
      <c r="AE302" s="2003"/>
      <c r="AF302" s="2003"/>
      <c r="AG302" s="2003"/>
      <c r="AH302" s="2003"/>
      <c r="AI302" s="2003"/>
      <c r="AJ302" s="2003"/>
      <c r="AK302" s="2003"/>
      <c r="BN302" s="61"/>
    </row>
    <row r="303" spans="2:66" ht="12.5">
      <c r="B303" s="58" t="s">
        <v>502</v>
      </c>
      <c r="C303" s="58"/>
      <c r="D303" s="58"/>
      <c r="E303" s="58"/>
      <c r="F303" s="58"/>
      <c r="H303" s="1993" t="s">
        <v>2518</v>
      </c>
      <c r="I303" s="2005"/>
      <c r="J303" s="2005"/>
      <c r="K303" s="2005"/>
      <c r="L303" s="2005"/>
      <c r="M303" s="2005"/>
      <c r="N303" s="2005"/>
      <c r="O303" s="2005"/>
      <c r="P303" s="2005"/>
      <c r="Q303" s="2005"/>
      <c r="R303" s="2005"/>
      <c r="T303" s="58" t="s">
        <v>502</v>
      </c>
      <c r="V303" s="58"/>
      <c r="W303" s="58"/>
      <c r="X303" s="58"/>
      <c r="Y303" s="58"/>
      <c r="AA303" s="1993" t="s">
        <v>2531</v>
      </c>
      <c r="AB303" s="2005"/>
      <c r="AC303" s="2005"/>
      <c r="AD303" s="2005"/>
      <c r="AE303" s="2005"/>
      <c r="AF303" s="2005"/>
      <c r="AG303" s="2005"/>
      <c r="AH303" s="2005"/>
      <c r="AI303" s="2005"/>
      <c r="AJ303" s="2005"/>
      <c r="AK303" s="2005"/>
      <c r="BN303" s="61"/>
    </row>
    <row r="304" spans="2:66" ht="12.5">
      <c r="B304" s="58" t="s">
        <v>503</v>
      </c>
      <c r="C304" s="58"/>
      <c r="D304" s="58"/>
      <c r="E304" s="58"/>
      <c r="F304" s="58"/>
      <c r="H304" s="1993" t="s">
        <v>2519</v>
      </c>
      <c r="I304" s="2005"/>
      <c r="J304" s="2005"/>
      <c r="K304" s="2005"/>
      <c r="L304" s="2005"/>
      <c r="M304" s="2005"/>
      <c r="N304" s="2005"/>
      <c r="O304" s="2005"/>
      <c r="P304" s="2005"/>
      <c r="Q304" s="2005"/>
      <c r="R304" s="2005"/>
      <c r="T304" s="58" t="s">
        <v>79</v>
      </c>
      <c r="V304" s="58"/>
      <c r="W304" s="58"/>
      <c r="X304" s="58"/>
      <c r="Y304" s="58"/>
      <c r="AA304" s="1993" t="s">
        <v>2532</v>
      </c>
      <c r="AB304" s="2005"/>
      <c r="AC304" s="2005"/>
      <c r="AD304" s="2005"/>
      <c r="AE304" s="2005"/>
      <c r="AF304" s="2005"/>
      <c r="AG304" s="2005"/>
      <c r="AH304" s="2005"/>
      <c r="AI304" s="2005"/>
      <c r="AJ304" s="2005"/>
      <c r="AK304" s="2005"/>
      <c r="BN304" s="61"/>
    </row>
    <row r="305" spans="2:66" ht="12.5">
      <c r="B305" s="58" t="s">
        <v>92</v>
      </c>
      <c r="C305" s="58"/>
      <c r="D305" s="58"/>
      <c r="E305" s="58"/>
      <c r="F305" s="58"/>
      <c r="H305" s="1993" t="s">
        <v>2520</v>
      </c>
      <c r="I305" s="2005"/>
      <c r="J305" s="2005"/>
      <c r="K305" s="2005"/>
      <c r="L305" s="2005"/>
      <c r="M305" s="2005"/>
      <c r="N305" s="2005"/>
      <c r="O305" s="2005"/>
      <c r="P305" s="2005"/>
      <c r="Q305" s="2005"/>
      <c r="R305" s="2005"/>
      <c r="T305" s="58" t="s">
        <v>92</v>
      </c>
      <c r="V305" s="58"/>
      <c r="W305" s="58"/>
      <c r="X305" s="58"/>
      <c r="Y305" s="58"/>
      <c r="AA305" s="1993" t="s">
        <v>2533</v>
      </c>
      <c r="AB305" s="2005"/>
      <c r="AC305" s="2005"/>
      <c r="AD305" s="2005"/>
      <c r="AE305" s="2005"/>
      <c r="AF305" s="2005"/>
      <c r="AG305" s="2005"/>
      <c r="AH305" s="2005"/>
      <c r="AI305" s="2005"/>
      <c r="AJ305" s="2005"/>
      <c r="AK305" s="2005"/>
      <c r="BN305" s="61"/>
    </row>
    <row r="306" spans="2:66" ht="12.5">
      <c r="B306" s="58" t="s">
        <v>93</v>
      </c>
      <c r="C306" s="58"/>
      <c r="D306" s="58"/>
      <c r="E306" s="58"/>
      <c r="F306" s="58"/>
      <c r="G306" s="58"/>
      <c r="H306" s="2284" t="s">
        <v>2527</v>
      </c>
      <c r="I306" s="2284"/>
      <c r="J306" s="2284"/>
      <c r="K306" s="2284"/>
      <c r="L306" s="2284"/>
      <c r="M306" s="2284"/>
      <c r="N306" s="7" t="s">
        <v>211</v>
      </c>
      <c r="O306" s="7"/>
      <c r="P306" s="2282"/>
      <c r="Q306" s="2282"/>
      <c r="R306" s="2282"/>
      <c r="S306" s="58"/>
      <c r="T306" s="58" t="s">
        <v>93</v>
      </c>
      <c r="V306" s="58"/>
      <c r="W306" s="58"/>
      <c r="X306" s="58"/>
      <c r="Y306" s="58"/>
      <c r="AA306" s="2284" t="s">
        <v>2538</v>
      </c>
      <c r="AB306" s="2283"/>
      <c r="AC306" s="2283"/>
      <c r="AD306" s="2283"/>
      <c r="AE306" s="2283"/>
      <c r="AF306" s="2283"/>
      <c r="AG306" s="7" t="s">
        <v>211</v>
      </c>
      <c r="AH306" s="7"/>
      <c r="AI306" s="2282"/>
      <c r="AJ306" s="2282"/>
      <c r="AK306" s="2282"/>
      <c r="BN306" s="61"/>
    </row>
    <row r="307" spans="2:66" ht="12.5">
      <c r="B307" s="58" t="s">
        <v>94</v>
      </c>
      <c r="C307" s="58"/>
      <c r="D307" s="58"/>
      <c r="E307" s="58"/>
      <c r="F307" s="58"/>
      <c r="G307" s="58"/>
      <c r="H307" s="2007"/>
      <c r="I307" s="2007"/>
      <c r="J307" s="2007"/>
      <c r="K307" s="2007"/>
      <c r="L307" s="2007"/>
      <c r="M307" s="2007"/>
      <c r="N307" s="60"/>
      <c r="O307" s="60"/>
      <c r="P307" s="62"/>
      <c r="Q307" s="62"/>
      <c r="R307" s="62"/>
      <c r="S307" s="58"/>
      <c r="T307" s="58" t="s">
        <v>94</v>
      </c>
      <c r="V307" s="58"/>
      <c r="W307" s="58"/>
      <c r="X307" s="58"/>
      <c r="Y307" s="58"/>
      <c r="AA307" s="2007"/>
      <c r="AB307" s="2007"/>
      <c r="AC307" s="2007"/>
      <c r="AD307" s="2007"/>
      <c r="AE307" s="2007"/>
      <c r="AF307" s="2007"/>
      <c r="AG307" s="60"/>
      <c r="AH307" s="60"/>
      <c r="AI307" s="62"/>
      <c r="AJ307" s="62"/>
      <c r="AK307" s="62"/>
      <c r="BN307" s="61"/>
    </row>
    <row r="308" spans="2:66" ht="12.5">
      <c r="B308" s="58" t="s">
        <v>80</v>
      </c>
      <c r="C308" s="58"/>
      <c r="D308" s="58"/>
      <c r="E308" s="58"/>
      <c r="F308" s="58"/>
      <c r="G308" s="58"/>
      <c r="H308" s="1993" t="s">
        <v>2521</v>
      </c>
      <c r="I308" s="2005"/>
      <c r="J308" s="2005"/>
      <c r="K308" s="2005"/>
      <c r="L308" s="2005"/>
      <c r="M308" s="2005"/>
      <c r="N308" s="2003"/>
      <c r="O308" s="2003"/>
      <c r="P308" s="2003"/>
      <c r="Q308" s="2003"/>
      <c r="R308" s="2003"/>
      <c r="S308" s="58"/>
      <c r="T308" s="58" t="s">
        <v>80</v>
      </c>
      <c r="V308" s="58"/>
      <c r="W308" s="58"/>
      <c r="X308" s="58"/>
      <c r="Y308" s="58"/>
      <c r="AA308" s="1993" t="s">
        <v>2534</v>
      </c>
      <c r="AB308" s="2005"/>
      <c r="AC308" s="2005"/>
      <c r="AD308" s="2005"/>
      <c r="AE308" s="2005"/>
      <c r="AF308" s="2005"/>
      <c r="AG308" s="2003"/>
      <c r="AH308" s="2003"/>
      <c r="AI308" s="2003"/>
      <c r="AJ308" s="2003"/>
      <c r="AK308" s="2003"/>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974</v>
      </c>
      <c r="C310" s="58"/>
      <c r="D310" s="58"/>
      <c r="E310" s="58"/>
      <c r="F310" s="58"/>
      <c r="H310" s="2004" t="s">
        <v>2536</v>
      </c>
      <c r="I310" s="2003"/>
      <c r="J310" s="2003"/>
      <c r="K310" s="2003"/>
      <c r="L310" s="2003"/>
      <c r="M310" s="2003"/>
      <c r="N310" s="2003"/>
      <c r="O310" s="2003"/>
      <c r="P310" s="2003"/>
      <c r="Q310" s="2003"/>
      <c r="R310" s="2003"/>
      <c r="S310" s="58"/>
      <c r="T310" s="58" t="s">
        <v>374</v>
      </c>
      <c r="V310" s="58"/>
      <c r="W310" s="58"/>
      <c r="X310" s="58"/>
      <c r="Y310" s="58"/>
      <c r="AA310" s="2004" t="s">
        <v>2535</v>
      </c>
      <c r="AB310" s="2003"/>
      <c r="AC310" s="2003"/>
      <c r="AD310" s="2003"/>
      <c r="AE310" s="2003"/>
      <c r="AF310" s="2003"/>
      <c r="AG310" s="2003"/>
      <c r="AH310" s="2003"/>
      <c r="AI310" s="2003"/>
      <c r="AJ310" s="2003"/>
      <c r="AK310" s="2003"/>
      <c r="BN310" s="61"/>
    </row>
    <row r="311" spans="2:66" ht="12.5">
      <c r="B311" s="58" t="s">
        <v>502</v>
      </c>
      <c r="C311" s="58"/>
      <c r="D311" s="58"/>
      <c r="E311" s="58"/>
      <c r="F311" s="58"/>
      <c r="H311" s="1993" t="s">
        <v>2537</v>
      </c>
      <c r="I311" s="2005"/>
      <c r="J311" s="2005"/>
      <c r="K311" s="2005"/>
      <c r="L311" s="2005"/>
      <c r="M311" s="2005"/>
      <c r="N311" s="2005"/>
      <c r="O311" s="2005"/>
      <c r="P311" s="2005"/>
      <c r="Q311" s="2005"/>
      <c r="R311" s="2005"/>
      <c r="S311" s="58"/>
      <c r="T311" s="58" t="s">
        <v>502</v>
      </c>
      <c r="V311" s="58"/>
      <c r="W311" s="58"/>
      <c r="X311" s="58"/>
      <c r="Y311" s="58"/>
      <c r="AA311" s="2005"/>
      <c r="AB311" s="2005"/>
      <c r="AC311" s="2005"/>
      <c r="AD311" s="2005"/>
      <c r="AE311" s="2005"/>
      <c r="AF311" s="2005"/>
      <c r="AG311" s="2005"/>
      <c r="AH311" s="2005"/>
      <c r="AI311" s="2005"/>
      <c r="AJ311" s="2005"/>
      <c r="AK311" s="2005"/>
      <c r="BN311" s="61"/>
    </row>
    <row r="312" spans="2:66" ht="12.75" customHeight="1">
      <c r="B312" s="58" t="s">
        <v>503</v>
      </c>
      <c r="C312" s="58"/>
      <c r="D312" s="58"/>
      <c r="E312" s="58"/>
      <c r="F312" s="58"/>
      <c r="H312" s="1993" t="s">
        <v>2539</v>
      </c>
      <c r="I312" s="2005"/>
      <c r="J312" s="2005"/>
      <c r="K312" s="2005"/>
      <c r="L312" s="2005"/>
      <c r="M312" s="2005"/>
      <c r="N312" s="2005"/>
      <c r="O312" s="2005"/>
      <c r="P312" s="2005"/>
      <c r="Q312" s="2005"/>
      <c r="R312" s="2005"/>
      <c r="S312" s="58"/>
      <c r="T312" s="58" t="s">
        <v>79</v>
      </c>
      <c r="V312" s="58"/>
      <c r="W312" s="58"/>
      <c r="X312" s="58"/>
      <c r="Y312" s="58"/>
      <c r="AA312" s="2005"/>
      <c r="AB312" s="2005"/>
      <c r="AC312" s="2005"/>
      <c r="AD312" s="2005"/>
      <c r="AE312" s="2005"/>
      <c r="AF312" s="2005"/>
      <c r="AG312" s="2005"/>
      <c r="AH312" s="2005"/>
      <c r="AI312" s="2005"/>
      <c r="AJ312" s="2005"/>
      <c r="AK312" s="2005"/>
      <c r="BN312" s="61"/>
    </row>
    <row r="313" spans="2:66" ht="12.5">
      <c r="B313" s="58" t="s">
        <v>92</v>
      </c>
      <c r="C313" s="58"/>
      <c r="D313" s="58"/>
      <c r="E313" s="58"/>
      <c r="F313" s="58"/>
      <c r="H313" s="1993" t="s">
        <v>2540</v>
      </c>
      <c r="I313" s="2005"/>
      <c r="J313" s="2005"/>
      <c r="K313" s="2005"/>
      <c r="L313" s="2005"/>
      <c r="M313" s="2005"/>
      <c r="N313" s="2005"/>
      <c r="O313" s="2005"/>
      <c r="P313" s="2005"/>
      <c r="Q313" s="2005"/>
      <c r="R313" s="2005"/>
      <c r="S313" s="58"/>
      <c r="T313" s="58" t="s">
        <v>92</v>
      </c>
      <c r="V313" s="58"/>
      <c r="W313" s="58"/>
      <c r="X313" s="58"/>
      <c r="Y313" s="58"/>
      <c r="AA313" s="2005"/>
      <c r="AB313" s="2005"/>
      <c r="AC313" s="2005"/>
      <c r="AD313" s="2005"/>
      <c r="AE313" s="2005"/>
      <c r="AF313" s="2005"/>
      <c r="AG313" s="2005"/>
      <c r="AH313" s="2005"/>
      <c r="AI313" s="2005"/>
      <c r="AJ313" s="2005"/>
      <c r="AK313" s="2005"/>
      <c r="BN313" s="61"/>
    </row>
    <row r="314" spans="2:66" ht="12.5">
      <c r="B314" s="58" t="s">
        <v>93</v>
      </c>
      <c r="C314" s="58"/>
      <c r="D314" s="58"/>
      <c r="E314" s="58"/>
      <c r="F314" s="58"/>
      <c r="G314" s="58"/>
      <c r="H314" s="2284" t="s">
        <v>2541</v>
      </c>
      <c r="I314" s="2284"/>
      <c r="J314" s="2284"/>
      <c r="K314" s="2284"/>
      <c r="L314" s="2284"/>
      <c r="M314" s="2284"/>
      <c r="N314" s="7" t="s">
        <v>211</v>
      </c>
      <c r="O314" s="7"/>
      <c r="P314" s="2282"/>
      <c r="Q314" s="2282"/>
      <c r="R314" s="2282"/>
      <c r="S314" s="58"/>
      <c r="T314" s="58" t="s">
        <v>93</v>
      </c>
      <c r="V314" s="58"/>
      <c r="W314" s="58"/>
      <c r="X314" s="58"/>
      <c r="Y314" s="58"/>
      <c r="AA314" s="2283"/>
      <c r="AB314" s="2283"/>
      <c r="AC314" s="2283"/>
      <c r="AD314" s="2283"/>
      <c r="AE314" s="2283"/>
      <c r="AF314" s="2283"/>
      <c r="AG314" s="7" t="s">
        <v>211</v>
      </c>
      <c r="AH314" s="7"/>
      <c r="AI314" s="2282"/>
      <c r="AJ314" s="2282"/>
      <c r="AK314" s="2282"/>
      <c r="BN314" s="61"/>
    </row>
    <row r="315" spans="2:66" ht="12.5">
      <c r="B315" s="58" t="s">
        <v>94</v>
      </c>
      <c r="C315" s="58"/>
      <c r="D315" s="58"/>
      <c r="E315" s="58"/>
      <c r="F315" s="58"/>
      <c r="G315" s="58"/>
      <c r="H315" s="2008" t="s">
        <v>2542</v>
      </c>
      <c r="I315" s="2008"/>
      <c r="J315" s="2008"/>
      <c r="K315" s="2008"/>
      <c r="L315" s="2008"/>
      <c r="M315" s="2008"/>
      <c r="N315" s="60"/>
      <c r="O315" s="60"/>
      <c r="P315" s="62"/>
      <c r="Q315" s="62"/>
      <c r="R315" s="62"/>
      <c r="S315" s="58"/>
      <c r="T315" s="58" t="s">
        <v>94</v>
      </c>
      <c r="V315" s="58"/>
      <c r="W315" s="58"/>
      <c r="X315" s="58"/>
      <c r="Y315" s="58"/>
      <c r="AA315" s="2007"/>
      <c r="AB315" s="2007"/>
      <c r="AC315" s="2007"/>
      <c r="AD315" s="2007"/>
      <c r="AE315" s="2007"/>
      <c r="AF315" s="2007"/>
      <c r="AG315" s="60"/>
      <c r="AH315" s="60"/>
      <c r="AI315" s="62"/>
      <c r="AJ315" s="62"/>
      <c r="AK315" s="62"/>
      <c r="BN315" s="61"/>
    </row>
    <row r="316" spans="2:66" ht="12.5">
      <c r="B316" s="58" t="s">
        <v>80</v>
      </c>
      <c r="C316" s="58"/>
      <c r="D316" s="58"/>
      <c r="E316" s="58"/>
      <c r="F316" s="58"/>
      <c r="G316" s="58"/>
      <c r="H316" s="1993" t="s">
        <v>2543</v>
      </c>
      <c r="I316" s="2005"/>
      <c r="J316" s="2005"/>
      <c r="K316" s="2005"/>
      <c r="L316" s="2005"/>
      <c r="M316" s="2005"/>
      <c r="N316" s="2003"/>
      <c r="O316" s="2003"/>
      <c r="P316" s="2003"/>
      <c r="Q316" s="2003"/>
      <c r="R316" s="2003"/>
      <c r="S316" s="58"/>
      <c r="T316" s="58" t="s">
        <v>80</v>
      </c>
      <c r="V316" s="58"/>
      <c r="W316" s="58"/>
      <c r="X316" s="58"/>
      <c r="Y316" s="58"/>
      <c r="AA316" s="2005"/>
      <c r="AB316" s="2005"/>
      <c r="AC316" s="2005"/>
      <c r="AD316" s="2005"/>
      <c r="AE316" s="2005"/>
      <c r="AF316" s="2005"/>
      <c r="AG316" s="2003"/>
      <c r="AH316" s="2003"/>
      <c r="AI316" s="2003"/>
      <c r="AJ316" s="2003"/>
      <c r="AK316" s="2003"/>
      <c r="BN316" s="61"/>
    </row>
    <row r="317" spans="2:66" ht="12.5">
      <c r="BN317" s="61"/>
    </row>
    <row r="318" spans="2:66" ht="12.5">
      <c r="B318" s="7" t="s">
        <v>975</v>
      </c>
      <c r="C318" s="58"/>
      <c r="D318" s="58"/>
      <c r="E318" s="58"/>
      <c r="F318" s="58"/>
      <c r="H318" s="2004" t="s">
        <v>2544</v>
      </c>
      <c r="I318" s="2003"/>
      <c r="J318" s="2003"/>
      <c r="K318" s="2003"/>
      <c r="L318" s="2003"/>
      <c r="M318" s="2003"/>
      <c r="N318" s="2003"/>
      <c r="O318" s="2003"/>
      <c r="P318" s="2003"/>
      <c r="Q318" s="2003"/>
      <c r="R318" s="2003"/>
      <c r="T318" s="58" t="s">
        <v>375</v>
      </c>
      <c r="V318" s="58"/>
      <c r="W318" s="58"/>
      <c r="X318" s="58"/>
      <c r="Y318" s="58"/>
      <c r="AA318" s="2003" t="s">
        <v>2549</v>
      </c>
      <c r="AB318" s="2003"/>
      <c r="AC318" s="2003"/>
      <c r="AD318" s="2003"/>
      <c r="AE318" s="2003"/>
      <c r="AF318" s="2003"/>
      <c r="AG318" s="2003"/>
      <c r="AH318" s="2003"/>
      <c r="AI318" s="2003"/>
      <c r="AJ318" s="2003"/>
      <c r="AK318" s="2003"/>
      <c r="BN318" s="61"/>
    </row>
    <row r="319" spans="2:66" ht="12.5">
      <c r="B319" s="58" t="s">
        <v>502</v>
      </c>
      <c r="C319" s="58"/>
      <c r="D319" s="58"/>
      <c r="E319" s="58"/>
      <c r="F319" s="58"/>
      <c r="H319" s="1993" t="s">
        <v>2545</v>
      </c>
      <c r="I319" s="2005"/>
      <c r="J319" s="2005"/>
      <c r="K319" s="2005"/>
      <c r="L319" s="2005"/>
      <c r="M319" s="2005"/>
      <c r="N319" s="2005"/>
      <c r="O319" s="2005"/>
      <c r="P319" s="2005"/>
      <c r="Q319" s="2005"/>
      <c r="R319" s="2005"/>
      <c r="T319" s="58" t="s">
        <v>502</v>
      </c>
      <c r="V319" s="58"/>
      <c r="W319" s="58"/>
      <c r="X319" s="58"/>
      <c r="Y319" s="58"/>
      <c r="AA319" s="2005" t="s">
        <v>2550</v>
      </c>
      <c r="AB319" s="2005"/>
      <c r="AC319" s="2005"/>
      <c r="AD319" s="2005"/>
      <c r="AE319" s="2005"/>
      <c r="AF319" s="2005"/>
      <c r="AG319" s="2005"/>
      <c r="AH319" s="2005"/>
      <c r="AI319" s="2005"/>
      <c r="AJ319" s="2005"/>
      <c r="AK319" s="2005"/>
      <c r="BN319" s="61"/>
    </row>
    <row r="320" spans="2:66" ht="12.5">
      <c r="B320" s="58" t="s">
        <v>503</v>
      </c>
      <c r="C320" s="58"/>
      <c r="D320" s="58"/>
      <c r="E320" s="58"/>
      <c r="F320" s="58"/>
      <c r="H320" s="1993" t="s">
        <v>2524</v>
      </c>
      <c r="I320" s="2005"/>
      <c r="J320" s="2005"/>
      <c r="K320" s="2005"/>
      <c r="L320" s="2005"/>
      <c r="M320" s="2005"/>
      <c r="N320" s="2005"/>
      <c r="O320" s="2005"/>
      <c r="P320" s="2005"/>
      <c r="Q320" s="2005"/>
      <c r="R320" s="2005"/>
      <c r="T320" s="58" t="s">
        <v>79</v>
      </c>
      <c r="V320" s="58"/>
      <c r="W320" s="58"/>
      <c r="X320" s="58"/>
      <c r="Y320" s="58"/>
      <c r="AA320" s="2005" t="s">
        <v>2551</v>
      </c>
      <c r="AB320" s="2005"/>
      <c r="AC320" s="2005"/>
      <c r="AD320" s="2005"/>
      <c r="AE320" s="2005"/>
      <c r="AF320" s="2005"/>
      <c r="AG320" s="2005"/>
      <c r="AH320" s="2005"/>
      <c r="AI320" s="2005"/>
      <c r="AJ320" s="2005"/>
      <c r="AK320" s="2005"/>
      <c r="BN320" s="61"/>
    </row>
    <row r="321" spans="1:66" ht="12.75" customHeight="1">
      <c r="A321" s="39"/>
      <c r="B321" s="58" t="s">
        <v>92</v>
      </c>
      <c r="C321" s="58"/>
      <c r="D321" s="58"/>
      <c r="E321" s="58"/>
      <c r="F321" s="58"/>
      <c r="H321" s="1993" t="s">
        <v>2546</v>
      </c>
      <c r="I321" s="2005"/>
      <c r="J321" s="2005"/>
      <c r="K321" s="2005"/>
      <c r="L321" s="2005"/>
      <c r="M321" s="2005"/>
      <c r="N321" s="2005"/>
      <c r="O321" s="2005"/>
      <c r="P321" s="2005"/>
      <c r="Q321" s="2005"/>
      <c r="R321" s="2005"/>
      <c r="T321" s="58" t="s">
        <v>92</v>
      </c>
      <c r="V321" s="58"/>
      <c r="W321" s="58"/>
      <c r="X321" s="58"/>
      <c r="Y321" s="58"/>
      <c r="AA321" s="2005" t="s">
        <v>2552</v>
      </c>
      <c r="AB321" s="2005"/>
      <c r="AC321" s="2005"/>
      <c r="AD321" s="2005"/>
      <c r="AE321" s="2005"/>
      <c r="AF321" s="2005"/>
      <c r="AG321" s="2005"/>
      <c r="AH321" s="2005"/>
      <c r="AI321" s="2005"/>
      <c r="AJ321" s="2005"/>
      <c r="AK321" s="2005"/>
      <c r="AL321" s="39"/>
      <c r="BN321" s="61"/>
    </row>
    <row r="322" spans="1:66" ht="12.5">
      <c r="A322" s="39"/>
      <c r="B322" s="58" t="s">
        <v>93</v>
      </c>
      <c r="C322" s="58"/>
      <c r="D322" s="58"/>
      <c r="E322" s="58"/>
      <c r="F322" s="58"/>
      <c r="G322" s="58"/>
      <c r="H322" s="2284" t="s">
        <v>2547</v>
      </c>
      <c r="I322" s="2283"/>
      <c r="J322" s="2283"/>
      <c r="K322" s="2283"/>
      <c r="L322" s="2283"/>
      <c r="M322" s="2283"/>
      <c r="N322" s="7" t="s">
        <v>211</v>
      </c>
      <c r="O322" s="7"/>
      <c r="P322" s="2282">
        <v>318</v>
      </c>
      <c r="Q322" s="2282"/>
      <c r="R322" s="2282"/>
      <c r="S322" s="58"/>
      <c r="T322" s="58" t="s">
        <v>93</v>
      </c>
      <c r="V322" s="58"/>
      <c r="W322" s="58"/>
      <c r="X322" s="58"/>
      <c r="Y322" s="58"/>
      <c r="AA322" s="2284" t="s">
        <v>2553</v>
      </c>
      <c r="AB322" s="2284"/>
      <c r="AC322" s="2284"/>
      <c r="AD322" s="2284"/>
      <c r="AE322" s="2284"/>
      <c r="AF322" s="2284"/>
      <c r="AG322" s="7" t="s">
        <v>211</v>
      </c>
      <c r="AH322" s="7"/>
      <c r="AI322" s="2282"/>
      <c r="AJ322" s="2282"/>
      <c r="AK322" s="2282"/>
      <c r="AL322" s="39"/>
      <c r="BN322" s="61"/>
    </row>
    <row r="323" spans="1:66" ht="12.75" customHeight="1">
      <c r="A323" s="39"/>
      <c r="B323" s="58" t="s">
        <v>94</v>
      </c>
      <c r="C323" s="58"/>
      <c r="D323" s="58"/>
      <c r="E323" s="58"/>
      <c r="F323" s="58"/>
      <c r="G323" s="58"/>
      <c r="H323" s="2007"/>
      <c r="I323" s="2007"/>
      <c r="J323" s="2007"/>
      <c r="K323" s="2007"/>
      <c r="L323" s="2007"/>
      <c r="M323" s="2007"/>
      <c r="N323" s="60"/>
      <c r="O323" s="60"/>
      <c r="P323" s="62"/>
      <c r="Q323" s="62"/>
      <c r="R323" s="62"/>
      <c r="S323" s="58"/>
      <c r="T323" s="58" t="s">
        <v>94</v>
      </c>
      <c r="V323" s="58"/>
      <c r="W323" s="58"/>
      <c r="X323" s="58"/>
      <c r="Y323" s="58"/>
      <c r="AA323" s="2007"/>
      <c r="AB323" s="2007"/>
      <c r="AC323" s="2007"/>
      <c r="AD323" s="2007"/>
      <c r="AE323" s="2007"/>
      <c r="AF323" s="2007"/>
      <c r="AG323" s="60"/>
      <c r="AH323" s="60"/>
      <c r="AI323" s="62"/>
      <c r="AJ323" s="62"/>
      <c r="AK323" s="62"/>
      <c r="AL323" s="39"/>
    </row>
    <row r="324" spans="1:66" ht="12.5">
      <c r="A324" s="39"/>
      <c r="B324" s="58" t="s">
        <v>80</v>
      </c>
      <c r="C324" s="58"/>
      <c r="D324" s="58"/>
      <c r="E324" s="58"/>
      <c r="F324" s="58"/>
      <c r="G324" s="58"/>
      <c r="H324" s="1993" t="s">
        <v>2548</v>
      </c>
      <c r="I324" s="2005"/>
      <c r="J324" s="2005"/>
      <c r="K324" s="2005"/>
      <c r="L324" s="2005"/>
      <c r="M324" s="2005"/>
      <c r="N324" s="2003"/>
      <c r="O324" s="2003"/>
      <c r="P324" s="2003"/>
      <c r="Q324" s="2003"/>
      <c r="R324" s="2003"/>
      <c r="S324" s="58"/>
      <c r="T324" s="58" t="s">
        <v>80</v>
      </c>
      <c r="V324" s="58"/>
      <c r="W324" s="58"/>
      <c r="X324" s="58"/>
      <c r="Y324" s="58"/>
      <c r="AA324" s="2005" t="s">
        <v>2554</v>
      </c>
      <c r="AB324" s="2005"/>
      <c r="AC324" s="2005"/>
      <c r="AD324" s="2005"/>
      <c r="AE324" s="2005"/>
      <c r="AF324" s="2005"/>
      <c r="AG324" s="2003"/>
      <c r="AH324" s="2003"/>
      <c r="AI324" s="2003"/>
      <c r="AJ324" s="2003"/>
      <c r="AK324" s="2003"/>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376</v>
      </c>
      <c r="C326" s="58"/>
      <c r="D326" s="58"/>
      <c r="E326" s="58"/>
      <c r="F326" s="58"/>
      <c r="H326" s="2004" t="s">
        <v>624</v>
      </c>
      <c r="I326" s="2003"/>
      <c r="J326" s="2003"/>
      <c r="K326" s="2003"/>
      <c r="L326" s="2003"/>
      <c r="M326" s="2003"/>
      <c r="N326" s="2003"/>
      <c r="O326" s="2003"/>
      <c r="P326" s="2003"/>
      <c r="Q326" s="2003"/>
      <c r="R326" s="2003"/>
      <c r="T326" s="58" t="s">
        <v>377</v>
      </c>
      <c r="V326" s="58"/>
      <c r="W326" s="58"/>
      <c r="X326" s="58"/>
      <c r="Y326" s="58"/>
      <c r="AA326" s="2004" t="s">
        <v>624</v>
      </c>
      <c r="AB326" s="2003"/>
      <c r="AC326" s="2003"/>
      <c r="AD326" s="2003"/>
      <c r="AE326" s="2003"/>
      <c r="AF326" s="2003"/>
      <c r="AG326" s="2003"/>
      <c r="AH326" s="2003"/>
      <c r="AI326" s="2003"/>
      <c r="AJ326" s="2003"/>
      <c r="AK326" s="2003"/>
      <c r="AL326" s="39"/>
    </row>
    <row r="327" spans="1:66" ht="12.5">
      <c r="A327" s="39"/>
      <c r="B327" s="58" t="s">
        <v>502</v>
      </c>
      <c r="C327" s="58"/>
      <c r="D327" s="58"/>
      <c r="E327" s="58"/>
      <c r="F327" s="58"/>
      <c r="H327" s="2005"/>
      <c r="I327" s="2005"/>
      <c r="J327" s="2005"/>
      <c r="K327" s="2005"/>
      <c r="L327" s="2005"/>
      <c r="M327" s="2005"/>
      <c r="N327" s="2005"/>
      <c r="O327" s="2005"/>
      <c r="P327" s="2005"/>
      <c r="Q327" s="2005"/>
      <c r="R327" s="2005"/>
      <c r="T327" s="58" t="s">
        <v>502</v>
      </c>
      <c r="V327" s="58"/>
      <c r="W327" s="58"/>
      <c r="X327" s="58"/>
      <c r="Y327" s="58"/>
      <c r="AA327" s="2005"/>
      <c r="AB327" s="2005"/>
      <c r="AC327" s="2005"/>
      <c r="AD327" s="2005"/>
      <c r="AE327" s="2005"/>
      <c r="AF327" s="2005"/>
      <c r="AG327" s="2005"/>
      <c r="AH327" s="2005"/>
      <c r="AI327" s="2005"/>
      <c r="AJ327" s="2005"/>
      <c r="AK327" s="2005"/>
      <c r="AL327" s="39"/>
    </row>
    <row r="328" spans="1:66" ht="12.5">
      <c r="A328" s="39"/>
      <c r="B328" s="58" t="s">
        <v>503</v>
      </c>
      <c r="C328" s="58"/>
      <c r="D328" s="58"/>
      <c r="E328" s="58"/>
      <c r="F328" s="58"/>
      <c r="H328" s="2005"/>
      <c r="I328" s="2005"/>
      <c r="J328" s="2005"/>
      <c r="K328" s="2005"/>
      <c r="L328" s="2005"/>
      <c r="M328" s="2005"/>
      <c r="N328" s="2005"/>
      <c r="O328" s="2005"/>
      <c r="P328" s="2005"/>
      <c r="Q328" s="2005"/>
      <c r="R328" s="2005"/>
      <c r="T328" s="58" t="s">
        <v>79</v>
      </c>
      <c r="V328" s="58"/>
      <c r="W328" s="58"/>
      <c r="X328" s="58"/>
      <c r="Y328" s="58"/>
      <c r="AA328" s="2005"/>
      <c r="AB328" s="2005"/>
      <c r="AC328" s="2005"/>
      <c r="AD328" s="2005"/>
      <c r="AE328" s="2005"/>
      <c r="AF328" s="2005"/>
      <c r="AG328" s="2005"/>
      <c r="AH328" s="2005"/>
      <c r="AI328" s="2005"/>
      <c r="AJ328" s="2005"/>
      <c r="AK328" s="2005"/>
      <c r="AL328" s="39"/>
    </row>
    <row r="329" spans="1:66" ht="12.5">
      <c r="A329" s="39"/>
      <c r="B329" s="58" t="s">
        <v>92</v>
      </c>
      <c r="C329" s="58"/>
      <c r="D329" s="58"/>
      <c r="E329" s="58"/>
      <c r="F329" s="58"/>
      <c r="H329" s="2005"/>
      <c r="I329" s="2005"/>
      <c r="J329" s="2005"/>
      <c r="K329" s="2005"/>
      <c r="L329" s="2005"/>
      <c r="M329" s="2005"/>
      <c r="N329" s="2005"/>
      <c r="O329" s="2005"/>
      <c r="P329" s="2005"/>
      <c r="Q329" s="2005"/>
      <c r="R329" s="2005"/>
      <c r="T329" s="58" t="s">
        <v>92</v>
      </c>
      <c r="V329" s="58"/>
      <c r="W329" s="58"/>
      <c r="X329" s="58"/>
      <c r="Y329" s="58"/>
      <c r="AA329" s="2005"/>
      <c r="AB329" s="2005"/>
      <c r="AC329" s="2005"/>
      <c r="AD329" s="2005"/>
      <c r="AE329" s="2005"/>
      <c r="AF329" s="2005"/>
      <c r="AG329" s="2005"/>
      <c r="AH329" s="2005"/>
      <c r="AI329" s="2005"/>
      <c r="AJ329" s="2005"/>
      <c r="AK329" s="2005"/>
      <c r="AL329" s="39"/>
    </row>
    <row r="330" spans="1:66" ht="12.75" customHeight="1">
      <c r="A330" s="39"/>
      <c r="B330" s="58" t="s">
        <v>93</v>
      </c>
      <c r="C330" s="58"/>
      <c r="D330" s="58"/>
      <c r="E330" s="58"/>
      <c r="F330" s="58"/>
      <c r="G330" s="58"/>
      <c r="H330" s="2283"/>
      <c r="I330" s="2283"/>
      <c r="J330" s="2283"/>
      <c r="K330" s="2283"/>
      <c r="L330" s="2283"/>
      <c r="M330" s="2283"/>
      <c r="N330" s="7" t="s">
        <v>211</v>
      </c>
      <c r="O330" s="7"/>
      <c r="P330" s="2282"/>
      <c r="Q330" s="2282"/>
      <c r="R330" s="2282"/>
      <c r="S330" s="58"/>
      <c r="T330" s="58" t="s">
        <v>93</v>
      </c>
      <c r="V330" s="58"/>
      <c r="W330" s="58"/>
      <c r="X330" s="58"/>
      <c r="Y330" s="58"/>
      <c r="AA330" s="2283"/>
      <c r="AB330" s="2283"/>
      <c r="AC330" s="2283"/>
      <c r="AD330" s="2283"/>
      <c r="AE330" s="2283"/>
      <c r="AF330" s="2283"/>
      <c r="AG330" s="7" t="s">
        <v>211</v>
      </c>
      <c r="AH330" s="7"/>
      <c r="AI330" s="2282"/>
      <c r="AJ330" s="2282"/>
      <c r="AK330" s="2282"/>
      <c r="AL330" s="39"/>
    </row>
    <row r="331" spans="1:66" ht="12.5">
      <c r="A331" s="39"/>
      <c r="B331" s="58" t="s">
        <v>94</v>
      </c>
      <c r="C331" s="58"/>
      <c r="D331" s="58"/>
      <c r="E331" s="58"/>
      <c r="F331" s="58"/>
      <c r="G331" s="58"/>
      <c r="H331" s="2007"/>
      <c r="I331" s="2007"/>
      <c r="J331" s="2007"/>
      <c r="K331" s="2007"/>
      <c r="L331" s="2007"/>
      <c r="M331" s="2007"/>
      <c r="N331" s="60"/>
      <c r="O331" s="60"/>
      <c r="P331" s="62"/>
      <c r="Q331" s="62"/>
      <c r="R331" s="62"/>
      <c r="S331" s="58"/>
      <c r="T331" s="58" t="s">
        <v>94</v>
      </c>
      <c r="V331" s="58"/>
      <c r="W331" s="58"/>
      <c r="X331" s="58"/>
      <c r="Y331" s="58"/>
      <c r="AA331" s="2007"/>
      <c r="AB331" s="2007"/>
      <c r="AC331" s="2007"/>
      <c r="AD331" s="2007"/>
      <c r="AE331" s="2007"/>
      <c r="AF331" s="2007"/>
      <c r="AG331" s="60"/>
      <c r="AH331" s="60"/>
      <c r="AI331" s="62"/>
      <c r="AJ331" s="62"/>
      <c r="AK331" s="62"/>
      <c r="AL331" s="39"/>
    </row>
    <row r="332" spans="1:66" ht="12.5">
      <c r="A332" s="39"/>
      <c r="B332" s="58" t="s">
        <v>80</v>
      </c>
      <c r="C332" s="58"/>
      <c r="D332" s="58"/>
      <c r="E332" s="58"/>
      <c r="F332" s="58"/>
      <c r="G332" s="58"/>
      <c r="H332" s="2005"/>
      <c r="I332" s="2005"/>
      <c r="J332" s="2005"/>
      <c r="K332" s="2005"/>
      <c r="L332" s="2005"/>
      <c r="M332" s="2005"/>
      <c r="N332" s="2003"/>
      <c r="O332" s="2003"/>
      <c r="P332" s="2003"/>
      <c r="Q332" s="2003"/>
      <c r="R332" s="2003"/>
      <c r="S332" s="58"/>
      <c r="T332" s="58" t="s">
        <v>80</v>
      </c>
      <c r="V332" s="58"/>
      <c r="W332" s="58"/>
      <c r="X332" s="58"/>
      <c r="Y332" s="58"/>
      <c r="AA332" s="2005"/>
      <c r="AB332" s="2005"/>
      <c r="AC332" s="2005"/>
      <c r="AD332" s="2005"/>
      <c r="AE332" s="2005"/>
      <c r="AF332" s="2005"/>
      <c r="AG332" s="2003"/>
      <c r="AH332" s="2003"/>
      <c r="AI332" s="2003"/>
      <c r="AJ332" s="2003"/>
      <c r="AK332" s="200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04" t="s">
        <v>2570</v>
      </c>
      <c r="I334" s="2003"/>
      <c r="J334" s="2003"/>
      <c r="K334" s="2003"/>
      <c r="L334" s="2003"/>
      <c r="M334" s="2003"/>
      <c r="N334" s="2003"/>
      <c r="O334" s="2003"/>
      <c r="P334" s="2003"/>
      <c r="Q334" s="2003"/>
      <c r="R334" s="2003"/>
      <c r="T334" s="405" t="s">
        <v>950</v>
      </c>
      <c r="V334" s="58"/>
      <c r="W334" s="58"/>
      <c r="X334" s="58"/>
      <c r="Y334" s="58"/>
      <c r="AA334" s="2003" t="s">
        <v>2555</v>
      </c>
      <c r="AB334" s="2003"/>
      <c r="AC334" s="2003"/>
      <c r="AD334" s="2003"/>
      <c r="AE334" s="2003"/>
      <c r="AF334" s="2003"/>
      <c r="AG334" s="2003"/>
      <c r="AH334" s="2003"/>
      <c r="AI334" s="2003"/>
      <c r="AJ334" s="2003"/>
      <c r="AK334" s="2003"/>
      <c r="AL334" s="39"/>
    </row>
    <row r="335" spans="1:66" ht="12.75" customHeight="1">
      <c r="B335" s="58" t="s">
        <v>502</v>
      </c>
      <c r="C335" s="240"/>
      <c r="D335" s="240"/>
      <c r="E335" s="240"/>
      <c r="F335" s="240"/>
      <c r="G335" s="3"/>
      <c r="H335" s="1993" t="s">
        <v>2621</v>
      </c>
      <c r="I335" s="2005"/>
      <c r="J335" s="2005"/>
      <c r="K335" s="2005"/>
      <c r="L335" s="2005"/>
      <c r="M335" s="2005"/>
      <c r="N335" s="2005"/>
      <c r="O335" s="2005"/>
      <c r="P335" s="2005"/>
      <c r="Q335" s="2005"/>
      <c r="R335" s="2005"/>
      <c r="T335" s="58" t="s">
        <v>502</v>
      </c>
      <c r="V335" s="58"/>
      <c r="W335" s="58"/>
      <c r="X335" s="58"/>
      <c r="Y335" s="58"/>
      <c r="AA335" s="2005" t="s">
        <v>2493</v>
      </c>
      <c r="AB335" s="2005"/>
      <c r="AC335" s="2005"/>
      <c r="AD335" s="2005"/>
      <c r="AE335" s="2005"/>
      <c r="AF335" s="2005"/>
      <c r="AG335" s="2005"/>
      <c r="AH335" s="2005"/>
      <c r="AI335" s="2005"/>
      <c r="AJ335" s="2005"/>
      <c r="AK335" s="2005"/>
      <c r="AL335" s="39"/>
    </row>
    <row r="336" spans="1:66" ht="12.75" customHeight="1">
      <c r="B336" s="58" t="s">
        <v>79</v>
      </c>
      <c r="C336" s="240"/>
      <c r="D336" s="240"/>
      <c r="E336" s="240"/>
      <c r="F336" s="240"/>
      <c r="G336" s="3"/>
      <c r="H336" s="1993" t="s">
        <v>2605</v>
      </c>
      <c r="I336" s="2005"/>
      <c r="J336" s="2005"/>
      <c r="K336" s="2005"/>
      <c r="L336" s="2005"/>
      <c r="M336" s="2005"/>
      <c r="N336" s="2005"/>
      <c r="O336" s="2005"/>
      <c r="P336" s="2005"/>
      <c r="Q336" s="2005"/>
      <c r="R336" s="2005"/>
      <c r="T336" s="58" t="s">
        <v>79</v>
      </c>
      <c r="V336" s="58"/>
      <c r="W336" s="58"/>
      <c r="X336" s="58"/>
      <c r="Y336" s="58"/>
      <c r="AA336" s="2005" t="s">
        <v>2508</v>
      </c>
      <c r="AB336" s="2005"/>
      <c r="AC336" s="2005"/>
      <c r="AD336" s="2005"/>
      <c r="AE336" s="2005"/>
      <c r="AF336" s="2005"/>
      <c r="AG336" s="2005"/>
      <c r="AH336" s="2005"/>
      <c r="AI336" s="2005"/>
      <c r="AJ336" s="2005"/>
      <c r="AK336" s="2005"/>
      <c r="AL336" s="39"/>
    </row>
    <row r="337" spans="1:66" ht="12.75" customHeight="1">
      <c r="A337" s="39"/>
      <c r="B337" s="58" t="s">
        <v>92</v>
      </c>
      <c r="C337" s="240"/>
      <c r="D337" s="240"/>
      <c r="E337" s="240"/>
      <c r="F337" s="240"/>
      <c r="G337" s="240"/>
      <c r="H337" s="1993" t="s">
        <v>2643</v>
      </c>
      <c r="I337" s="2005"/>
      <c r="J337" s="2005"/>
      <c r="K337" s="2005"/>
      <c r="L337" s="2005"/>
      <c r="M337" s="2005"/>
      <c r="N337" s="2005"/>
      <c r="O337" s="2005"/>
      <c r="P337" s="2005"/>
      <c r="Q337" s="2005"/>
      <c r="R337" s="2005"/>
      <c r="T337" s="58" t="s">
        <v>92</v>
      </c>
      <c r="V337" s="58"/>
      <c r="W337" s="58"/>
      <c r="X337" s="58"/>
      <c r="Y337" s="58"/>
      <c r="AA337" s="2005" t="s">
        <v>2556</v>
      </c>
      <c r="AB337" s="2005"/>
      <c r="AC337" s="2005"/>
      <c r="AD337" s="2005"/>
      <c r="AE337" s="2005"/>
      <c r="AF337" s="2005"/>
      <c r="AG337" s="2005"/>
      <c r="AH337" s="2005"/>
      <c r="AI337" s="2005"/>
      <c r="AJ337" s="2005"/>
      <c r="AK337" s="2005"/>
      <c r="AL337" s="39"/>
    </row>
    <row r="338" spans="1:66" ht="12.75" customHeight="1">
      <c r="A338" s="39"/>
      <c r="B338" s="58" t="s">
        <v>93</v>
      </c>
      <c r="C338" s="240"/>
      <c r="D338" s="240"/>
      <c r="E338" s="240"/>
      <c r="F338" s="240"/>
      <c r="G338" s="240"/>
      <c r="H338" s="2284" t="s">
        <v>2657</v>
      </c>
      <c r="I338" s="2283"/>
      <c r="J338" s="2283"/>
      <c r="K338" s="2283"/>
      <c r="L338" s="2283"/>
      <c r="M338" s="2283"/>
      <c r="N338" s="7" t="s">
        <v>211</v>
      </c>
      <c r="O338" s="7"/>
      <c r="P338" s="2282"/>
      <c r="Q338" s="2282"/>
      <c r="R338" s="2282"/>
      <c r="S338" s="58"/>
      <c r="T338" s="58" t="s">
        <v>93</v>
      </c>
      <c r="V338" s="58"/>
      <c r="W338" s="58"/>
      <c r="X338" s="58"/>
      <c r="Y338" s="58"/>
      <c r="AA338" s="2284">
        <v>4153557100</v>
      </c>
      <c r="AB338" s="2284"/>
      <c r="AC338" s="2284"/>
      <c r="AD338" s="2284"/>
      <c r="AE338" s="2284"/>
      <c r="AF338" s="2284"/>
      <c r="AG338" s="7" t="s">
        <v>211</v>
      </c>
      <c r="AH338" s="7"/>
      <c r="AI338" s="2282"/>
      <c r="AJ338" s="2282"/>
      <c r="AK338" s="2282"/>
      <c r="AL338" s="39"/>
    </row>
    <row r="339" spans="1:66" ht="12.5">
      <c r="A339" s="39"/>
      <c r="B339" s="58" t="s">
        <v>94</v>
      </c>
      <c r="C339" s="240"/>
      <c r="D339" s="240"/>
      <c r="E339" s="240"/>
      <c r="F339" s="240"/>
      <c r="G339" s="240"/>
      <c r="H339" s="2007"/>
      <c r="I339" s="2007"/>
      <c r="J339" s="2007"/>
      <c r="K339" s="2007"/>
      <c r="L339" s="2007"/>
      <c r="M339" s="2007"/>
      <c r="N339" s="60"/>
      <c r="O339" s="60"/>
      <c r="P339" s="62"/>
      <c r="Q339" s="62"/>
      <c r="R339" s="62"/>
      <c r="S339" s="58"/>
      <c r="T339" s="58" t="s">
        <v>94</v>
      </c>
      <c r="V339" s="58"/>
      <c r="W339" s="58"/>
      <c r="X339" s="58"/>
      <c r="Y339" s="58"/>
      <c r="AA339" s="2007"/>
      <c r="AB339" s="2007"/>
      <c r="AC339" s="2007"/>
      <c r="AD339" s="2007"/>
      <c r="AE339" s="2007"/>
      <c r="AF339" s="2007"/>
      <c r="AG339" s="60"/>
      <c r="AH339" s="60"/>
      <c r="AI339" s="62"/>
      <c r="AJ339" s="62"/>
      <c r="AK339" s="62"/>
      <c r="AL339" s="39"/>
    </row>
    <row r="340" spans="1:66" ht="12.5">
      <c r="A340" s="39"/>
      <c r="B340" s="58" t="s">
        <v>80</v>
      </c>
      <c r="C340" s="237"/>
      <c r="D340" s="237"/>
      <c r="E340" s="237"/>
      <c r="F340" s="237"/>
      <c r="G340" s="237"/>
      <c r="H340" s="2005" t="s">
        <v>2644</v>
      </c>
      <c r="I340" s="2005"/>
      <c r="J340" s="2005"/>
      <c r="K340" s="2005"/>
      <c r="L340" s="2005"/>
      <c r="M340" s="2005"/>
      <c r="N340" s="2003"/>
      <c r="O340" s="2003"/>
      <c r="P340" s="2003"/>
      <c r="Q340" s="2003"/>
      <c r="R340" s="2003"/>
      <c r="S340" s="58"/>
      <c r="T340" s="58" t="s">
        <v>80</v>
      </c>
      <c r="V340" s="58"/>
      <c r="W340" s="58"/>
      <c r="X340" s="58"/>
      <c r="Y340" s="58"/>
      <c r="AA340" s="2005" t="s">
        <v>2557</v>
      </c>
      <c r="AB340" s="2005"/>
      <c r="AC340" s="2005"/>
      <c r="AD340" s="2005"/>
      <c r="AE340" s="2005"/>
      <c r="AF340" s="2005"/>
      <c r="AG340" s="2003"/>
      <c r="AH340" s="2003"/>
      <c r="AI340" s="2003"/>
      <c r="AJ340" s="2003"/>
      <c r="AK340" s="200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951</v>
      </c>
      <c r="P342" s="2004" t="s">
        <v>624</v>
      </c>
      <c r="Q342" s="2003"/>
      <c r="R342" s="2003"/>
      <c r="S342" s="2003"/>
      <c r="T342" s="2003"/>
      <c r="U342" s="2003"/>
      <c r="V342" s="2003"/>
      <c r="W342" s="2003"/>
      <c r="X342" s="2003"/>
      <c r="Y342" s="2003"/>
      <c r="Z342" s="2003"/>
      <c r="AA342" s="2003"/>
      <c r="AB342" s="2003"/>
      <c r="AC342" s="2003"/>
      <c r="AD342" s="2003"/>
      <c r="AE342" s="2003"/>
      <c r="AF342" s="88"/>
      <c r="AG342" s="88"/>
      <c r="AH342" s="88"/>
      <c r="AI342" s="88"/>
      <c r="AJ342" s="88"/>
      <c r="AK342" s="88"/>
      <c r="AL342" s="39"/>
      <c r="BN342" s="12" t="s">
        <v>624</v>
      </c>
    </row>
    <row r="343" spans="1:66" ht="12.5">
      <c r="A343" s="3"/>
      <c r="B343" s="60"/>
      <c r="C343" s="60"/>
      <c r="D343" s="60"/>
      <c r="E343" s="60"/>
      <c r="F343" s="60"/>
      <c r="G343" s="3"/>
      <c r="H343" s="88"/>
      <c r="I343" s="7" t="s">
        <v>502</v>
      </c>
      <c r="P343" s="2005"/>
      <c r="Q343" s="2005"/>
      <c r="R343" s="2005"/>
      <c r="S343" s="2005"/>
      <c r="T343" s="2005"/>
      <c r="U343" s="2005"/>
      <c r="V343" s="2005"/>
      <c r="W343" s="2005"/>
      <c r="X343" s="2005"/>
      <c r="Y343" s="2005"/>
      <c r="Z343" s="2005"/>
      <c r="AA343" s="2005"/>
      <c r="AB343" s="2005"/>
      <c r="AC343" s="2005"/>
      <c r="AD343" s="2005"/>
      <c r="AE343" s="2005"/>
      <c r="AF343" s="88"/>
      <c r="AG343" s="88"/>
      <c r="AH343" s="88"/>
      <c r="AI343" s="88"/>
      <c r="AJ343" s="88"/>
      <c r="AK343" s="88"/>
      <c r="AL343" s="39"/>
      <c r="BN343" s="12" t="s">
        <v>704</v>
      </c>
    </row>
    <row r="344" spans="1:66" ht="12.5">
      <c r="A344" s="3"/>
      <c r="B344" s="60"/>
      <c r="C344" s="60"/>
      <c r="D344" s="60"/>
      <c r="E344" s="60"/>
      <c r="F344" s="60"/>
      <c r="G344" s="3"/>
      <c r="H344" s="88"/>
      <c r="I344" s="7" t="s">
        <v>79</v>
      </c>
      <c r="P344" s="2005"/>
      <c r="Q344" s="2005"/>
      <c r="R344" s="2005"/>
      <c r="S344" s="2005"/>
      <c r="T344" s="2005"/>
      <c r="U344" s="2005"/>
      <c r="V344" s="2005"/>
      <c r="W344" s="2005"/>
      <c r="X344" s="2005"/>
      <c r="Y344" s="2005"/>
      <c r="Z344" s="2005"/>
      <c r="AA344" s="2005"/>
      <c r="AB344" s="2005"/>
      <c r="AC344" s="2005"/>
      <c r="AD344" s="2005"/>
      <c r="AE344" s="2005"/>
      <c r="AF344" s="88"/>
      <c r="AG344" s="88"/>
      <c r="AH344" s="88"/>
      <c r="AI344" s="88"/>
      <c r="AJ344" s="88"/>
      <c r="AK344" s="88"/>
      <c r="AL344" s="39"/>
      <c r="BN344" s="12" t="s">
        <v>576</v>
      </c>
    </row>
    <row r="345" spans="1:66" ht="12.5">
      <c r="A345" s="3"/>
      <c r="B345" s="60"/>
      <c r="C345" s="60"/>
      <c r="D345" s="60"/>
      <c r="E345" s="60"/>
      <c r="F345" s="60"/>
      <c r="G345" s="60"/>
      <c r="H345" s="88"/>
      <c r="I345" s="7" t="s">
        <v>92</v>
      </c>
      <c r="P345" s="2005"/>
      <c r="Q345" s="2005"/>
      <c r="R345" s="2005"/>
      <c r="S345" s="2005"/>
      <c r="T345" s="2005"/>
      <c r="U345" s="2005"/>
      <c r="V345" s="2005"/>
      <c r="W345" s="2005"/>
      <c r="X345" s="2005"/>
      <c r="Y345" s="2005"/>
      <c r="Z345" s="2005"/>
      <c r="AA345" s="2005"/>
      <c r="AB345" s="2005"/>
      <c r="AC345" s="2005"/>
      <c r="AD345" s="2005"/>
      <c r="AE345" s="2005"/>
      <c r="AF345" s="88"/>
      <c r="AG345" s="88"/>
      <c r="AH345" s="88"/>
      <c r="AI345" s="88"/>
      <c r="AJ345" s="88"/>
      <c r="AK345" s="88"/>
      <c r="AL345" s="39"/>
    </row>
    <row r="346" spans="1:66" ht="12.5">
      <c r="A346" s="3"/>
      <c r="B346" s="60"/>
      <c r="C346" s="60"/>
      <c r="D346" s="60"/>
      <c r="E346" s="60"/>
      <c r="F346" s="60"/>
      <c r="G346" s="60"/>
      <c r="H346" s="465"/>
      <c r="I346" s="7" t="s">
        <v>93</v>
      </c>
      <c r="P346" s="2007"/>
      <c r="Q346" s="2007"/>
      <c r="R346" s="2007"/>
      <c r="S346" s="2007"/>
      <c r="T346" s="2007"/>
      <c r="U346" s="2007"/>
      <c r="V346" s="2007"/>
      <c r="W346" s="2007"/>
      <c r="X346" s="2007"/>
      <c r="Y346" s="2007"/>
      <c r="Z346" s="2007"/>
      <c r="AA346" s="7" t="s">
        <v>211</v>
      </c>
      <c r="AB346" s="7"/>
      <c r="AC346" s="1992"/>
      <c r="AD346" s="1992"/>
      <c r="AE346" s="1992"/>
      <c r="AF346" s="465"/>
      <c r="AG346" s="60"/>
      <c r="AH346" s="60"/>
      <c r="AI346" s="406"/>
      <c r="AJ346" s="406"/>
      <c r="AK346" s="406"/>
      <c r="AL346" s="39"/>
    </row>
    <row r="347" spans="1:66" ht="12.75" customHeight="1">
      <c r="A347" s="3"/>
      <c r="B347" s="60"/>
      <c r="C347" s="60"/>
      <c r="D347" s="60"/>
      <c r="E347" s="60"/>
      <c r="F347" s="60"/>
      <c r="G347" s="60"/>
      <c r="H347" s="465"/>
      <c r="I347" s="7" t="s">
        <v>94</v>
      </c>
      <c r="P347" s="2007"/>
      <c r="Q347" s="2007"/>
      <c r="R347" s="2007"/>
      <c r="S347" s="2007"/>
      <c r="T347" s="2007"/>
      <c r="U347" s="2007"/>
      <c r="V347" s="2007"/>
      <c r="W347" s="2007"/>
      <c r="X347" s="2007"/>
      <c r="Y347" s="2007"/>
      <c r="Z347" s="2007"/>
      <c r="AF347" s="465"/>
      <c r="AG347" s="60"/>
      <c r="AH347" s="60"/>
      <c r="AI347" s="62"/>
      <c r="AJ347" s="62"/>
      <c r="AK347" s="62"/>
      <c r="AL347" s="39"/>
    </row>
    <row r="348" spans="1:66" ht="12.5">
      <c r="A348" s="3"/>
      <c r="B348" s="60"/>
      <c r="C348" s="406"/>
      <c r="D348" s="406"/>
      <c r="E348" s="406"/>
      <c r="F348" s="406"/>
      <c r="G348" s="406"/>
      <c r="H348" s="88"/>
      <c r="I348" s="7" t="s">
        <v>80</v>
      </c>
      <c r="P348" s="2003"/>
      <c r="Q348" s="2003"/>
      <c r="R348" s="2003"/>
      <c r="S348" s="2003"/>
      <c r="T348" s="2003"/>
      <c r="U348" s="2003"/>
      <c r="V348" s="2003"/>
      <c r="W348" s="2003"/>
      <c r="X348" s="2003"/>
      <c r="Y348" s="2003"/>
      <c r="Z348" s="2003"/>
      <c r="AA348" s="2003"/>
      <c r="AB348" s="2003"/>
      <c r="AC348" s="2003"/>
      <c r="AD348" s="2003"/>
      <c r="AE348" s="200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43" t="s">
        <v>573</v>
      </c>
      <c r="B350" s="2343"/>
      <c r="C350" s="2343"/>
      <c r="D350" s="2343"/>
      <c r="E350" s="2343"/>
      <c r="F350" s="2343"/>
      <c r="G350" s="2343"/>
      <c r="H350" s="2343"/>
      <c r="I350" s="2343"/>
      <c r="J350" s="2343"/>
      <c r="K350" s="2343"/>
      <c r="L350" s="2343"/>
      <c r="M350" s="2343"/>
      <c r="N350" s="2343"/>
      <c r="O350" s="2343"/>
      <c r="P350" s="2343"/>
      <c r="Q350" s="2343"/>
      <c r="R350" s="2343"/>
      <c r="S350" s="2343"/>
      <c r="T350" s="2343"/>
      <c r="U350" s="2343"/>
      <c r="V350" s="2343"/>
      <c r="W350" s="2343"/>
      <c r="X350" s="2343"/>
      <c r="Y350" s="2343"/>
      <c r="Z350" s="2343"/>
      <c r="AA350" s="2343"/>
      <c r="AB350" s="2343"/>
      <c r="AC350" s="2343"/>
      <c r="AD350" s="2343"/>
      <c r="AE350" s="2343"/>
      <c r="AF350" s="2343"/>
      <c r="AG350" s="2343"/>
      <c r="AH350" s="2343"/>
      <c r="AI350" s="2343"/>
      <c r="AJ350" s="2343"/>
      <c r="AK350" s="2343"/>
      <c r="AL350" s="2343"/>
      <c r="AM350" s="144"/>
      <c r="AN350" s="144"/>
      <c r="AO350" s="144"/>
      <c r="AP350" s="144"/>
      <c r="AQ350" s="144"/>
      <c r="AR350" s="144"/>
      <c r="AS350" s="144"/>
      <c r="AT350" s="144"/>
      <c r="AU350" s="144"/>
      <c r="AV350" s="144"/>
      <c r="AW350" s="144"/>
      <c r="AX350" s="144"/>
      <c r="AY350" s="144"/>
    </row>
    <row r="351" spans="1:66" ht="13.5" thickBot="1">
      <c r="A351" s="2344"/>
      <c r="B351" s="2344"/>
      <c r="C351" s="2344"/>
      <c r="D351" s="2344"/>
      <c r="E351" s="2344"/>
      <c r="F351" s="2344"/>
      <c r="G351" s="2344"/>
      <c r="H351" s="2344"/>
      <c r="I351" s="2344"/>
      <c r="J351" s="2344"/>
      <c r="K351" s="2344"/>
      <c r="L351" s="2344"/>
      <c r="M351" s="2344"/>
      <c r="N351" s="2344"/>
      <c r="O351" s="2344"/>
      <c r="P351" s="2344"/>
      <c r="Q351" s="2344"/>
      <c r="R351" s="2344"/>
      <c r="S351" s="2344"/>
      <c r="T351" s="2344"/>
      <c r="U351" s="2344"/>
      <c r="V351" s="2344"/>
      <c r="W351" s="2344"/>
      <c r="X351" s="2344"/>
      <c r="Y351" s="2344"/>
      <c r="Z351" s="2344"/>
      <c r="AA351" s="2344"/>
      <c r="AB351" s="2344"/>
      <c r="AC351" s="2344"/>
      <c r="AD351" s="2344"/>
      <c r="AE351" s="2344"/>
      <c r="AF351" s="2344"/>
      <c r="AG351" s="2344"/>
      <c r="AH351" s="2344"/>
      <c r="AI351" s="2344"/>
      <c r="AJ351" s="2344"/>
      <c r="AK351" s="2344"/>
      <c r="AL351" s="2344"/>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838</v>
      </c>
      <c r="K353" s="25"/>
      <c r="L353" s="25"/>
    </row>
    <row r="354" spans="1:37" ht="12.75" customHeight="1">
      <c r="D354" s="12" t="s">
        <v>378</v>
      </c>
      <c r="M354" s="1991" t="s">
        <v>576</v>
      </c>
      <c r="N354" s="1991"/>
      <c r="P354" s="12" t="s">
        <v>1955</v>
      </c>
      <c r="AJ354" s="1991" t="s">
        <v>576</v>
      </c>
      <c r="AK354" s="1991"/>
    </row>
    <row r="355" spans="1:37" ht="12.75" customHeight="1">
      <c r="D355" s="58" t="s">
        <v>1944</v>
      </c>
      <c r="M355" s="1991" t="s">
        <v>624</v>
      </c>
      <c r="N355" s="1991"/>
      <c r="P355" s="58" t="s">
        <v>2135</v>
      </c>
      <c r="AJ355" s="2001" t="s">
        <v>2596</v>
      </c>
      <c r="AK355" s="2001"/>
    </row>
    <row r="356" spans="1:37" ht="12.75" customHeight="1">
      <c r="D356" s="12" t="s">
        <v>743</v>
      </c>
      <c r="M356" s="1991" t="s">
        <v>624</v>
      </c>
      <c r="N356" s="1991"/>
      <c r="P356" s="717" t="s">
        <v>1954</v>
      </c>
      <c r="AJ356" s="1991" t="s">
        <v>576</v>
      </c>
      <c r="AK356" s="1991"/>
    </row>
    <row r="357" spans="1:37" ht="12.75" customHeight="1">
      <c r="D357" s="12" t="s">
        <v>744</v>
      </c>
      <c r="M357" s="1991" t="s">
        <v>624</v>
      </c>
      <c r="N357" s="1991"/>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1991" t="s">
        <v>624</v>
      </c>
      <c r="O362" s="1991"/>
      <c r="P362" s="69"/>
      <c r="Q362" s="69"/>
      <c r="R362" s="69"/>
      <c r="S362" s="69"/>
      <c r="T362" s="69"/>
      <c r="U362" s="69"/>
      <c r="V362" s="69"/>
      <c r="W362" s="69"/>
      <c r="X362" s="69"/>
      <c r="Y362" s="70"/>
      <c r="Z362" s="70"/>
      <c r="AC362" s="69"/>
      <c r="AD362" s="69"/>
      <c r="AE362" s="69"/>
    </row>
    <row r="363" spans="1:37" ht="12.75" customHeight="1">
      <c r="E363" s="12" t="s">
        <v>380</v>
      </c>
      <c r="Y363" s="1991" t="s">
        <v>624</v>
      </c>
      <c r="Z363" s="1991"/>
    </row>
    <row r="364" spans="1:37" ht="12.75" customHeight="1">
      <c r="D364" s="7" t="s">
        <v>1055</v>
      </c>
      <c r="Q364" s="2003" t="s">
        <v>624</v>
      </c>
      <c r="R364" s="2003"/>
      <c r="S364" s="2003"/>
      <c r="T364" s="2003"/>
      <c r="U364" s="2003"/>
      <c r="V364" s="2003"/>
      <c r="W364" s="2003"/>
      <c r="X364" s="2003"/>
      <c r="Y364" s="2003"/>
      <c r="Z364" s="2003"/>
      <c r="AA364" s="2003"/>
      <c r="AB364" s="2003"/>
      <c r="AC364" s="2003"/>
      <c r="AD364" s="2003"/>
      <c r="AE364" s="2003"/>
      <c r="AF364" s="2003"/>
      <c r="AG364" s="2003"/>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991" t="s">
        <v>624</v>
      </c>
      <c r="K366" s="1991"/>
      <c r="L366" s="69"/>
      <c r="M366" s="69"/>
      <c r="N366" s="69"/>
      <c r="O366" s="69"/>
      <c r="P366" s="69"/>
      <c r="Q366" s="69"/>
      <c r="R366" s="69"/>
      <c r="S366" s="69"/>
      <c r="T366" s="69"/>
      <c r="U366" s="69"/>
      <c r="V366" s="69"/>
      <c r="W366" s="69"/>
      <c r="X366" s="69"/>
      <c r="Y366" s="69"/>
      <c r="Z366" s="69"/>
      <c r="AC366" s="69"/>
      <c r="AD366" s="69"/>
      <c r="AE366" s="69"/>
    </row>
    <row r="367" spans="1:37" ht="12.75" customHeight="1">
      <c r="E367" s="2309" t="s">
        <v>745</v>
      </c>
      <c r="F367" s="2309"/>
      <c r="G367" s="2309"/>
      <c r="H367" s="2309"/>
      <c r="I367" s="2309"/>
      <c r="J367" s="2309"/>
      <c r="K367" s="2309"/>
      <c r="L367" s="2309"/>
      <c r="M367" s="2309"/>
      <c r="N367" s="2309"/>
      <c r="O367" s="2309"/>
      <c r="P367" s="2309"/>
      <c r="Q367" s="2309"/>
      <c r="R367" s="2309"/>
      <c r="S367" s="2309"/>
      <c r="T367" s="2309"/>
      <c r="U367" s="2309"/>
      <c r="V367" s="2309"/>
      <c r="W367" s="2309"/>
      <c r="X367" s="2309"/>
      <c r="Y367" s="2309"/>
      <c r="Z367" s="2309"/>
      <c r="AA367" s="2309"/>
      <c r="AB367" s="2309"/>
      <c r="AC367" s="2309"/>
      <c r="AD367" s="2309"/>
      <c r="AE367" s="2309"/>
      <c r="AF367" s="2309"/>
      <c r="AG367" s="2309"/>
      <c r="AH367" s="2309"/>
    </row>
    <row r="368" spans="1:37" ht="12.75" customHeight="1">
      <c r="E368" s="2309"/>
      <c r="F368" s="2309"/>
      <c r="G368" s="2309"/>
      <c r="H368" s="2309"/>
      <c r="I368" s="2309"/>
      <c r="J368" s="2309"/>
      <c r="K368" s="2309"/>
      <c r="L368" s="2309"/>
      <c r="M368" s="2309"/>
      <c r="N368" s="2309"/>
      <c r="O368" s="2309"/>
      <c r="P368" s="2309"/>
      <c r="Q368" s="2309"/>
      <c r="R368" s="2309"/>
      <c r="S368" s="2309"/>
      <c r="T368" s="2309"/>
      <c r="U368" s="2309"/>
      <c r="V368" s="2309"/>
      <c r="W368" s="2309"/>
      <c r="X368" s="2309"/>
      <c r="Y368" s="2309"/>
      <c r="Z368" s="2309"/>
      <c r="AA368" s="2309"/>
      <c r="AB368" s="2309"/>
      <c r="AC368" s="2309"/>
      <c r="AD368" s="2309"/>
      <c r="AE368" s="2309"/>
      <c r="AF368" s="2309"/>
      <c r="AG368" s="2309"/>
      <c r="AH368" s="2309"/>
    </row>
    <row r="369" spans="1:36" ht="12.75" customHeight="1">
      <c r="E369" s="7" t="s">
        <v>477</v>
      </c>
      <c r="F369" s="7"/>
      <c r="G369" s="7"/>
      <c r="H369" s="7"/>
      <c r="I369" s="7"/>
      <c r="J369" s="7"/>
      <c r="K369" s="7"/>
      <c r="L369" s="7"/>
      <c r="N369" s="2306" t="s">
        <v>624</v>
      </c>
      <c r="O369" s="2273"/>
      <c r="P369" s="2273"/>
      <c r="Q369" s="2273"/>
      <c r="R369" s="7"/>
      <c r="U369" s="7" t="s">
        <v>478</v>
      </c>
      <c r="V369" s="7"/>
      <c r="W369" s="7"/>
      <c r="X369" s="7"/>
      <c r="Y369" s="7"/>
      <c r="Z369" s="7"/>
      <c r="AA369" s="7"/>
      <c r="AB369" s="7"/>
      <c r="AC369" s="2306" t="s">
        <v>624</v>
      </c>
      <c r="AD369" s="2273"/>
      <c r="AE369" s="2273"/>
      <c r="AF369" s="2273"/>
    </row>
    <row r="370" spans="1:36" ht="12.75" customHeight="1">
      <c r="E370" s="7" t="s">
        <v>479</v>
      </c>
      <c r="F370" s="7"/>
      <c r="G370" s="7"/>
      <c r="H370" s="7"/>
      <c r="I370" s="7"/>
      <c r="J370" s="7"/>
      <c r="K370" s="7"/>
      <c r="L370" s="7"/>
      <c r="N370" s="2306" t="s">
        <v>624</v>
      </c>
      <c r="O370" s="2273"/>
      <c r="P370" s="2273"/>
      <c r="Q370" s="2273"/>
      <c r="R370" s="7"/>
      <c r="U370" s="7" t="s">
        <v>0</v>
      </c>
      <c r="V370" s="7"/>
      <c r="W370" s="7"/>
      <c r="X370" s="7"/>
      <c r="Y370" s="7"/>
      <c r="Z370" s="7"/>
      <c r="AA370" s="7"/>
      <c r="AB370" s="7"/>
      <c r="AC370" s="2273"/>
      <c r="AD370" s="2273"/>
      <c r="AE370" s="2273"/>
      <c r="AF370" s="2273"/>
    </row>
    <row r="371" spans="1:36" ht="12.75" customHeight="1">
      <c r="E371" s="7" t="s">
        <v>1</v>
      </c>
      <c r="F371" s="7"/>
      <c r="G371" s="7"/>
      <c r="H371" s="7"/>
      <c r="I371" s="7"/>
      <c r="J371" s="7"/>
      <c r="K371" s="7"/>
      <c r="L371" s="7"/>
      <c r="N371" s="2306" t="s">
        <v>624</v>
      </c>
      <c r="O371" s="2273"/>
      <c r="P371" s="2273"/>
      <c r="Q371" s="2273"/>
      <c r="R371" s="7"/>
      <c r="V371" s="7"/>
      <c r="W371" s="7"/>
      <c r="X371" s="7"/>
      <c r="Y371" s="7"/>
      <c r="Z371" s="7"/>
      <c r="AA371" s="7"/>
      <c r="AB371" s="7"/>
    </row>
    <row r="372" spans="1:36" ht="12.75" customHeight="1">
      <c r="E372" s="7" t="s">
        <v>2</v>
      </c>
      <c r="F372" s="7"/>
      <c r="G372" s="7"/>
      <c r="H372" s="7"/>
      <c r="I372" s="7"/>
      <c r="J372" s="7"/>
      <c r="K372" s="7"/>
      <c r="L372" s="7"/>
      <c r="N372" s="2448" t="s">
        <v>624</v>
      </c>
      <c r="O372" s="2449"/>
      <c r="P372" s="2449"/>
      <c r="Q372" s="2449"/>
      <c r="R372" s="2449"/>
      <c r="S372" s="2449"/>
      <c r="T372" s="2449"/>
      <c r="U372" s="2449"/>
      <c r="V372" s="2449"/>
      <c r="W372" s="2449"/>
      <c r="X372" s="2449"/>
      <c r="Y372" s="2449"/>
      <c r="Z372" s="2449"/>
      <c r="AA372" s="2449"/>
      <c r="AB372" s="2449"/>
      <c r="AC372" s="2449"/>
      <c r="AD372" s="2449"/>
      <c r="AE372" s="2449"/>
      <c r="AF372" s="2449"/>
    </row>
    <row r="373" spans="1:36" ht="12.75" customHeight="1">
      <c r="E373" s="7"/>
      <c r="F373" s="7"/>
      <c r="G373" s="7"/>
      <c r="H373" s="7"/>
      <c r="I373" s="7"/>
      <c r="J373" s="7"/>
      <c r="K373" s="7"/>
      <c r="L373" s="7"/>
      <c r="N373" s="2450"/>
      <c r="O373" s="2450"/>
      <c r="P373" s="2450"/>
      <c r="Q373" s="2450"/>
      <c r="R373" s="2450"/>
      <c r="S373" s="2450"/>
      <c r="T373" s="2450"/>
      <c r="U373" s="2450"/>
      <c r="V373" s="2450"/>
      <c r="W373" s="2450"/>
      <c r="X373" s="2450"/>
      <c r="Y373" s="2450"/>
      <c r="Z373" s="2450"/>
      <c r="AA373" s="2450"/>
      <c r="AB373" s="2450"/>
      <c r="AC373" s="2450"/>
      <c r="AD373" s="2450"/>
      <c r="AE373" s="2450"/>
      <c r="AF373" s="2450"/>
    </row>
    <row r="374" spans="1:36" ht="12.75" customHeight="1">
      <c r="C374" s="911"/>
      <c r="E374" s="7"/>
      <c r="F374" s="7"/>
      <c r="G374" s="7"/>
      <c r="H374" s="7"/>
      <c r="I374" s="7"/>
      <c r="J374" s="7"/>
      <c r="K374" s="7"/>
      <c r="L374" s="7"/>
    </row>
    <row r="375" spans="1:36" ht="12.75" customHeight="1">
      <c r="D375" s="50" t="s">
        <v>1050</v>
      </c>
      <c r="E375" s="50"/>
      <c r="F375" s="7"/>
      <c r="G375" s="7"/>
      <c r="H375" s="7"/>
      <c r="I375" s="7"/>
      <c r="J375" s="7"/>
      <c r="K375" s="7"/>
      <c r="L375" s="7"/>
    </row>
    <row r="376" spans="1:36" ht="12.75" customHeight="1">
      <c r="E376" s="7" t="s">
        <v>1052</v>
      </c>
      <c r="F376" s="7"/>
      <c r="G376" s="7"/>
      <c r="H376" s="7"/>
      <c r="I376" s="7"/>
      <c r="J376" s="7"/>
      <c r="K376" s="7"/>
      <c r="L376" s="7"/>
      <c r="N376" s="25" t="s">
        <v>312</v>
      </c>
      <c r="P376" s="25"/>
      <c r="Q376" s="25" t="s">
        <v>313</v>
      </c>
      <c r="S376" s="2286"/>
      <c r="T376" s="2286"/>
      <c r="U376" s="4" t="s">
        <v>314</v>
      </c>
      <c r="V376" s="2286"/>
      <c r="W376" s="2286"/>
      <c r="Y376" s="25" t="s">
        <v>312</v>
      </c>
      <c r="AA376" s="25"/>
      <c r="AB376" s="25" t="s">
        <v>313</v>
      </c>
      <c r="AD376" s="2286"/>
      <c r="AE376" s="2286"/>
      <c r="AF376" s="4" t="s">
        <v>314</v>
      </c>
      <c r="AG376" s="2286"/>
      <c r="AH376" s="2286"/>
    </row>
    <row r="377" spans="1:36" ht="12.75" customHeight="1">
      <c r="E377" s="7" t="s">
        <v>1083</v>
      </c>
      <c r="F377" s="7"/>
      <c r="G377" s="7"/>
      <c r="H377" s="7"/>
      <c r="I377" s="7"/>
      <c r="J377" s="7"/>
      <c r="K377" s="7"/>
      <c r="L377" s="7"/>
      <c r="N377" s="2286"/>
      <c r="O377" s="2286"/>
      <c r="P377" s="2286"/>
    </row>
    <row r="378" spans="1:36" ht="12.75" customHeight="1">
      <c r="E378" s="382" t="s">
        <v>1084</v>
      </c>
      <c r="F378" s="7"/>
      <c r="G378" s="7"/>
      <c r="H378" s="7"/>
      <c r="I378" s="7"/>
      <c r="J378" s="7"/>
      <c r="K378" s="7"/>
      <c r="L378" s="7"/>
      <c r="AG378" s="2433" t="s">
        <v>624</v>
      </c>
      <c r="AH378" s="2433"/>
    </row>
    <row r="379" spans="1:36" ht="12.75" customHeight="1">
      <c r="E379" s="7"/>
      <c r="F379" s="7"/>
      <c r="G379" s="7" t="s">
        <v>1105</v>
      </c>
      <c r="H379" s="7"/>
      <c r="I379" s="7"/>
      <c r="J379" s="7"/>
      <c r="K379" s="7"/>
      <c r="L379" s="7"/>
      <c r="AG379" s="2433" t="s">
        <v>624</v>
      </c>
      <c r="AH379" s="2433"/>
    </row>
    <row r="380" spans="1:36" ht="12.75" customHeight="1">
      <c r="E380" s="7"/>
      <c r="F380" s="7"/>
      <c r="G380" s="507" t="s">
        <v>1085</v>
      </c>
      <c r="H380" s="7"/>
      <c r="I380" s="7"/>
      <c r="J380" s="7"/>
      <c r="K380" s="7"/>
      <c r="L380" s="7"/>
      <c r="V380" s="1991" t="s">
        <v>624</v>
      </c>
      <c r="W380" s="1991"/>
      <c r="Y380" s="35" t="s">
        <v>1057</v>
      </c>
    </row>
    <row r="381" spans="1:36" ht="12.75" customHeight="1">
      <c r="E381" s="7" t="s">
        <v>1058</v>
      </c>
      <c r="F381" s="7"/>
      <c r="G381" s="7"/>
      <c r="H381" s="7"/>
      <c r="I381" s="7"/>
      <c r="J381" s="7"/>
      <c r="K381" s="7"/>
      <c r="L381" s="7"/>
      <c r="V381" s="1991" t="s">
        <v>624</v>
      </c>
      <c r="W381" s="1991"/>
      <c r="Y381" s="7" t="s">
        <v>1059</v>
      </c>
    </row>
    <row r="382" spans="1:36" ht="12.75" customHeight="1"/>
    <row r="383" spans="1:36" ht="12.75" customHeight="1">
      <c r="A383" s="50" t="s">
        <v>82</v>
      </c>
      <c r="B383" s="50"/>
    </row>
    <row r="384" spans="1:36" ht="12.75" customHeight="1">
      <c r="D384" s="12" t="s">
        <v>448</v>
      </c>
      <c r="J384" s="2004" t="s">
        <v>624</v>
      </c>
      <c r="K384" s="2003"/>
      <c r="L384" s="2003"/>
      <c r="M384" s="2003"/>
      <c r="N384" s="2003"/>
      <c r="O384" s="2003"/>
      <c r="P384" s="2003"/>
      <c r="Q384" s="2003"/>
      <c r="R384" s="2003"/>
      <c r="S384" s="2003"/>
      <c r="T384" s="2003"/>
      <c r="U384" s="2003"/>
      <c r="V384" s="14" t="s">
        <v>88</v>
      </c>
      <c r="W384" s="14"/>
      <c r="X384" s="14"/>
      <c r="Y384" s="14"/>
      <c r="Z384" s="14"/>
      <c r="AA384" s="14"/>
      <c r="AB384" s="14"/>
      <c r="AC384" s="2004" t="s">
        <v>624</v>
      </c>
      <c r="AD384" s="2003"/>
      <c r="AE384" s="2003"/>
      <c r="AF384" s="2003"/>
      <c r="AG384" s="2003"/>
      <c r="AH384" s="2003"/>
      <c r="AI384" s="2003"/>
      <c r="AJ384" s="2003"/>
    </row>
    <row r="385" spans="1:96" ht="12.75" customHeight="1">
      <c r="A385" s="717"/>
      <c r="B385" s="717"/>
      <c r="C385" s="717"/>
      <c r="D385" s="58" t="s">
        <v>1375</v>
      </c>
      <c r="E385" s="717"/>
      <c r="F385" s="717"/>
      <c r="G385" s="717"/>
      <c r="H385" s="717"/>
      <c r="I385" s="717"/>
      <c r="J385" s="1993" t="s">
        <v>624</v>
      </c>
      <c r="K385" s="2005"/>
      <c r="L385" s="2005"/>
      <c r="M385" s="2005"/>
      <c r="N385" s="2005"/>
      <c r="O385" s="2005"/>
      <c r="P385" s="2005"/>
      <c r="Q385" s="2005"/>
      <c r="R385" s="2005"/>
      <c r="S385" s="2005"/>
      <c r="T385" s="2005"/>
      <c r="U385" s="2005"/>
      <c r="V385" s="58" t="s">
        <v>1375</v>
      </c>
      <c r="W385" s="14"/>
      <c r="X385" s="14"/>
      <c r="Y385" s="14"/>
      <c r="Z385" s="14"/>
      <c r="AA385" s="14"/>
      <c r="AB385" s="14"/>
      <c r="AC385" s="2004" t="s">
        <v>624</v>
      </c>
      <c r="AD385" s="2003"/>
      <c r="AE385" s="2003"/>
      <c r="AF385" s="2003"/>
      <c r="AG385" s="2003"/>
      <c r="AH385" s="2003"/>
      <c r="AI385" s="2003"/>
      <c r="AJ385" s="2003"/>
      <c r="AK385" s="717"/>
      <c r="AL385" s="717"/>
    </row>
    <row r="386" spans="1:96" ht="12.75" customHeight="1">
      <c r="A386" s="717"/>
      <c r="B386" s="717"/>
      <c r="C386" s="717"/>
      <c r="D386" s="58" t="s">
        <v>462</v>
      </c>
      <c r="E386" s="717"/>
      <c r="F386" s="717"/>
      <c r="G386" s="717"/>
      <c r="H386" s="717"/>
      <c r="I386" s="717"/>
      <c r="J386" s="1993" t="s">
        <v>624</v>
      </c>
      <c r="K386" s="2005"/>
      <c r="L386" s="2005"/>
      <c r="M386" s="2005"/>
      <c r="N386" s="2005"/>
      <c r="O386" s="2005"/>
      <c r="P386" s="2005"/>
      <c r="Q386" s="2005"/>
      <c r="R386" s="2005"/>
      <c r="S386" s="2005"/>
      <c r="T386" s="2005"/>
      <c r="U386" s="2005"/>
      <c r="V386" s="58" t="s">
        <v>462</v>
      </c>
      <c r="W386" s="14"/>
      <c r="X386" s="14"/>
      <c r="Y386" s="14"/>
      <c r="Z386" s="14"/>
      <c r="AA386" s="14"/>
      <c r="AB386" s="14"/>
      <c r="AC386" s="2004" t="s">
        <v>624</v>
      </c>
      <c r="AD386" s="2003"/>
      <c r="AE386" s="2003"/>
      <c r="AF386" s="2003"/>
      <c r="AG386" s="2003"/>
      <c r="AH386" s="2003"/>
      <c r="AI386" s="2003"/>
      <c r="AJ386" s="2003"/>
      <c r="AK386" s="717"/>
      <c r="AL386" s="717"/>
    </row>
    <row r="387" spans="1:96" ht="12.75" customHeight="1">
      <c r="A387" s="717"/>
      <c r="B387" s="717"/>
      <c r="C387" s="717"/>
      <c r="D387" s="479" t="s">
        <v>1371</v>
      </c>
      <c r="E387" s="717"/>
      <c r="F387" s="717"/>
      <c r="G387" s="717"/>
      <c r="H387" s="717"/>
      <c r="I387" s="88"/>
      <c r="J387" s="1964" t="s">
        <v>624</v>
      </c>
      <c r="K387" s="2136"/>
      <c r="L387" s="2136"/>
      <c r="M387" s="2136"/>
      <c r="N387" s="2136"/>
      <c r="O387" s="2136"/>
      <c r="P387" s="2136"/>
      <c r="Q387" s="2136"/>
      <c r="R387" s="2136"/>
      <c r="S387" s="2136"/>
      <c r="T387" s="2136"/>
      <c r="U387" s="2136"/>
      <c r="V387" s="2003"/>
      <c r="W387" s="2003"/>
      <c r="X387" s="2003"/>
      <c r="Y387" s="2003"/>
      <c r="Z387" s="2003"/>
      <c r="AA387" s="2003"/>
      <c r="AB387" s="2003"/>
      <c r="AC387" s="2003"/>
      <c r="AD387" s="2003"/>
      <c r="AE387" s="2003"/>
      <c r="AF387" s="2003"/>
      <c r="AG387" s="2003"/>
      <c r="AH387" s="2003"/>
      <c r="AI387" s="2003"/>
      <c r="AJ387" s="2003"/>
      <c r="AK387" s="717"/>
      <c r="AL387" s="717"/>
    </row>
    <row r="388" spans="1:96" ht="12.75" customHeight="1">
      <c r="D388" s="12" t="s">
        <v>4</v>
      </c>
      <c r="Q388" s="2317"/>
      <c r="R388" s="2317"/>
      <c r="S388" s="2317"/>
      <c r="T388" s="2317"/>
      <c r="U388" s="2317"/>
      <c r="V388" s="12" t="s">
        <v>317</v>
      </c>
      <c r="AI388" s="1991" t="s">
        <v>704</v>
      </c>
      <c r="AJ388" s="1991"/>
    </row>
    <row r="389" spans="1:96" ht="12.75" customHeight="1">
      <c r="D389" s="12" t="s">
        <v>5</v>
      </c>
      <c r="Q389" s="2307"/>
      <c r="R389" s="2308"/>
      <c r="S389" s="2308"/>
      <c r="T389" s="2308"/>
      <c r="U389" s="2308"/>
      <c r="W389" s="33" t="s">
        <v>78</v>
      </c>
      <c r="AG389" s="2390"/>
      <c r="AH389" s="2390"/>
      <c r="AI389" s="2390"/>
      <c r="AJ389" s="2390"/>
    </row>
    <row r="390" spans="1:96" ht="12.75" customHeight="1">
      <c r="D390" s="12" t="s">
        <v>447</v>
      </c>
      <c r="Q390" s="2285"/>
      <c r="R390" s="2285"/>
      <c r="S390" s="2285"/>
      <c r="T390" s="2285"/>
      <c r="U390" s="2285"/>
      <c r="V390" s="58" t="s">
        <v>1374</v>
      </c>
      <c r="AG390" s="2466"/>
      <c r="AH390" s="2466"/>
      <c r="AI390" s="2466"/>
      <c r="AJ390" s="2466"/>
    </row>
    <row r="391" spans="1:96" ht="12.75" customHeight="1">
      <c r="D391" s="12" t="s">
        <v>93</v>
      </c>
      <c r="I391" s="2283"/>
      <c r="J391" s="2283"/>
      <c r="K391" s="2283"/>
      <c r="L391" s="2283"/>
      <c r="M391" s="2283"/>
      <c r="N391" s="2283"/>
      <c r="Q391" s="57" t="s">
        <v>211</v>
      </c>
      <c r="S391" s="2316"/>
      <c r="T391" s="2316"/>
      <c r="U391" s="2316"/>
      <c r="V391" s="12" t="s">
        <v>77</v>
      </c>
      <c r="AI391" s="1991" t="s">
        <v>704</v>
      </c>
      <c r="AJ391" s="1991"/>
    </row>
    <row r="392" spans="1:96" ht="12.75" customHeight="1">
      <c r="D392" s="12" t="s">
        <v>318</v>
      </c>
      <c r="Q392" s="2148"/>
      <c r="R392" s="2148"/>
      <c r="S392" s="2148"/>
      <c r="T392" s="2148"/>
      <c r="U392" s="2148"/>
      <c r="V392" s="12" t="s">
        <v>319</v>
      </c>
      <c r="AG392" s="2390"/>
      <c r="AH392" s="2390"/>
      <c r="AI392" s="2390"/>
      <c r="AJ392" s="2390"/>
    </row>
    <row r="393" spans="1:96" ht="12.75" customHeight="1">
      <c r="D393" s="12" t="s">
        <v>320</v>
      </c>
      <c r="Q393" s="2456"/>
      <c r="R393" s="2456"/>
      <c r="S393" s="2456"/>
      <c r="T393" s="2456"/>
      <c r="U393" s="2456"/>
      <c r="V393" s="717" t="s">
        <v>1351</v>
      </c>
      <c r="AG393" s="2390"/>
      <c r="AH393" s="2390"/>
      <c r="AI393" s="2390"/>
      <c r="AJ393" s="2390"/>
    </row>
    <row r="394" spans="1:96" ht="12.5">
      <c r="D394" s="717" t="s">
        <v>1350</v>
      </c>
      <c r="V394" s="717"/>
      <c r="AG394" s="2390"/>
      <c r="AH394" s="2390"/>
      <c r="AI394" s="2390"/>
      <c r="AJ394" s="2390"/>
    </row>
    <row r="395" spans="1:96" s="717" customFormat="1" ht="12.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5">
      <c r="D396" s="58" t="s">
        <v>1973</v>
      </c>
      <c r="AG396" s="746"/>
      <c r="AH396" s="746"/>
      <c r="AI396" s="1991" t="s">
        <v>704</v>
      </c>
      <c r="AJ396" s="1991"/>
      <c r="AM396" s="39"/>
      <c r="AN396" s="39"/>
      <c r="AO396" s="39"/>
      <c r="AP396" s="39"/>
      <c r="AQ396" s="39"/>
      <c r="AR396" s="39"/>
      <c r="AS396" s="39"/>
      <c r="AT396" s="39"/>
      <c r="AU396" s="39"/>
      <c r="AV396" s="39"/>
      <c r="AW396" s="39"/>
      <c r="AX396" s="39"/>
      <c r="AY396" s="39"/>
      <c r="CR396" s="25"/>
    </row>
    <row r="397" spans="1:96" s="717" customFormat="1" ht="12.5">
      <c r="D397" s="58" t="s">
        <v>1975</v>
      </c>
      <c r="T397" s="2465"/>
      <c r="U397" s="2465"/>
      <c r="V397" s="2465"/>
      <c r="W397" s="2465"/>
      <c r="X397" s="2465"/>
      <c r="Y397" s="2465"/>
      <c r="Z397" s="2465"/>
      <c r="AA397" s="2465"/>
      <c r="AB397" s="2465"/>
      <c r="AC397" s="2465"/>
      <c r="AD397" s="2465"/>
      <c r="AE397" s="2465"/>
      <c r="AF397" s="2465"/>
      <c r="AG397" s="2465"/>
      <c r="AH397" s="2465"/>
      <c r="AI397" s="2465"/>
      <c r="AJ397" s="2465"/>
      <c r="AM397" s="39"/>
      <c r="AN397" s="39"/>
      <c r="AO397" s="39"/>
      <c r="AP397" s="39"/>
      <c r="AQ397" s="39"/>
      <c r="AR397" s="39"/>
      <c r="AS397" s="39"/>
      <c r="AT397" s="39"/>
      <c r="AU397" s="39"/>
      <c r="AV397" s="39"/>
      <c r="AW397" s="39"/>
      <c r="AX397" s="39"/>
      <c r="AY397" s="39"/>
      <c r="CR397" s="25"/>
    </row>
    <row r="398" spans="1:96" s="717" customFormat="1" ht="12.5">
      <c r="D398" s="58" t="s">
        <v>1974</v>
      </c>
      <c r="T398" s="2465"/>
      <c r="U398" s="2465"/>
      <c r="V398" s="2465"/>
      <c r="W398" s="2465"/>
      <c r="X398" s="2465"/>
      <c r="Y398" s="2465"/>
      <c r="Z398" s="2465"/>
      <c r="AA398" s="2465"/>
      <c r="AB398" s="2465"/>
      <c r="AC398" s="2465"/>
      <c r="AD398" s="2465"/>
      <c r="AE398" s="2465"/>
      <c r="AF398" s="2465"/>
      <c r="AG398" s="2465"/>
      <c r="AH398" s="2465"/>
      <c r="AI398" s="2465"/>
      <c r="AJ398" s="2465"/>
      <c r="AM398" s="39"/>
      <c r="AN398" s="39"/>
      <c r="AO398" s="39"/>
      <c r="AP398" s="39"/>
      <c r="AQ398" s="39"/>
      <c r="AR398" s="39"/>
      <c r="AS398" s="39"/>
      <c r="AT398" s="39"/>
      <c r="AU398" s="39"/>
      <c r="AV398" s="39"/>
      <c r="AW398" s="39"/>
      <c r="AX398" s="39"/>
      <c r="AY398" s="39"/>
      <c r="CR398" s="25"/>
    </row>
    <row r="399" spans="1:96" ht="12.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5">
      <c r="A400" s="717"/>
      <c r="B400" s="717"/>
      <c r="C400" s="717"/>
      <c r="D400" s="58" t="s">
        <v>1967</v>
      </c>
      <c r="E400" s="717"/>
      <c r="F400" s="717"/>
      <c r="G400" s="717"/>
      <c r="H400" s="717"/>
      <c r="I400" s="717"/>
      <c r="J400" s="717"/>
      <c r="K400" s="717"/>
      <c r="L400" s="717"/>
      <c r="M400" s="717"/>
      <c r="N400" s="717"/>
      <c r="O400" s="717"/>
      <c r="P400" s="717"/>
      <c r="Q400" s="717"/>
      <c r="R400" s="717"/>
      <c r="S400" s="2465" t="s">
        <v>576</v>
      </c>
      <c r="T400" s="2465"/>
      <c r="U400" s="2465"/>
      <c r="V400" s="479" t="s">
        <v>1968</v>
      </c>
      <c r="W400" s="717"/>
      <c r="X400" s="717"/>
      <c r="Y400" s="717"/>
      <c r="Z400" s="717"/>
      <c r="AA400" s="717"/>
      <c r="AB400" s="39"/>
      <c r="AC400" s="39"/>
      <c r="AD400" s="39"/>
      <c r="AE400" s="39"/>
      <c r="AF400" s="39"/>
      <c r="AG400" s="2497">
        <v>75</v>
      </c>
      <c r="AH400" s="2497"/>
      <c r="AI400" s="2497"/>
      <c r="AJ400" s="2497"/>
      <c r="AK400" s="39"/>
      <c r="AL400" s="717"/>
    </row>
    <row r="401" spans="1:96" s="717" customFormat="1" ht="12.5">
      <c r="D401" s="58" t="s">
        <v>1964</v>
      </c>
      <c r="S401" s="2465" t="s">
        <v>576</v>
      </c>
      <c r="T401" s="2465"/>
      <c r="U401" s="2465"/>
      <c r="V401" s="479" t="s">
        <v>1970</v>
      </c>
      <c r="AB401" s="39"/>
      <c r="AC401" s="39"/>
      <c r="AD401" s="39"/>
      <c r="AE401" s="2500">
        <v>15000</v>
      </c>
      <c r="AF401" s="2500"/>
      <c r="AG401" s="2500"/>
      <c r="AH401" s="2500"/>
      <c r="AI401" s="2500"/>
      <c r="AJ401" s="2500"/>
      <c r="AK401" s="39"/>
      <c r="AM401" s="39"/>
      <c r="AN401" s="39"/>
      <c r="AO401" s="39"/>
      <c r="AP401" s="39"/>
      <c r="AQ401" s="39"/>
      <c r="AR401" s="39"/>
      <c r="AS401" s="39"/>
      <c r="AT401" s="39"/>
      <c r="AU401" s="39"/>
      <c r="AV401" s="39"/>
      <c r="AW401" s="39"/>
      <c r="AX401" s="39"/>
      <c r="AY401" s="39"/>
      <c r="CR401" s="25"/>
    </row>
    <row r="402" spans="1:96" s="717" customFormat="1" ht="12.5">
      <c r="D402" s="58" t="s">
        <v>1966</v>
      </c>
      <c r="K402" s="2481" t="s">
        <v>624</v>
      </c>
      <c r="L402" s="2481"/>
      <c r="M402" s="2481"/>
      <c r="N402" s="2481"/>
      <c r="O402" s="2481"/>
      <c r="P402" s="2481"/>
      <c r="Q402" s="2481"/>
      <c r="R402" s="2481"/>
      <c r="S402" s="2481"/>
      <c r="T402" s="2481"/>
      <c r="U402" s="2481"/>
      <c r="V402" s="2481"/>
      <c r="W402" s="2481"/>
      <c r="X402" s="2481"/>
      <c r="Y402" s="2481"/>
      <c r="Z402" s="2481"/>
      <c r="AA402" s="2481"/>
      <c r="AB402" s="2481"/>
      <c r="AC402" s="2481"/>
      <c r="AD402" s="2481"/>
      <c r="AE402" s="2481"/>
      <c r="AF402" s="2481"/>
      <c r="AG402" s="2481"/>
      <c r="AH402" s="2481"/>
      <c r="AI402" s="2481"/>
      <c r="AJ402" s="2481"/>
      <c r="AK402" s="39"/>
      <c r="AM402" s="39"/>
      <c r="AN402" s="39"/>
      <c r="AO402" s="39"/>
      <c r="AP402" s="39"/>
      <c r="AQ402" s="39"/>
      <c r="AR402" s="39"/>
      <c r="AS402" s="39"/>
      <c r="AT402" s="39"/>
      <c r="AU402" s="39"/>
      <c r="AV402" s="39"/>
      <c r="AW402" s="39"/>
      <c r="AX402" s="39"/>
      <c r="AY402" s="39"/>
      <c r="CR402" s="25"/>
    </row>
    <row r="403" spans="1:96" s="717" customFormat="1" ht="12.5">
      <c r="D403" s="58" t="s">
        <v>1969</v>
      </c>
      <c r="K403" s="2481" t="s">
        <v>2480</v>
      </c>
      <c r="L403" s="2481"/>
      <c r="M403" s="2481"/>
      <c r="N403" s="2481"/>
      <c r="O403" s="2481"/>
      <c r="P403" s="2481"/>
      <c r="Q403" s="2481"/>
      <c r="R403" s="2481"/>
      <c r="S403" s="2481"/>
      <c r="T403" s="2481"/>
      <c r="U403" s="2481"/>
      <c r="V403" s="2481"/>
      <c r="W403" s="2481"/>
      <c r="X403" s="2481"/>
      <c r="Y403" s="2481"/>
      <c r="Z403" s="2481"/>
      <c r="AA403" s="2481"/>
      <c r="AB403" s="2481"/>
      <c r="AC403" s="2481"/>
      <c r="AD403" s="2481"/>
      <c r="AE403" s="2481"/>
      <c r="AF403" s="2481"/>
      <c r="AG403" s="2481"/>
      <c r="AH403" s="2481"/>
      <c r="AI403" s="2481"/>
      <c r="AJ403" s="2481"/>
      <c r="AK403" s="39"/>
      <c r="AM403" s="39"/>
      <c r="AN403" s="39"/>
      <c r="AO403" s="39"/>
      <c r="AP403" s="39"/>
      <c r="AQ403" s="39"/>
      <c r="AR403" s="39"/>
      <c r="AS403" s="39"/>
      <c r="AT403" s="39"/>
      <c r="AU403" s="39"/>
      <c r="AV403" s="39"/>
      <c r="AW403" s="39"/>
      <c r="AX403" s="39"/>
      <c r="AY403" s="39"/>
      <c r="CR403" s="25"/>
    </row>
    <row r="404" spans="1:96" s="717" customFormat="1" ht="12.75" customHeight="1">
      <c r="D404" s="181" t="s">
        <v>1972</v>
      </c>
      <c r="E404" s="1469"/>
      <c r="F404" s="1469"/>
      <c r="G404" s="1469"/>
      <c r="H404" s="1469"/>
      <c r="I404" s="1469"/>
      <c r="J404" s="1469"/>
      <c r="K404" s="1469"/>
      <c r="L404" s="1469"/>
      <c r="M404" s="1469"/>
      <c r="N404" s="1469"/>
      <c r="O404" s="1469"/>
      <c r="P404" s="1469"/>
      <c r="Q404" s="1469"/>
      <c r="R404" s="1469"/>
      <c r="S404" s="2469" t="s">
        <v>2559</v>
      </c>
      <c r="T404" s="2469"/>
      <c r="U404" s="2469"/>
      <c r="V404" s="2469"/>
      <c r="W404" s="2469"/>
      <c r="X404" s="2469"/>
      <c r="Y404" s="2469"/>
      <c r="Z404" s="2469"/>
      <c r="AA404" s="2469"/>
      <c r="AB404" s="2469"/>
      <c r="AC404" s="2469"/>
      <c r="AD404" s="2469"/>
      <c r="AE404" s="2469"/>
      <c r="AF404" s="2469"/>
      <c r="AG404" s="2469"/>
      <c r="AH404" s="2469"/>
      <c r="AI404" s="2469"/>
      <c r="AJ404" s="2469"/>
      <c r="AK404" s="39"/>
      <c r="AL404" s="39"/>
      <c r="AM404" s="39"/>
      <c r="AN404" s="39"/>
      <c r="AO404" s="39"/>
      <c r="AP404" s="39"/>
      <c r="AQ404" s="39"/>
      <c r="AR404" s="39"/>
      <c r="AS404" s="39"/>
      <c r="AT404" s="39"/>
      <c r="AU404" s="39"/>
      <c r="AV404" s="39"/>
      <c r="AW404" s="39"/>
      <c r="AX404" s="39"/>
      <c r="AY404" s="39"/>
      <c r="CR404" s="25"/>
    </row>
    <row r="405" spans="1:96" s="717" customFormat="1" ht="12.5">
      <c r="D405" s="2468" t="s">
        <v>1971</v>
      </c>
      <c r="E405" s="2468"/>
      <c r="F405" s="2468"/>
      <c r="G405" s="2468"/>
      <c r="H405" s="2468"/>
      <c r="I405" s="2468"/>
      <c r="J405" s="2468"/>
      <c r="K405" s="2468"/>
      <c r="L405" s="2468"/>
      <c r="M405" s="2468"/>
      <c r="N405" s="2468"/>
      <c r="O405" s="2468"/>
      <c r="P405" s="2468"/>
      <c r="Q405" s="2468"/>
      <c r="R405" s="2468"/>
      <c r="S405" s="2468"/>
      <c r="T405" s="2468"/>
      <c r="U405" s="2468"/>
      <c r="V405" s="2468"/>
      <c r="W405" s="2468"/>
      <c r="X405" s="2468"/>
      <c r="Y405" s="2468"/>
      <c r="Z405" s="2468"/>
      <c r="AA405" s="2468"/>
      <c r="AB405" s="2468"/>
      <c r="AC405" s="2468"/>
      <c r="AD405" s="2468"/>
      <c r="AE405" s="2468"/>
      <c r="AF405" s="2468"/>
      <c r="AG405" s="2468"/>
      <c r="AH405" s="2468"/>
      <c r="AI405" s="2468"/>
      <c r="AJ405" s="2468"/>
      <c r="AK405" s="39"/>
      <c r="AL405" s="39"/>
      <c r="AM405" s="39"/>
      <c r="AN405" s="39"/>
      <c r="AO405" s="39"/>
      <c r="AP405" s="39"/>
      <c r="AQ405" s="39"/>
      <c r="AR405" s="39"/>
      <c r="AS405" s="39"/>
      <c r="AT405" s="39"/>
      <c r="AU405" s="39"/>
      <c r="AV405" s="39"/>
      <c r="AW405" s="39"/>
      <c r="AX405" s="39"/>
      <c r="AY405" s="39"/>
      <c r="CR405" s="25"/>
    </row>
    <row r="406" spans="1:96" s="717" customFormat="1" ht="12.5">
      <c r="D406" s="2468"/>
      <c r="E406" s="2468"/>
      <c r="F406" s="2468"/>
      <c r="G406" s="2468"/>
      <c r="H406" s="2468"/>
      <c r="I406" s="2468"/>
      <c r="J406" s="2468"/>
      <c r="K406" s="2468"/>
      <c r="L406" s="2468"/>
      <c r="M406" s="2468"/>
      <c r="N406" s="2468"/>
      <c r="O406" s="2468"/>
      <c r="P406" s="2468"/>
      <c r="Q406" s="2468"/>
      <c r="R406" s="2468"/>
      <c r="S406" s="2468"/>
      <c r="T406" s="2468"/>
      <c r="U406" s="2468"/>
      <c r="V406" s="2468"/>
      <c r="W406" s="2468"/>
      <c r="X406" s="2468"/>
      <c r="Y406" s="2468"/>
      <c r="Z406" s="2468"/>
      <c r="AA406" s="2468"/>
      <c r="AB406" s="2468"/>
      <c r="AC406" s="2468"/>
      <c r="AD406" s="2468"/>
      <c r="AE406" s="2468"/>
      <c r="AF406" s="2468"/>
      <c r="AG406" s="2468"/>
      <c r="AH406" s="2468"/>
      <c r="AI406" s="2468"/>
      <c r="AJ406" s="2468"/>
      <c r="AK406" s="39"/>
      <c r="AL406" s="39"/>
      <c r="AM406" s="39"/>
      <c r="AN406" s="39"/>
      <c r="AO406" s="39"/>
      <c r="AP406" s="39"/>
      <c r="AQ406" s="39"/>
      <c r="AR406" s="39"/>
      <c r="AS406" s="39"/>
      <c r="AT406" s="39"/>
      <c r="AU406" s="39"/>
      <c r="AV406" s="39"/>
      <c r="AW406" s="39"/>
      <c r="AX406" s="39"/>
      <c r="AY406" s="39"/>
      <c r="CR406" s="25"/>
    </row>
    <row r="407" spans="1:96" s="717"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1404</v>
      </c>
      <c r="I409" s="2004" t="s">
        <v>2560</v>
      </c>
      <c r="J409" s="2004"/>
      <c r="K409" s="2004"/>
      <c r="L409" s="2004"/>
      <c r="M409" s="2004"/>
      <c r="N409" s="2004"/>
      <c r="O409" s="2004"/>
      <c r="P409" s="2004"/>
      <c r="Q409" s="2004"/>
      <c r="R409" s="2004"/>
      <c r="S409" s="2004"/>
      <c r="T409" s="2004"/>
      <c r="U409" s="2004"/>
      <c r="V409" s="2004"/>
      <c r="W409" s="2004"/>
      <c r="X409" s="2004"/>
      <c r="Y409" s="2004"/>
      <c r="Z409" s="2004"/>
      <c r="AA409" s="2004"/>
      <c r="AB409" s="2004"/>
      <c r="AC409" s="2004"/>
      <c r="AD409" s="2004"/>
      <c r="AE409" s="2004"/>
    </row>
    <row r="410" spans="1:96" ht="12.75" customHeight="1">
      <c r="C410" s="25"/>
      <c r="D410" s="25"/>
      <c r="E410" s="12" t="s">
        <v>111</v>
      </c>
      <c r="F410" s="25"/>
      <c r="G410" s="25"/>
      <c r="H410" s="25"/>
      <c r="I410" s="25"/>
      <c r="J410" s="25"/>
      <c r="K410" s="25"/>
      <c r="L410" s="25"/>
      <c r="M410" s="25"/>
      <c r="N410" s="25"/>
      <c r="O410" s="25"/>
      <c r="P410" s="717"/>
      <c r="Q410" s="717"/>
      <c r="R410" s="1991" t="s">
        <v>576</v>
      </c>
      <c r="S410" s="1991"/>
      <c r="T410" s="12" t="s">
        <v>602</v>
      </c>
      <c r="U410" s="717"/>
      <c r="V410" s="717"/>
      <c r="W410" s="717"/>
      <c r="X410" s="717"/>
      <c r="Y410" s="717"/>
      <c r="Z410" s="717"/>
      <c r="AA410" s="717"/>
      <c r="AB410" s="717"/>
      <c r="AC410" s="717"/>
      <c r="AD410" s="2273">
        <v>8</v>
      </c>
      <c r="AE410" s="2273"/>
      <c r="AF410" s="717"/>
    </row>
    <row r="411" spans="1:96" ht="12.5">
      <c r="C411" s="25"/>
      <c r="E411" s="12" t="s">
        <v>112</v>
      </c>
      <c r="F411" s="717"/>
      <c r="G411" s="717"/>
      <c r="H411" s="717"/>
      <c r="I411" s="717"/>
      <c r="J411" s="717"/>
      <c r="K411" s="717"/>
      <c r="L411" s="717"/>
      <c r="M411" s="717"/>
      <c r="N411" s="25"/>
      <c r="O411" s="25"/>
      <c r="P411" s="717"/>
      <c r="Q411" s="717"/>
      <c r="R411" s="1991" t="s">
        <v>624</v>
      </c>
      <c r="S411" s="1991"/>
      <c r="T411" s="12" t="s">
        <v>602</v>
      </c>
      <c r="U411" s="717"/>
      <c r="V411" s="717"/>
      <c r="W411" s="717"/>
      <c r="X411" s="717"/>
      <c r="Y411" s="717"/>
      <c r="Z411" s="717"/>
      <c r="AA411" s="717"/>
      <c r="AB411" s="717"/>
      <c r="AC411" s="717"/>
      <c r="AD411" s="2273">
        <v>0</v>
      </c>
      <c r="AE411" s="2273"/>
      <c r="AF411" s="717"/>
    </row>
    <row r="412" spans="1:96" ht="12.75" customHeight="1">
      <c r="C412" s="25"/>
      <c r="E412" s="12" t="s">
        <v>113</v>
      </c>
      <c r="F412" s="717"/>
      <c r="G412" s="717"/>
      <c r="H412" s="717"/>
      <c r="I412" s="717"/>
      <c r="J412" s="717"/>
      <c r="K412" s="717"/>
      <c r="L412" s="717"/>
      <c r="M412" s="717"/>
      <c r="N412" s="25"/>
      <c r="O412" s="25"/>
      <c r="P412" s="717"/>
      <c r="Q412" s="717"/>
      <c r="R412" s="717"/>
      <c r="S412" s="1991" t="s">
        <v>624</v>
      </c>
      <c r="T412" s="1991"/>
      <c r="U412" s="717"/>
      <c r="V412" s="717"/>
      <c r="W412" s="717"/>
      <c r="X412" s="717"/>
      <c r="Y412" s="717"/>
      <c r="Z412" s="717"/>
      <c r="AA412" s="717"/>
      <c r="AB412" s="717"/>
      <c r="AC412" s="717"/>
      <c r="AD412" s="717"/>
      <c r="AE412" s="717"/>
      <c r="AF412" s="717"/>
    </row>
    <row r="413" spans="1:96" ht="12.75" customHeight="1">
      <c r="E413" s="12" t="s">
        <v>174</v>
      </c>
      <c r="F413" s="717"/>
      <c r="G413" s="717"/>
      <c r="H413" s="2454" t="s">
        <v>342</v>
      </c>
      <c r="I413" s="2454"/>
      <c r="J413" s="2454"/>
      <c r="K413" s="2454"/>
      <c r="L413" s="2454"/>
      <c r="M413" s="2454"/>
      <c r="N413" s="2454"/>
      <c r="O413" s="2454"/>
      <c r="P413" s="2454"/>
      <c r="Q413" s="2454"/>
      <c r="R413" s="2454"/>
      <c r="S413" s="2454"/>
      <c r="T413" s="2454"/>
      <c r="U413" s="2454"/>
      <c r="V413" s="2454"/>
      <c r="W413" s="2454"/>
      <c r="X413" s="2454"/>
      <c r="Y413" s="2454"/>
      <c r="Z413" s="2454"/>
      <c r="AA413" s="2454"/>
      <c r="AB413" s="2454"/>
      <c r="AC413" s="2454"/>
      <c r="AD413" s="2454"/>
      <c r="AE413" s="2454"/>
      <c r="AF413" s="717"/>
    </row>
    <row r="414" spans="1:96" ht="12.75" customHeight="1">
      <c r="E414" s="25"/>
      <c r="F414" s="717"/>
      <c r="G414" s="717"/>
      <c r="H414" s="2455"/>
      <c r="I414" s="2455"/>
      <c r="J414" s="2455"/>
      <c r="K414" s="2455"/>
      <c r="L414" s="2455"/>
      <c r="M414" s="2455"/>
      <c r="N414" s="2455"/>
      <c r="O414" s="2455"/>
      <c r="P414" s="2455"/>
      <c r="Q414" s="2455"/>
      <c r="R414" s="2455"/>
      <c r="S414" s="2455"/>
      <c r="T414" s="2455"/>
      <c r="U414" s="2455"/>
      <c r="V414" s="2455"/>
      <c r="W414" s="2455"/>
      <c r="X414" s="2455"/>
      <c r="Y414" s="2455"/>
      <c r="Z414" s="2455"/>
      <c r="AA414" s="2455"/>
      <c r="AB414" s="2455"/>
      <c r="AC414" s="2455"/>
      <c r="AD414" s="2455"/>
      <c r="AE414" s="2455"/>
      <c r="AF414" s="717"/>
    </row>
    <row r="415" spans="1:96" ht="12.75" customHeight="1"/>
    <row r="416" spans="1:96" ht="12.75" customHeight="1">
      <c r="A416" s="50" t="s">
        <v>623</v>
      </c>
      <c r="B416" s="50"/>
      <c r="C416" s="50"/>
      <c r="D416" s="50" t="s">
        <v>119</v>
      </c>
      <c r="AF416" s="50" t="s">
        <v>1033</v>
      </c>
    </row>
    <row r="417" spans="1:96" ht="12.75" customHeight="1">
      <c r="E417" s="2286"/>
      <c r="F417" s="2286"/>
      <c r="G417" s="2286"/>
      <c r="H417" s="23" t="s">
        <v>120</v>
      </c>
      <c r="I417" s="2286"/>
      <c r="J417" s="2286"/>
      <c r="K417" s="2286"/>
      <c r="L417" s="12" t="s">
        <v>121</v>
      </c>
      <c r="N417" s="141" t="s">
        <v>608</v>
      </c>
      <c r="P417" s="2315">
        <v>0.31714999999999999</v>
      </c>
      <c r="Q417" s="2315"/>
      <c r="R417" s="2315"/>
      <c r="S417" s="12" t="s">
        <v>122</v>
      </c>
      <c r="W417" s="2458">
        <f>IF(E417&gt;0,(E417*I417),(P417*43560))</f>
        <v>13815.054</v>
      </c>
      <c r="X417" s="2458"/>
      <c r="Y417" s="2458"/>
      <c r="Z417" s="12" t="s">
        <v>123</v>
      </c>
      <c r="AF417" s="2459">
        <f>IF(P417&gt;0,(AG436/P417),(AG436/(W417/43560)))</f>
        <v>353.14519943244522</v>
      </c>
      <c r="AG417" s="2459"/>
      <c r="AH417" s="2459"/>
      <c r="AM417" s="239"/>
    </row>
    <row r="418" spans="1:96" ht="12.5">
      <c r="E418" s="12" t="s">
        <v>54</v>
      </c>
    </row>
    <row r="419" spans="1:96" ht="12.75" customHeight="1">
      <c r="E419" s="2513"/>
      <c r="F419" s="2513"/>
      <c r="G419" s="2513"/>
      <c r="H419" s="2513"/>
      <c r="I419" s="2513"/>
      <c r="J419" s="2513"/>
      <c r="K419" s="2513"/>
      <c r="L419" s="2513"/>
      <c r="M419" s="2513"/>
      <c r="N419" s="2513"/>
      <c r="O419" s="2513"/>
      <c r="P419" s="2513"/>
      <c r="Q419" s="2513"/>
      <c r="R419" s="2513"/>
      <c r="S419" s="2513"/>
      <c r="T419" s="2513"/>
      <c r="U419" s="2513"/>
      <c r="V419" s="2513"/>
      <c r="W419" s="2513"/>
      <c r="X419" s="2513"/>
      <c r="Y419" s="2513"/>
      <c r="Z419" s="2513"/>
      <c r="AA419" s="2513"/>
      <c r="AB419" s="2513"/>
      <c r="AC419" s="2513"/>
      <c r="AD419" s="2513"/>
      <c r="AE419" s="2513"/>
      <c r="AF419" s="2513"/>
      <c r="AG419" s="2513"/>
      <c r="AH419" s="2513"/>
      <c r="AI419" s="2513"/>
      <c r="AJ419" s="2513"/>
    </row>
    <row r="420" spans="1:96" s="39" customFormat="1" ht="12.75" customHeight="1">
      <c r="E420" s="254" t="s">
        <v>2152</v>
      </c>
      <c r="F420" s="1710"/>
      <c r="G420" s="1710"/>
      <c r="H420" s="1710"/>
      <c r="I420" s="2311">
        <v>0.32</v>
      </c>
      <c r="J420" s="2311"/>
      <c r="K420" s="2311"/>
      <c r="L420" s="1710"/>
      <c r="M420" s="254"/>
      <c r="N420" s="1710"/>
      <c r="O420" s="1710"/>
      <c r="P420" s="2250">
        <f>(CS637+CS645+CS661)/I420</f>
        <v>450</v>
      </c>
      <c r="Q420" s="2250"/>
      <c r="R420" s="2250"/>
      <c r="S420" s="254" t="s">
        <v>2153</v>
      </c>
      <c r="T420" s="1710"/>
      <c r="U420" s="1710"/>
      <c r="V420" s="1710"/>
      <c r="W420" s="1710"/>
      <c r="X420" s="1710"/>
      <c r="Y420" s="1710"/>
      <c r="Z420" s="1710"/>
      <c r="AA420" s="1710"/>
      <c r="AB420" s="1710"/>
      <c r="AC420" s="1710"/>
      <c r="AD420" s="1710"/>
      <c r="AE420" s="1710"/>
      <c r="AF420" s="1710"/>
      <c r="AG420" s="1710"/>
      <c r="AH420" s="1710"/>
      <c r="AI420" s="1710"/>
      <c r="AJ420" s="1710"/>
      <c r="CR420" s="679"/>
    </row>
    <row r="421" spans="1:96" ht="12.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
      <c r="A422" s="50" t="s">
        <v>625</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5">
      <c r="E423" s="12" t="s">
        <v>126</v>
      </c>
      <c r="P423" s="1991">
        <v>1</v>
      </c>
      <c r="Q423" s="1991"/>
      <c r="S423" s="12" t="s">
        <v>194</v>
      </c>
      <c r="AE423" s="1991">
        <v>1</v>
      </c>
      <c r="AF423" s="1991"/>
    </row>
    <row r="424" spans="1:96" ht="12.5">
      <c r="E424" s="12" t="s">
        <v>195</v>
      </c>
      <c r="P424" s="2306" t="s">
        <v>624</v>
      </c>
      <c r="Q424" s="1991"/>
      <c r="S424" s="12" t="s">
        <v>136</v>
      </c>
      <c r="AE424" s="1991" t="s">
        <v>576</v>
      </c>
      <c r="AF424" s="1991"/>
    </row>
    <row r="425" spans="1:96" ht="12.5">
      <c r="F425" s="67" t="s">
        <v>137</v>
      </c>
    </row>
    <row r="426" spans="1:96" ht="12.5">
      <c r="F426" s="2448" t="s">
        <v>2597</v>
      </c>
      <c r="G426" s="2424"/>
      <c r="H426" s="2424"/>
      <c r="I426" s="2424"/>
      <c r="J426" s="2424"/>
      <c r="K426" s="2424"/>
      <c r="L426" s="2424"/>
      <c r="M426" s="2424"/>
      <c r="N426" s="2424"/>
      <c r="O426" s="2424"/>
      <c r="P426" s="2424"/>
      <c r="Q426" s="2424"/>
      <c r="R426" s="2424"/>
      <c r="S426" s="2424"/>
      <c r="T426" s="2424"/>
      <c r="U426" s="2424"/>
      <c r="V426" s="2424"/>
      <c r="W426" s="2424"/>
      <c r="X426" s="2424"/>
      <c r="Y426" s="2424"/>
      <c r="Z426" s="2424"/>
      <c r="AA426" s="2424"/>
      <c r="AB426" s="2424"/>
      <c r="AC426" s="2424"/>
      <c r="AD426" s="2424"/>
      <c r="AE426" s="2424"/>
      <c r="AF426" s="2424"/>
      <c r="AG426" s="2424"/>
      <c r="AH426" s="2424"/>
    </row>
    <row r="427" spans="1:96" ht="12.75" customHeight="1">
      <c r="F427" s="2425"/>
      <c r="G427" s="2425"/>
      <c r="H427" s="2425"/>
      <c r="I427" s="2425"/>
      <c r="J427" s="2425"/>
      <c r="K427" s="2425"/>
      <c r="L427" s="2425"/>
      <c r="M427" s="2425"/>
      <c r="N427" s="2425"/>
      <c r="O427" s="2425"/>
      <c r="P427" s="2425"/>
      <c r="Q427" s="2425"/>
      <c r="R427" s="2425"/>
      <c r="S427" s="2425"/>
      <c r="T427" s="2425"/>
      <c r="U427" s="2425"/>
      <c r="V427" s="2425"/>
      <c r="W427" s="2425"/>
      <c r="X427" s="2425"/>
      <c r="Y427" s="2425"/>
      <c r="Z427" s="2425"/>
      <c r="AA427" s="2425"/>
      <c r="AB427" s="2425"/>
      <c r="AC427" s="2425"/>
      <c r="AD427" s="2425"/>
      <c r="AE427" s="2425"/>
      <c r="AF427" s="2425"/>
      <c r="AG427" s="2425"/>
      <c r="AH427" s="2425"/>
    </row>
    <row r="428" spans="1:96" ht="12.75" customHeight="1">
      <c r="E428" s="12" t="s">
        <v>641</v>
      </c>
      <c r="N428" s="39"/>
      <c r="O428" s="39"/>
      <c r="P428" s="235"/>
      <c r="Q428" s="1991" t="s">
        <v>576</v>
      </c>
      <c r="R428" s="1991"/>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1991" t="s">
        <v>624</v>
      </c>
      <c r="AG429" s="2520"/>
    </row>
    <row r="430" spans="1:96" ht="12.75" customHeight="1">
      <c r="S430" s="25"/>
      <c r="T430" s="25"/>
    </row>
    <row r="431" spans="1:96" ht="12.75" customHeight="1">
      <c r="A431" s="50"/>
      <c r="B431" s="50"/>
      <c r="C431" s="50"/>
      <c r="E431" s="7" t="s">
        <v>316</v>
      </c>
      <c r="Z431" s="1991" t="s">
        <v>704</v>
      </c>
      <c r="AA431" s="199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1991" t="s">
        <v>624</v>
      </c>
      <c r="AA433" s="1991"/>
    </row>
    <row r="434" spans="1:110" ht="12.75" customHeight="1"/>
    <row r="435" spans="1:110" ht="12.75" customHeight="1">
      <c r="A435" s="50" t="s">
        <v>498</v>
      </c>
      <c r="B435" s="50"/>
      <c r="C435" s="50"/>
      <c r="D435" s="50" t="s">
        <v>820</v>
      </c>
      <c r="AF435" s="80"/>
    </row>
    <row r="436" spans="1:110" ht="12.75" customHeight="1">
      <c r="D436" s="2186" t="s">
        <v>46</v>
      </c>
      <c r="E436" s="2187"/>
      <c r="F436" s="2187"/>
      <c r="G436" s="2187"/>
      <c r="H436" s="2187"/>
      <c r="I436" s="2187"/>
      <c r="J436" s="2187"/>
      <c r="K436" s="2187"/>
      <c r="L436" s="2187"/>
      <c r="M436" s="2187"/>
      <c r="N436" s="2187"/>
      <c r="O436" s="2187"/>
      <c r="P436" s="2187"/>
      <c r="Q436" s="2187"/>
      <c r="R436" s="2187"/>
      <c r="S436" s="2187"/>
      <c r="T436" s="2187"/>
      <c r="U436" s="2187"/>
      <c r="V436" s="2187"/>
      <c r="W436" s="2187"/>
      <c r="X436" s="2187"/>
      <c r="Y436" s="2187"/>
      <c r="Z436" s="2187"/>
      <c r="AA436" s="2187"/>
      <c r="AB436" s="2187"/>
      <c r="AC436" s="2187"/>
      <c r="AD436" s="2187"/>
      <c r="AE436" s="2187"/>
      <c r="AF436" s="2452"/>
      <c r="AG436" s="2498">
        <v>112</v>
      </c>
      <c r="AH436" s="2498"/>
      <c r="AI436" s="2498"/>
      <c r="AJ436" s="2498"/>
    </row>
    <row r="437" spans="1:110" ht="12.75" customHeight="1">
      <c r="D437" s="2451" t="s">
        <v>1430</v>
      </c>
      <c r="E437" s="2463"/>
      <c r="F437" s="2463"/>
      <c r="G437" s="2463"/>
      <c r="H437" s="2463"/>
      <c r="I437" s="2463"/>
      <c r="J437" s="2463"/>
      <c r="K437" s="2463"/>
      <c r="L437" s="2463"/>
      <c r="M437" s="2463"/>
      <c r="N437" s="2463"/>
      <c r="O437" s="2463"/>
      <c r="P437" s="2463"/>
      <c r="Q437" s="2463"/>
      <c r="R437" s="2463"/>
      <c r="S437" s="2463"/>
      <c r="T437" s="2463"/>
      <c r="U437" s="2463"/>
      <c r="V437" s="2463"/>
      <c r="W437" s="2463"/>
      <c r="X437" s="2463"/>
      <c r="Y437" s="2463"/>
      <c r="Z437" s="2463"/>
      <c r="AA437" s="2463"/>
      <c r="AB437" s="2463"/>
      <c r="AC437" s="2463"/>
      <c r="AD437" s="2463"/>
      <c r="AE437" s="2463"/>
      <c r="AF437" s="2464"/>
      <c r="AG437" s="2473">
        <v>0</v>
      </c>
      <c r="AH437" s="2265"/>
      <c r="AI437" s="2265"/>
      <c r="AJ437" s="2265"/>
    </row>
    <row r="438" spans="1:110" ht="12.75" customHeight="1">
      <c r="D438" s="2451" t="s">
        <v>1138</v>
      </c>
      <c r="E438" s="2463"/>
      <c r="F438" s="2463"/>
      <c r="G438" s="2463"/>
      <c r="H438" s="2463"/>
      <c r="I438" s="2463"/>
      <c r="J438" s="2463"/>
      <c r="K438" s="2463"/>
      <c r="L438" s="2463"/>
      <c r="M438" s="2463"/>
      <c r="N438" s="2463"/>
      <c r="O438" s="2463"/>
      <c r="P438" s="2463"/>
      <c r="Q438" s="2463"/>
      <c r="R438" s="2463"/>
      <c r="S438" s="2463"/>
      <c r="T438" s="2463"/>
      <c r="U438" s="2463"/>
      <c r="V438" s="2463"/>
      <c r="W438" s="2463"/>
      <c r="X438" s="2463"/>
      <c r="Y438" s="2463"/>
      <c r="Z438" s="2463"/>
      <c r="AA438" s="2463"/>
      <c r="AB438" s="2463"/>
      <c r="AC438" s="2463"/>
      <c r="AD438" s="2463"/>
      <c r="AE438" s="2463"/>
      <c r="AF438" s="2464"/>
      <c r="AG438" s="2498">
        <v>110</v>
      </c>
      <c r="AH438" s="2498"/>
      <c r="AI438" s="2498"/>
      <c r="AJ438" s="2498"/>
    </row>
    <row r="439" spans="1:110" ht="12.75" customHeight="1">
      <c r="D439" s="2451" t="s">
        <v>1139</v>
      </c>
      <c r="E439" s="2463"/>
      <c r="F439" s="2463"/>
      <c r="G439" s="2463"/>
      <c r="H439" s="2463"/>
      <c r="I439" s="2463"/>
      <c r="J439" s="2463"/>
      <c r="K439" s="2463"/>
      <c r="L439" s="2463"/>
      <c r="M439" s="2463"/>
      <c r="N439" s="2463"/>
      <c r="O439" s="2463"/>
      <c r="P439" s="2463"/>
      <c r="Q439" s="2463"/>
      <c r="R439" s="2463"/>
      <c r="S439" s="2463"/>
      <c r="T439" s="2463"/>
      <c r="U439" s="2463"/>
      <c r="V439" s="2463"/>
      <c r="W439" s="2463"/>
      <c r="X439" s="2463"/>
      <c r="Y439" s="2463"/>
      <c r="Z439" s="2463"/>
      <c r="AA439" s="2463"/>
      <c r="AB439" s="2463"/>
      <c r="AC439" s="2463"/>
      <c r="AD439" s="2463"/>
      <c r="AE439" s="2463"/>
      <c r="AF439" s="2464"/>
      <c r="AG439" s="2498">
        <v>110</v>
      </c>
      <c r="AH439" s="2498"/>
      <c r="AI439" s="2498"/>
      <c r="AJ439" s="2498"/>
    </row>
    <row r="440" spans="1:110" ht="12.75" customHeight="1">
      <c r="D440" s="2451" t="s">
        <v>1141</v>
      </c>
      <c r="E440" s="2463"/>
      <c r="F440" s="2463"/>
      <c r="G440" s="2463"/>
      <c r="H440" s="2463"/>
      <c r="I440" s="2463"/>
      <c r="J440" s="2463"/>
      <c r="K440" s="2463"/>
      <c r="L440" s="2463"/>
      <c r="M440" s="2463"/>
      <c r="N440" s="2463"/>
      <c r="O440" s="2463"/>
      <c r="P440" s="2463"/>
      <c r="Q440" s="2463"/>
      <c r="R440" s="2463"/>
      <c r="S440" s="2463"/>
      <c r="T440" s="2463"/>
      <c r="U440" s="2463"/>
      <c r="V440" s="2463"/>
      <c r="W440" s="2463"/>
      <c r="X440" s="2463"/>
      <c r="Y440" s="2463"/>
      <c r="Z440" s="2463"/>
      <c r="AA440" s="2463"/>
      <c r="AB440" s="2463"/>
      <c r="AC440" s="2463"/>
      <c r="AD440" s="2463"/>
      <c r="AE440" s="2463"/>
      <c r="AF440" s="2464"/>
      <c r="AG440" s="2457">
        <f>IF(ISERROR(AG439/AG438),"",AG439/AG438)</f>
        <v>1</v>
      </c>
      <c r="AH440" s="2457"/>
      <c r="AI440" s="2457"/>
      <c r="AJ440" s="2457"/>
    </row>
    <row r="441" spans="1:110" ht="12.75" customHeight="1">
      <c r="D441" s="2451" t="s">
        <v>1140</v>
      </c>
      <c r="E441" s="2463"/>
      <c r="F441" s="2463"/>
      <c r="G441" s="2463"/>
      <c r="H441" s="2463"/>
      <c r="I441" s="2463"/>
      <c r="J441" s="2463"/>
      <c r="K441" s="2463"/>
      <c r="L441" s="2463"/>
      <c r="M441" s="2463"/>
      <c r="N441" s="2463"/>
      <c r="O441" s="2463"/>
      <c r="P441" s="2463"/>
      <c r="Q441" s="2463"/>
      <c r="R441" s="2463"/>
      <c r="S441" s="2463"/>
      <c r="T441" s="2463"/>
      <c r="U441" s="2463"/>
      <c r="V441" s="2463"/>
      <c r="W441" s="2463"/>
      <c r="X441" s="2463"/>
      <c r="Y441" s="2463"/>
      <c r="Z441" s="2463"/>
      <c r="AA441" s="2463"/>
      <c r="AB441" s="2463"/>
      <c r="AC441" s="2463"/>
      <c r="AD441" s="2463"/>
      <c r="AE441" s="2463"/>
      <c r="AF441" s="2464"/>
      <c r="AG441" s="2453">
        <v>51510</v>
      </c>
      <c r="AH441" s="2453"/>
      <c r="AI441" s="2453"/>
      <c r="AJ441" s="2453"/>
    </row>
    <row r="442" spans="1:110" ht="12.75" customHeight="1">
      <c r="D442" s="2451" t="s">
        <v>1142</v>
      </c>
      <c r="E442" s="2463"/>
      <c r="F442" s="2463"/>
      <c r="G442" s="2463"/>
      <c r="H442" s="2463"/>
      <c r="I442" s="2463"/>
      <c r="J442" s="2463"/>
      <c r="K442" s="2463"/>
      <c r="L442" s="2463"/>
      <c r="M442" s="2463"/>
      <c r="N442" s="2463"/>
      <c r="O442" s="2463"/>
      <c r="P442" s="2463"/>
      <c r="Q442" s="2463"/>
      <c r="R442" s="2463"/>
      <c r="S442" s="2463"/>
      <c r="T442" s="2463"/>
      <c r="U442" s="2463"/>
      <c r="V442" s="2463"/>
      <c r="W442" s="2463"/>
      <c r="X442" s="2463"/>
      <c r="Y442" s="2463"/>
      <c r="Z442" s="2463"/>
      <c r="AA442" s="2463"/>
      <c r="AB442" s="2463"/>
      <c r="AC442" s="2463"/>
      <c r="AD442" s="2463"/>
      <c r="AE442" s="2463"/>
      <c r="AF442" s="2464"/>
      <c r="AG442" s="2453">
        <v>51510</v>
      </c>
      <c r="AH442" s="2453"/>
      <c r="AI442" s="2453"/>
      <c r="AJ442" s="2453"/>
    </row>
    <row r="443" spans="1:110" ht="12.75" customHeight="1">
      <c r="D443" s="2451" t="s">
        <v>1143</v>
      </c>
      <c r="E443" s="2463"/>
      <c r="F443" s="2463"/>
      <c r="G443" s="2463"/>
      <c r="H443" s="2463"/>
      <c r="I443" s="2463"/>
      <c r="J443" s="2463"/>
      <c r="K443" s="2463"/>
      <c r="L443" s="2463"/>
      <c r="M443" s="2463"/>
      <c r="N443" s="2463"/>
      <c r="O443" s="2463"/>
      <c r="P443" s="2463"/>
      <c r="Q443" s="2463"/>
      <c r="R443" s="2463"/>
      <c r="S443" s="2463"/>
      <c r="T443" s="2463"/>
      <c r="U443" s="2463"/>
      <c r="V443" s="2463"/>
      <c r="W443" s="2463"/>
      <c r="X443" s="2463"/>
      <c r="Y443" s="2463"/>
      <c r="Z443" s="2463"/>
      <c r="AA443" s="2463"/>
      <c r="AB443" s="2463"/>
      <c r="AC443" s="2463"/>
      <c r="AD443" s="2463"/>
      <c r="AE443" s="2463"/>
      <c r="AF443" s="2464"/>
      <c r="AG443" s="2457">
        <f>IF(ISERROR(AG442/AG441),"",AG442/AG441)</f>
        <v>1</v>
      </c>
      <c r="AH443" s="2457"/>
      <c r="AI443" s="2457"/>
      <c r="AJ443" s="2457"/>
    </row>
    <row r="444" spans="1:110" ht="12.75" customHeight="1">
      <c r="D444" s="2451" t="s">
        <v>1144</v>
      </c>
      <c r="E444" s="2463"/>
      <c r="F444" s="2463"/>
      <c r="G444" s="2463"/>
      <c r="H444" s="2463"/>
      <c r="I444" s="2463"/>
      <c r="J444" s="2463"/>
      <c r="K444" s="2463"/>
      <c r="L444" s="2463"/>
      <c r="M444" s="2463"/>
      <c r="N444" s="2463"/>
      <c r="O444" s="2463"/>
      <c r="P444" s="2463"/>
      <c r="Q444" s="2463"/>
      <c r="R444" s="2463"/>
      <c r="S444" s="2463"/>
      <c r="T444" s="2463"/>
      <c r="U444" s="2463"/>
      <c r="V444" s="2463"/>
      <c r="W444" s="2463"/>
      <c r="X444" s="2463"/>
      <c r="Y444" s="2463"/>
      <c r="Z444" s="2463"/>
      <c r="AA444" s="2463"/>
      <c r="AB444" s="2463"/>
      <c r="AC444" s="2463"/>
      <c r="AD444" s="2463"/>
      <c r="AE444" s="2463"/>
      <c r="AF444" s="2464"/>
      <c r="AG444" s="2457">
        <f>MIN(IF(AG440&gt;AG443,AG443,AG440),1)</f>
        <v>1</v>
      </c>
      <c r="AH444" s="2457"/>
      <c r="AI444" s="2457"/>
      <c r="AJ444" s="2457"/>
    </row>
    <row r="445" spans="1:110" ht="12.75" customHeight="1">
      <c r="D445" s="2451" t="s">
        <v>1405</v>
      </c>
      <c r="E445" s="2187"/>
      <c r="F445" s="2187"/>
      <c r="G445" s="2187"/>
      <c r="H445" s="2187"/>
      <c r="I445" s="2187"/>
      <c r="J445" s="2187"/>
      <c r="K445" s="2187"/>
      <c r="L445" s="2187"/>
      <c r="M445" s="2187"/>
      <c r="N445" s="2187"/>
      <c r="O445" s="2187"/>
      <c r="P445" s="2187"/>
      <c r="Q445" s="2187"/>
      <c r="R445" s="2187"/>
      <c r="S445" s="2187"/>
      <c r="T445" s="2187"/>
      <c r="U445" s="2187"/>
      <c r="V445" s="2187"/>
      <c r="W445" s="2187"/>
      <c r="X445" s="2187"/>
      <c r="Y445" s="2187"/>
      <c r="Z445" s="2187"/>
      <c r="AA445" s="2187"/>
      <c r="AB445" s="2187"/>
      <c r="AC445" s="2187"/>
      <c r="AD445" s="2187"/>
      <c r="AE445" s="2187"/>
      <c r="AF445" s="2452"/>
      <c r="AG445" s="2470">
        <f>1105+552+810+181+236+188+(122*4)</f>
        <v>3560</v>
      </c>
      <c r="AH445" s="2471"/>
      <c r="AI445" s="2471"/>
      <c r="AJ445" s="2472"/>
    </row>
    <row r="446" spans="1:110" ht="12.75" customHeight="1">
      <c r="D446" s="2186" t="s">
        <v>600</v>
      </c>
      <c r="E446" s="2187"/>
      <c r="F446" s="2187"/>
      <c r="G446" s="2187"/>
      <c r="H446" s="2187"/>
      <c r="I446" s="2187"/>
      <c r="J446" s="2187"/>
      <c r="K446" s="2187"/>
      <c r="L446" s="2187"/>
      <c r="M446" s="2187"/>
      <c r="N446" s="2187"/>
      <c r="O446" s="2187"/>
      <c r="P446" s="2187"/>
      <c r="Q446" s="2187"/>
      <c r="R446" s="2187"/>
      <c r="S446" s="2187"/>
      <c r="T446" s="2187"/>
      <c r="U446" s="2187"/>
      <c r="V446" s="2187"/>
      <c r="W446" s="2187"/>
      <c r="X446" s="2187"/>
      <c r="Y446" s="2187"/>
      <c r="Z446" s="2187"/>
      <c r="AA446" s="2187"/>
      <c r="AB446" s="2187"/>
      <c r="AC446" s="2187"/>
      <c r="AD446" s="2187"/>
      <c r="AE446" s="2187"/>
      <c r="AF446" s="2452"/>
      <c r="AG446" s="2467">
        <v>1430</v>
      </c>
      <c r="AH446" s="2453"/>
      <c r="AI446" s="2453"/>
      <c r="AJ446" s="245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1"/>
      <c r="CS446" s="61"/>
      <c r="CT446" s="61"/>
      <c r="CU446" s="61"/>
      <c r="CV446" s="61"/>
      <c r="CW446" s="61"/>
      <c r="CX446" s="61"/>
      <c r="CY446" s="61"/>
      <c r="CZ446" s="61"/>
      <c r="DA446" s="61"/>
      <c r="DB446" s="61"/>
      <c r="DC446" s="61"/>
      <c r="DD446" s="61"/>
      <c r="DE446" s="61"/>
      <c r="DF446" s="61"/>
    </row>
    <row r="447" spans="1:110" ht="12.75" customHeight="1">
      <c r="D447" s="2451" t="s">
        <v>1406</v>
      </c>
      <c r="E447" s="2187"/>
      <c r="F447" s="2187"/>
      <c r="G447" s="2187"/>
      <c r="H447" s="2187"/>
      <c r="I447" s="2187"/>
      <c r="J447" s="2187"/>
      <c r="K447" s="2187"/>
      <c r="L447" s="2187"/>
      <c r="M447" s="2187"/>
      <c r="N447" s="2187"/>
      <c r="O447" s="2187"/>
      <c r="P447" s="2187"/>
      <c r="Q447" s="2187"/>
      <c r="R447" s="2187"/>
      <c r="S447" s="2187"/>
      <c r="T447" s="2187"/>
      <c r="U447" s="2187"/>
      <c r="V447" s="2187"/>
      <c r="W447" s="2187"/>
      <c r="X447" s="2187"/>
      <c r="Y447" s="2187"/>
      <c r="Z447" s="2187"/>
      <c r="AA447" s="2187"/>
      <c r="AB447" s="2187"/>
      <c r="AC447" s="2187"/>
      <c r="AD447" s="2187"/>
      <c r="AE447" s="2187"/>
      <c r="AF447" s="2452"/>
      <c r="AG447" s="2453">
        <v>31019</v>
      </c>
      <c r="AH447" s="2453"/>
      <c r="AI447" s="2453"/>
      <c r="AJ447" s="245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75" customHeight="1">
      <c r="D448" s="2451" t="s">
        <v>1145</v>
      </c>
      <c r="E448" s="2187"/>
      <c r="F448" s="2187"/>
      <c r="G448" s="2187"/>
      <c r="H448" s="2187"/>
      <c r="I448" s="2187"/>
      <c r="J448" s="2187"/>
      <c r="K448" s="2187"/>
      <c r="L448" s="2187"/>
      <c r="M448" s="2187"/>
      <c r="N448" s="2187"/>
      <c r="O448" s="2187"/>
      <c r="P448" s="2187"/>
      <c r="Q448" s="2187"/>
      <c r="R448" s="2187"/>
      <c r="S448" s="2187"/>
      <c r="T448" s="2187"/>
      <c r="U448" s="2187"/>
      <c r="V448" s="2187"/>
      <c r="W448" s="2187"/>
      <c r="X448" s="2187"/>
      <c r="Y448" s="2187"/>
      <c r="Z448" s="2187"/>
      <c r="AA448" s="2187"/>
      <c r="AB448" s="2187"/>
      <c r="AC448" s="2187"/>
      <c r="AD448" s="2187"/>
      <c r="AE448" s="2187"/>
      <c r="AF448" s="2452"/>
      <c r="AG448" s="2453">
        <v>0</v>
      </c>
      <c r="AH448" s="2453"/>
      <c r="AI448" s="2453"/>
      <c r="AJ448" s="245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12" t="s">
        <v>1146</v>
      </c>
      <c r="E449" s="2413"/>
      <c r="F449" s="2413"/>
      <c r="G449" s="2413"/>
      <c r="H449" s="2413"/>
      <c r="I449" s="2413"/>
      <c r="J449" s="2413"/>
      <c r="K449" s="2413"/>
      <c r="L449" s="2413"/>
      <c r="M449" s="2413"/>
      <c r="N449" s="2413"/>
      <c r="O449" s="2413"/>
      <c r="P449" s="2413"/>
      <c r="Q449" s="2413"/>
      <c r="R449" s="2413"/>
      <c r="S449" s="2413"/>
      <c r="T449" s="2413"/>
      <c r="U449" s="2413"/>
      <c r="V449" s="2413"/>
      <c r="W449" s="2413"/>
      <c r="X449" s="2413"/>
      <c r="Y449" s="2413"/>
      <c r="Z449" s="2413"/>
      <c r="AA449" s="2413"/>
      <c r="AB449" s="2413"/>
      <c r="AC449" s="2413"/>
      <c r="AD449" s="2413"/>
      <c r="AE449" s="2413"/>
      <c r="AF449" s="2414"/>
      <c r="AG449" s="2519">
        <f>AG441+AG445+AG447+AG448</f>
        <v>86089</v>
      </c>
      <c r="AH449" s="2519"/>
      <c r="AI449" s="2519"/>
      <c r="AJ449" s="251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15" t="s">
        <v>1407</v>
      </c>
      <c r="E450" s="2415"/>
      <c r="F450" s="2415"/>
      <c r="G450" s="2415"/>
      <c r="H450" s="2415"/>
      <c r="I450" s="2415"/>
      <c r="J450" s="2415"/>
      <c r="K450" s="2415"/>
      <c r="L450" s="2415"/>
      <c r="M450" s="2415"/>
      <c r="N450" s="2415"/>
      <c r="O450" s="2415"/>
      <c r="P450" s="2415"/>
      <c r="Q450" s="2415"/>
      <c r="R450" s="2415"/>
      <c r="S450" s="2415"/>
      <c r="T450" s="2415"/>
      <c r="U450" s="2415"/>
      <c r="V450" s="2415"/>
      <c r="W450" s="2415"/>
      <c r="X450" s="2415"/>
      <c r="Y450" s="2415"/>
      <c r="Z450" s="2415"/>
      <c r="AA450" s="2415"/>
      <c r="AB450" s="2415"/>
      <c r="AC450" s="2415"/>
      <c r="AD450" s="2415"/>
      <c r="AE450" s="2415"/>
      <c r="AF450" s="2415"/>
      <c r="AG450" s="2415"/>
      <c r="AH450" s="2415"/>
      <c r="AI450" s="2415"/>
      <c r="AJ450" s="241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16"/>
      <c r="E451" s="2416"/>
      <c r="F451" s="2416"/>
      <c r="G451" s="2416"/>
      <c r="H451" s="2416"/>
      <c r="I451" s="2416"/>
      <c r="J451" s="2416"/>
      <c r="K451" s="2416"/>
      <c r="L451" s="2416"/>
      <c r="M451" s="2416"/>
      <c r="N451" s="2416"/>
      <c r="O451" s="2416"/>
      <c r="P451" s="2416"/>
      <c r="Q451" s="2416"/>
      <c r="R451" s="2416"/>
      <c r="S451" s="2416"/>
      <c r="T451" s="2416"/>
      <c r="U451" s="2416"/>
      <c r="V451" s="2416"/>
      <c r="W451" s="2416"/>
      <c r="X451" s="2416"/>
      <c r="Y451" s="2416"/>
      <c r="Z451" s="2416"/>
      <c r="AA451" s="2416"/>
      <c r="AB451" s="2416"/>
      <c r="AC451" s="2416"/>
      <c r="AD451" s="2416"/>
      <c r="AE451" s="2416"/>
      <c r="AF451" s="2416"/>
      <c r="AG451" s="2416"/>
      <c r="AH451" s="2416"/>
      <c r="AI451" s="2416"/>
      <c r="AJ451" s="241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9">
        <f>'Sources and Uses Budget'!B105/Application!AG436</f>
        <v>720223.74107142852</v>
      </c>
      <c r="AD453" s="2499"/>
      <c r="AE453" s="2499"/>
      <c r="AF453" s="249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9">
        <f>'Sources and Uses Budget'!C105/Application!AG436</f>
        <v>707411.5</v>
      </c>
      <c r="AD454" s="2499"/>
      <c r="AE454" s="2499"/>
      <c r="AF454" s="249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9">
        <f>('Sources and Uses Budget'!$S$107+'Sources and Uses Budget'!$T$107)/Application!AG436</f>
        <v>668004.15178571432</v>
      </c>
      <c r="AD455" s="2499"/>
      <c r="AE455" s="2499"/>
      <c r="AF455" s="249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646</v>
      </c>
      <c r="B458" s="717"/>
      <c r="C458" s="717"/>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2327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2328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2329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60" t="s">
        <v>729</v>
      </c>
      <c r="E464" s="2461"/>
      <c r="F464" s="2461"/>
      <c r="G464" s="2461"/>
      <c r="H464" s="2461"/>
      <c r="I464" s="2461"/>
      <c r="J464" s="2461"/>
      <c r="K464" s="2461"/>
      <c r="L464" s="2461"/>
      <c r="M464" s="2461"/>
      <c r="N464" s="2461"/>
      <c r="O464" s="2461"/>
      <c r="P464" s="2461"/>
      <c r="Q464" s="2461"/>
      <c r="R464" s="2461"/>
      <c r="S464" s="2461"/>
      <c r="T464" s="2461"/>
      <c r="U464" s="2461"/>
      <c r="V464" s="2462"/>
      <c r="W464" s="2312" t="s">
        <v>624</v>
      </c>
      <c r="X464" s="2313"/>
      <c r="Y464" s="231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60" t="s">
        <v>730</v>
      </c>
      <c r="E465" s="2461"/>
      <c r="F465" s="2461"/>
      <c r="G465" s="2461"/>
      <c r="H465" s="2461"/>
      <c r="I465" s="2461"/>
      <c r="J465" s="2461"/>
      <c r="K465" s="2461"/>
      <c r="L465" s="2461"/>
      <c r="M465" s="2461"/>
      <c r="N465" s="2461"/>
      <c r="O465" s="2461"/>
      <c r="P465" s="2461"/>
      <c r="Q465" s="2461"/>
      <c r="R465" s="2461"/>
      <c r="S465" s="2461"/>
      <c r="T465" s="2461"/>
      <c r="U465" s="2461"/>
      <c r="V465" s="2462"/>
      <c r="W465" s="2312" t="s">
        <v>624</v>
      </c>
      <c r="X465" s="2313"/>
      <c r="Y465" s="231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7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60" t="s">
        <v>731</v>
      </c>
      <c r="E466" s="2461"/>
      <c r="F466" s="2461"/>
      <c r="G466" s="2461"/>
      <c r="H466" s="2461"/>
      <c r="I466" s="2461"/>
      <c r="J466" s="2461"/>
      <c r="K466" s="2461"/>
      <c r="L466" s="2461"/>
      <c r="M466" s="2461"/>
      <c r="N466" s="2461"/>
      <c r="O466" s="2461"/>
      <c r="P466" s="2461"/>
      <c r="Q466" s="2461"/>
      <c r="R466" s="2461"/>
      <c r="S466" s="2461"/>
      <c r="T466" s="2461"/>
      <c r="U466" s="2461"/>
      <c r="V466" s="2462"/>
      <c r="W466" s="2312">
        <v>28</v>
      </c>
      <c r="X466" s="2313"/>
      <c r="Y466" s="231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0" t="s">
        <v>732</v>
      </c>
      <c r="E467" s="2461"/>
      <c r="F467" s="2461"/>
      <c r="G467" s="2461"/>
      <c r="H467" s="2461"/>
      <c r="I467" s="2461"/>
      <c r="J467" s="2461"/>
      <c r="K467" s="2461"/>
      <c r="L467" s="2461"/>
      <c r="M467" s="2461"/>
      <c r="N467" s="2461"/>
      <c r="O467" s="2461"/>
      <c r="P467" s="2461"/>
      <c r="Q467" s="2461"/>
      <c r="R467" s="2461"/>
      <c r="S467" s="2461"/>
      <c r="T467" s="2461"/>
      <c r="U467" s="2461"/>
      <c r="V467" s="2462"/>
      <c r="W467" s="2312" t="s">
        <v>624</v>
      </c>
      <c r="X467" s="2313"/>
      <c r="Y467" s="231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0" t="s">
        <v>944</v>
      </c>
      <c r="E468" s="2461"/>
      <c r="F468" s="2461"/>
      <c r="G468" s="2461"/>
      <c r="H468" s="2461"/>
      <c r="I468" s="2461"/>
      <c r="J468" s="2461"/>
      <c r="K468" s="2461"/>
      <c r="L468" s="2461"/>
      <c r="M468" s="2461"/>
      <c r="N468" s="2461"/>
      <c r="O468" s="2461"/>
      <c r="P468" s="2461"/>
      <c r="Q468" s="2461"/>
      <c r="R468" s="2461"/>
      <c r="S468" s="2461"/>
      <c r="T468" s="2461"/>
      <c r="U468" s="2461"/>
      <c r="V468" s="2462"/>
      <c r="W468" s="2312" t="s">
        <v>624</v>
      </c>
      <c r="X468" s="2313"/>
      <c r="Y468" s="231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60" t="s">
        <v>733</v>
      </c>
      <c r="E469" s="2461"/>
      <c r="F469" s="2461"/>
      <c r="G469" s="2461"/>
      <c r="H469" s="2461"/>
      <c r="I469" s="2461"/>
      <c r="J469" s="2461"/>
      <c r="K469" s="2461"/>
      <c r="L469" s="2461"/>
      <c r="M469" s="2461"/>
      <c r="N469" s="2461"/>
      <c r="O469" s="2461"/>
      <c r="P469" s="2461"/>
      <c r="Q469" s="2461"/>
      <c r="R469" s="2461"/>
      <c r="S469" s="2461"/>
      <c r="T469" s="2461"/>
      <c r="U469" s="2461"/>
      <c r="V469" s="2462"/>
      <c r="W469" s="2312" t="s">
        <v>624</v>
      </c>
      <c r="X469" s="2313"/>
      <c r="Y469" s="231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60" t="s">
        <v>1112</v>
      </c>
      <c r="E470" s="2461"/>
      <c r="F470" s="2461"/>
      <c r="G470" s="2461"/>
      <c r="H470" s="2461"/>
      <c r="I470" s="2461"/>
      <c r="J470" s="2461"/>
      <c r="K470" s="2461"/>
      <c r="L470" s="2461"/>
      <c r="M470" s="2461"/>
      <c r="N470" s="2461"/>
      <c r="O470" s="2461"/>
      <c r="P470" s="2461"/>
      <c r="Q470" s="2461"/>
      <c r="R470" s="2461"/>
      <c r="S470" s="2461"/>
      <c r="T470" s="2461"/>
      <c r="U470" s="2461"/>
      <c r="V470" s="2462"/>
      <c r="W470" s="2312" t="s">
        <v>624</v>
      </c>
      <c r="X470" s="2313"/>
      <c r="Y470" s="231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18" t="s">
        <v>1959</v>
      </c>
      <c r="E471" s="2461"/>
      <c r="F471" s="2461"/>
      <c r="G471" s="2461"/>
      <c r="H471" s="2461"/>
      <c r="I471" s="2461"/>
      <c r="J471" s="2461"/>
      <c r="K471" s="2461"/>
      <c r="L471" s="2461"/>
      <c r="M471" s="2461"/>
      <c r="N471" s="2461"/>
      <c r="O471" s="2461"/>
      <c r="P471" s="2461"/>
      <c r="Q471" s="2461"/>
      <c r="R471" s="2461"/>
      <c r="S471" s="2461"/>
      <c r="T471" s="2461"/>
      <c r="U471" s="2461"/>
      <c r="V471" s="2462"/>
      <c r="W471" s="2512">
        <v>17</v>
      </c>
      <c r="X471" s="2313"/>
      <c r="Y471" s="231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174</v>
      </c>
      <c r="E472" s="393"/>
      <c r="F472" s="394"/>
      <c r="G472" s="2515"/>
      <c r="H472" s="2516"/>
      <c r="I472" s="2516"/>
      <c r="J472" s="2516"/>
      <c r="K472" s="2516"/>
      <c r="L472" s="2516"/>
      <c r="M472" s="2516"/>
      <c r="N472" s="2516"/>
      <c r="O472" s="2516"/>
      <c r="P472" s="2516"/>
      <c r="Q472" s="2516"/>
      <c r="R472" s="2516"/>
      <c r="S472" s="2516"/>
      <c r="T472" s="2516"/>
      <c r="U472" s="2516"/>
      <c r="V472" s="2517"/>
      <c r="W472" s="2512">
        <v>0</v>
      </c>
      <c r="X472" s="2313"/>
      <c r="Y472" s="231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945</v>
      </c>
      <c r="E473" s="396"/>
      <c r="F473" s="396"/>
      <c r="G473" s="1440"/>
      <c r="H473" s="1440"/>
      <c r="I473" s="1440"/>
      <c r="J473" s="1440"/>
      <c r="K473" s="1440"/>
      <c r="L473" s="1440"/>
      <c r="M473" s="1440"/>
      <c r="N473" s="1440"/>
      <c r="O473" s="1440"/>
      <c r="P473" s="1440"/>
      <c r="Q473" s="1440"/>
      <c r="R473" s="1440"/>
      <c r="S473" s="1440"/>
      <c r="T473" s="1440"/>
      <c r="U473" s="1440"/>
      <c r="V473" s="144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35"/>
      <c r="E475" s="1434"/>
      <c r="F475" s="1434"/>
      <c r="G475" s="1434"/>
      <c r="H475" s="1434"/>
      <c r="I475" s="1434"/>
      <c r="J475" s="1434"/>
      <c r="K475" s="1434"/>
      <c r="L475" s="1434"/>
      <c r="M475" s="1434"/>
      <c r="N475" s="1434"/>
      <c r="O475" s="1434"/>
      <c r="P475" s="1434"/>
      <c r="Q475" s="1434"/>
      <c r="R475" s="1434"/>
      <c r="S475" s="1434"/>
      <c r="T475" s="1434"/>
      <c r="U475" s="1434"/>
      <c r="V475" s="143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35"/>
      <c r="E476" s="1434"/>
      <c r="F476" s="1434"/>
      <c r="G476" s="1434"/>
      <c r="H476" s="1434"/>
      <c r="I476" s="1434"/>
      <c r="J476" s="1434"/>
      <c r="K476" s="1434"/>
      <c r="L476" s="1434"/>
      <c r="M476" s="1434"/>
      <c r="N476" s="1434"/>
      <c r="O476" s="1434"/>
      <c r="P476" s="1434"/>
      <c r="Q476" s="1434"/>
      <c r="R476" s="1434"/>
      <c r="S476" s="1434"/>
      <c r="T476" s="1434"/>
      <c r="U476" s="1434"/>
      <c r="V476" s="143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43" t="s">
        <v>867</v>
      </c>
      <c r="B478" s="2343"/>
      <c r="C478" s="2343"/>
      <c r="D478" s="2343"/>
      <c r="E478" s="2343"/>
      <c r="F478" s="2343"/>
      <c r="G478" s="2343"/>
      <c r="H478" s="2343"/>
      <c r="I478" s="2343"/>
      <c r="J478" s="2343"/>
      <c r="K478" s="2343"/>
      <c r="L478" s="2343"/>
      <c r="M478" s="2343"/>
      <c r="N478" s="2343"/>
      <c r="O478" s="2343"/>
      <c r="P478" s="2343"/>
      <c r="Q478" s="2343"/>
      <c r="R478" s="2343"/>
      <c r="S478" s="2343"/>
      <c r="T478" s="2343"/>
      <c r="U478" s="2343"/>
      <c r="V478" s="2343"/>
      <c r="W478" s="2343"/>
      <c r="X478" s="2343"/>
      <c r="Y478" s="2343"/>
      <c r="Z478" s="2343"/>
      <c r="AA478" s="2343"/>
      <c r="AB478" s="2343"/>
      <c r="AC478" s="2343"/>
      <c r="AD478" s="2343"/>
      <c r="AE478" s="2343"/>
      <c r="AF478" s="2343"/>
      <c r="AG478" s="2343"/>
      <c r="AH478" s="2343"/>
      <c r="AI478" s="2343"/>
      <c r="AJ478" s="2343"/>
      <c r="AK478" s="2343"/>
      <c r="AL478" s="234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44"/>
      <c r="B479" s="2344"/>
      <c r="C479" s="2344"/>
      <c r="D479" s="2344"/>
      <c r="E479" s="2344"/>
      <c r="F479" s="2344"/>
      <c r="G479" s="2344"/>
      <c r="H479" s="2344"/>
      <c r="I479" s="2344"/>
      <c r="J479" s="2344"/>
      <c r="K479" s="2344"/>
      <c r="L479" s="2344"/>
      <c r="M479" s="2344"/>
      <c r="N479" s="2344"/>
      <c r="O479" s="2344"/>
      <c r="P479" s="2344"/>
      <c r="Q479" s="2344"/>
      <c r="R479" s="2344"/>
      <c r="S479" s="2344"/>
      <c r="T479" s="2344"/>
      <c r="U479" s="2344"/>
      <c r="V479" s="2344"/>
      <c r="W479" s="2344"/>
      <c r="X479" s="2344"/>
      <c r="Y479" s="2344"/>
      <c r="Z479" s="2344"/>
      <c r="AA479" s="2344"/>
      <c r="AB479" s="2344"/>
      <c r="AC479" s="2344"/>
      <c r="AD479" s="2344"/>
      <c r="AE479" s="2344"/>
      <c r="AF479" s="2344"/>
      <c r="AG479" s="2344"/>
      <c r="AH479" s="2344"/>
      <c r="AI479" s="2344"/>
      <c r="AJ479" s="2344"/>
      <c r="AK479" s="2344"/>
      <c r="AL479" s="234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2"/>
      <c r="C483" s="502"/>
      <c r="D483" s="502"/>
      <c r="E483" s="867"/>
      <c r="F483" s="868"/>
      <c r="G483" s="868"/>
      <c r="H483" s="868"/>
      <c r="I483" s="868"/>
      <c r="J483" s="868"/>
      <c r="K483" s="868"/>
      <c r="L483" s="868"/>
      <c r="M483" s="868"/>
      <c r="N483" s="868"/>
      <c r="O483" s="868"/>
      <c r="P483" s="868"/>
      <c r="Q483" s="868"/>
      <c r="R483" s="868"/>
      <c r="S483" s="869"/>
      <c r="T483" s="2475" t="s">
        <v>868</v>
      </c>
      <c r="U483" s="2476"/>
      <c r="V483" s="2476"/>
      <c r="W483" s="2476"/>
      <c r="X483" s="2476"/>
      <c r="Y483" s="2476"/>
      <c r="Z483" s="2476"/>
      <c r="AA483" s="2476"/>
      <c r="AB483" s="2476"/>
      <c r="AC483" s="2476"/>
      <c r="AD483" s="2476"/>
      <c r="AE483" s="2476"/>
      <c r="AF483" s="2476"/>
      <c r="AG483" s="2476"/>
      <c r="AH483" s="249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0"/>
      <c r="F484" s="679"/>
      <c r="G484" s="679"/>
      <c r="H484" s="679"/>
      <c r="I484" s="679"/>
      <c r="J484" s="679"/>
      <c r="K484" s="679"/>
      <c r="L484" s="679"/>
      <c r="M484" s="679"/>
      <c r="N484" s="679"/>
      <c r="O484" s="679"/>
      <c r="P484" s="679"/>
      <c r="Q484" s="679"/>
      <c r="R484" s="679"/>
      <c r="S484" s="871"/>
      <c r="T484" s="2404" t="s">
        <v>36</v>
      </c>
      <c r="U484" s="2404"/>
      <c r="V484" s="2404"/>
      <c r="W484" s="2404"/>
      <c r="X484" s="2404"/>
      <c r="Y484" s="2404" t="s">
        <v>37</v>
      </c>
      <c r="Z484" s="2404"/>
      <c r="AA484" s="2404"/>
      <c r="AB484" s="2404"/>
      <c r="AC484" s="2404"/>
      <c r="AD484" s="2404" t="s">
        <v>347</v>
      </c>
      <c r="AE484" s="2404"/>
      <c r="AF484" s="2404"/>
      <c r="AG484" s="2404"/>
      <c r="AH484" s="240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2"/>
      <c r="F485" s="873"/>
      <c r="G485" s="873"/>
      <c r="H485" s="873"/>
      <c r="I485" s="873"/>
      <c r="J485" s="873"/>
      <c r="K485" s="873"/>
      <c r="L485" s="873"/>
      <c r="M485" s="873"/>
      <c r="N485" s="873"/>
      <c r="O485" s="873"/>
      <c r="P485" s="873"/>
      <c r="Q485" s="873"/>
      <c r="R485" s="873"/>
      <c r="S485" s="874"/>
      <c r="T485" s="2404"/>
      <c r="U485" s="2404"/>
      <c r="V485" s="2404"/>
      <c r="W485" s="2404"/>
      <c r="X485" s="2404"/>
      <c r="Y485" s="2404"/>
      <c r="Z485" s="2404"/>
      <c r="AA485" s="2404"/>
      <c r="AB485" s="2404"/>
      <c r="AC485" s="2404"/>
      <c r="AD485" s="2404"/>
      <c r="AE485" s="2404"/>
      <c r="AF485" s="2404"/>
      <c r="AG485" s="2404"/>
      <c r="AH485" s="240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381</v>
      </c>
      <c r="F486" s="77"/>
      <c r="G486" s="77"/>
      <c r="H486" s="77"/>
      <c r="I486" s="77"/>
      <c r="J486" s="77"/>
      <c r="K486" s="77"/>
      <c r="L486" s="77"/>
      <c r="M486" s="77"/>
      <c r="N486" s="77"/>
      <c r="O486" s="77"/>
      <c r="P486" s="77"/>
      <c r="Q486" s="77"/>
      <c r="R486" s="77"/>
      <c r="S486" s="78"/>
      <c r="T486" s="2388" t="s">
        <v>624</v>
      </c>
      <c r="U486" s="2388"/>
      <c r="V486" s="2388"/>
      <c r="W486" s="2388"/>
      <c r="X486" s="2388"/>
      <c r="Y486" s="2388" t="s">
        <v>624</v>
      </c>
      <c r="Z486" s="2388"/>
      <c r="AA486" s="2388"/>
      <c r="AB486" s="2388"/>
      <c r="AC486" s="2388"/>
      <c r="AD486" s="2388" t="s">
        <v>624</v>
      </c>
      <c r="AE486" s="2388"/>
      <c r="AF486" s="2388"/>
      <c r="AG486" s="2388"/>
      <c r="AH486" s="238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382</v>
      </c>
      <c r="F487" s="77"/>
      <c r="G487" s="77"/>
      <c r="H487" s="77"/>
      <c r="I487" s="77"/>
      <c r="J487" s="77"/>
      <c r="K487" s="77"/>
      <c r="L487" s="77"/>
      <c r="M487" s="77"/>
      <c r="N487" s="77"/>
      <c r="O487" s="77"/>
      <c r="P487" s="77"/>
      <c r="Q487" s="77"/>
      <c r="R487" s="77"/>
      <c r="S487" s="77"/>
      <c r="T487" s="2388" t="s">
        <v>624</v>
      </c>
      <c r="U487" s="2388"/>
      <c r="V487" s="2388"/>
      <c r="W487" s="2388"/>
      <c r="X487" s="2388"/>
      <c r="Y487" s="2388" t="s">
        <v>624</v>
      </c>
      <c r="Z487" s="2388"/>
      <c r="AA487" s="2388"/>
      <c r="AB487" s="2388"/>
      <c r="AC487" s="2388"/>
      <c r="AD487" s="2388" t="s">
        <v>624</v>
      </c>
      <c r="AE487" s="2388"/>
      <c r="AF487" s="2388"/>
      <c r="AG487" s="2388"/>
      <c r="AH487" s="238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383</v>
      </c>
      <c r="F488" s="77"/>
      <c r="G488" s="77"/>
      <c r="H488" s="77"/>
      <c r="I488" s="77"/>
      <c r="J488" s="77"/>
      <c r="K488" s="77"/>
      <c r="L488" s="77"/>
      <c r="M488" s="77"/>
      <c r="N488" s="77"/>
      <c r="O488" s="77"/>
      <c r="P488" s="77"/>
      <c r="Q488" s="77"/>
      <c r="R488" s="77"/>
      <c r="S488" s="77"/>
      <c r="T488" s="2388" t="s">
        <v>624</v>
      </c>
      <c r="U488" s="2388"/>
      <c r="V488" s="2388"/>
      <c r="W488" s="2388"/>
      <c r="X488" s="2388"/>
      <c r="Y488" s="2388" t="s">
        <v>624</v>
      </c>
      <c r="Z488" s="2388"/>
      <c r="AA488" s="2388"/>
      <c r="AB488" s="2388"/>
      <c r="AC488" s="2388"/>
      <c r="AD488" s="2388" t="s">
        <v>624</v>
      </c>
      <c r="AE488" s="2388"/>
      <c r="AF488" s="2388"/>
      <c r="AG488" s="2388"/>
      <c r="AH488" s="238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384</v>
      </c>
      <c r="F489" s="77"/>
      <c r="G489" s="77"/>
      <c r="H489" s="77"/>
      <c r="I489" s="77"/>
      <c r="J489" s="77"/>
      <c r="K489" s="77"/>
      <c r="L489" s="77"/>
      <c r="M489" s="77"/>
      <c r="N489" s="77"/>
      <c r="O489" s="77"/>
      <c r="P489" s="77"/>
      <c r="Q489" s="77"/>
      <c r="R489" s="77"/>
      <c r="S489" s="77"/>
      <c r="T489" s="2388" t="s">
        <v>624</v>
      </c>
      <c r="U489" s="2388"/>
      <c r="V489" s="2388"/>
      <c r="W489" s="2388"/>
      <c r="X489" s="2388"/>
      <c r="Y489" s="2388" t="s">
        <v>624</v>
      </c>
      <c r="Z489" s="2388"/>
      <c r="AA489" s="2388"/>
      <c r="AB489" s="2388"/>
      <c r="AC489" s="2388"/>
      <c r="AD489" s="2388" t="s">
        <v>624</v>
      </c>
      <c r="AE489" s="2388"/>
      <c r="AF489" s="2388"/>
      <c r="AG489" s="2388"/>
      <c r="AH489" s="238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385</v>
      </c>
      <c r="F490" s="77"/>
      <c r="G490" s="77"/>
      <c r="H490" s="77"/>
      <c r="I490" s="77"/>
      <c r="J490" s="77"/>
      <c r="K490" s="77"/>
      <c r="L490" s="77"/>
      <c r="M490" s="77"/>
      <c r="N490" s="77"/>
      <c r="O490" s="77"/>
      <c r="P490" s="77"/>
      <c r="Q490" s="77"/>
      <c r="R490" s="77"/>
      <c r="S490" s="77"/>
      <c r="T490" s="2388" t="s">
        <v>624</v>
      </c>
      <c r="U490" s="2388"/>
      <c r="V490" s="2388"/>
      <c r="W490" s="2388"/>
      <c r="X490" s="2388"/>
      <c r="Y490" s="2388" t="s">
        <v>624</v>
      </c>
      <c r="Z490" s="2388"/>
      <c r="AA490" s="2388"/>
      <c r="AB490" s="2388"/>
      <c r="AC490" s="2388"/>
      <c r="AD490" s="2388" t="s">
        <v>624</v>
      </c>
      <c r="AE490" s="2388"/>
      <c r="AF490" s="2388"/>
      <c r="AG490" s="2388"/>
      <c r="AH490" s="238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386</v>
      </c>
      <c r="F491" s="77"/>
      <c r="G491" s="77"/>
      <c r="H491" s="77"/>
      <c r="I491" s="77"/>
      <c r="J491" s="77"/>
      <c r="K491" s="77"/>
      <c r="L491" s="77"/>
      <c r="M491" s="77"/>
      <c r="N491" s="77"/>
      <c r="O491" s="77"/>
      <c r="P491" s="77"/>
      <c r="Q491" s="77"/>
      <c r="R491" s="77"/>
      <c r="S491" s="77"/>
      <c r="T491" s="2388" t="s">
        <v>624</v>
      </c>
      <c r="U491" s="2388"/>
      <c r="V491" s="2388"/>
      <c r="W491" s="2388"/>
      <c r="X491" s="2388"/>
      <c r="Y491" s="2388" t="s">
        <v>624</v>
      </c>
      <c r="Z491" s="2388"/>
      <c r="AA491" s="2388"/>
      <c r="AB491" s="2388"/>
      <c r="AC491" s="2388"/>
      <c r="AD491" s="2388" t="s">
        <v>624</v>
      </c>
      <c r="AE491" s="2388"/>
      <c r="AF491" s="2388"/>
      <c r="AG491" s="2388"/>
      <c r="AH491" s="238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387</v>
      </c>
      <c r="F492" s="77"/>
      <c r="G492" s="77"/>
      <c r="H492" s="77"/>
      <c r="I492" s="77"/>
      <c r="J492" s="77"/>
      <c r="K492" s="77"/>
      <c r="L492" s="77"/>
      <c r="M492" s="77"/>
      <c r="N492" s="77"/>
      <c r="O492" s="77"/>
      <c r="P492" s="77"/>
      <c r="Q492" s="77"/>
      <c r="R492" s="77"/>
      <c r="S492" s="77"/>
      <c r="T492" s="2388">
        <v>44186</v>
      </c>
      <c r="U492" s="2388"/>
      <c r="V492" s="2388"/>
      <c r="W492" s="2388"/>
      <c r="X492" s="2388"/>
      <c r="Y492" s="2388" t="s">
        <v>624</v>
      </c>
      <c r="Z492" s="2388"/>
      <c r="AA492" s="2388"/>
      <c r="AB492" s="2388"/>
      <c r="AC492" s="2388"/>
      <c r="AD492" s="2388">
        <v>44350</v>
      </c>
      <c r="AE492" s="2388"/>
      <c r="AF492" s="2388"/>
      <c r="AG492" s="2388"/>
      <c r="AH492" s="238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411</v>
      </c>
      <c r="F493" s="77"/>
      <c r="G493" s="77"/>
      <c r="H493" s="77"/>
      <c r="I493" s="77"/>
      <c r="J493" s="77"/>
      <c r="K493" s="77"/>
      <c r="L493" s="77"/>
      <c r="M493" s="77"/>
      <c r="N493" s="77"/>
      <c r="O493" s="77"/>
      <c r="P493" s="77"/>
      <c r="Q493" s="77"/>
      <c r="R493" s="77"/>
      <c r="S493" s="77"/>
      <c r="T493" s="2388" t="s">
        <v>624</v>
      </c>
      <c r="U493" s="2388"/>
      <c r="V493" s="2388"/>
      <c r="W493" s="2388"/>
      <c r="X493" s="2388"/>
      <c r="Y493" s="2388" t="s">
        <v>624</v>
      </c>
      <c r="Z493" s="2388"/>
      <c r="AA493" s="2388"/>
      <c r="AB493" s="2388"/>
      <c r="AC493" s="2388"/>
      <c r="AD493" s="2388" t="s">
        <v>624</v>
      </c>
      <c r="AE493" s="2388"/>
      <c r="AF493" s="2388"/>
      <c r="AG493" s="2388"/>
      <c r="AH493" s="238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412</v>
      </c>
      <c r="F494" s="77"/>
      <c r="G494" s="77"/>
      <c r="H494" s="77"/>
      <c r="I494" s="77"/>
      <c r="J494" s="77"/>
      <c r="K494" s="77"/>
      <c r="L494" s="77"/>
      <c r="M494" s="77"/>
      <c r="N494" s="77"/>
      <c r="O494" s="77"/>
      <c r="P494" s="77"/>
      <c r="Q494" s="77"/>
      <c r="R494" s="77"/>
      <c r="S494" s="77"/>
      <c r="T494" s="2388" t="s">
        <v>624</v>
      </c>
      <c r="U494" s="2388"/>
      <c r="V494" s="2388"/>
      <c r="W494" s="2388"/>
      <c r="X494" s="2388"/>
      <c r="Y494" s="2388" t="s">
        <v>624</v>
      </c>
      <c r="Z494" s="2388"/>
      <c r="AA494" s="2388"/>
      <c r="AB494" s="2388"/>
      <c r="AC494" s="2388"/>
      <c r="AD494" s="2388" t="s">
        <v>624</v>
      </c>
      <c r="AE494" s="2388"/>
      <c r="AF494" s="2388"/>
      <c r="AG494" s="2388"/>
      <c r="AH494" s="238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1086</v>
      </c>
      <c r="F495" s="80"/>
      <c r="G495" s="80"/>
      <c r="H495" s="80"/>
      <c r="I495" s="80"/>
      <c r="J495" s="80"/>
      <c r="K495" s="80"/>
      <c r="L495" s="80"/>
      <c r="M495" s="80"/>
      <c r="N495" s="80"/>
      <c r="O495" s="80"/>
      <c r="P495" s="80"/>
      <c r="Q495" s="80"/>
      <c r="R495" s="80"/>
      <c r="S495" s="80"/>
      <c r="T495" s="2388" t="s">
        <v>624</v>
      </c>
      <c r="U495" s="2388"/>
      <c r="V495" s="2388"/>
      <c r="W495" s="2388"/>
      <c r="X495" s="2388"/>
      <c r="Y495" s="2388" t="s">
        <v>624</v>
      </c>
      <c r="Z495" s="2388"/>
      <c r="AA495" s="2388"/>
      <c r="AB495" s="2388"/>
      <c r="AC495" s="2388"/>
      <c r="AD495" s="2388" t="s">
        <v>624</v>
      </c>
      <c r="AE495" s="2388"/>
      <c r="AF495" s="2388"/>
      <c r="AG495" s="2388"/>
      <c r="AH495" s="238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531" t="s">
        <v>413</v>
      </c>
      <c r="R497" s="2532"/>
      <c r="S497" s="2532"/>
      <c r="T497" s="2532"/>
      <c r="U497" s="2532"/>
      <c r="V497" s="2532"/>
      <c r="W497" s="2532"/>
      <c r="X497" s="2532"/>
      <c r="Y497" s="2532"/>
      <c r="Z497" s="2532"/>
      <c r="AA497" s="2532"/>
      <c r="AB497" s="2532"/>
      <c r="AC497" s="2532"/>
      <c r="AD497" s="2532"/>
      <c r="AE497" s="2532"/>
      <c r="AF497" s="2532"/>
      <c r="AG497" s="2532"/>
      <c r="AH497" s="2532"/>
      <c r="AI497" s="2532"/>
      <c r="AJ497" s="2532"/>
      <c r="AK497" s="253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414</v>
      </c>
      <c r="C498" s="77"/>
      <c r="D498" s="77"/>
      <c r="E498" s="77"/>
      <c r="F498" s="77"/>
      <c r="G498" s="77"/>
      <c r="H498" s="77"/>
      <c r="I498" s="77"/>
      <c r="J498" s="77"/>
      <c r="K498" s="77"/>
      <c r="L498" s="77"/>
      <c r="M498" s="77"/>
      <c r="N498" s="77"/>
      <c r="O498" s="77"/>
      <c r="P498" s="77"/>
      <c r="Q498" s="2332" t="s">
        <v>2561</v>
      </c>
      <c r="R498" s="2005"/>
      <c r="S498" s="2005"/>
      <c r="T498" s="2005"/>
      <c r="U498" s="2005"/>
      <c r="V498" s="2005"/>
      <c r="W498" s="2005"/>
      <c r="X498" s="2005"/>
      <c r="Y498" s="2005"/>
      <c r="Z498" s="2005"/>
      <c r="AA498" s="2005"/>
      <c r="AB498" s="2005"/>
      <c r="AC498" s="2005"/>
      <c r="AD498" s="2005"/>
      <c r="AE498" s="2005"/>
      <c r="AF498" s="2005"/>
      <c r="AG498" s="2005"/>
      <c r="AH498" s="2005"/>
      <c r="AI498" s="2005"/>
      <c r="AJ498" s="2005"/>
      <c r="AK498" s="233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415</v>
      </c>
      <c r="C499" s="77"/>
      <c r="D499" s="77"/>
      <c r="E499" s="77"/>
      <c r="F499" s="77"/>
      <c r="G499" s="77"/>
      <c r="H499" s="77"/>
      <c r="I499" s="77"/>
      <c r="J499" s="77"/>
      <c r="K499" s="77"/>
      <c r="L499" s="77"/>
      <c r="M499" s="77"/>
      <c r="N499" s="77"/>
      <c r="O499" s="77"/>
      <c r="P499" s="77"/>
      <c r="Q499" s="2332" t="s">
        <v>2562</v>
      </c>
      <c r="R499" s="2005"/>
      <c r="S499" s="2005"/>
      <c r="T499" s="2005"/>
      <c r="U499" s="2005"/>
      <c r="V499" s="2005"/>
      <c r="W499" s="2005"/>
      <c r="X499" s="2005"/>
      <c r="Y499" s="2005"/>
      <c r="Z499" s="2005"/>
      <c r="AA499" s="2005"/>
      <c r="AB499" s="2005"/>
      <c r="AC499" s="2005"/>
      <c r="AD499" s="2005"/>
      <c r="AE499" s="2005"/>
      <c r="AF499" s="2005"/>
      <c r="AG499" s="2005"/>
      <c r="AH499" s="2005"/>
      <c r="AI499" s="2005"/>
      <c r="AJ499" s="2005"/>
      <c r="AK499" s="2333"/>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416</v>
      </c>
      <c r="C500" s="77"/>
      <c r="D500" s="77"/>
      <c r="E500" s="77"/>
      <c r="F500" s="77"/>
      <c r="G500" s="77"/>
      <c r="H500" s="77"/>
      <c r="I500" s="77"/>
      <c r="J500" s="77"/>
      <c r="K500" s="77"/>
      <c r="L500" s="77"/>
      <c r="M500" s="77"/>
      <c r="N500" s="77"/>
      <c r="O500" s="77"/>
      <c r="P500" s="77"/>
      <c r="Q500" s="2332" t="s">
        <v>624</v>
      </c>
      <c r="R500" s="2005"/>
      <c r="S500" s="2005"/>
      <c r="T500" s="2005"/>
      <c r="U500" s="2005"/>
      <c r="V500" s="2005"/>
      <c r="W500" s="2005"/>
      <c r="X500" s="2005"/>
      <c r="Y500" s="2005"/>
      <c r="Z500" s="2005"/>
      <c r="AA500" s="2005"/>
      <c r="AB500" s="2005"/>
      <c r="AC500" s="2005"/>
      <c r="AD500" s="2005"/>
      <c r="AE500" s="2005"/>
      <c r="AF500" s="2005"/>
      <c r="AG500" s="2005"/>
      <c r="AH500" s="2005"/>
      <c r="AI500" s="2005"/>
      <c r="AJ500" s="2005"/>
      <c r="AK500" s="2333"/>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405" t="s">
        <v>417</v>
      </c>
      <c r="C501" s="2406"/>
      <c r="D501" s="2406"/>
      <c r="E501" s="2406"/>
      <c r="F501" s="2406"/>
      <c r="G501" s="2406"/>
      <c r="H501" s="2406"/>
      <c r="I501" s="2406"/>
      <c r="J501" s="2406"/>
      <c r="K501" s="2406"/>
      <c r="L501" s="2406"/>
      <c r="M501" s="2406"/>
      <c r="N501" s="2406"/>
      <c r="O501" s="2406"/>
      <c r="P501" s="2407"/>
      <c r="Q501" s="2477" t="s">
        <v>576</v>
      </c>
      <c r="R501" s="2478"/>
      <c r="S501" s="2234" t="s">
        <v>2563</v>
      </c>
      <c r="T501" s="2235"/>
      <c r="U501" s="2235"/>
      <c r="V501" s="2235"/>
      <c r="W501" s="2235"/>
      <c r="X501" s="2235"/>
      <c r="Y501" s="2235"/>
      <c r="Z501" s="2235"/>
      <c r="AA501" s="2235"/>
      <c r="AB501" s="2235"/>
      <c r="AC501" s="2235"/>
      <c r="AD501" s="2235"/>
      <c r="AE501" s="2235"/>
      <c r="AF501" s="2235"/>
      <c r="AG501" s="2235"/>
      <c r="AH501" s="2235"/>
      <c r="AI501" s="2235"/>
      <c r="AJ501" s="2235"/>
      <c r="AK501" s="223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75" customHeight="1">
      <c r="B502" s="2408"/>
      <c r="C502" s="2409"/>
      <c r="D502" s="2409"/>
      <c r="E502" s="2409"/>
      <c r="F502" s="2409"/>
      <c r="G502" s="2409"/>
      <c r="H502" s="2409"/>
      <c r="I502" s="2409"/>
      <c r="J502" s="2409"/>
      <c r="K502" s="2409"/>
      <c r="L502" s="2409"/>
      <c r="M502" s="2409"/>
      <c r="N502" s="2409"/>
      <c r="O502" s="2409"/>
      <c r="P502" s="2410"/>
      <c r="Q502" s="2479"/>
      <c r="R502" s="2480"/>
      <c r="S502" s="2237"/>
      <c r="T502" s="2238"/>
      <c r="U502" s="2238"/>
      <c r="V502" s="2238"/>
      <c r="W502" s="2238"/>
      <c r="X502" s="2238"/>
      <c r="Y502" s="2238"/>
      <c r="Z502" s="2238"/>
      <c r="AA502" s="2238"/>
      <c r="AB502" s="2238"/>
      <c r="AC502" s="2238"/>
      <c r="AD502" s="2238"/>
      <c r="AE502" s="2238"/>
      <c r="AF502" s="2238"/>
      <c r="AG502" s="2238"/>
      <c r="AH502" s="2238"/>
      <c r="AI502" s="2238"/>
      <c r="AJ502" s="2238"/>
      <c r="AK502" s="223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75" customHeight="1">
      <c r="B503" s="1473" t="s">
        <v>1979</v>
      </c>
      <c r="C503" s="1441"/>
      <c r="D503" s="1441"/>
      <c r="E503" s="1441"/>
      <c r="F503" s="1441"/>
      <c r="G503" s="1441"/>
      <c r="H503" s="1441"/>
      <c r="I503" s="1441"/>
      <c r="J503" s="1441"/>
      <c r="K503" s="1441"/>
      <c r="L503" s="1441"/>
      <c r="M503" s="1441"/>
      <c r="N503" s="1441"/>
      <c r="O503" s="1441"/>
      <c r="P503" s="1441"/>
      <c r="Q503" s="2534" t="s">
        <v>704</v>
      </c>
      <c r="R503" s="2535"/>
      <c r="S503" s="2535"/>
      <c r="T503" s="2535"/>
      <c r="U503" s="2535"/>
      <c r="V503" s="2535"/>
      <c r="W503" s="2535"/>
      <c r="X503" s="2535"/>
      <c r="Y503" s="2535"/>
      <c r="Z503" s="2535"/>
      <c r="AA503" s="2535"/>
      <c r="AB503" s="2535"/>
      <c r="AC503" s="2535"/>
      <c r="AD503" s="2535"/>
      <c r="AE503" s="2535"/>
      <c r="AF503" s="2535"/>
      <c r="AG503" s="2535"/>
      <c r="AH503" s="2535"/>
      <c r="AI503" s="2535"/>
      <c r="AJ503" s="2535"/>
      <c r="AK503" s="253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75" customHeight="1">
      <c r="B504" s="76" t="s">
        <v>418</v>
      </c>
      <c r="C504" s="77"/>
      <c r="D504" s="77"/>
      <c r="E504" s="77"/>
      <c r="F504" s="77"/>
      <c r="G504" s="77"/>
      <c r="H504" s="77"/>
      <c r="I504" s="77"/>
      <c r="J504" s="77"/>
      <c r="K504" s="77"/>
      <c r="L504" s="77"/>
      <c r="M504" s="77"/>
      <c r="N504" s="77"/>
      <c r="O504" s="77"/>
      <c r="P504" s="77"/>
      <c r="Q504" s="2332" t="s">
        <v>2564</v>
      </c>
      <c r="R504" s="2005"/>
      <c r="S504" s="2005"/>
      <c r="T504" s="2005"/>
      <c r="U504" s="2005"/>
      <c r="V504" s="2005"/>
      <c r="W504" s="2005"/>
      <c r="X504" s="2005"/>
      <c r="Y504" s="2005"/>
      <c r="Z504" s="2005"/>
      <c r="AA504" s="2005"/>
      <c r="AB504" s="2005"/>
      <c r="AC504" s="2005"/>
      <c r="AD504" s="2005"/>
      <c r="AE504" s="2005"/>
      <c r="AF504" s="2005"/>
      <c r="AG504" s="2005"/>
      <c r="AH504" s="2005"/>
      <c r="AI504" s="2005"/>
      <c r="AJ504" s="2005"/>
      <c r="AK504" s="233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419</v>
      </c>
      <c r="C505" s="77"/>
      <c r="D505" s="77"/>
      <c r="E505" s="77"/>
      <c r="F505" s="77"/>
      <c r="G505" s="77"/>
      <c r="H505" s="77"/>
      <c r="I505" s="77"/>
      <c r="J505" s="77"/>
      <c r="K505" s="77"/>
      <c r="L505" s="77"/>
      <c r="M505" s="77"/>
      <c r="N505" s="77"/>
      <c r="O505" s="77"/>
      <c r="P505" s="77"/>
      <c r="Q505" s="2332" t="s">
        <v>2565</v>
      </c>
      <c r="R505" s="2005"/>
      <c r="S505" s="2005"/>
      <c r="T505" s="2005"/>
      <c r="U505" s="2005"/>
      <c r="V505" s="2005"/>
      <c r="W505" s="2005"/>
      <c r="X505" s="2005"/>
      <c r="Y505" s="2005"/>
      <c r="Z505" s="2005"/>
      <c r="AA505" s="2005"/>
      <c r="AB505" s="2005"/>
      <c r="AC505" s="2005"/>
      <c r="AD505" s="2005"/>
      <c r="AE505" s="2005"/>
      <c r="AF505" s="2005"/>
      <c r="AG505" s="2005"/>
      <c r="AH505" s="2005"/>
      <c r="AI505" s="2005"/>
      <c r="AJ505" s="2005"/>
      <c r="AK505" s="233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1976</v>
      </c>
      <c r="C506" s="77"/>
      <c r="D506" s="77"/>
      <c r="E506" s="77"/>
      <c r="F506" s="77"/>
      <c r="G506" s="77"/>
      <c r="H506" s="77"/>
      <c r="I506" s="77"/>
      <c r="J506" s="77"/>
      <c r="K506" s="77"/>
      <c r="L506" s="77"/>
      <c r="M506" s="77"/>
      <c r="N506" s="77"/>
      <c r="O506" s="77"/>
      <c r="P506" s="77"/>
      <c r="Q506" s="2332" t="s">
        <v>2645</v>
      </c>
      <c r="R506" s="2005"/>
      <c r="S506" s="2005"/>
      <c r="T506" s="2005"/>
      <c r="U506" s="2005"/>
      <c r="V506" s="2005"/>
      <c r="W506" s="2005"/>
      <c r="X506" s="2005"/>
      <c r="Y506" s="2005"/>
      <c r="Z506" s="2005"/>
      <c r="AA506" s="2005"/>
      <c r="AB506" s="2005"/>
      <c r="AC506" s="2005"/>
      <c r="AD506" s="2005"/>
      <c r="AE506" s="2005"/>
      <c r="AF506" s="2005"/>
      <c r="AG506" s="2005"/>
      <c r="AH506" s="2005"/>
      <c r="AI506" s="2005"/>
      <c r="AJ506" s="2005"/>
      <c r="AK506" s="233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5">
      <c r="B507" s="185" t="s">
        <v>1977</v>
      </c>
      <c r="C507" s="77"/>
      <c r="D507" s="77"/>
      <c r="E507" s="77"/>
      <c r="F507" s="77"/>
      <c r="G507" s="77"/>
      <c r="H507" s="77"/>
      <c r="I507" s="77"/>
      <c r="J507" s="77"/>
      <c r="K507" s="77"/>
      <c r="L507" s="77"/>
      <c r="M507" s="2000">
        <v>0</v>
      </c>
      <c r="N507" s="2001"/>
      <c r="O507" s="2001"/>
      <c r="P507" s="2002"/>
      <c r="Q507" s="1471" t="s">
        <v>1978</v>
      </c>
      <c r="R507" s="1472"/>
      <c r="S507" s="1472"/>
      <c r="T507" s="1472"/>
      <c r="U507" s="1472"/>
      <c r="V507" s="1472"/>
      <c r="W507" s="1472"/>
      <c r="X507" s="1472"/>
      <c r="Y507" s="1472"/>
      <c r="Z507" s="1472"/>
      <c r="AA507" s="1472"/>
      <c r="AB507" s="1472"/>
      <c r="AC507" s="1472"/>
      <c r="AD507" s="1472"/>
      <c r="AE507" s="1472"/>
      <c r="AF507" s="1472"/>
      <c r="AG507" s="1472"/>
      <c r="AH507" s="2000">
        <v>0</v>
      </c>
      <c r="AI507" s="2001"/>
      <c r="AJ507" s="2001"/>
      <c r="AK507" s="200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5"/>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0"/>
      <c r="C510" s="919"/>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31" t="s">
        <v>421</v>
      </c>
      <c r="AD511" s="2532"/>
      <c r="AE511" s="2532"/>
      <c r="AF511" s="2532"/>
      <c r="AG511" s="2532"/>
      <c r="AH511" s="2532"/>
      <c r="AI511" s="2532"/>
      <c r="AJ511" s="2532"/>
      <c r="AK511" s="253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5" t="s">
        <v>422</v>
      </c>
      <c r="AD512" s="2476"/>
      <c r="AE512" s="2476"/>
      <c r="AF512" s="2476"/>
      <c r="AG512" s="82" t="s">
        <v>423</v>
      </c>
      <c r="AH512" s="2476" t="s">
        <v>424</v>
      </c>
      <c r="AI512" s="2476"/>
      <c r="AJ512" s="2476"/>
      <c r="AK512" s="249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395" t="s">
        <v>425</v>
      </c>
      <c r="C513" s="2396"/>
      <c r="D513" s="2396"/>
      <c r="E513" s="2396"/>
      <c r="F513" s="2396"/>
      <c r="G513" s="2396"/>
      <c r="H513" s="2397"/>
      <c r="I513" s="72" t="s">
        <v>426</v>
      </c>
      <c r="J513" s="72"/>
      <c r="K513" s="72"/>
      <c r="L513" s="72"/>
      <c r="M513" s="72"/>
      <c r="N513" s="72"/>
      <c r="O513" s="72"/>
      <c r="P513" s="72"/>
      <c r="Q513" s="72"/>
      <c r="R513" s="72"/>
      <c r="S513" s="72"/>
      <c r="T513" s="72"/>
      <c r="U513" s="72"/>
      <c r="V513" s="72"/>
      <c r="W513" s="72"/>
      <c r="X513" s="25"/>
      <c r="Y513" s="25"/>
      <c r="AC513" s="2411" t="s">
        <v>624</v>
      </c>
      <c r="AD513" s="2273"/>
      <c r="AE513" s="2273"/>
      <c r="AF513" s="2273"/>
      <c r="AG513" s="75" t="s">
        <v>423</v>
      </c>
      <c r="AH513" s="2136">
        <v>0</v>
      </c>
      <c r="AI513" s="2136"/>
      <c r="AJ513" s="2136"/>
      <c r="AK513" s="213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398"/>
      <c r="C514" s="2399"/>
      <c r="D514" s="2399"/>
      <c r="E514" s="2399"/>
      <c r="F514" s="2399"/>
      <c r="G514" s="2399"/>
      <c r="H514" s="2400"/>
      <c r="I514" s="80" t="s">
        <v>427</v>
      </c>
      <c r="J514" s="80"/>
      <c r="K514" s="80"/>
      <c r="L514" s="80"/>
      <c r="M514" s="80"/>
      <c r="N514" s="80"/>
      <c r="O514" s="80"/>
      <c r="P514" s="80"/>
      <c r="Q514" s="80"/>
      <c r="R514" s="80"/>
      <c r="S514" s="80"/>
      <c r="T514" s="80"/>
      <c r="U514" s="80"/>
      <c r="V514" s="80"/>
      <c r="W514" s="80"/>
      <c r="X514" s="80"/>
      <c r="Y514" s="80"/>
      <c r="Z514" s="80"/>
      <c r="AA514" s="80"/>
      <c r="AB514" s="80"/>
      <c r="AC514" s="2411">
        <v>10</v>
      </c>
      <c r="AD514" s="2273"/>
      <c r="AE514" s="2273"/>
      <c r="AF514" s="2273"/>
      <c r="AG514" s="65" t="s">
        <v>423</v>
      </c>
      <c r="AH514" s="2136">
        <v>2022</v>
      </c>
      <c r="AI514" s="2136"/>
      <c r="AJ514" s="2136"/>
      <c r="AK514" s="213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395" t="s">
        <v>428</v>
      </c>
      <c r="C515" s="2396"/>
      <c r="D515" s="2396"/>
      <c r="E515" s="2396"/>
      <c r="F515" s="2396"/>
      <c r="G515" s="2396"/>
      <c r="H515" s="2397"/>
      <c r="I515" s="72" t="s">
        <v>429</v>
      </c>
      <c r="J515" s="72"/>
      <c r="K515" s="72"/>
      <c r="L515" s="72"/>
      <c r="M515" s="72"/>
      <c r="N515" s="72"/>
      <c r="O515" s="72"/>
      <c r="P515" s="72"/>
      <c r="Q515" s="72"/>
      <c r="R515" s="72"/>
      <c r="S515" s="72"/>
      <c r="T515" s="72"/>
      <c r="U515" s="72"/>
      <c r="V515" s="72"/>
      <c r="W515" s="72"/>
      <c r="X515" s="25"/>
      <c r="Y515" s="25"/>
      <c r="AC515" s="2411" t="s">
        <v>624</v>
      </c>
      <c r="AD515" s="2273"/>
      <c r="AE515" s="2273"/>
      <c r="AF515" s="2273"/>
      <c r="AG515" s="75" t="s">
        <v>423</v>
      </c>
      <c r="AH515" s="2136"/>
      <c r="AI515" s="2136"/>
      <c r="AJ515" s="2136"/>
      <c r="AK515" s="213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398"/>
      <c r="C516" s="2399"/>
      <c r="D516" s="2399"/>
      <c r="E516" s="2399"/>
      <c r="F516" s="2399"/>
      <c r="G516" s="2399"/>
      <c r="H516" s="2400"/>
      <c r="I516" s="25" t="s">
        <v>430</v>
      </c>
      <c r="J516" s="25"/>
      <c r="K516" s="25"/>
      <c r="L516" s="25"/>
      <c r="M516" s="25"/>
      <c r="N516" s="25"/>
      <c r="O516" s="25"/>
      <c r="P516" s="25"/>
      <c r="Q516" s="25"/>
      <c r="R516" s="25"/>
      <c r="S516" s="25"/>
      <c r="T516" s="25"/>
      <c r="U516" s="25"/>
      <c r="V516" s="25"/>
      <c r="W516" s="25"/>
      <c r="X516" s="25"/>
      <c r="Y516" s="25"/>
      <c r="AC516" s="2411" t="s">
        <v>624</v>
      </c>
      <c r="AD516" s="2273"/>
      <c r="AE516" s="2273"/>
      <c r="AF516" s="2273"/>
      <c r="AG516" s="75" t="s">
        <v>423</v>
      </c>
      <c r="AH516" s="2136"/>
      <c r="AI516" s="2136"/>
      <c r="AJ516" s="2136"/>
      <c r="AK516" s="213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398"/>
      <c r="C517" s="2399"/>
      <c r="D517" s="2399"/>
      <c r="E517" s="2399"/>
      <c r="F517" s="2399"/>
      <c r="G517" s="2399"/>
      <c r="H517" s="2400"/>
      <c r="I517" s="25" t="s">
        <v>431</v>
      </c>
      <c r="J517" s="25"/>
      <c r="K517" s="25"/>
      <c r="L517" s="25"/>
      <c r="M517" s="25"/>
      <c r="N517" s="25"/>
      <c r="O517" s="25"/>
      <c r="P517" s="25"/>
      <c r="Q517" s="25"/>
      <c r="R517" s="25"/>
      <c r="S517" s="25"/>
      <c r="T517" s="25"/>
      <c r="U517" s="25"/>
      <c r="V517" s="25"/>
      <c r="W517" s="25"/>
      <c r="X517" s="25"/>
      <c r="Y517" s="25"/>
      <c r="AC517" s="2411">
        <v>6</v>
      </c>
      <c r="AD517" s="2273"/>
      <c r="AE517" s="2273"/>
      <c r="AF517" s="2273"/>
      <c r="AG517" s="75" t="s">
        <v>423</v>
      </c>
      <c r="AH517" s="2136">
        <v>2021</v>
      </c>
      <c r="AI517" s="2136"/>
      <c r="AJ517" s="2136"/>
      <c r="AK517" s="213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398"/>
      <c r="C518" s="2399"/>
      <c r="D518" s="2399"/>
      <c r="E518" s="2399"/>
      <c r="F518" s="2399"/>
      <c r="G518" s="2399"/>
      <c r="H518" s="2400"/>
      <c r="I518" s="25" t="s">
        <v>432</v>
      </c>
      <c r="J518" s="25"/>
      <c r="K518" s="25"/>
      <c r="L518" s="25"/>
      <c r="M518" s="25"/>
      <c r="N518" s="25"/>
      <c r="O518" s="25"/>
      <c r="P518" s="25"/>
      <c r="Q518" s="25"/>
      <c r="R518" s="25"/>
      <c r="S518" s="25"/>
      <c r="T518" s="25"/>
      <c r="U518" s="25"/>
      <c r="V518" s="25"/>
      <c r="W518" s="25"/>
      <c r="X518" s="25"/>
      <c r="Y518" s="25"/>
      <c r="AC518" s="2411" t="s">
        <v>624</v>
      </c>
      <c r="AD518" s="2273"/>
      <c r="AE518" s="2273"/>
      <c r="AF518" s="2273"/>
      <c r="AG518" s="75" t="s">
        <v>423</v>
      </c>
      <c r="AH518" s="2136"/>
      <c r="AI518" s="2136"/>
      <c r="AJ518" s="2136"/>
      <c r="AK518" s="213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398"/>
      <c r="C519" s="2399"/>
      <c r="D519" s="2399"/>
      <c r="E519" s="2399"/>
      <c r="F519" s="2399"/>
      <c r="G519" s="2399"/>
      <c r="H519" s="2400"/>
      <c r="I519" s="177" t="s">
        <v>433</v>
      </c>
      <c r="J519" s="25"/>
      <c r="K519" s="25"/>
      <c r="L519" s="25"/>
      <c r="M519" s="25"/>
      <c r="N519" s="25"/>
      <c r="O519" s="25"/>
      <c r="P519" s="25"/>
      <c r="Q519" s="25"/>
      <c r="R519" s="25"/>
      <c r="S519" s="25"/>
      <c r="T519" s="25"/>
      <c r="U519" s="25"/>
      <c r="V519" s="25"/>
      <c r="W519" s="25"/>
      <c r="X519" s="25"/>
      <c r="Y519" s="25"/>
      <c r="AC519" s="2188" t="s">
        <v>624</v>
      </c>
      <c r="AD519" s="2189"/>
      <c r="AE519" s="2189"/>
      <c r="AF519" s="2189"/>
      <c r="AG519" s="75" t="s">
        <v>423</v>
      </c>
      <c r="AH519" s="2136"/>
      <c r="AI519" s="2136"/>
      <c r="AJ519" s="2136"/>
      <c r="AK519" s="213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398"/>
      <c r="C520" s="2399"/>
      <c r="D520" s="2399"/>
      <c r="E520" s="2399"/>
      <c r="F520" s="2399"/>
      <c r="G520" s="2399"/>
      <c r="H520" s="2400"/>
      <c r="I520" s="1474" t="s">
        <v>174</v>
      </c>
      <c r="J520" s="80"/>
      <c r="K520" s="80"/>
      <c r="L520" s="2501" t="s">
        <v>2566</v>
      </c>
      <c r="M520" s="2465"/>
      <c r="N520" s="2465"/>
      <c r="O520" s="2465"/>
      <c r="P520" s="2465"/>
      <c r="Q520" s="2465"/>
      <c r="R520" s="2465"/>
      <c r="S520" s="2465"/>
      <c r="T520" s="2465"/>
      <c r="U520" s="2465"/>
      <c r="V520" s="2465"/>
      <c r="W520" s="2465"/>
      <c r="X520" s="2465"/>
      <c r="Y520" s="2465"/>
      <c r="Z520" s="2465"/>
      <c r="AA520" s="2465"/>
      <c r="AB520" s="2502"/>
      <c r="AC520" s="2411">
        <v>6</v>
      </c>
      <c r="AD520" s="2273"/>
      <c r="AE520" s="2273"/>
      <c r="AF520" s="2273"/>
      <c r="AG520" s="1445" t="s">
        <v>423</v>
      </c>
      <c r="AH520" s="2136">
        <v>2021</v>
      </c>
      <c r="AI520" s="2136"/>
      <c r="AJ520" s="2136"/>
      <c r="AK520" s="213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6"/>
      <c r="C521" s="1437"/>
      <c r="D521" s="1437"/>
      <c r="E521" s="1437"/>
      <c r="F521" s="1437"/>
      <c r="G521" s="1437"/>
      <c r="H521" s="1438"/>
      <c r="I521" s="240" t="s">
        <v>1983</v>
      </c>
      <c r="J521" s="25"/>
      <c r="K521" s="25"/>
      <c r="L521" s="25"/>
      <c r="M521" s="25"/>
      <c r="N521" s="25"/>
      <c r="O521" s="25"/>
      <c r="P521" s="25"/>
      <c r="Q521" s="25"/>
      <c r="R521" s="25"/>
      <c r="S521" s="25"/>
      <c r="T521" s="25"/>
      <c r="U521" s="25"/>
      <c r="V521" s="25"/>
      <c r="W521" s="25"/>
      <c r="X521" s="25"/>
      <c r="Y521" s="25"/>
      <c r="AC521" s="2498" t="s">
        <v>576</v>
      </c>
      <c r="AD521" s="2498"/>
      <c r="AE521" s="2498"/>
      <c r="AF521" s="2498"/>
      <c r="AG521" s="1690"/>
      <c r="AH521" s="2524"/>
      <c r="AI521" s="2524"/>
      <c r="AJ521" s="2524"/>
      <c r="AK521" s="252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
      <c r="B522" s="1436"/>
      <c r="C522" s="1437"/>
      <c r="D522" s="1437"/>
      <c r="E522" s="1437"/>
      <c r="F522" s="1437"/>
      <c r="G522" s="1437"/>
      <c r="H522" s="1438"/>
      <c r="I522" s="685" t="s">
        <v>1980</v>
      </c>
      <c r="J522" s="25"/>
      <c r="K522" s="25"/>
      <c r="L522" s="25"/>
      <c r="M522" s="25"/>
      <c r="N522" s="25"/>
      <c r="O522" s="25"/>
      <c r="P522" s="25"/>
      <c r="Q522" s="25"/>
      <c r="R522" s="25"/>
      <c r="S522" s="25"/>
      <c r="T522" s="25"/>
      <c r="U522" s="25"/>
      <c r="V522" s="25"/>
      <c r="W522" s="25"/>
      <c r="X522" s="25"/>
      <c r="Y522" s="25"/>
      <c r="AC522" s="2188">
        <v>4</v>
      </c>
      <c r="AD522" s="2189"/>
      <c r="AE522" s="2189"/>
      <c r="AF522" s="2190"/>
      <c r="AG522" s="1690"/>
      <c r="AH522" s="2524"/>
      <c r="AI522" s="2524"/>
      <c r="AJ522" s="2524"/>
      <c r="AK522" s="252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
      <c r="B523" s="1436"/>
      <c r="C523" s="1437"/>
      <c r="D523" s="1437"/>
      <c r="E523" s="1437"/>
      <c r="F523" s="1437"/>
      <c r="G523" s="1437"/>
      <c r="H523" s="1438"/>
      <c r="I523" s="685" t="s">
        <v>1981</v>
      </c>
      <c r="J523" s="25"/>
      <c r="K523" s="25"/>
      <c r="L523" s="25"/>
      <c r="M523" s="25"/>
      <c r="N523" s="25"/>
      <c r="O523" s="25"/>
      <c r="P523" s="25"/>
      <c r="Q523" s="25"/>
      <c r="R523" s="25"/>
      <c r="S523" s="25"/>
      <c r="T523" s="25"/>
      <c r="U523" s="25"/>
      <c r="V523" s="25"/>
      <c r="W523" s="25"/>
      <c r="X523" s="25"/>
      <c r="Y523" s="25"/>
      <c r="AC523" s="1463"/>
      <c r="AD523" s="1464"/>
      <c r="AE523" s="1464"/>
      <c r="AF523" s="1465"/>
      <c r="AG523" s="20"/>
      <c r="AH523" s="1687"/>
      <c r="AI523" s="1687"/>
      <c r="AJ523" s="1687"/>
      <c r="AK523" s="168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
      <c r="B524" s="1436"/>
      <c r="C524" s="1437"/>
      <c r="D524" s="1437"/>
      <c r="E524" s="1437"/>
      <c r="F524" s="1437"/>
      <c r="G524" s="1437"/>
      <c r="H524" s="1438"/>
      <c r="I524" s="1475" t="s">
        <v>1982</v>
      </c>
      <c r="J524" s="80"/>
      <c r="K524" s="80"/>
      <c r="L524" s="80"/>
      <c r="M524" s="80"/>
      <c r="N524" s="80"/>
      <c r="O524" s="80"/>
      <c r="P524" s="80"/>
      <c r="Q524" s="80"/>
      <c r="R524" s="80"/>
      <c r="S524" s="80"/>
      <c r="T524" s="80"/>
      <c r="U524" s="80"/>
      <c r="V524" s="80"/>
      <c r="W524" s="80"/>
      <c r="X524" s="80"/>
      <c r="Y524" s="80"/>
      <c r="Z524" s="80"/>
      <c r="AA524" s="80"/>
      <c r="AB524" s="80"/>
      <c r="AC524" s="2526">
        <v>0.5</v>
      </c>
      <c r="AD524" s="2527"/>
      <c r="AE524" s="2527"/>
      <c r="AF524" s="2528"/>
      <c r="AG524" s="1691"/>
      <c r="AH524" s="2529"/>
      <c r="AI524" s="2529"/>
      <c r="AJ524" s="2529"/>
      <c r="AK524" s="253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
      <c r="B525" s="1436"/>
      <c r="C525" s="1437"/>
      <c r="D525" s="1437"/>
      <c r="E525" s="1437"/>
      <c r="F525" s="1437"/>
      <c r="G525" s="1437"/>
      <c r="H525" s="1438"/>
      <c r="I525" s="177"/>
      <c r="J525" s="679"/>
      <c r="K525" s="679"/>
      <c r="L525" s="14"/>
      <c r="M525" s="14"/>
      <c r="N525" s="14"/>
      <c r="O525" s="14"/>
      <c r="P525" s="14"/>
      <c r="Q525" s="14"/>
      <c r="R525" s="14"/>
      <c r="S525" s="14"/>
      <c r="T525" s="14"/>
      <c r="U525" s="14"/>
      <c r="V525" s="14"/>
      <c r="W525" s="14"/>
      <c r="X525" s="1689"/>
      <c r="Y525" s="1689"/>
      <c r="Z525" s="1689"/>
      <c r="AA525" s="1689"/>
      <c r="AB525" s="1711"/>
      <c r="AC525" s="2521" t="s">
        <v>422</v>
      </c>
      <c r="AD525" s="2522"/>
      <c r="AE525" s="2522"/>
      <c r="AF525" s="2522"/>
      <c r="AG525" s="1691" t="s">
        <v>423</v>
      </c>
      <c r="AH525" s="2522" t="s">
        <v>424</v>
      </c>
      <c r="AI525" s="2522"/>
      <c r="AJ525" s="2522"/>
      <c r="AK525" s="252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395" t="s">
        <v>434</v>
      </c>
      <c r="C526" s="2396"/>
      <c r="D526" s="2396"/>
      <c r="E526" s="2396"/>
      <c r="F526" s="2396"/>
      <c r="G526" s="2396"/>
      <c r="H526" s="2397"/>
      <c r="I526" s="72" t="s">
        <v>435</v>
      </c>
      <c r="J526" s="72"/>
      <c r="K526" s="72"/>
      <c r="L526" s="72"/>
      <c r="M526" s="72"/>
      <c r="N526" s="72"/>
      <c r="O526" s="72"/>
      <c r="P526" s="72"/>
      <c r="Q526" s="72"/>
      <c r="R526" s="72"/>
      <c r="S526" s="72"/>
      <c r="T526" s="72"/>
      <c r="U526" s="72"/>
      <c r="V526" s="72"/>
      <c r="W526" s="72"/>
      <c r="X526" s="25"/>
      <c r="Y526" s="25"/>
      <c r="AC526" s="2411">
        <v>1</v>
      </c>
      <c r="AD526" s="2273"/>
      <c r="AE526" s="2273"/>
      <c r="AF526" s="2273"/>
      <c r="AG526" s="75" t="s">
        <v>423</v>
      </c>
      <c r="AH526" s="2136">
        <v>2022</v>
      </c>
      <c r="AI526" s="2136"/>
      <c r="AJ526" s="2136"/>
      <c r="AK526" s="213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398"/>
      <c r="C527" s="2399"/>
      <c r="D527" s="2399"/>
      <c r="E527" s="2399"/>
      <c r="F527" s="2399"/>
      <c r="G527" s="2399"/>
      <c r="H527" s="2400"/>
      <c r="I527" s="25" t="s">
        <v>436</v>
      </c>
      <c r="J527" s="25"/>
      <c r="K527" s="25"/>
      <c r="L527" s="25"/>
      <c r="M527" s="25"/>
      <c r="N527" s="25"/>
      <c r="O527" s="25"/>
      <c r="P527" s="25"/>
      <c r="Q527" s="25"/>
      <c r="R527" s="25"/>
      <c r="S527" s="25"/>
      <c r="T527" s="25"/>
      <c r="U527" s="25"/>
      <c r="V527" s="25"/>
      <c r="W527" s="25"/>
      <c r="X527" s="25"/>
      <c r="Y527" s="25"/>
      <c r="AC527" s="2411">
        <v>2</v>
      </c>
      <c r="AD527" s="2273"/>
      <c r="AE527" s="2273"/>
      <c r="AF527" s="2273"/>
      <c r="AG527" s="75" t="s">
        <v>423</v>
      </c>
      <c r="AH527" s="2136">
        <v>2022</v>
      </c>
      <c r="AI527" s="2136"/>
      <c r="AJ527" s="2136"/>
      <c r="AK527" s="213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398"/>
      <c r="C528" s="2399"/>
      <c r="D528" s="2399"/>
      <c r="E528" s="2399"/>
      <c r="F528" s="2399"/>
      <c r="G528" s="2399"/>
      <c r="H528" s="2400"/>
      <c r="I528" s="80" t="s">
        <v>437</v>
      </c>
      <c r="J528" s="80"/>
      <c r="K528" s="80"/>
      <c r="L528" s="80"/>
      <c r="M528" s="80"/>
      <c r="N528" s="80"/>
      <c r="O528" s="80"/>
      <c r="P528" s="80"/>
      <c r="Q528" s="80"/>
      <c r="R528" s="80"/>
      <c r="S528" s="80"/>
      <c r="T528" s="80"/>
      <c r="U528" s="80"/>
      <c r="V528" s="80"/>
      <c r="W528" s="80"/>
      <c r="X528" s="80"/>
      <c r="Y528" s="80"/>
      <c r="Z528" s="80"/>
      <c r="AA528" s="80"/>
      <c r="AB528" s="80"/>
      <c r="AC528" s="2411">
        <v>9</v>
      </c>
      <c r="AD528" s="2273"/>
      <c r="AE528" s="2273"/>
      <c r="AF528" s="2273"/>
      <c r="AG528" s="65" t="s">
        <v>423</v>
      </c>
      <c r="AH528" s="2136">
        <v>2022</v>
      </c>
      <c r="AI528" s="2136"/>
      <c r="AJ528" s="2136"/>
      <c r="AK528" s="213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395" t="s">
        <v>438</v>
      </c>
      <c r="C529" s="2396"/>
      <c r="D529" s="2396"/>
      <c r="E529" s="2396"/>
      <c r="F529" s="2396"/>
      <c r="G529" s="2396"/>
      <c r="H529" s="2397"/>
      <c r="I529" s="72" t="s">
        <v>435</v>
      </c>
      <c r="J529" s="72"/>
      <c r="K529" s="72"/>
      <c r="L529" s="72"/>
      <c r="M529" s="72"/>
      <c r="N529" s="72"/>
      <c r="O529" s="72"/>
      <c r="P529" s="72"/>
      <c r="Q529" s="72"/>
      <c r="R529" s="72"/>
      <c r="S529" s="72"/>
      <c r="T529" s="72"/>
      <c r="U529" s="72"/>
      <c r="V529" s="72"/>
      <c r="W529" s="72"/>
      <c r="X529" s="72"/>
      <c r="Y529" s="72"/>
      <c r="Z529" s="72"/>
      <c r="AA529" s="72"/>
      <c r="AB529" s="72"/>
      <c r="AC529" s="2188">
        <v>2</v>
      </c>
      <c r="AD529" s="2189"/>
      <c r="AE529" s="2189"/>
      <c r="AF529" s="2189"/>
      <c r="AG529" s="196" t="s">
        <v>423</v>
      </c>
      <c r="AH529" s="2136">
        <v>2022</v>
      </c>
      <c r="AI529" s="2136"/>
      <c r="AJ529" s="2136"/>
      <c r="AK529" s="213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398"/>
      <c r="C530" s="2399"/>
      <c r="D530" s="2399"/>
      <c r="E530" s="2399"/>
      <c r="F530" s="2399"/>
      <c r="G530" s="2399"/>
      <c r="H530" s="2400"/>
      <c r="I530" s="25" t="s">
        <v>436</v>
      </c>
      <c r="J530" s="25"/>
      <c r="K530" s="25"/>
      <c r="L530" s="25"/>
      <c r="M530" s="25"/>
      <c r="N530" s="25"/>
      <c r="O530" s="25"/>
      <c r="P530" s="25"/>
      <c r="Q530" s="25"/>
      <c r="R530" s="25"/>
      <c r="S530" s="25"/>
      <c r="T530" s="25"/>
      <c r="U530" s="25"/>
      <c r="V530" s="25"/>
      <c r="W530" s="25"/>
      <c r="X530" s="25"/>
      <c r="Y530" s="25"/>
      <c r="Z530" s="25"/>
      <c r="AA530" s="25"/>
      <c r="AB530" s="25"/>
      <c r="AC530" s="2411">
        <v>2</v>
      </c>
      <c r="AD530" s="2273"/>
      <c r="AE530" s="2273"/>
      <c r="AF530" s="2273"/>
      <c r="AG530" s="75" t="s">
        <v>423</v>
      </c>
      <c r="AH530" s="2136">
        <v>2022</v>
      </c>
      <c r="AI530" s="2136"/>
      <c r="AJ530" s="2136"/>
      <c r="AK530" s="213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01"/>
      <c r="C531" s="2402"/>
      <c r="D531" s="2402"/>
      <c r="E531" s="2402"/>
      <c r="F531" s="2402"/>
      <c r="G531" s="2402"/>
      <c r="H531" s="2403"/>
      <c r="I531" s="80" t="s">
        <v>437</v>
      </c>
      <c r="J531" s="80"/>
      <c r="K531" s="80"/>
      <c r="L531" s="80"/>
      <c r="M531" s="80"/>
      <c r="N531" s="80"/>
      <c r="O531" s="80"/>
      <c r="P531" s="80"/>
      <c r="Q531" s="80"/>
      <c r="R531" s="80"/>
      <c r="S531" s="80"/>
      <c r="T531" s="80"/>
      <c r="U531" s="80"/>
      <c r="V531" s="80"/>
      <c r="W531" s="80"/>
      <c r="X531" s="80"/>
      <c r="Y531" s="80"/>
      <c r="Z531" s="80"/>
      <c r="AA531" s="80"/>
      <c r="AB531" s="80"/>
      <c r="AC531" s="2411">
        <v>10</v>
      </c>
      <c r="AD531" s="2273"/>
      <c r="AE531" s="2273"/>
      <c r="AF531" s="2273"/>
      <c r="AG531" s="65" t="s">
        <v>423</v>
      </c>
      <c r="AH531" s="2136">
        <v>2022</v>
      </c>
      <c r="AI531" s="2136"/>
      <c r="AJ531" s="2136"/>
      <c r="AK531" s="213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395" t="s">
        <v>439</v>
      </c>
      <c r="C532" s="2396"/>
      <c r="D532" s="2396"/>
      <c r="E532" s="2396"/>
      <c r="F532" s="2396"/>
      <c r="G532" s="2396"/>
      <c r="H532" s="2397"/>
      <c r="I532" s="71" t="s">
        <v>440</v>
      </c>
      <c r="J532" s="72"/>
      <c r="K532" s="72"/>
      <c r="L532" s="72"/>
      <c r="M532" s="72"/>
      <c r="N532" s="72"/>
      <c r="O532" s="2005" t="s">
        <v>2567</v>
      </c>
      <c r="P532" s="2005"/>
      <c r="Q532" s="2005"/>
      <c r="R532" s="2005"/>
      <c r="S532" s="2005"/>
      <c r="T532" s="2005"/>
      <c r="U532" s="2005"/>
      <c r="V532" s="2005"/>
      <c r="W532" s="2005"/>
      <c r="X532" s="2005"/>
      <c r="Y532" s="2005"/>
      <c r="Z532" s="2005"/>
      <c r="AA532" s="2005"/>
      <c r="AB532" s="94"/>
      <c r="AC532" s="2188" t="s">
        <v>624</v>
      </c>
      <c r="AD532" s="2189"/>
      <c r="AE532" s="2189"/>
      <c r="AF532" s="2189"/>
      <c r="AG532" s="196" t="s">
        <v>423</v>
      </c>
      <c r="AH532" s="2136"/>
      <c r="AI532" s="2136"/>
      <c r="AJ532" s="2136"/>
      <c r="AK532" s="213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398"/>
      <c r="C533" s="2399"/>
      <c r="D533" s="2399"/>
      <c r="E533" s="2399"/>
      <c r="F533" s="2399"/>
      <c r="G533" s="2399"/>
      <c r="H533" s="2400"/>
      <c r="I533" s="171" t="s">
        <v>441</v>
      </c>
      <c r="J533" s="25"/>
      <c r="K533" s="25"/>
      <c r="L533" s="25"/>
      <c r="M533" s="25"/>
      <c r="N533" s="25"/>
      <c r="O533" s="25"/>
      <c r="P533" s="25"/>
      <c r="Q533" s="25"/>
      <c r="R533" s="25"/>
      <c r="S533" s="25"/>
      <c r="T533" s="25"/>
      <c r="U533" s="25"/>
      <c r="V533" s="25"/>
      <c r="W533" s="25"/>
      <c r="X533" s="25"/>
      <c r="Y533" s="25"/>
      <c r="Z533" s="25"/>
      <c r="AA533" s="25"/>
      <c r="AB533" s="101"/>
      <c r="AC533" s="2411" t="s">
        <v>624</v>
      </c>
      <c r="AD533" s="2273"/>
      <c r="AE533" s="2273"/>
      <c r="AF533" s="2273"/>
      <c r="AG533" s="75" t="s">
        <v>423</v>
      </c>
      <c r="AH533" s="2136"/>
      <c r="AI533" s="2136"/>
      <c r="AJ533" s="2136"/>
      <c r="AK533" s="213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398"/>
      <c r="C534" s="2399"/>
      <c r="D534" s="2399"/>
      <c r="E534" s="2399"/>
      <c r="F534" s="2399"/>
      <c r="G534" s="2399"/>
      <c r="H534" s="2400"/>
      <c r="I534" s="79" t="s">
        <v>442</v>
      </c>
      <c r="J534" s="80"/>
      <c r="K534" s="80"/>
      <c r="L534" s="80"/>
      <c r="M534" s="80"/>
      <c r="N534" s="80"/>
      <c r="O534" s="80"/>
      <c r="P534" s="80"/>
      <c r="Q534" s="80"/>
      <c r="R534" s="80"/>
      <c r="S534" s="80"/>
      <c r="T534" s="80"/>
      <c r="U534" s="80"/>
      <c r="V534" s="80"/>
      <c r="W534" s="80"/>
      <c r="X534" s="80"/>
      <c r="Y534" s="80"/>
      <c r="Z534" s="80"/>
      <c r="AA534" s="80"/>
      <c r="AB534" s="81"/>
      <c r="AC534" s="2411">
        <v>10</v>
      </c>
      <c r="AD534" s="2273"/>
      <c r="AE534" s="2273"/>
      <c r="AF534" s="2273"/>
      <c r="AG534" s="65" t="s">
        <v>423</v>
      </c>
      <c r="AH534" s="2136">
        <v>2022</v>
      </c>
      <c r="AI534" s="2136"/>
      <c r="AJ534" s="2136"/>
      <c r="AK534" s="213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398"/>
      <c r="C535" s="2399"/>
      <c r="D535" s="2399"/>
      <c r="E535" s="2399"/>
      <c r="F535" s="2399"/>
      <c r="G535" s="2399"/>
      <c r="H535" s="2400"/>
      <c r="I535" s="72" t="s">
        <v>443</v>
      </c>
      <c r="J535" s="72"/>
      <c r="K535" s="72"/>
      <c r="L535" s="72"/>
      <c r="M535" s="72"/>
      <c r="N535" s="72"/>
      <c r="O535" s="2004" t="s">
        <v>2568</v>
      </c>
      <c r="P535" s="2003"/>
      <c r="Q535" s="2003"/>
      <c r="R535" s="2003"/>
      <c r="S535" s="2003"/>
      <c r="T535" s="2003"/>
      <c r="U535" s="2003"/>
      <c r="V535" s="2003"/>
      <c r="W535" s="2003"/>
      <c r="X535" s="2003"/>
      <c r="Y535" s="2003"/>
      <c r="Z535" s="2003"/>
      <c r="AA535" s="2003"/>
      <c r="AC535" s="2411" t="s">
        <v>624</v>
      </c>
      <c r="AD535" s="2273"/>
      <c r="AE535" s="2273"/>
      <c r="AF535" s="2273"/>
      <c r="AG535" s="75" t="s">
        <v>423</v>
      </c>
      <c r="AH535" s="2136"/>
      <c r="AI535" s="2136"/>
      <c r="AJ535" s="2136"/>
      <c r="AK535" s="213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398"/>
      <c r="C536" s="2399"/>
      <c r="D536" s="2399"/>
      <c r="E536" s="2399"/>
      <c r="F536" s="2399"/>
      <c r="G536" s="2399"/>
      <c r="H536" s="2400"/>
      <c r="I536" s="25" t="s">
        <v>441</v>
      </c>
      <c r="J536" s="25"/>
      <c r="K536" s="25"/>
      <c r="L536" s="25"/>
      <c r="M536" s="25"/>
      <c r="N536" s="25"/>
      <c r="O536" s="25"/>
      <c r="P536" s="25"/>
      <c r="Q536" s="25"/>
      <c r="R536" s="25"/>
      <c r="S536" s="25"/>
      <c r="T536" s="25"/>
      <c r="U536" s="25"/>
      <c r="V536" s="25"/>
      <c r="W536" s="25"/>
      <c r="X536" s="25"/>
      <c r="Y536" s="25"/>
      <c r="AC536" s="2411">
        <v>7</v>
      </c>
      <c r="AD536" s="2273"/>
      <c r="AE536" s="2273"/>
      <c r="AF536" s="2273"/>
      <c r="AG536" s="75" t="s">
        <v>423</v>
      </c>
      <c r="AH536" s="2136">
        <v>2021</v>
      </c>
      <c r="AI536" s="2136"/>
      <c r="AJ536" s="2136"/>
      <c r="AK536" s="213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398"/>
      <c r="C537" s="2399"/>
      <c r="D537" s="2399"/>
      <c r="E537" s="2399"/>
      <c r="F537" s="2399"/>
      <c r="G537" s="2399"/>
      <c r="H537" s="2400"/>
      <c r="I537" s="80" t="s">
        <v>442</v>
      </c>
      <c r="J537" s="80"/>
      <c r="K537" s="80"/>
      <c r="L537" s="80"/>
      <c r="M537" s="80"/>
      <c r="N537" s="80"/>
      <c r="O537" s="80"/>
      <c r="P537" s="80"/>
      <c r="Q537" s="80"/>
      <c r="R537" s="80"/>
      <c r="S537" s="80"/>
      <c r="T537" s="80"/>
      <c r="U537" s="80"/>
      <c r="V537" s="80"/>
      <c r="W537" s="80"/>
      <c r="X537" s="80"/>
      <c r="Y537" s="80"/>
      <c r="Z537" s="80"/>
      <c r="AA537" s="80"/>
      <c r="AB537" s="80"/>
      <c r="AC537" s="2411">
        <v>1</v>
      </c>
      <c r="AD537" s="2273"/>
      <c r="AE537" s="2273"/>
      <c r="AF537" s="2273"/>
      <c r="AG537" s="65" t="s">
        <v>423</v>
      </c>
      <c r="AH537" s="2136">
        <v>2022</v>
      </c>
      <c r="AI537" s="2136"/>
      <c r="AJ537" s="2136"/>
      <c r="AK537" s="213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398"/>
      <c r="C538" s="2399"/>
      <c r="D538" s="2399"/>
      <c r="E538" s="2399"/>
      <c r="F538" s="2399"/>
      <c r="G538" s="2399"/>
      <c r="H538" s="2400"/>
      <c r="I538" s="72" t="s">
        <v>443</v>
      </c>
      <c r="J538" s="72"/>
      <c r="K538" s="72"/>
      <c r="L538" s="72"/>
      <c r="M538" s="72"/>
      <c r="N538" s="72"/>
      <c r="O538" s="2003" t="s">
        <v>2569</v>
      </c>
      <c r="P538" s="2003"/>
      <c r="Q538" s="2003"/>
      <c r="R538" s="2003"/>
      <c r="S538" s="2003"/>
      <c r="T538" s="2003"/>
      <c r="U538" s="2003"/>
      <c r="V538" s="2003"/>
      <c r="W538" s="2003"/>
      <c r="X538" s="2003"/>
      <c r="Y538" s="2003"/>
      <c r="Z538" s="2003"/>
      <c r="AA538" s="2003"/>
      <c r="AC538" s="2411" t="s">
        <v>624</v>
      </c>
      <c r="AD538" s="2273"/>
      <c r="AE538" s="2273"/>
      <c r="AF538" s="2273"/>
      <c r="AG538" s="75" t="s">
        <v>423</v>
      </c>
      <c r="AH538" s="2136"/>
      <c r="AI538" s="2136"/>
      <c r="AJ538" s="2136"/>
      <c r="AK538" s="213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398"/>
      <c r="C539" s="2399"/>
      <c r="D539" s="2399"/>
      <c r="E539" s="2399"/>
      <c r="F539" s="2399"/>
      <c r="G539" s="2399"/>
      <c r="H539" s="2400"/>
      <c r="I539" s="25" t="s">
        <v>441</v>
      </c>
      <c r="J539" s="25"/>
      <c r="K539" s="25"/>
      <c r="L539" s="25"/>
      <c r="M539" s="25"/>
      <c r="N539" s="25"/>
      <c r="O539" s="25"/>
      <c r="P539" s="25"/>
      <c r="Q539" s="25"/>
      <c r="R539" s="25"/>
      <c r="S539" s="25"/>
      <c r="T539" s="25"/>
      <c r="U539" s="25"/>
      <c r="V539" s="25"/>
      <c r="W539" s="25"/>
      <c r="X539" s="25"/>
      <c r="Y539" s="25"/>
      <c r="AC539" s="2411">
        <v>2</v>
      </c>
      <c r="AD539" s="2273"/>
      <c r="AE539" s="2273"/>
      <c r="AF539" s="2273"/>
      <c r="AG539" s="75" t="s">
        <v>423</v>
      </c>
      <c r="AH539" s="2136">
        <v>2023</v>
      </c>
      <c r="AI539" s="2136"/>
      <c r="AJ539" s="2136"/>
      <c r="AK539" s="213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398"/>
      <c r="C540" s="2399"/>
      <c r="D540" s="2399"/>
      <c r="E540" s="2399"/>
      <c r="F540" s="2399"/>
      <c r="G540" s="2399"/>
      <c r="H540" s="2400"/>
      <c r="I540" s="80" t="s">
        <v>442</v>
      </c>
      <c r="J540" s="80"/>
      <c r="K540" s="80"/>
      <c r="L540" s="80"/>
      <c r="M540" s="80"/>
      <c r="N540" s="80"/>
      <c r="O540" s="80"/>
      <c r="P540" s="80"/>
      <c r="Q540" s="80"/>
      <c r="R540" s="80"/>
      <c r="S540" s="80"/>
      <c r="T540" s="80"/>
      <c r="U540" s="80"/>
      <c r="V540" s="80"/>
      <c r="W540" s="80"/>
      <c r="X540" s="80"/>
      <c r="Y540" s="80"/>
      <c r="Z540" s="80"/>
      <c r="AA540" s="80"/>
      <c r="AB540" s="80"/>
      <c r="AC540" s="2411">
        <v>7</v>
      </c>
      <c r="AD540" s="2273"/>
      <c r="AE540" s="2273"/>
      <c r="AF540" s="2273"/>
      <c r="AG540" s="65" t="s">
        <v>423</v>
      </c>
      <c r="AH540" s="2136">
        <v>2023</v>
      </c>
      <c r="AI540" s="2136"/>
      <c r="AJ540" s="2136"/>
      <c r="AK540" s="213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398"/>
      <c r="C541" s="2399"/>
      <c r="D541" s="2399"/>
      <c r="E541" s="2399"/>
      <c r="F541" s="2399"/>
      <c r="G541" s="2399"/>
      <c r="H541" s="2400"/>
      <c r="I541" s="72" t="s">
        <v>443</v>
      </c>
      <c r="J541" s="72"/>
      <c r="K541" s="72"/>
      <c r="L541" s="72"/>
      <c r="M541" s="72"/>
      <c r="N541" s="72"/>
      <c r="O541" s="1993" t="s">
        <v>2570</v>
      </c>
      <c r="P541" s="2005"/>
      <c r="Q541" s="2005"/>
      <c r="R541" s="2005"/>
      <c r="S541" s="2005"/>
      <c r="T541" s="2005"/>
      <c r="U541" s="2005"/>
      <c r="V541" s="2005"/>
      <c r="W541" s="2005"/>
      <c r="X541" s="2005"/>
      <c r="Y541" s="2005"/>
      <c r="Z541" s="2005"/>
      <c r="AA541" s="2005"/>
      <c r="AC541" s="2411" t="s">
        <v>624</v>
      </c>
      <c r="AD541" s="2273"/>
      <c r="AE541" s="2273"/>
      <c r="AF541" s="2273"/>
      <c r="AG541" s="75" t="s">
        <v>423</v>
      </c>
      <c r="AH541" s="2136"/>
      <c r="AI541" s="2136"/>
      <c r="AJ541" s="2136"/>
      <c r="AK541" s="213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398"/>
      <c r="C542" s="2399"/>
      <c r="D542" s="2399"/>
      <c r="E542" s="2399"/>
      <c r="F542" s="2399"/>
      <c r="G542" s="2399"/>
      <c r="H542" s="2400"/>
      <c r="I542" s="25" t="s">
        <v>441</v>
      </c>
      <c r="J542" s="25"/>
      <c r="K542" s="25"/>
      <c r="L542" s="25"/>
      <c r="M542" s="25"/>
      <c r="N542" s="25"/>
      <c r="O542" s="25"/>
      <c r="P542" s="25"/>
      <c r="Q542" s="25"/>
      <c r="R542" s="25"/>
      <c r="S542" s="25"/>
      <c r="T542" s="25"/>
      <c r="U542" s="25"/>
      <c r="V542" s="25"/>
      <c r="W542" s="25"/>
      <c r="X542" s="25"/>
      <c r="Y542" s="25"/>
      <c r="AC542" s="2411">
        <v>1</v>
      </c>
      <c r="AD542" s="2273"/>
      <c r="AE542" s="2273"/>
      <c r="AF542" s="2273"/>
      <c r="AG542" s="75" t="s">
        <v>423</v>
      </c>
      <c r="AH542" s="2136">
        <v>2021</v>
      </c>
      <c r="AI542" s="2136"/>
      <c r="AJ542" s="2136"/>
      <c r="AK542" s="213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398"/>
      <c r="C543" s="2399"/>
      <c r="D543" s="2399"/>
      <c r="E543" s="2399"/>
      <c r="F543" s="2399"/>
      <c r="G543" s="2399"/>
      <c r="H543" s="2400"/>
      <c r="I543" s="80" t="s">
        <v>442</v>
      </c>
      <c r="J543" s="80"/>
      <c r="K543" s="80"/>
      <c r="L543" s="80"/>
      <c r="M543" s="80"/>
      <c r="N543" s="80"/>
      <c r="O543" s="80"/>
      <c r="P543" s="80"/>
      <c r="Q543" s="80"/>
      <c r="R543" s="80"/>
      <c r="S543" s="80"/>
      <c r="T543" s="80"/>
      <c r="U543" s="80"/>
      <c r="V543" s="80"/>
      <c r="W543" s="80"/>
      <c r="X543" s="80"/>
      <c r="Y543" s="80"/>
      <c r="Z543" s="80"/>
      <c r="AA543" s="80"/>
      <c r="AB543" s="80"/>
      <c r="AC543" s="2411">
        <v>2</v>
      </c>
      <c r="AD543" s="2273"/>
      <c r="AE543" s="2273"/>
      <c r="AF543" s="2273"/>
      <c r="AG543" s="65" t="s">
        <v>423</v>
      </c>
      <c r="AH543" s="2136">
        <v>2022</v>
      </c>
      <c r="AI543" s="2136"/>
      <c r="AJ543" s="2136"/>
      <c r="AK543" s="213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398"/>
      <c r="C544" s="2399"/>
      <c r="D544" s="2399"/>
      <c r="E544" s="2399"/>
      <c r="F544" s="2399"/>
      <c r="G544" s="2399"/>
      <c r="H544" s="2400"/>
      <c r="I544" s="72" t="s">
        <v>443</v>
      </c>
      <c r="J544" s="72"/>
      <c r="K544" s="72"/>
      <c r="L544" s="72"/>
      <c r="M544" s="72"/>
      <c r="N544" s="72"/>
      <c r="O544" s="2003"/>
      <c r="P544" s="2003"/>
      <c r="Q544" s="2003"/>
      <c r="R544" s="2003"/>
      <c r="S544" s="2003"/>
      <c r="T544" s="2003"/>
      <c r="U544" s="2003"/>
      <c r="V544" s="2003"/>
      <c r="W544" s="2003"/>
      <c r="X544" s="2003"/>
      <c r="Y544" s="2003"/>
      <c r="Z544" s="2003"/>
      <c r="AA544" s="2003"/>
      <c r="AC544" s="2492" t="s">
        <v>624</v>
      </c>
      <c r="AD544" s="2273"/>
      <c r="AE544" s="2273"/>
      <c r="AF544" s="2273"/>
      <c r="AG544" s="75" t="s">
        <v>423</v>
      </c>
      <c r="AH544" s="2136"/>
      <c r="AI544" s="2136"/>
      <c r="AJ544" s="2136"/>
      <c r="AK544" s="213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398"/>
      <c r="C545" s="2399"/>
      <c r="D545" s="2399"/>
      <c r="E545" s="2399"/>
      <c r="F545" s="2399"/>
      <c r="G545" s="2399"/>
      <c r="H545" s="2400"/>
      <c r="I545" s="25" t="s">
        <v>441</v>
      </c>
      <c r="J545" s="25"/>
      <c r="K545" s="25"/>
      <c r="L545" s="25"/>
      <c r="M545" s="25"/>
      <c r="N545" s="25"/>
      <c r="O545" s="25"/>
      <c r="P545" s="25"/>
      <c r="Q545" s="25"/>
      <c r="R545" s="25"/>
      <c r="S545" s="25"/>
      <c r="T545" s="25"/>
      <c r="U545" s="25"/>
      <c r="V545" s="25"/>
      <c r="W545" s="25"/>
      <c r="X545" s="25"/>
      <c r="Y545" s="25"/>
      <c r="AC545" s="2492" t="s">
        <v>624</v>
      </c>
      <c r="AD545" s="2273"/>
      <c r="AE545" s="2273"/>
      <c r="AF545" s="2273"/>
      <c r="AG545" s="65" t="s">
        <v>423</v>
      </c>
      <c r="AH545" s="2136"/>
      <c r="AI545" s="2136"/>
      <c r="AJ545" s="2136"/>
      <c r="AK545" s="213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398"/>
      <c r="C546" s="2399"/>
      <c r="D546" s="2399"/>
      <c r="E546" s="2399"/>
      <c r="F546" s="2399"/>
      <c r="G546" s="2399"/>
      <c r="H546" s="2400"/>
      <c r="I546" s="80" t="s">
        <v>442</v>
      </c>
      <c r="J546" s="80"/>
      <c r="K546" s="80"/>
      <c r="L546" s="80"/>
      <c r="M546" s="80"/>
      <c r="N546" s="80"/>
      <c r="O546" s="80"/>
      <c r="P546" s="80"/>
      <c r="Q546" s="80"/>
      <c r="R546" s="80"/>
      <c r="S546" s="80"/>
      <c r="T546" s="80"/>
      <c r="U546" s="80"/>
      <c r="V546" s="80"/>
      <c r="W546" s="80"/>
      <c r="X546" s="80"/>
      <c r="Y546" s="80"/>
      <c r="Z546" s="80"/>
      <c r="AA546" s="80"/>
      <c r="AB546" s="80"/>
      <c r="AC546" s="2492" t="s">
        <v>624</v>
      </c>
      <c r="AD546" s="2273"/>
      <c r="AE546" s="2273"/>
      <c r="AF546" s="2273"/>
      <c r="AG546" s="75" t="s">
        <v>423</v>
      </c>
      <c r="AH546" s="2136"/>
      <c r="AI546" s="2136"/>
      <c r="AJ546" s="2136"/>
      <c r="AK546" s="213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398"/>
      <c r="C547" s="2399"/>
      <c r="D547" s="2399"/>
      <c r="E547" s="2399"/>
      <c r="F547" s="2399"/>
      <c r="G547" s="2399"/>
      <c r="H547" s="2400"/>
      <c r="I547" s="72" t="s">
        <v>443</v>
      </c>
      <c r="J547" s="72"/>
      <c r="K547" s="72"/>
      <c r="L547" s="72"/>
      <c r="M547" s="72"/>
      <c r="N547" s="72"/>
      <c r="O547" s="2003"/>
      <c r="P547" s="2003"/>
      <c r="Q547" s="2003"/>
      <c r="R547" s="2003"/>
      <c r="S547" s="2003"/>
      <c r="T547" s="2003"/>
      <c r="U547" s="2003"/>
      <c r="V547" s="2003"/>
      <c r="W547" s="2003"/>
      <c r="X547" s="2003"/>
      <c r="Y547" s="2003"/>
      <c r="Z547" s="2003"/>
      <c r="AA547" s="2003"/>
      <c r="AC547" s="2411" t="s">
        <v>624</v>
      </c>
      <c r="AD547" s="2273"/>
      <c r="AE547" s="2273"/>
      <c r="AF547" s="2273"/>
      <c r="AG547" s="65" t="s">
        <v>423</v>
      </c>
      <c r="AH547" s="2136"/>
      <c r="AI547" s="2136"/>
      <c r="AJ547" s="2136"/>
      <c r="AK547" s="213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398"/>
      <c r="C548" s="2399"/>
      <c r="D548" s="2399"/>
      <c r="E548" s="2399"/>
      <c r="F548" s="2399"/>
      <c r="G548" s="2399"/>
      <c r="H548" s="2400"/>
      <c r="I548" s="25" t="s">
        <v>441</v>
      </c>
      <c r="J548" s="25"/>
      <c r="K548" s="25"/>
      <c r="L548" s="25"/>
      <c r="M548" s="25"/>
      <c r="N548" s="25"/>
      <c r="O548" s="25"/>
      <c r="P548" s="25"/>
      <c r="Q548" s="25"/>
      <c r="R548" s="25"/>
      <c r="S548" s="25"/>
      <c r="T548" s="25"/>
      <c r="U548" s="25"/>
      <c r="V548" s="25"/>
      <c r="W548" s="25"/>
      <c r="X548" s="25"/>
      <c r="Y548" s="25"/>
      <c r="AC548" s="2411" t="s">
        <v>624</v>
      </c>
      <c r="AD548" s="2273"/>
      <c r="AE548" s="2273"/>
      <c r="AF548" s="2273"/>
      <c r="AG548" s="75" t="s">
        <v>423</v>
      </c>
      <c r="AH548" s="2136"/>
      <c r="AI548" s="2136"/>
      <c r="AJ548" s="2136"/>
      <c r="AK548" s="213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398"/>
      <c r="C549" s="2399"/>
      <c r="D549" s="2399"/>
      <c r="E549" s="2399"/>
      <c r="F549" s="2399"/>
      <c r="G549" s="2399"/>
      <c r="H549" s="2400"/>
      <c r="I549" s="80" t="s">
        <v>442</v>
      </c>
      <c r="J549" s="80"/>
      <c r="K549" s="80"/>
      <c r="L549" s="80"/>
      <c r="M549" s="80"/>
      <c r="N549" s="80"/>
      <c r="O549" s="80"/>
      <c r="P549" s="80"/>
      <c r="Q549" s="80"/>
      <c r="R549" s="80"/>
      <c r="S549" s="80"/>
      <c r="T549" s="80"/>
      <c r="U549" s="80"/>
      <c r="V549" s="80"/>
      <c r="W549" s="80"/>
      <c r="X549" s="80"/>
      <c r="Y549" s="80"/>
      <c r="Z549" s="80"/>
      <c r="AA549" s="80"/>
      <c r="AB549" s="80"/>
      <c r="AC549" s="2411" t="s">
        <v>624</v>
      </c>
      <c r="AD549" s="2273"/>
      <c r="AE549" s="2273"/>
      <c r="AF549" s="2273"/>
      <c r="AG549" s="65" t="s">
        <v>423</v>
      </c>
      <c r="AH549" s="2136"/>
      <c r="AI549" s="2136"/>
      <c r="AJ549" s="2136"/>
      <c r="AK549" s="213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398"/>
      <c r="C550" s="2399"/>
      <c r="D550" s="2399"/>
      <c r="E550" s="2399"/>
      <c r="F550" s="2399"/>
      <c r="G550" s="2399"/>
      <c r="H550" s="2400"/>
      <c r="I550" s="72" t="s">
        <v>593</v>
      </c>
      <c r="J550" s="72"/>
      <c r="K550" s="72"/>
      <c r="L550" s="72"/>
      <c r="M550" s="72"/>
      <c r="N550" s="72"/>
      <c r="O550" s="72"/>
      <c r="P550" s="72"/>
      <c r="Q550" s="72"/>
      <c r="R550" s="72"/>
      <c r="S550" s="72"/>
      <c r="T550" s="72"/>
      <c r="U550" s="72"/>
      <c r="V550" s="72"/>
      <c r="W550" s="72"/>
      <c r="X550" s="25"/>
      <c r="Y550" s="25"/>
      <c r="AC550" s="2411" t="s">
        <v>624</v>
      </c>
      <c r="AD550" s="2273"/>
      <c r="AE550" s="2273"/>
      <c r="AF550" s="2273"/>
      <c r="AG550" s="65" t="s">
        <v>423</v>
      </c>
      <c r="AH550" s="2136"/>
      <c r="AI550" s="2136"/>
      <c r="AJ550" s="2136"/>
      <c r="AK550" s="213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398"/>
      <c r="C551" s="2399"/>
      <c r="D551" s="2399"/>
      <c r="E551" s="2399"/>
      <c r="F551" s="2399"/>
      <c r="G551" s="2399"/>
      <c r="H551" s="2400"/>
      <c r="I551" s="25" t="s">
        <v>594</v>
      </c>
      <c r="J551" s="25"/>
      <c r="K551" s="25"/>
      <c r="L551" s="25"/>
      <c r="M551" s="25"/>
      <c r="N551" s="25"/>
      <c r="O551" s="25"/>
      <c r="P551" s="25"/>
      <c r="Q551" s="25"/>
      <c r="R551" s="25"/>
      <c r="S551" s="25"/>
      <c r="T551" s="25"/>
      <c r="U551" s="25"/>
      <c r="V551" s="25"/>
      <c r="W551" s="25"/>
      <c r="X551" s="25"/>
      <c r="Y551" s="25"/>
      <c r="AC551" s="2411">
        <v>10</v>
      </c>
      <c r="AD551" s="2273"/>
      <c r="AE551" s="2273"/>
      <c r="AF551" s="2273"/>
      <c r="AG551" s="75" t="s">
        <v>423</v>
      </c>
      <c r="AH551" s="2136">
        <v>2022</v>
      </c>
      <c r="AI551" s="2136"/>
      <c r="AJ551" s="2136"/>
      <c r="AK551" s="213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398"/>
      <c r="C552" s="2399"/>
      <c r="D552" s="2399"/>
      <c r="E552" s="2399"/>
      <c r="F552" s="2399"/>
      <c r="G552" s="2399"/>
      <c r="H552" s="2400"/>
      <c r="I552" s="25" t="s">
        <v>595</v>
      </c>
      <c r="J552" s="25"/>
      <c r="K552" s="25"/>
      <c r="L552" s="25"/>
      <c r="M552" s="25"/>
      <c r="N552" s="25"/>
      <c r="O552" s="25"/>
      <c r="P552" s="25"/>
      <c r="Q552" s="25"/>
      <c r="R552" s="25"/>
      <c r="S552" s="25"/>
      <c r="T552" s="25"/>
      <c r="U552" s="25"/>
      <c r="V552" s="25"/>
      <c r="W552" s="25"/>
      <c r="X552" s="25"/>
      <c r="Y552" s="25"/>
      <c r="AC552" s="2411">
        <v>4</v>
      </c>
      <c r="AD552" s="2273"/>
      <c r="AE552" s="2273"/>
      <c r="AF552" s="2273"/>
      <c r="AG552" s="65" t="s">
        <v>423</v>
      </c>
      <c r="AH552" s="2136">
        <v>2024</v>
      </c>
      <c r="AI552" s="2136"/>
      <c r="AJ552" s="2136"/>
      <c r="AK552" s="213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398"/>
      <c r="C553" s="2399"/>
      <c r="D553" s="2399"/>
      <c r="E553" s="2399"/>
      <c r="F553" s="2399"/>
      <c r="G553" s="2399"/>
      <c r="H553" s="2400"/>
      <c r="I553" s="25" t="s">
        <v>596</v>
      </c>
      <c r="J553" s="25"/>
      <c r="K553" s="25"/>
      <c r="L553" s="25"/>
      <c r="M553" s="25"/>
      <c r="N553" s="25"/>
      <c r="O553" s="25"/>
      <c r="P553" s="25"/>
      <c r="Q553" s="25"/>
      <c r="R553" s="25"/>
      <c r="S553" s="25"/>
      <c r="T553" s="25"/>
      <c r="U553" s="25"/>
      <c r="V553" s="25"/>
      <c r="W553" s="25"/>
      <c r="X553" s="25"/>
      <c r="Y553" s="25"/>
      <c r="AC553" s="2411">
        <v>4</v>
      </c>
      <c r="AD553" s="2273"/>
      <c r="AE553" s="2273"/>
      <c r="AF553" s="2273"/>
      <c r="AG553" s="65" t="s">
        <v>423</v>
      </c>
      <c r="AH553" s="2136">
        <v>2024</v>
      </c>
      <c r="AI553" s="2136"/>
      <c r="AJ553" s="2136"/>
      <c r="AK553" s="213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01"/>
      <c r="C554" s="2402"/>
      <c r="D554" s="2402"/>
      <c r="E554" s="2402"/>
      <c r="F554" s="2402"/>
      <c r="G554" s="2402"/>
      <c r="H554" s="2403"/>
      <c r="I554" s="80" t="s">
        <v>480</v>
      </c>
      <c r="J554" s="80"/>
      <c r="K554" s="80"/>
      <c r="L554" s="80"/>
      <c r="M554" s="80"/>
      <c r="N554" s="80"/>
      <c r="O554" s="80"/>
      <c r="P554" s="80"/>
      <c r="Q554" s="80"/>
      <c r="R554" s="80"/>
      <c r="S554" s="80"/>
      <c r="T554" s="80"/>
      <c r="U554" s="80"/>
      <c r="V554" s="80"/>
      <c r="W554" s="80"/>
      <c r="X554" s="80"/>
      <c r="Y554" s="80"/>
      <c r="Z554" s="80"/>
      <c r="AA554" s="80"/>
      <c r="AB554" s="80"/>
      <c r="AC554" s="2411">
        <v>9</v>
      </c>
      <c r="AD554" s="2273"/>
      <c r="AE554" s="2273"/>
      <c r="AF554" s="2273"/>
      <c r="AG554" s="65" t="s">
        <v>423</v>
      </c>
      <c r="AH554" s="2136">
        <v>2024</v>
      </c>
      <c r="AI554" s="2136"/>
      <c r="AJ554" s="2136"/>
      <c r="AK554" s="213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6"/>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1" t="s">
        <v>574</v>
      </c>
      <c r="B556" s="1811"/>
      <c r="C556" s="1811"/>
      <c r="D556" s="1811"/>
      <c r="E556" s="1811"/>
      <c r="F556" s="1811"/>
      <c r="G556" s="1811"/>
      <c r="H556" s="1811"/>
      <c r="I556" s="1811"/>
      <c r="J556" s="1811"/>
      <c r="K556" s="1811"/>
      <c r="L556" s="1811"/>
      <c r="M556" s="1811"/>
      <c r="N556" s="1811"/>
      <c r="O556" s="1811"/>
      <c r="P556" s="1811"/>
      <c r="Q556" s="1811"/>
      <c r="R556" s="1811"/>
      <c r="S556" s="1811"/>
      <c r="T556" s="1811"/>
      <c r="U556" s="1811"/>
      <c r="V556" s="1811"/>
      <c r="W556" s="1811"/>
      <c r="X556" s="1811"/>
      <c r="Y556" s="1811"/>
      <c r="Z556" s="1811"/>
      <c r="AA556" s="1811"/>
      <c r="AB556" s="1811"/>
      <c r="AC556" s="1811"/>
      <c r="AD556" s="1811"/>
      <c r="AE556" s="1811"/>
      <c r="AF556" s="1811"/>
      <c r="AG556" s="1811"/>
      <c r="AH556" s="1811"/>
      <c r="AI556" s="1811"/>
      <c r="AJ556" s="1811"/>
      <c r="AK556" s="1811"/>
      <c r="AL556" s="1811"/>
      <c r="AM556" s="1811"/>
      <c r="AN556" s="1811"/>
      <c r="AO556" s="1811"/>
      <c r="AP556" s="1811"/>
      <c r="AQ556" s="1811"/>
      <c r="AR556" s="1811"/>
      <c r="AS556" s="1811"/>
      <c r="AT556" s="1477"/>
      <c r="AU556" s="1477"/>
      <c r="AV556" s="1477"/>
      <c r="AW556" s="1477"/>
      <c r="AX556" s="1477"/>
      <c r="AY556" s="1477"/>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1"/>
      <c r="B557" s="1811"/>
      <c r="C557" s="1811"/>
      <c r="D557" s="1811"/>
      <c r="E557" s="1811"/>
      <c r="F557" s="1811"/>
      <c r="G557" s="1811"/>
      <c r="H557" s="1811"/>
      <c r="I557" s="1811"/>
      <c r="J557" s="1811"/>
      <c r="K557" s="1811"/>
      <c r="L557" s="1811"/>
      <c r="M557" s="1811"/>
      <c r="N557" s="1811"/>
      <c r="O557" s="1811"/>
      <c r="P557" s="1811"/>
      <c r="Q557" s="1811"/>
      <c r="R557" s="1811"/>
      <c r="S557" s="1811"/>
      <c r="T557" s="1811"/>
      <c r="U557" s="1811"/>
      <c r="V557" s="1811"/>
      <c r="W557" s="1811"/>
      <c r="X557" s="1811"/>
      <c r="Y557" s="1811"/>
      <c r="Z557" s="1811"/>
      <c r="AA557" s="1811"/>
      <c r="AB557" s="1811"/>
      <c r="AC557" s="1811"/>
      <c r="AD557" s="1811"/>
      <c r="AE557" s="1811"/>
      <c r="AF557" s="1811"/>
      <c r="AG557" s="1811"/>
      <c r="AH557" s="1811"/>
      <c r="AI557" s="1811"/>
      <c r="AJ557" s="1811"/>
      <c r="AK557" s="1811"/>
      <c r="AL557" s="1811"/>
      <c r="AM557" s="1811"/>
      <c r="AN557" s="1811"/>
      <c r="AO557" s="1811"/>
      <c r="AP557" s="1811"/>
      <c r="AQ557" s="1811"/>
      <c r="AR557" s="1811"/>
      <c r="AS557" s="1811"/>
      <c r="AT557" s="1477"/>
      <c r="AU557" s="1477"/>
      <c r="AV557" s="1477"/>
      <c r="AW557" s="1477"/>
      <c r="AX557" s="1477"/>
      <c r="AY557" s="1477"/>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1"/>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2" t="s">
        <v>482</v>
      </c>
      <c r="C563" s="2139"/>
      <c r="D563" s="2139"/>
      <c r="E563" s="2139"/>
      <c r="F563" s="2139"/>
      <c r="G563" s="2139"/>
      <c r="H563" s="2139"/>
      <c r="I563" s="2139"/>
      <c r="J563" s="2139"/>
      <c r="K563" s="2139"/>
      <c r="L563" s="2139"/>
      <c r="M563" s="2139"/>
      <c r="N563" s="2139"/>
      <c r="O563" s="2139"/>
      <c r="P563" s="2292"/>
      <c r="Q563" s="2482" t="s">
        <v>2294</v>
      </c>
      <c r="R563" s="2483"/>
      <c r="S563" s="2484"/>
      <c r="T563" s="2482" t="s">
        <v>2292</v>
      </c>
      <c r="U563" s="2483"/>
      <c r="V563" s="2484"/>
      <c r="W563" s="2482" t="s">
        <v>483</v>
      </c>
      <c r="X563" s="2483"/>
      <c r="Y563" s="2484"/>
      <c r="Z563" s="2482" t="s">
        <v>2293</v>
      </c>
      <c r="AA563" s="2483"/>
      <c r="AB563" s="2483"/>
      <c r="AC563" s="2483"/>
      <c r="AD563" s="2483"/>
      <c r="AE563" s="2482" t="s">
        <v>2077</v>
      </c>
      <c r="AF563" s="2483"/>
      <c r="AG563" s="2483"/>
      <c r="AH563" s="2484"/>
      <c r="AI563" s="2482" t="s">
        <v>2078</v>
      </c>
      <c r="AJ563" s="2483"/>
      <c r="AK563" s="2483"/>
      <c r="AL563" s="2484"/>
      <c r="AM563" s="2482" t="s">
        <v>484</v>
      </c>
      <c r="AN563" s="2483"/>
      <c r="AO563" s="2483"/>
      <c r="AP563" s="2483"/>
      <c r="AQ563" s="2483"/>
      <c r="AR563" s="2483"/>
      <c r="AS563" s="248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1993" t="s">
        <v>2635</v>
      </c>
      <c r="D564" s="1993"/>
      <c r="E564" s="1993"/>
      <c r="F564" s="1993"/>
      <c r="G564" s="1993"/>
      <c r="H564" s="1993"/>
      <c r="I564" s="1993"/>
      <c r="J564" s="1993"/>
      <c r="K564" s="1993"/>
      <c r="L564" s="1993"/>
      <c r="M564" s="1993"/>
      <c r="N564" s="1993"/>
      <c r="O564" s="1993"/>
      <c r="P564" s="2305"/>
      <c r="Q564" s="2013">
        <v>30</v>
      </c>
      <c r="R564" s="2013"/>
      <c r="S564" s="2014"/>
      <c r="T564" s="2012"/>
      <c r="U564" s="2013"/>
      <c r="V564" s="2014"/>
      <c r="W564" s="2485">
        <v>3.4000000000000002E-2</v>
      </c>
      <c r="X564" s="2486"/>
      <c r="Y564" s="2487"/>
      <c r="Z564" s="2491" t="s">
        <v>2576</v>
      </c>
      <c r="AA564" s="2491"/>
      <c r="AB564" s="2491"/>
      <c r="AC564" s="2491"/>
      <c r="AD564" s="2491"/>
      <c r="AE564" s="2493">
        <v>1</v>
      </c>
      <c r="AF564" s="2494"/>
      <c r="AG564" s="2494"/>
      <c r="AH564" s="2495"/>
      <c r="AI564" s="2488" t="s">
        <v>2577</v>
      </c>
      <c r="AJ564" s="2489"/>
      <c r="AK564" s="2489"/>
      <c r="AL564" s="2490"/>
      <c r="AM564" s="1985">
        <v>40465765</v>
      </c>
      <c r="AN564" s="1986"/>
      <c r="AO564" s="1986"/>
      <c r="AP564" s="1986"/>
      <c r="AQ564" s="1986"/>
      <c r="AR564" s="1986"/>
      <c r="AS564" s="1987"/>
      <c r="BB564" s="58"/>
      <c r="BC564" s="58"/>
      <c r="BD564" s="58"/>
      <c r="BE564" s="58"/>
      <c r="BF564" s="58"/>
      <c r="BG564" s="58"/>
      <c r="BH564" s="58" t="s">
        <v>614</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993" t="s">
        <v>2636</v>
      </c>
      <c r="D565" s="1993"/>
      <c r="E565" s="1993"/>
      <c r="F565" s="1993"/>
      <c r="G565" s="1993"/>
      <c r="H565" s="1993"/>
      <c r="I565" s="1993"/>
      <c r="J565" s="1993"/>
      <c r="K565" s="1993"/>
      <c r="L565" s="1993"/>
      <c r="M565" s="1993"/>
      <c r="N565" s="1993"/>
      <c r="O565" s="1993"/>
      <c r="P565" s="2305"/>
      <c r="Q565" s="2012">
        <v>30</v>
      </c>
      <c r="R565" s="2013"/>
      <c r="S565" s="2014"/>
      <c r="T565" s="2012"/>
      <c r="U565" s="2013"/>
      <c r="V565" s="2014"/>
      <c r="W565" s="2485">
        <v>4.1000000000000002E-2</v>
      </c>
      <c r="X565" s="2486"/>
      <c r="Y565" s="2487"/>
      <c r="Z565" s="2491" t="s">
        <v>2576</v>
      </c>
      <c r="AA565" s="2491"/>
      <c r="AB565" s="2491"/>
      <c r="AC565" s="2491"/>
      <c r="AD565" s="2491"/>
      <c r="AE565" s="2493">
        <v>2</v>
      </c>
      <c r="AF565" s="2494"/>
      <c r="AG565" s="2494"/>
      <c r="AH565" s="2495"/>
      <c r="AI565" s="2488" t="s">
        <v>2577</v>
      </c>
      <c r="AJ565" s="2489"/>
      <c r="AK565" s="2489"/>
      <c r="AL565" s="2490"/>
      <c r="AM565" s="1985">
        <v>17309915</v>
      </c>
      <c r="AN565" s="1986"/>
      <c r="AO565" s="1986"/>
      <c r="AP565" s="1986"/>
      <c r="AQ565" s="1986"/>
      <c r="AR565" s="1986"/>
      <c r="AS565" s="198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1993" t="s">
        <v>2573</v>
      </c>
      <c r="D566" s="1993"/>
      <c r="E566" s="1993"/>
      <c r="F566" s="1993"/>
      <c r="G566" s="1993"/>
      <c r="H566" s="1993"/>
      <c r="I566" s="1993"/>
      <c r="J566" s="1993"/>
      <c r="K566" s="1993"/>
      <c r="L566" s="1993"/>
      <c r="M566" s="1993"/>
      <c r="N566" s="1993"/>
      <c r="O566" s="1993"/>
      <c r="P566" s="2305"/>
      <c r="Q566" s="2012">
        <v>30</v>
      </c>
      <c r="R566" s="2013"/>
      <c r="S566" s="2014"/>
      <c r="T566" s="2012"/>
      <c r="U566" s="2013"/>
      <c r="V566" s="2014"/>
      <c r="W566" s="2485">
        <v>0.03</v>
      </c>
      <c r="X566" s="2486"/>
      <c r="Y566" s="2487"/>
      <c r="Z566" s="2491" t="s">
        <v>2578</v>
      </c>
      <c r="AA566" s="2491"/>
      <c r="AB566" s="2491"/>
      <c r="AC566" s="2491"/>
      <c r="AD566" s="2491"/>
      <c r="AE566" s="2493">
        <v>3</v>
      </c>
      <c r="AF566" s="2494"/>
      <c r="AG566" s="2494"/>
      <c r="AH566" s="2495"/>
      <c r="AI566" s="2488"/>
      <c r="AJ566" s="2489"/>
      <c r="AK566" s="2489"/>
      <c r="AL566" s="2490"/>
      <c r="AM566" s="1985">
        <v>12150000</v>
      </c>
      <c r="AN566" s="1986"/>
      <c r="AO566" s="1986"/>
      <c r="AP566" s="1986"/>
      <c r="AQ566" s="1986"/>
      <c r="AR566" s="1986"/>
      <c r="AS566" s="198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614</v>
      </c>
      <c r="C567" s="1993" t="s">
        <v>2648</v>
      </c>
      <c r="D567" s="1993"/>
      <c r="E567" s="1993"/>
      <c r="F567" s="1993"/>
      <c r="G567" s="1993"/>
      <c r="H567" s="1993"/>
      <c r="I567" s="1993"/>
      <c r="J567" s="1993"/>
      <c r="K567" s="1993"/>
      <c r="L567" s="1993"/>
      <c r="M567" s="1993"/>
      <c r="N567" s="1993"/>
      <c r="O567" s="1993"/>
      <c r="P567" s="2305"/>
      <c r="Q567" s="2012">
        <v>30</v>
      </c>
      <c r="R567" s="2013"/>
      <c r="S567" s="2014"/>
      <c r="T567" s="2012"/>
      <c r="U567" s="2013"/>
      <c r="V567" s="2014"/>
      <c r="W567" s="2485">
        <v>0.03</v>
      </c>
      <c r="X567" s="2486"/>
      <c r="Y567" s="2487"/>
      <c r="Z567" s="2491" t="s">
        <v>2578</v>
      </c>
      <c r="AA567" s="2491"/>
      <c r="AB567" s="2491"/>
      <c r="AC567" s="2491"/>
      <c r="AD567" s="2491"/>
      <c r="AE567" s="2493">
        <v>4</v>
      </c>
      <c r="AF567" s="2494"/>
      <c r="AG567" s="2494"/>
      <c r="AH567" s="2495"/>
      <c r="AI567" s="2488"/>
      <c r="AJ567" s="2489"/>
      <c r="AK567" s="2489"/>
      <c r="AL567" s="2490"/>
      <c r="AM567" s="1985">
        <v>3551279</v>
      </c>
      <c r="AN567" s="1986"/>
      <c r="AO567" s="1986"/>
      <c r="AP567" s="1986"/>
      <c r="AQ567" s="1986"/>
      <c r="AR567" s="1986"/>
      <c r="AS567" s="198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819</v>
      </c>
      <c r="C568" s="1807" t="s">
        <v>2612</v>
      </c>
      <c r="D568" s="1807"/>
      <c r="E568" s="1807"/>
      <c r="F568" s="1807"/>
      <c r="G568" s="1807"/>
      <c r="H568" s="1807"/>
      <c r="I568" s="1807"/>
      <c r="J568" s="1807"/>
      <c r="K568" s="1807"/>
      <c r="L568" s="1807"/>
      <c r="M568" s="1807"/>
      <c r="N568" s="1807"/>
      <c r="O568" s="1807"/>
      <c r="P568" s="1808"/>
      <c r="Q568" s="2012">
        <v>30</v>
      </c>
      <c r="R568" s="2013"/>
      <c r="S568" s="2014"/>
      <c r="T568" s="2012"/>
      <c r="U568" s="2013"/>
      <c r="V568" s="2014"/>
      <c r="W568" s="2485"/>
      <c r="X568" s="2486"/>
      <c r="Y568" s="2487"/>
      <c r="Z568" s="2491" t="s">
        <v>624</v>
      </c>
      <c r="AA568" s="2491"/>
      <c r="AB568" s="2491"/>
      <c r="AC568" s="2491"/>
      <c r="AD568" s="2491"/>
      <c r="AE568" s="2493"/>
      <c r="AF568" s="2494"/>
      <c r="AG568" s="2494"/>
      <c r="AH568" s="2495"/>
      <c r="AI568" s="2488"/>
      <c r="AJ568" s="2489"/>
      <c r="AK568" s="2489"/>
      <c r="AL568" s="2490"/>
      <c r="AM568" s="1985">
        <v>717211</v>
      </c>
      <c r="AN568" s="1986"/>
      <c r="AO568" s="1986"/>
      <c r="AP568" s="1986"/>
      <c r="AQ568" s="1986"/>
      <c r="AR568" s="1986"/>
      <c r="AS568" s="198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617</v>
      </c>
      <c r="C569" s="1807" t="s">
        <v>2574</v>
      </c>
      <c r="D569" s="1807"/>
      <c r="E569" s="1807"/>
      <c r="F569" s="1807"/>
      <c r="G569" s="1807"/>
      <c r="H569" s="1807"/>
      <c r="I569" s="1807"/>
      <c r="J569" s="1807"/>
      <c r="K569" s="1807"/>
      <c r="L569" s="1807"/>
      <c r="M569" s="1807"/>
      <c r="N569" s="1807"/>
      <c r="O569" s="1807"/>
      <c r="P569" s="1808"/>
      <c r="Q569" s="2012"/>
      <c r="R569" s="2013"/>
      <c r="S569" s="2014"/>
      <c r="T569" s="2012"/>
      <c r="U569" s="2013"/>
      <c r="V569" s="2014"/>
      <c r="W569" s="2485"/>
      <c r="X569" s="2486"/>
      <c r="Y569" s="2487"/>
      <c r="Z569" s="2491" t="s">
        <v>624</v>
      </c>
      <c r="AA569" s="2491"/>
      <c r="AB569" s="2491"/>
      <c r="AC569" s="2491"/>
      <c r="AD569" s="2491"/>
      <c r="AE569" s="2493"/>
      <c r="AF569" s="2494"/>
      <c r="AG569" s="2494"/>
      <c r="AH569" s="2495"/>
      <c r="AI569" s="2488"/>
      <c r="AJ569" s="2489"/>
      <c r="AK569" s="2489"/>
      <c r="AL569" s="2490"/>
      <c r="AM569" s="1985">
        <v>2998626</v>
      </c>
      <c r="AN569" s="1986"/>
      <c r="AO569" s="1986"/>
      <c r="AP569" s="1986"/>
      <c r="AQ569" s="1986"/>
      <c r="AR569" s="1986"/>
      <c r="AS569" s="198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485</v>
      </c>
      <c r="C570" s="1809" t="s">
        <v>2646</v>
      </c>
      <c r="D570" s="1807"/>
      <c r="E570" s="1807"/>
      <c r="F570" s="1807"/>
      <c r="G570" s="1807"/>
      <c r="H570" s="1807"/>
      <c r="I570" s="1807"/>
      <c r="J570" s="1807"/>
      <c r="K570" s="1807"/>
      <c r="L570" s="1807"/>
      <c r="M570" s="1807"/>
      <c r="N570" s="1807"/>
      <c r="O570" s="1807"/>
      <c r="P570" s="1808"/>
      <c r="Q570" s="2012"/>
      <c r="R570" s="2013"/>
      <c r="S570" s="2014"/>
      <c r="T570" s="2012"/>
      <c r="U570" s="2013"/>
      <c r="V570" s="2014"/>
      <c r="W570" s="2485"/>
      <c r="X570" s="2486"/>
      <c r="Y570" s="2487"/>
      <c r="Z570" s="2491" t="s">
        <v>624</v>
      </c>
      <c r="AA570" s="2491"/>
      <c r="AB570" s="2491"/>
      <c r="AC570" s="2491"/>
      <c r="AD570" s="2491"/>
      <c r="AE570" s="2493"/>
      <c r="AF570" s="2494"/>
      <c r="AG570" s="2494"/>
      <c r="AH570" s="2495"/>
      <c r="AI570" s="2488"/>
      <c r="AJ570" s="2489"/>
      <c r="AK570" s="2489"/>
      <c r="AL570" s="2490"/>
      <c r="AM570" s="1985">
        <v>100</v>
      </c>
      <c r="AN570" s="1986"/>
      <c r="AO570" s="1986"/>
      <c r="AP570" s="1986"/>
      <c r="AQ570" s="1986"/>
      <c r="AR570" s="1986"/>
      <c r="AS570" s="198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486</v>
      </c>
      <c r="C571" s="1807" t="s">
        <v>2575</v>
      </c>
      <c r="D571" s="1807"/>
      <c r="E571" s="1807"/>
      <c r="F571" s="1807"/>
      <c r="G571" s="1807"/>
      <c r="H571" s="1807"/>
      <c r="I571" s="1807"/>
      <c r="J571" s="1807"/>
      <c r="K571" s="1807"/>
      <c r="L571" s="1807"/>
      <c r="M571" s="1807"/>
      <c r="N571" s="1807"/>
      <c r="O571" s="1807"/>
      <c r="P571" s="1808"/>
      <c r="Q571" s="2012"/>
      <c r="R571" s="2013"/>
      <c r="S571" s="2014"/>
      <c r="T571" s="2012"/>
      <c r="U571" s="2013"/>
      <c r="V571" s="2014"/>
      <c r="W571" s="2485"/>
      <c r="X571" s="2486"/>
      <c r="Y571" s="2487"/>
      <c r="Z571" s="2491" t="s">
        <v>624</v>
      </c>
      <c r="AA571" s="2491"/>
      <c r="AB571" s="2491"/>
      <c r="AC571" s="2491"/>
      <c r="AD571" s="2491"/>
      <c r="AE571" s="2493"/>
      <c r="AF571" s="2494"/>
      <c r="AG571" s="2494"/>
      <c r="AH571" s="2495"/>
      <c r="AI571" s="2488"/>
      <c r="AJ571" s="2489"/>
      <c r="AK571" s="2489"/>
      <c r="AL571" s="2490"/>
      <c r="AM571" s="1985">
        <v>3472163</v>
      </c>
      <c r="AN571" s="1986"/>
      <c r="AO571" s="1986"/>
      <c r="AP571" s="1986"/>
      <c r="AQ571" s="1986"/>
      <c r="AR571" s="1986"/>
      <c r="AS571" s="1987"/>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492</v>
      </c>
      <c r="C572" s="1804"/>
      <c r="D572" s="1804"/>
      <c r="E572" s="1804"/>
      <c r="F572" s="1804"/>
      <c r="G572" s="1804"/>
      <c r="H572" s="1804"/>
      <c r="I572" s="1804"/>
      <c r="J572" s="1804"/>
      <c r="K572" s="1804"/>
      <c r="L572" s="1804"/>
      <c r="M572" s="1804"/>
      <c r="N572" s="1804"/>
      <c r="O572" s="1804"/>
      <c r="P572" s="1805"/>
      <c r="Q572" s="2012"/>
      <c r="R572" s="2013"/>
      <c r="S572" s="2014"/>
      <c r="T572" s="2012"/>
      <c r="U572" s="2013"/>
      <c r="V572" s="2014"/>
      <c r="W572" s="2485"/>
      <c r="X572" s="2486"/>
      <c r="Y572" s="2487"/>
      <c r="Z572" s="2491"/>
      <c r="AA572" s="2491"/>
      <c r="AB572" s="2491"/>
      <c r="AC572" s="2491"/>
      <c r="AD572" s="2491"/>
      <c r="AE572" s="2493"/>
      <c r="AF572" s="2494"/>
      <c r="AG572" s="2494"/>
      <c r="AH572" s="2495"/>
      <c r="AI572" s="2488"/>
      <c r="AJ572" s="2489"/>
      <c r="AK572" s="2489"/>
      <c r="AL572" s="2490"/>
      <c r="AM572" s="1985"/>
      <c r="AN572" s="1986"/>
      <c r="AO572" s="1986"/>
      <c r="AP572" s="1986"/>
      <c r="AQ572" s="1986"/>
      <c r="AR572" s="1986"/>
      <c r="AS572" s="1987"/>
      <c r="BB572" s="58"/>
      <c r="BC572" s="58"/>
      <c r="BD572" s="58"/>
      <c r="BE572" s="58"/>
      <c r="BF572" s="58"/>
      <c r="BG572" s="58"/>
      <c r="BH572" s="58" t="s">
        <v>617</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1993"/>
      <c r="D573" s="1993"/>
      <c r="E573" s="1993"/>
      <c r="F573" s="1993"/>
      <c r="G573" s="1993"/>
      <c r="H573" s="1993"/>
      <c r="I573" s="1993"/>
      <c r="J573" s="1993"/>
      <c r="K573" s="1993"/>
      <c r="L573" s="1993"/>
      <c r="M573" s="1993"/>
      <c r="N573" s="1993"/>
      <c r="O573" s="1993"/>
      <c r="P573" s="2305"/>
      <c r="Q573" s="2012"/>
      <c r="R573" s="2013"/>
      <c r="S573" s="2014"/>
      <c r="T573" s="2012"/>
      <c r="U573" s="2013"/>
      <c r="V573" s="2014"/>
      <c r="W573" s="2485"/>
      <c r="X573" s="2486"/>
      <c r="Y573" s="2487"/>
      <c r="Z573" s="2491"/>
      <c r="AA573" s="2491"/>
      <c r="AB573" s="2491"/>
      <c r="AC573" s="2491"/>
      <c r="AD573" s="2491"/>
      <c r="AE573" s="2493"/>
      <c r="AF573" s="2494"/>
      <c r="AG573" s="2494"/>
      <c r="AH573" s="2495"/>
      <c r="AI573" s="2488"/>
      <c r="AJ573" s="2489"/>
      <c r="AK573" s="2489"/>
      <c r="AL573" s="2490"/>
      <c r="AM573" s="1985"/>
      <c r="AN573" s="1986"/>
      <c r="AO573" s="1986"/>
      <c r="AP573" s="1986"/>
      <c r="AQ573" s="1986"/>
      <c r="AR573" s="1986"/>
      <c r="AS573" s="198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371</v>
      </c>
      <c r="C574" s="1993"/>
      <c r="D574" s="1993"/>
      <c r="E574" s="1993"/>
      <c r="F574" s="1993"/>
      <c r="G574" s="1993"/>
      <c r="H574" s="1993"/>
      <c r="I574" s="1993"/>
      <c r="J574" s="1993"/>
      <c r="K574" s="1993"/>
      <c r="L574" s="1993"/>
      <c r="M574" s="1993"/>
      <c r="N574" s="1993"/>
      <c r="O574" s="1993"/>
      <c r="P574" s="2305"/>
      <c r="Q574" s="2012"/>
      <c r="R574" s="2013"/>
      <c r="S574" s="2014"/>
      <c r="T574" s="2012"/>
      <c r="U574" s="2013"/>
      <c r="V574" s="2014"/>
      <c r="W574" s="2485"/>
      <c r="X574" s="2486"/>
      <c r="Y574" s="2487"/>
      <c r="Z574" s="2491"/>
      <c r="AA574" s="2491"/>
      <c r="AB574" s="2491"/>
      <c r="AC574" s="2491"/>
      <c r="AD574" s="2491"/>
      <c r="AE574" s="2493"/>
      <c r="AF574" s="2494"/>
      <c r="AG574" s="2494"/>
      <c r="AH574" s="2495"/>
      <c r="AI574" s="2488"/>
      <c r="AJ574" s="2489"/>
      <c r="AK574" s="2489"/>
      <c r="AL574" s="2490"/>
      <c r="AM574" s="1985"/>
      <c r="AN574" s="1986"/>
      <c r="AO574" s="1986"/>
      <c r="AP574" s="1986"/>
      <c r="AQ574" s="1986"/>
      <c r="AR574" s="1986"/>
      <c r="AS574" s="198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372</v>
      </c>
      <c r="C575" s="1993"/>
      <c r="D575" s="1993"/>
      <c r="E575" s="1993"/>
      <c r="F575" s="1993"/>
      <c r="G575" s="1993"/>
      <c r="H575" s="1993"/>
      <c r="I575" s="1993"/>
      <c r="J575" s="1993"/>
      <c r="K575" s="1993"/>
      <c r="L575" s="1993"/>
      <c r="M575" s="1993"/>
      <c r="N575" s="1993"/>
      <c r="O575" s="1993"/>
      <c r="P575" s="2305"/>
      <c r="Q575" s="2012"/>
      <c r="R575" s="2013"/>
      <c r="S575" s="2014"/>
      <c r="T575" s="2012"/>
      <c r="U575" s="2013"/>
      <c r="V575" s="2014"/>
      <c r="W575" s="2485"/>
      <c r="X575" s="2486"/>
      <c r="Y575" s="2487"/>
      <c r="Z575" s="2491"/>
      <c r="AA575" s="2491"/>
      <c r="AB575" s="2491"/>
      <c r="AC575" s="2491"/>
      <c r="AD575" s="2491"/>
      <c r="AE575" s="2493"/>
      <c r="AF575" s="2494"/>
      <c r="AG575" s="2494"/>
      <c r="AH575" s="2495"/>
      <c r="AI575" s="2488"/>
      <c r="AJ575" s="2489"/>
      <c r="AK575" s="2489"/>
      <c r="AL575" s="2490"/>
      <c r="AM575" s="1985"/>
      <c r="AN575" s="1986"/>
      <c r="AO575" s="1986"/>
      <c r="AP575" s="1986"/>
      <c r="AQ575" s="1986"/>
      <c r="AR575" s="1986"/>
      <c r="AS575" s="198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52" t="s">
        <v>132</v>
      </c>
      <c r="C576" s="2253"/>
      <c r="D576" s="2253"/>
      <c r="E576" s="2253"/>
      <c r="F576" s="2253"/>
      <c r="G576" s="2253"/>
      <c r="H576" s="2253"/>
      <c r="I576" s="2253"/>
      <c r="J576" s="2253"/>
      <c r="K576" s="2253"/>
      <c r="L576" s="2253"/>
      <c r="M576" s="2253"/>
      <c r="N576" s="2253"/>
      <c r="O576" s="2253"/>
      <c r="P576" s="2253"/>
      <c r="Q576" s="2253"/>
      <c r="R576" s="2253"/>
      <c r="S576" s="2253"/>
      <c r="T576" s="2253"/>
      <c r="U576" s="2379"/>
      <c r="V576" s="2253"/>
      <c r="W576" s="2253"/>
      <c r="X576" s="2253"/>
      <c r="Y576" s="2253"/>
      <c r="Z576" s="2253"/>
      <c r="AA576" s="2253"/>
      <c r="AB576" s="2253"/>
      <c r="AC576" s="2253"/>
      <c r="AD576" s="2253"/>
      <c r="AE576" s="2253"/>
      <c r="AF576" s="2253"/>
      <c r="AG576" s="2253"/>
      <c r="AH576" s="2253"/>
      <c r="AI576" s="2253"/>
      <c r="AJ576" s="2253"/>
      <c r="AK576" s="2253"/>
      <c r="AL576" s="2254"/>
      <c r="AM576" s="2266">
        <f>SUM(AM564:AS575)</f>
        <v>80665059</v>
      </c>
      <c r="AN576" s="2267"/>
      <c r="AO576" s="2267"/>
      <c r="AP576" s="2267"/>
      <c r="AQ576" s="2267"/>
      <c r="AR576" s="2267"/>
      <c r="AS576" s="226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494</v>
      </c>
      <c r="G578" s="1984" t="str">
        <f>C564</f>
        <v>Tax Exempt Construction Loan/Chase</v>
      </c>
      <c r="H578" s="1984"/>
      <c r="I578" s="1984"/>
      <c r="J578" s="1984"/>
      <c r="K578" s="1984"/>
      <c r="L578" s="1984"/>
      <c r="M578" s="1984"/>
      <c r="N578" s="1984"/>
      <c r="O578" s="1984"/>
      <c r="P578" s="1984"/>
      <c r="Q578" s="1984"/>
      <c r="R578" s="1984"/>
      <c r="S578" s="14"/>
      <c r="T578" s="87" t="s">
        <v>118</v>
      </c>
      <c r="U578" s="12" t="s">
        <v>494</v>
      </c>
      <c r="Z578" s="1984" t="str">
        <f>C565</f>
        <v>Taxable Cosntruction Loan/Chase</v>
      </c>
      <c r="AA578" s="1984"/>
      <c r="AB578" s="1984"/>
      <c r="AC578" s="1984"/>
      <c r="AD578" s="1984"/>
      <c r="AE578" s="1984"/>
      <c r="AF578" s="1984"/>
      <c r="AG578" s="1984"/>
      <c r="AH578" s="1984"/>
      <c r="AI578" s="1984"/>
      <c r="AJ578" s="1984"/>
      <c r="AK578" s="198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03" t="s">
        <v>2598</v>
      </c>
      <c r="H579" s="2003"/>
      <c r="I579" s="2003"/>
      <c r="J579" s="2003"/>
      <c r="K579" s="2003"/>
      <c r="L579" s="2003"/>
      <c r="M579" s="2003"/>
      <c r="N579" s="2003"/>
      <c r="O579" s="2003"/>
      <c r="P579" s="2003"/>
      <c r="Q579" s="2003"/>
      <c r="R579" s="2003"/>
      <c r="S579" s="14"/>
      <c r="T579" s="35"/>
      <c r="U579" s="12" t="s">
        <v>90</v>
      </c>
      <c r="Z579" s="2003" t="s">
        <v>2598</v>
      </c>
      <c r="AA579" s="2003"/>
      <c r="AB579" s="2003"/>
      <c r="AC579" s="2003"/>
      <c r="AD579" s="2003"/>
      <c r="AE579" s="2003"/>
      <c r="AF579" s="2003"/>
      <c r="AG579" s="2003"/>
      <c r="AH579" s="2003"/>
      <c r="AI579" s="2003"/>
      <c r="AJ579" s="2003"/>
      <c r="AK579" s="2003"/>
      <c r="BB579" s="58"/>
      <c r="BC579" s="58"/>
      <c r="BD579" s="58"/>
      <c r="BE579" s="58"/>
      <c r="BF579" s="58"/>
      <c r="BG579" s="58"/>
      <c r="BH579" s="58" t="s">
        <v>485</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613</v>
      </c>
      <c r="G580" s="2003" t="s">
        <v>2610</v>
      </c>
      <c r="H580" s="2003"/>
      <c r="I580" s="2003"/>
      <c r="J580" s="2003"/>
      <c r="K580" s="2003"/>
      <c r="L580" s="2003"/>
      <c r="M580" s="2003"/>
      <c r="N580" s="2003"/>
      <c r="O580" s="2003"/>
      <c r="P580" s="2003"/>
      <c r="Q580" s="2003"/>
      <c r="R580" s="2003"/>
      <c r="S580" s="88"/>
      <c r="T580" s="35"/>
      <c r="U580" s="12" t="s">
        <v>613</v>
      </c>
      <c r="Z580" s="2003" t="s">
        <v>2610</v>
      </c>
      <c r="AA580" s="2003"/>
      <c r="AB580" s="2003"/>
      <c r="AC580" s="2003"/>
      <c r="AD580" s="2003"/>
      <c r="AE580" s="2003"/>
      <c r="AF580" s="2003"/>
      <c r="AG580" s="2003"/>
      <c r="AH580" s="2003"/>
      <c r="AI580" s="2003"/>
      <c r="AJ580" s="2003"/>
      <c r="AK580" s="2003"/>
      <c r="BB580" s="58"/>
      <c r="BC580" s="58"/>
      <c r="BD580" s="58"/>
      <c r="BE580" s="58"/>
      <c r="BF580" s="58"/>
      <c r="BG580" s="58"/>
      <c r="BH580" s="58" t="s">
        <v>486</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3" t="s">
        <v>2599</v>
      </c>
      <c r="H581" s="2003"/>
      <c r="I581" s="2003"/>
      <c r="J581" s="2003"/>
      <c r="K581" s="2003"/>
      <c r="L581" s="2003"/>
      <c r="M581" s="2003"/>
      <c r="N581" s="2003"/>
      <c r="O581" s="2003"/>
      <c r="P581" s="2003"/>
      <c r="Q581" s="2003"/>
      <c r="R581" s="2003"/>
      <c r="S581" s="14"/>
      <c r="T581" s="35"/>
      <c r="U581" s="12" t="s">
        <v>17</v>
      </c>
      <c r="Z581" s="2003" t="s">
        <v>2599</v>
      </c>
      <c r="AA581" s="2003"/>
      <c r="AB581" s="2003"/>
      <c r="AC581" s="2003"/>
      <c r="AD581" s="2003"/>
      <c r="AE581" s="2003"/>
      <c r="AF581" s="2003"/>
      <c r="AG581" s="2003"/>
      <c r="AH581" s="2003"/>
      <c r="AI581" s="2003"/>
      <c r="AJ581" s="2003"/>
      <c r="AK581" s="200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008" t="s">
        <v>2602</v>
      </c>
      <c r="H582" s="2008"/>
      <c r="I582" s="2008"/>
      <c r="J582" s="2008"/>
      <c r="K582" s="2008"/>
      <c r="L582" s="2008"/>
      <c r="O582" s="137" t="s">
        <v>211</v>
      </c>
      <c r="P582" s="1992"/>
      <c r="Q582" s="1992"/>
      <c r="R582" s="1992"/>
      <c r="S582" s="16"/>
      <c r="T582" s="35"/>
      <c r="U582" s="12" t="s">
        <v>324</v>
      </c>
      <c r="Z582" s="2008" t="s">
        <v>2602</v>
      </c>
      <c r="AA582" s="2008"/>
      <c r="AB582" s="2008"/>
      <c r="AC582" s="2008"/>
      <c r="AD582" s="2008"/>
      <c r="AE582" s="2008"/>
      <c r="AH582" s="137" t="s">
        <v>211</v>
      </c>
      <c r="AI582" s="1992"/>
      <c r="AJ582" s="1992"/>
      <c r="AK582" s="199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4" t="s">
        <v>2600</v>
      </c>
      <c r="I583" s="2003"/>
      <c r="J583" s="2003"/>
      <c r="K583" s="2003"/>
      <c r="L583" s="2003"/>
      <c r="M583" s="2003"/>
      <c r="N583" s="2003"/>
      <c r="O583" s="2003"/>
      <c r="P583" s="2003"/>
      <c r="Q583" s="2003"/>
      <c r="R583" s="2003"/>
      <c r="S583" s="14"/>
      <c r="T583" s="35"/>
      <c r="U583" s="12" t="s">
        <v>18</v>
      </c>
      <c r="AA583" s="2004" t="s">
        <v>2603</v>
      </c>
      <c r="AB583" s="2003"/>
      <c r="AC583" s="2003"/>
      <c r="AD583" s="2003"/>
      <c r="AE583" s="2003"/>
      <c r="AF583" s="2003"/>
      <c r="AG583" s="2003"/>
      <c r="AH583" s="2003"/>
      <c r="AI583" s="2003"/>
      <c r="AJ583" s="2003"/>
      <c r="AK583" s="200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1378</v>
      </c>
      <c r="C584" s="717"/>
      <c r="D584" s="717"/>
      <c r="E584" s="717"/>
      <c r="F584" s="717"/>
      <c r="G584" s="717"/>
      <c r="H584" s="14"/>
      <c r="I584" s="14"/>
      <c r="J584" s="14"/>
      <c r="K584" s="14"/>
      <c r="L584" s="14"/>
      <c r="M584" s="2006" t="s">
        <v>2601</v>
      </c>
      <c r="N584" s="2006"/>
      <c r="O584" s="2006"/>
      <c r="P584" s="2006"/>
      <c r="Q584" s="2006"/>
      <c r="R584" s="2006"/>
      <c r="S584" s="14"/>
      <c r="T584" s="35"/>
      <c r="U584" s="507" t="s">
        <v>1378</v>
      </c>
      <c r="V584" s="717"/>
      <c r="W584" s="717"/>
      <c r="X584" s="717"/>
      <c r="Y584" s="717"/>
      <c r="Z584" s="717"/>
      <c r="AA584" s="14"/>
      <c r="AB584" s="14"/>
      <c r="AC584" s="14"/>
      <c r="AD584" s="14"/>
      <c r="AE584" s="14"/>
      <c r="AF584" s="2006" t="s">
        <v>2601</v>
      </c>
      <c r="AG584" s="2006"/>
      <c r="AH584" s="2006"/>
      <c r="AI584" s="2006"/>
      <c r="AJ584" s="2006"/>
      <c r="AK584" s="2006"/>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1" t="s">
        <v>576</v>
      </c>
      <c r="O585" s="1991"/>
      <c r="T585" s="35"/>
      <c r="U585" s="12" t="s">
        <v>20</v>
      </c>
      <c r="AG585" s="1991" t="s">
        <v>576</v>
      </c>
      <c r="AH585" s="199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1984" t="str">
        <f>C566</f>
        <v>SF MOHCD</v>
      </c>
      <c r="H587" s="1984"/>
      <c r="I587" s="1984"/>
      <c r="J587" s="1984"/>
      <c r="K587" s="1984"/>
      <c r="L587" s="1984"/>
      <c r="M587" s="1984"/>
      <c r="N587" s="1984"/>
      <c r="O587" s="1984"/>
      <c r="P587" s="1984"/>
      <c r="Q587" s="1984"/>
      <c r="R587" s="1984"/>
      <c r="T587" s="87" t="s">
        <v>614</v>
      </c>
      <c r="U587" s="12" t="s">
        <v>494</v>
      </c>
      <c r="Z587" s="1984" t="str">
        <f>C567</f>
        <v>The Kelsey Sponsor Loan</v>
      </c>
      <c r="AA587" s="1984"/>
      <c r="AB587" s="1984"/>
      <c r="AC587" s="1984"/>
      <c r="AD587" s="1984"/>
      <c r="AE587" s="1984"/>
      <c r="AF587" s="1984"/>
      <c r="AG587" s="1984"/>
      <c r="AH587" s="1984"/>
      <c r="AI587" s="1984"/>
      <c r="AJ587" s="1984"/>
      <c r="AK587" s="198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4" t="s">
        <v>2604</v>
      </c>
      <c r="H588" s="2003"/>
      <c r="I588" s="2003"/>
      <c r="J588" s="2003"/>
      <c r="K588" s="2003"/>
      <c r="L588" s="2003"/>
      <c r="M588" s="2003"/>
      <c r="N588" s="2003"/>
      <c r="O588" s="2003"/>
      <c r="P588" s="2003"/>
      <c r="Q588" s="2003"/>
      <c r="R588" s="2003"/>
      <c r="T588" s="35"/>
      <c r="U588" s="12" t="s">
        <v>90</v>
      </c>
      <c r="Z588" s="2003" t="s">
        <v>2505</v>
      </c>
      <c r="AA588" s="2003"/>
      <c r="AB588" s="2003"/>
      <c r="AC588" s="2003"/>
      <c r="AD588" s="2003"/>
      <c r="AE588" s="2003"/>
      <c r="AF588" s="2003"/>
      <c r="AG588" s="2003"/>
      <c r="AH588" s="2003"/>
      <c r="AI588" s="2003"/>
      <c r="AJ588" s="2003"/>
      <c r="AK588" s="200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1993" t="s">
        <v>2609</v>
      </c>
      <c r="H589" s="2005"/>
      <c r="I589" s="2005"/>
      <c r="J589" s="2005"/>
      <c r="K589" s="2005"/>
      <c r="L589" s="2005"/>
      <c r="M589" s="2005"/>
      <c r="N589" s="2005"/>
      <c r="O589" s="2005"/>
      <c r="P589" s="2005"/>
      <c r="Q589" s="2005"/>
      <c r="R589" s="2005"/>
      <c r="T589" s="35"/>
      <c r="U589" s="12" t="s">
        <v>613</v>
      </c>
      <c r="Z589" s="1993" t="s">
        <v>2605</v>
      </c>
      <c r="AA589" s="2005"/>
      <c r="AB589" s="2005"/>
      <c r="AC589" s="2005"/>
      <c r="AD589" s="2005"/>
      <c r="AE589" s="2005"/>
      <c r="AF589" s="2005"/>
      <c r="AG589" s="2005"/>
      <c r="AH589" s="2005"/>
      <c r="AI589" s="2005"/>
      <c r="AJ589" s="2005"/>
      <c r="AK589" s="200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5" t="s">
        <v>2606</v>
      </c>
      <c r="H590" s="2005"/>
      <c r="I590" s="2005"/>
      <c r="J590" s="2005"/>
      <c r="K590" s="2005"/>
      <c r="L590" s="2005"/>
      <c r="M590" s="2005"/>
      <c r="N590" s="2005"/>
      <c r="O590" s="2005"/>
      <c r="P590" s="2005"/>
      <c r="Q590" s="2005"/>
      <c r="R590" s="2005"/>
      <c r="T590" s="35"/>
      <c r="U590" s="12" t="s">
        <v>17</v>
      </c>
      <c r="Z590" s="2003" t="s">
        <v>2647</v>
      </c>
      <c r="AA590" s="2003"/>
      <c r="AB590" s="2003"/>
      <c r="AC590" s="2003"/>
      <c r="AD590" s="2003"/>
      <c r="AE590" s="2003"/>
      <c r="AF590" s="2003"/>
      <c r="AG590" s="2003"/>
      <c r="AH590" s="2003"/>
      <c r="AI590" s="2003"/>
      <c r="AJ590" s="2003"/>
      <c r="AK590" s="200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008" t="s">
        <v>2607</v>
      </c>
      <c r="H591" s="2007"/>
      <c r="I591" s="2007"/>
      <c r="J591" s="2007"/>
      <c r="K591" s="2007"/>
      <c r="L591" s="2007"/>
      <c r="O591" s="137" t="s">
        <v>211</v>
      </c>
      <c r="P591" s="1992"/>
      <c r="Q591" s="1992"/>
      <c r="R591" s="1992"/>
      <c r="T591" s="35"/>
      <c r="U591" s="12" t="s">
        <v>324</v>
      </c>
      <c r="Z591" s="2008" t="s">
        <v>2571</v>
      </c>
      <c r="AA591" s="2007"/>
      <c r="AB591" s="2007"/>
      <c r="AC591" s="2007"/>
      <c r="AD591" s="2007"/>
      <c r="AE591" s="2007"/>
      <c r="AH591" s="137" t="s">
        <v>211</v>
      </c>
      <c r="AI591" s="1992"/>
      <c r="AJ591" s="1992"/>
      <c r="AK591" s="199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3" t="s">
        <v>2611</v>
      </c>
      <c r="I592" s="2003"/>
      <c r="J592" s="2003"/>
      <c r="K592" s="2003"/>
      <c r="L592" s="2003"/>
      <c r="M592" s="2003"/>
      <c r="N592" s="2003"/>
      <c r="O592" s="2003"/>
      <c r="P592" s="2003"/>
      <c r="Q592" s="2003"/>
      <c r="R592" s="2003"/>
      <c r="T592" s="35"/>
      <c r="U592" s="12" t="s">
        <v>18</v>
      </c>
      <c r="AA592" s="2003" t="s">
        <v>2613</v>
      </c>
      <c r="AB592" s="2003"/>
      <c r="AC592" s="2003"/>
      <c r="AD592" s="2003"/>
      <c r="AE592" s="2003"/>
      <c r="AF592" s="2003"/>
      <c r="AG592" s="2003"/>
      <c r="AH592" s="2003"/>
      <c r="AI592" s="2003"/>
      <c r="AJ592" s="2003"/>
      <c r="AK592" s="200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1" t="s">
        <v>576</v>
      </c>
      <c r="O593" s="1991"/>
      <c r="T593" s="35"/>
      <c r="U593" s="12" t="s">
        <v>20</v>
      </c>
      <c r="AG593" s="1991" t="s">
        <v>576</v>
      </c>
      <c r="AH593" s="199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1984" t="str">
        <f>C568</f>
        <v>Accrued Interest on Soft Loans</v>
      </c>
      <c r="H595" s="1984"/>
      <c r="I595" s="1984"/>
      <c r="J595" s="1984"/>
      <c r="K595" s="1984"/>
      <c r="L595" s="1984"/>
      <c r="M595" s="1984"/>
      <c r="N595" s="1984"/>
      <c r="O595" s="1984"/>
      <c r="P595" s="1984"/>
      <c r="Q595" s="1984"/>
      <c r="R595" s="1984"/>
      <c r="T595" s="87" t="s">
        <v>617</v>
      </c>
      <c r="U595" s="12" t="s">
        <v>494</v>
      </c>
      <c r="Z595" s="1984" t="str">
        <f>C569</f>
        <v>Costs Deferred Until Conversion</v>
      </c>
      <c r="AA595" s="1984"/>
      <c r="AB595" s="1984"/>
      <c r="AC595" s="1984"/>
      <c r="AD595" s="1984"/>
      <c r="AE595" s="1984"/>
      <c r="AF595" s="1984"/>
      <c r="AG595" s="1984"/>
      <c r="AH595" s="1984"/>
      <c r="AI595" s="1984"/>
      <c r="AJ595" s="1984"/>
      <c r="AK595" s="198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4" t="s">
        <v>2604</v>
      </c>
      <c r="H596" s="2003"/>
      <c r="I596" s="2003"/>
      <c r="J596" s="2003"/>
      <c r="K596" s="2003"/>
      <c r="L596" s="2003"/>
      <c r="M596" s="2003"/>
      <c r="N596" s="2003"/>
      <c r="O596" s="2003"/>
      <c r="P596" s="2003"/>
      <c r="Q596" s="2003"/>
      <c r="R596" s="2003"/>
      <c r="T596" s="35"/>
      <c r="U596" s="12" t="s">
        <v>90</v>
      </c>
      <c r="Z596" s="2004" t="s">
        <v>2493</v>
      </c>
      <c r="AA596" s="2003"/>
      <c r="AB596" s="2003"/>
      <c r="AC596" s="2003"/>
      <c r="AD596" s="2003"/>
      <c r="AE596" s="2003"/>
      <c r="AF596" s="2003"/>
      <c r="AG596" s="2003"/>
      <c r="AH596" s="2003"/>
      <c r="AI596" s="2003"/>
      <c r="AJ596" s="2003"/>
      <c r="AK596" s="200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1993" t="s">
        <v>2609</v>
      </c>
      <c r="H597" s="2005"/>
      <c r="I597" s="2005"/>
      <c r="J597" s="2005"/>
      <c r="K597" s="2005"/>
      <c r="L597" s="2005"/>
      <c r="M597" s="2005"/>
      <c r="N597" s="2005"/>
      <c r="O597" s="2005"/>
      <c r="P597" s="2005"/>
      <c r="Q597" s="2005"/>
      <c r="R597" s="2005"/>
      <c r="T597" s="35"/>
      <c r="U597" s="12" t="s">
        <v>613</v>
      </c>
      <c r="Z597" s="1993" t="s">
        <v>2508</v>
      </c>
      <c r="AA597" s="2005"/>
      <c r="AB597" s="2005"/>
      <c r="AC597" s="2005"/>
      <c r="AD597" s="2005"/>
      <c r="AE597" s="2005"/>
      <c r="AF597" s="2005"/>
      <c r="AG597" s="2005"/>
      <c r="AH597" s="2005"/>
      <c r="AI597" s="2005"/>
      <c r="AJ597" s="2005"/>
      <c r="AK597" s="200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5" t="s">
        <v>2606</v>
      </c>
      <c r="H598" s="2005"/>
      <c r="I598" s="2005"/>
      <c r="J598" s="2005"/>
      <c r="K598" s="2005"/>
      <c r="L598" s="2005"/>
      <c r="M598" s="2005"/>
      <c r="N598" s="2005"/>
      <c r="O598" s="2005"/>
      <c r="P598" s="2005"/>
      <c r="Q598" s="2005"/>
      <c r="R598" s="2005"/>
      <c r="T598" s="35"/>
      <c r="U598" s="12" t="s">
        <v>17</v>
      </c>
      <c r="Z598" s="2005" t="s">
        <v>2509</v>
      </c>
      <c r="AA598" s="2005"/>
      <c r="AB598" s="2005"/>
      <c r="AC598" s="2005"/>
      <c r="AD598" s="2005"/>
      <c r="AE598" s="2005"/>
      <c r="AF598" s="2005"/>
      <c r="AG598" s="2005"/>
      <c r="AH598" s="2005"/>
      <c r="AI598" s="2005"/>
      <c r="AJ598" s="2005"/>
      <c r="AK598" s="200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08" t="s">
        <v>2607</v>
      </c>
      <c r="H599" s="2007"/>
      <c r="I599" s="2007"/>
      <c r="J599" s="2007"/>
      <c r="K599" s="2007"/>
      <c r="L599" s="2007"/>
      <c r="O599" s="137" t="s">
        <v>211</v>
      </c>
      <c r="P599" s="1992"/>
      <c r="Q599" s="1992"/>
      <c r="R599" s="1992"/>
      <c r="T599" s="35"/>
      <c r="U599" s="12" t="s">
        <v>324</v>
      </c>
      <c r="Z599" s="2008" t="s">
        <v>2510</v>
      </c>
      <c r="AA599" s="2008"/>
      <c r="AB599" s="2008"/>
      <c r="AC599" s="2008"/>
      <c r="AD599" s="2008"/>
      <c r="AE599" s="2008"/>
      <c r="AH599" s="137" t="s">
        <v>211</v>
      </c>
      <c r="AI599" s="1992"/>
      <c r="AJ599" s="1992"/>
      <c r="AK599" s="199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4" t="s">
        <v>2614</v>
      </c>
      <c r="I600" s="2003"/>
      <c r="J600" s="2003"/>
      <c r="K600" s="2003"/>
      <c r="L600" s="2003"/>
      <c r="M600" s="2003"/>
      <c r="N600" s="2003"/>
      <c r="O600" s="2003"/>
      <c r="P600" s="2003"/>
      <c r="Q600" s="2003"/>
      <c r="R600" s="2003"/>
      <c r="T600" s="35"/>
      <c r="U600" s="12" t="s">
        <v>18</v>
      </c>
      <c r="AA600" s="2004" t="s">
        <v>2640</v>
      </c>
      <c r="AB600" s="2003"/>
      <c r="AC600" s="2003"/>
      <c r="AD600" s="2003"/>
      <c r="AE600" s="2003"/>
      <c r="AF600" s="2003"/>
      <c r="AG600" s="2003"/>
      <c r="AH600" s="2003"/>
      <c r="AI600" s="2003"/>
      <c r="AJ600" s="2003"/>
      <c r="AK600" s="200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1991" t="s">
        <v>576</v>
      </c>
      <c r="O601" s="1991"/>
      <c r="T601" s="35"/>
      <c r="U601" s="12" t="s">
        <v>20</v>
      </c>
      <c r="AG601" s="1991" t="s">
        <v>576</v>
      </c>
      <c r="AH601" s="1991"/>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485</v>
      </c>
      <c r="B603" s="12" t="s">
        <v>494</v>
      </c>
      <c r="G603" s="1984" t="str">
        <f>C570</f>
        <v>GP Capital</v>
      </c>
      <c r="H603" s="1984"/>
      <c r="I603" s="1984"/>
      <c r="J603" s="1984"/>
      <c r="K603" s="1984"/>
      <c r="L603" s="1984"/>
      <c r="M603" s="1984"/>
      <c r="N603" s="1984"/>
      <c r="O603" s="1984"/>
      <c r="P603" s="1984"/>
      <c r="Q603" s="1984"/>
      <c r="R603" s="1984"/>
      <c r="T603" s="87" t="s">
        <v>486</v>
      </c>
      <c r="U603" s="12" t="s">
        <v>494</v>
      </c>
      <c r="Z603" s="1984" t="str">
        <f>C571</f>
        <v>Limited Partner Equity</v>
      </c>
      <c r="AA603" s="1984"/>
      <c r="AB603" s="1984"/>
      <c r="AC603" s="1984"/>
      <c r="AD603" s="1984"/>
      <c r="AE603" s="1984"/>
      <c r="AF603" s="1984"/>
      <c r="AG603" s="1984"/>
      <c r="AH603" s="1984"/>
      <c r="AI603" s="1984"/>
      <c r="AJ603" s="1984"/>
      <c r="AK603" s="198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04" t="s">
        <v>2493</v>
      </c>
      <c r="H604" s="2003"/>
      <c r="I604" s="2003"/>
      <c r="J604" s="2003"/>
      <c r="K604" s="2003"/>
      <c r="L604" s="2003"/>
      <c r="M604" s="2003"/>
      <c r="N604" s="2003"/>
      <c r="O604" s="2003"/>
      <c r="P604" s="2003"/>
      <c r="Q604" s="2003"/>
      <c r="R604" s="2003"/>
      <c r="T604" s="35"/>
      <c r="U604" s="12" t="s">
        <v>90</v>
      </c>
      <c r="Z604" s="2004" t="s">
        <v>2558</v>
      </c>
      <c r="AA604" s="2003"/>
      <c r="AB604" s="2003"/>
      <c r="AC604" s="2003"/>
      <c r="AD604" s="2003"/>
      <c r="AE604" s="2003"/>
      <c r="AF604" s="2003"/>
      <c r="AG604" s="2003"/>
      <c r="AH604" s="2003"/>
      <c r="AI604" s="2003"/>
      <c r="AJ604" s="2003"/>
      <c r="AK604" s="200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1993" t="s">
        <v>2508</v>
      </c>
      <c r="H605" s="2005"/>
      <c r="I605" s="2005"/>
      <c r="J605" s="2005"/>
      <c r="K605" s="2005"/>
      <c r="L605" s="2005"/>
      <c r="M605" s="2005"/>
      <c r="N605" s="2005"/>
      <c r="O605" s="2005"/>
      <c r="P605" s="2005"/>
      <c r="Q605" s="2005"/>
      <c r="R605" s="2005"/>
      <c r="T605" s="35"/>
      <c r="U605" s="12" t="s">
        <v>613</v>
      </c>
      <c r="Z605" s="1993"/>
      <c r="AA605" s="2005"/>
      <c r="AB605" s="2005"/>
      <c r="AC605" s="2005"/>
      <c r="AD605" s="2005"/>
      <c r="AE605" s="2005"/>
      <c r="AF605" s="2005"/>
      <c r="AG605" s="2005"/>
      <c r="AH605" s="2005"/>
      <c r="AI605" s="2005"/>
      <c r="AJ605" s="2005"/>
      <c r="AK605" s="200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05" t="s">
        <v>2509</v>
      </c>
      <c r="H606" s="2005"/>
      <c r="I606" s="2005"/>
      <c r="J606" s="2005"/>
      <c r="K606" s="2005"/>
      <c r="L606" s="2005"/>
      <c r="M606" s="2005"/>
      <c r="N606" s="2005"/>
      <c r="O606" s="2005"/>
      <c r="P606" s="2005"/>
      <c r="Q606" s="2005"/>
      <c r="R606" s="2005"/>
      <c r="T606" s="35"/>
      <c r="U606" s="12" t="s">
        <v>17</v>
      </c>
      <c r="Z606" s="2005"/>
      <c r="AA606" s="2005"/>
      <c r="AB606" s="2005"/>
      <c r="AC606" s="2005"/>
      <c r="AD606" s="2005"/>
      <c r="AE606" s="2005"/>
      <c r="AF606" s="2005"/>
      <c r="AG606" s="2005"/>
      <c r="AH606" s="2005"/>
      <c r="AI606" s="2005"/>
      <c r="AJ606" s="2005"/>
      <c r="AK606" s="200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08" t="s">
        <v>2510</v>
      </c>
      <c r="H607" s="2008"/>
      <c r="I607" s="2008"/>
      <c r="J607" s="2008"/>
      <c r="K607" s="2008"/>
      <c r="L607" s="2008"/>
      <c r="M607" s="12"/>
      <c r="N607" s="12"/>
      <c r="O607" s="137" t="s">
        <v>211</v>
      </c>
      <c r="P607" s="1992"/>
      <c r="Q607" s="1992"/>
      <c r="R607" s="1992"/>
      <c r="S607" s="12"/>
      <c r="T607" s="35"/>
      <c r="U607" s="12" t="s">
        <v>324</v>
      </c>
      <c r="V607" s="12"/>
      <c r="W607" s="12"/>
      <c r="X607" s="12"/>
      <c r="Y607" s="12"/>
      <c r="Z607" s="2008"/>
      <c r="AA607" s="2008"/>
      <c r="AB607" s="2008"/>
      <c r="AC607" s="2008"/>
      <c r="AD607" s="2008"/>
      <c r="AE607" s="2008"/>
      <c r="AF607" s="12"/>
      <c r="AG607" s="12"/>
      <c r="AH607" s="137" t="s">
        <v>211</v>
      </c>
      <c r="AI607" s="1992"/>
      <c r="AJ607" s="1992"/>
      <c r="AK607" s="199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04" t="s">
        <v>2646</v>
      </c>
      <c r="I608" s="2003"/>
      <c r="J608" s="2003"/>
      <c r="K608" s="2003"/>
      <c r="L608" s="2003"/>
      <c r="M608" s="2003"/>
      <c r="N608" s="2003"/>
      <c r="O608" s="2003"/>
      <c r="P608" s="2003"/>
      <c r="Q608" s="2003"/>
      <c r="R608" s="2003"/>
      <c r="S608" s="12"/>
      <c r="T608" s="35"/>
      <c r="U608" s="12" t="s">
        <v>18</v>
      </c>
      <c r="V608" s="12"/>
      <c r="W608" s="12"/>
      <c r="X608" s="12"/>
      <c r="Y608" s="12"/>
      <c r="Z608" s="12"/>
      <c r="AA608" s="2003" t="s">
        <v>2615</v>
      </c>
      <c r="AB608" s="2003"/>
      <c r="AC608" s="2003"/>
      <c r="AD608" s="2003"/>
      <c r="AE608" s="2003"/>
      <c r="AF608" s="2003"/>
      <c r="AG608" s="2003"/>
      <c r="AH608" s="2003"/>
      <c r="AI608" s="2003"/>
      <c r="AJ608" s="2003"/>
      <c r="AK608" s="200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1991" t="s">
        <v>576</v>
      </c>
      <c r="O609" s="1991"/>
      <c r="P609" s="12"/>
      <c r="Q609" s="12"/>
      <c r="R609" s="12"/>
      <c r="S609" s="12"/>
      <c r="T609" s="35"/>
      <c r="U609" s="12" t="s">
        <v>20</v>
      </c>
      <c r="V609" s="12"/>
      <c r="W609" s="12"/>
      <c r="X609" s="12"/>
      <c r="Y609" s="12"/>
      <c r="Z609" s="12"/>
      <c r="AA609" s="12"/>
      <c r="AB609" s="12"/>
      <c r="AC609" s="12"/>
      <c r="AD609" s="12"/>
      <c r="AE609" s="12"/>
      <c r="AF609" s="12"/>
      <c r="AG609" s="1991" t="s">
        <v>576</v>
      </c>
      <c r="AH609" s="1991"/>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1979"/>
      <c r="BH609" s="1981"/>
      <c r="BI609" s="185" t="s">
        <v>506</v>
      </c>
      <c r="BJ609" s="186"/>
      <c r="BK609" s="1979"/>
      <c r="BL609" s="1981"/>
      <c r="BM609" s="58"/>
      <c r="BN609" s="2128" t="s">
        <v>666</v>
      </c>
      <c r="BO609" s="2129"/>
      <c r="BP609" s="2129"/>
      <c r="BQ609" s="2129"/>
      <c r="BR609" s="2130"/>
      <c r="BS609" s="2033" t="s">
        <v>333</v>
      </c>
      <c r="BT609" s="2033"/>
      <c r="BU609" s="2033"/>
      <c r="BV609" s="2033"/>
      <c r="BW609" s="2033"/>
      <c r="BX609" s="2033" t="s">
        <v>168</v>
      </c>
      <c r="BY609" s="2033"/>
      <c r="BZ609" s="2033"/>
      <c r="CA609" s="2033"/>
      <c r="CB609" s="2033"/>
      <c r="CC609" s="2033" t="s">
        <v>169</v>
      </c>
      <c r="CD609" s="2033"/>
      <c r="CE609" s="2033"/>
      <c r="CF609" s="2033"/>
      <c r="CG609" s="2033"/>
      <c r="CH609" s="2033" t="s">
        <v>491</v>
      </c>
      <c r="CI609" s="2033"/>
      <c r="CJ609" s="2033"/>
      <c r="CK609" s="2033"/>
      <c r="CL609" s="2033"/>
      <c r="CM609" s="2033" t="s">
        <v>31</v>
      </c>
      <c r="CN609" s="2033"/>
      <c r="CO609" s="2033"/>
      <c r="CP609" s="2033"/>
      <c r="CQ609" s="2033"/>
      <c r="CR609" s="1707"/>
      <c r="CS609" s="2033" t="s">
        <v>666</v>
      </c>
      <c r="CT609" s="2033"/>
      <c r="CU609" s="2033"/>
      <c r="CV609" s="2033"/>
      <c r="CW609" s="2033"/>
      <c r="CX609" s="2033" t="s">
        <v>333</v>
      </c>
      <c r="CY609" s="2033"/>
      <c r="CZ609" s="2033"/>
      <c r="DA609" s="2033"/>
      <c r="DB609" s="2033"/>
      <c r="DC609" s="2033" t="s">
        <v>168</v>
      </c>
      <c r="DD609" s="2033"/>
      <c r="DE609" s="2033"/>
      <c r="DF609" s="2033"/>
      <c r="DG609" s="2033"/>
      <c r="DH609" s="2033" t="s">
        <v>169</v>
      </c>
      <c r="DI609" s="2033"/>
      <c r="DJ609" s="2033"/>
      <c r="DK609" s="2033"/>
      <c r="DL609" s="2033"/>
      <c r="DM609" s="2033" t="s">
        <v>491</v>
      </c>
      <c r="DN609" s="2033"/>
      <c r="DO609" s="2033"/>
      <c r="DP609" s="2033"/>
      <c r="DQ609" s="2033"/>
      <c r="DR609" s="2033" t="s">
        <v>31</v>
      </c>
      <c r="DS609" s="2033"/>
      <c r="DT609" s="2033"/>
      <c r="DU609" s="2033"/>
      <c r="DV609" s="2033"/>
      <c r="DX609" s="2033" t="s">
        <v>666</v>
      </c>
      <c r="DY609" s="2033"/>
      <c r="DZ609" s="2033"/>
      <c r="EA609" s="2033"/>
      <c r="EB609" s="2033"/>
      <c r="EC609" s="2033" t="s">
        <v>333</v>
      </c>
      <c r="ED609" s="2033"/>
      <c r="EE609" s="2033"/>
      <c r="EF609" s="2033"/>
      <c r="EG609" s="2033"/>
      <c r="EH609" s="2033" t="s">
        <v>168</v>
      </c>
      <c r="EI609" s="2033"/>
      <c r="EJ609" s="2033"/>
      <c r="EK609" s="2033"/>
      <c r="EL609" s="2033"/>
      <c r="EM609" s="2033" t="s">
        <v>169</v>
      </c>
      <c r="EN609" s="2033"/>
      <c r="EO609" s="2033"/>
      <c r="EP609" s="2033"/>
      <c r="EQ609" s="2033"/>
      <c r="ER609" s="2033" t="s">
        <v>491</v>
      </c>
      <c r="ES609" s="2033"/>
      <c r="ET609" s="2033"/>
      <c r="EU609" s="2033"/>
      <c r="EV609" s="2033"/>
      <c r="EW609" s="2033" t="s">
        <v>31</v>
      </c>
      <c r="EX609" s="2033"/>
      <c r="EY609" s="2033"/>
      <c r="EZ609" s="2033"/>
      <c r="FA609" s="2033"/>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95">
        <f t="shared" ref="BE610:BE634" si="0">IF(AND(AH728&lt;=0.5,AH728&gt;=0.36),1,0)</f>
        <v>0</v>
      </c>
      <c r="BF610" s="1997"/>
      <c r="BG610" s="1979">
        <f t="shared" ref="BG610:BG634" si="1">IF(BE610=1,G728,0)</f>
        <v>0</v>
      </c>
      <c r="BH610" s="1981"/>
      <c r="BI610" s="1995">
        <f t="shared" ref="BI610:BI634" si="2">IF(AND(AH728&lt;=0.35,AH728&gt;0),1,0)</f>
        <v>1</v>
      </c>
      <c r="BJ610" s="1997"/>
      <c r="BK610" s="1979">
        <f t="shared" ref="BK610:BK634" si="3">IF(BI610=1,G728,0)</f>
        <v>24</v>
      </c>
      <c r="BL610" s="1981"/>
      <c r="BM610" s="58"/>
      <c r="BN610" s="1972">
        <f t="shared" ref="BN610:BN634" si="4">IF(B728="SRO/Studio",G728,0)</f>
        <v>24</v>
      </c>
      <c r="BO610" s="1973"/>
      <c r="BP610" s="1973"/>
      <c r="BQ610" s="1973"/>
      <c r="BR610" s="1974"/>
      <c r="BS610" s="1978">
        <f t="shared" ref="BS610:BS634" si="5">IF(B728="1 Bedroom",G728,0)</f>
        <v>0</v>
      </c>
      <c r="BT610" s="1978"/>
      <c r="BU610" s="1978"/>
      <c r="BV610" s="1978"/>
      <c r="BW610" s="1978"/>
      <c r="BX610" s="1978">
        <f t="shared" ref="BX610:BX634" si="6">IF(B728="2 Bedrooms",G728,0)</f>
        <v>0</v>
      </c>
      <c r="BY610" s="1978"/>
      <c r="BZ610" s="1978"/>
      <c r="CA610" s="1978"/>
      <c r="CB610" s="1978"/>
      <c r="CC610" s="1978">
        <f t="shared" ref="CC610:CC634" si="7">IF(B728="3 Bedrooms",G728,0)</f>
        <v>0</v>
      </c>
      <c r="CD610" s="1978"/>
      <c r="CE610" s="1978"/>
      <c r="CF610" s="1978"/>
      <c r="CG610" s="1978"/>
      <c r="CH610" s="1978">
        <f t="shared" ref="CH610:CH634" si="8">IF(B728="4 Bedrooms",G728,0)</f>
        <v>0</v>
      </c>
      <c r="CI610" s="1978"/>
      <c r="CJ610" s="1978"/>
      <c r="CK610" s="1978"/>
      <c r="CL610" s="1978"/>
      <c r="CM610" s="1978">
        <f t="shared" ref="CM610:CM634" si="9">IF(B728="5 Bedrooms",G728,0)</f>
        <v>0</v>
      </c>
      <c r="CN610" s="1978"/>
      <c r="CO610" s="1978"/>
      <c r="CP610" s="1978"/>
      <c r="CQ610" s="1978"/>
      <c r="CR610" s="265"/>
      <c r="CS610" s="1994">
        <f t="shared" ref="CS610:CS634" si="10">IF(AND(B728="SRO/Studio",AH728&lt;=0.3),G728,0)</f>
        <v>24</v>
      </c>
      <c r="CT610" s="1994"/>
      <c r="CU610" s="1994"/>
      <c r="CV610" s="1994"/>
      <c r="CW610" s="1994"/>
      <c r="CX610" s="1994">
        <f t="shared" ref="CX610:CX634" si="11">IF(AND(B728="1 Bedroom",AH728&lt;=0.3),G728,0)</f>
        <v>0</v>
      </c>
      <c r="CY610" s="1994"/>
      <c r="CZ610" s="1994"/>
      <c r="DA610" s="1994"/>
      <c r="DB610" s="1994"/>
      <c r="DC610" s="1994">
        <f t="shared" ref="DC610:DC634" si="12">IF(AND(B728="2 Bedrooms",AH728&lt;=0.3),G728,0)</f>
        <v>0</v>
      </c>
      <c r="DD610" s="1994"/>
      <c r="DE610" s="1994"/>
      <c r="DF610" s="1994"/>
      <c r="DG610" s="1994"/>
      <c r="DH610" s="1994">
        <f t="shared" ref="DH610:DH634" si="13">IF(AND(B728="3 Bedrooms",AH728&lt;=0.3),G728,0)</f>
        <v>0</v>
      </c>
      <c r="DI610" s="1994"/>
      <c r="DJ610" s="1994"/>
      <c r="DK610" s="1994"/>
      <c r="DL610" s="1994"/>
      <c r="DM610" s="1994">
        <f t="shared" ref="DM610:DM634" si="14">IF(AND(B728="4 Bedrooms",AH728&lt;=0.3),G728,0)</f>
        <v>0</v>
      </c>
      <c r="DN610" s="1994"/>
      <c r="DO610" s="1994"/>
      <c r="DP610" s="1994"/>
      <c r="DQ610" s="1994"/>
      <c r="DR610" s="1994">
        <f t="shared" ref="DR610:DR634" si="15">IF(AND(B728="5 Bedrooms",AH728&lt;=0.3),G728,0)</f>
        <v>0</v>
      </c>
      <c r="DS610" s="1994"/>
      <c r="DT610" s="1994"/>
      <c r="DU610" s="1994"/>
      <c r="DV610" s="1994"/>
      <c r="DX610" s="1995">
        <f t="shared" ref="DX610:DX634" si="16">IF(BN610&gt;0,O728," ")</f>
        <v>424</v>
      </c>
      <c r="DY610" s="1996"/>
      <c r="DZ610" s="1996"/>
      <c r="EA610" s="1996"/>
      <c r="EB610" s="1997"/>
      <c r="EC610" s="1995" t="str">
        <f t="shared" ref="EC610:EC634" si="17">IF(BS610&gt;0,O728," ")</f>
        <v xml:space="preserve"> </v>
      </c>
      <c r="ED610" s="1996"/>
      <c r="EE610" s="1996"/>
      <c r="EF610" s="1996"/>
      <c r="EG610" s="1997"/>
      <c r="EH610" s="1995" t="str">
        <f t="shared" ref="EH610:EH634" si="18">IF(BX610&gt;0,O728," ")</f>
        <v xml:space="preserve"> </v>
      </c>
      <c r="EI610" s="1996"/>
      <c r="EJ610" s="1996"/>
      <c r="EK610" s="1996"/>
      <c r="EL610" s="1997"/>
      <c r="EM610" s="1995" t="str">
        <f t="shared" ref="EM610:EM634" si="19">IF(CC610&gt;0,O728," ")</f>
        <v xml:space="preserve"> </v>
      </c>
      <c r="EN610" s="1996"/>
      <c r="EO610" s="1996"/>
      <c r="EP610" s="1996"/>
      <c r="EQ610" s="1997"/>
      <c r="ER610" s="1995" t="str">
        <f t="shared" ref="ER610:ER634" si="20">IF(CH610&gt;0,O728," ")</f>
        <v xml:space="preserve"> </v>
      </c>
      <c r="ES610" s="1996"/>
      <c r="ET610" s="1996"/>
      <c r="EU610" s="1996"/>
      <c r="EV610" s="1997"/>
      <c r="EW610" s="1995" t="str">
        <f t="shared" ref="EW610:EW634" si="21">IF(CM610&gt;0,O728," ")</f>
        <v xml:space="preserve"> </v>
      </c>
      <c r="EX610" s="1996"/>
      <c r="EY610" s="1996"/>
      <c r="EZ610" s="1996"/>
      <c r="FA610" s="1997"/>
    </row>
    <row r="611" spans="1:157" s="7" customFormat="1" ht="12.5">
      <c r="A611" s="87" t="s">
        <v>492</v>
      </c>
      <c r="B611" s="12" t="s">
        <v>494</v>
      </c>
      <c r="C611" s="12"/>
      <c r="D611" s="12"/>
      <c r="E611" s="12"/>
      <c r="F611" s="12"/>
      <c r="G611" s="1984">
        <f>C572</f>
        <v>0</v>
      </c>
      <c r="H611" s="1984"/>
      <c r="I611" s="1984"/>
      <c r="J611" s="1984"/>
      <c r="K611" s="1984"/>
      <c r="L611" s="1984"/>
      <c r="M611" s="1984"/>
      <c r="N611" s="1984"/>
      <c r="O611" s="1984"/>
      <c r="P611" s="1984"/>
      <c r="Q611" s="1984"/>
      <c r="R611" s="1984"/>
      <c r="S611" s="12"/>
      <c r="T611" s="87" t="s">
        <v>679</v>
      </c>
      <c r="U611" s="12" t="s">
        <v>494</v>
      </c>
      <c r="V611" s="12"/>
      <c r="W611" s="12"/>
      <c r="X611" s="12"/>
      <c r="Y611" s="12"/>
      <c r="Z611" s="1984">
        <f>C573</f>
        <v>0</v>
      </c>
      <c r="AA611" s="1984"/>
      <c r="AB611" s="1984"/>
      <c r="AC611" s="1984"/>
      <c r="AD611" s="1984"/>
      <c r="AE611" s="1984"/>
      <c r="AF611" s="1984"/>
      <c r="AG611" s="1984"/>
      <c r="AH611" s="1984"/>
      <c r="AI611" s="1984"/>
      <c r="AJ611" s="1984"/>
      <c r="AK611" s="1984"/>
      <c r="AL611" s="12"/>
      <c r="AM611" s="39"/>
      <c r="AN611" s="39"/>
      <c r="AO611" s="39"/>
      <c r="AP611" s="39"/>
      <c r="AQ611" s="39"/>
      <c r="AR611" s="39"/>
      <c r="AS611" s="39"/>
      <c r="AT611" s="39"/>
      <c r="AU611" s="39"/>
      <c r="AV611" s="39"/>
      <c r="AW611" s="39"/>
      <c r="AX611" s="39"/>
      <c r="AY611" s="39"/>
      <c r="BA611" s="7" t="s">
        <v>168</v>
      </c>
      <c r="BB611" s="58"/>
      <c r="BC611" s="58"/>
      <c r="BD611" s="58"/>
      <c r="BE611" s="1995">
        <f t="shared" si="0"/>
        <v>0</v>
      </c>
      <c r="BF611" s="1997"/>
      <c r="BG611" s="1979">
        <f t="shared" si="1"/>
        <v>0</v>
      </c>
      <c r="BH611" s="1981"/>
      <c r="BI611" s="1995">
        <f t="shared" si="2"/>
        <v>1</v>
      </c>
      <c r="BJ611" s="1997"/>
      <c r="BK611" s="1979">
        <f t="shared" si="3"/>
        <v>2</v>
      </c>
      <c r="BL611" s="1981"/>
      <c r="BM611" s="58"/>
      <c r="BN611" s="1972">
        <f t="shared" si="4"/>
        <v>2</v>
      </c>
      <c r="BO611" s="1973"/>
      <c r="BP611" s="1973"/>
      <c r="BQ611" s="1973"/>
      <c r="BR611" s="1974"/>
      <c r="BS611" s="1978">
        <f t="shared" si="5"/>
        <v>0</v>
      </c>
      <c r="BT611" s="1978"/>
      <c r="BU611" s="1978"/>
      <c r="BV611" s="1978"/>
      <c r="BW611" s="1978"/>
      <c r="BX611" s="1978">
        <f t="shared" si="6"/>
        <v>0</v>
      </c>
      <c r="BY611" s="1978"/>
      <c r="BZ611" s="1978"/>
      <c r="CA611" s="1978"/>
      <c r="CB611" s="1978"/>
      <c r="CC611" s="1978">
        <f t="shared" si="7"/>
        <v>0</v>
      </c>
      <c r="CD611" s="1978"/>
      <c r="CE611" s="1978"/>
      <c r="CF611" s="1978"/>
      <c r="CG611" s="1978"/>
      <c r="CH611" s="1978">
        <f t="shared" si="8"/>
        <v>0</v>
      </c>
      <c r="CI611" s="1978"/>
      <c r="CJ611" s="1978"/>
      <c r="CK611" s="1978"/>
      <c r="CL611" s="1978"/>
      <c r="CM611" s="1978">
        <f t="shared" si="9"/>
        <v>0</v>
      </c>
      <c r="CN611" s="1978"/>
      <c r="CO611" s="1978"/>
      <c r="CP611" s="1978"/>
      <c r="CQ611" s="1978"/>
      <c r="CR611" s="265"/>
      <c r="CS611" s="1994">
        <f t="shared" si="10"/>
        <v>2</v>
      </c>
      <c r="CT611" s="1994"/>
      <c r="CU611" s="1994"/>
      <c r="CV611" s="1994"/>
      <c r="CW611" s="1994"/>
      <c r="CX611" s="1994">
        <f t="shared" si="11"/>
        <v>0</v>
      </c>
      <c r="CY611" s="1994"/>
      <c r="CZ611" s="1994"/>
      <c r="DA611" s="1994"/>
      <c r="DB611" s="1994"/>
      <c r="DC611" s="1994">
        <f t="shared" si="12"/>
        <v>0</v>
      </c>
      <c r="DD611" s="1994"/>
      <c r="DE611" s="1994"/>
      <c r="DF611" s="1994"/>
      <c r="DG611" s="1994"/>
      <c r="DH611" s="1994">
        <f t="shared" si="13"/>
        <v>0</v>
      </c>
      <c r="DI611" s="1994"/>
      <c r="DJ611" s="1994"/>
      <c r="DK611" s="1994"/>
      <c r="DL611" s="1994"/>
      <c r="DM611" s="1994">
        <f t="shared" si="14"/>
        <v>0</v>
      </c>
      <c r="DN611" s="1994"/>
      <c r="DO611" s="1994"/>
      <c r="DP611" s="1994"/>
      <c r="DQ611" s="1994"/>
      <c r="DR611" s="1994">
        <f t="shared" si="15"/>
        <v>0</v>
      </c>
      <c r="DS611" s="1994"/>
      <c r="DT611" s="1994"/>
      <c r="DU611" s="1994"/>
      <c r="DV611" s="1994"/>
      <c r="DX611" s="1995">
        <f t="shared" si="16"/>
        <v>658</v>
      </c>
      <c r="DY611" s="1996"/>
      <c r="DZ611" s="1996"/>
      <c r="EA611" s="1996"/>
      <c r="EB611" s="1997"/>
      <c r="EC611" s="1995" t="str">
        <f t="shared" si="17"/>
        <v xml:space="preserve"> </v>
      </c>
      <c r="ED611" s="1996"/>
      <c r="EE611" s="1996"/>
      <c r="EF611" s="1996"/>
      <c r="EG611" s="1997"/>
      <c r="EH611" s="1995" t="str">
        <f t="shared" si="18"/>
        <v xml:space="preserve"> </v>
      </c>
      <c r="EI611" s="1996"/>
      <c r="EJ611" s="1996"/>
      <c r="EK611" s="1996"/>
      <c r="EL611" s="1997"/>
      <c r="EM611" s="1995" t="str">
        <f t="shared" si="19"/>
        <v xml:space="preserve"> </v>
      </c>
      <c r="EN611" s="1996"/>
      <c r="EO611" s="1996"/>
      <c r="EP611" s="1996"/>
      <c r="EQ611" s="1997"/>
      <c r="ER611" s="1995" t="str">
        <f t="shared" si="20"/>
        <v xml:space="preserve"> </v>
      </c>
      <c r="ES611" s="1996"/>
      <c r="ET611" s="1996"/>
      <c r="EU611" s="1996"/>
      <c r="EV611" s="1997"/>
      <c r="EW611" s="1995" t="str">
        <f t="shared" si="21"/>
        <v xml:space="preserve"> </v>
      </c>
      <c r="EX611" s="1996"/>
      <c r="EY611" s="1996"/>
      <c r="EZ611" s="1996"/>
      <c r="FA611" s="1997"/>
    </row>
    <row r="612" spans="1:157" ht="12.5">
      <c r="A612" s="35"/>
      <c r="B612" s="12" t="s">
        <v>90</v>
      </c>
      <c r="G612" s="2003"/>
      <c r="H612" s="2003"/>
      <c r="I612" s="2003"/>
      <c r="J612" s="2003"/>
      <c r="K612" s="2003"/>
      <c r="L612" s="2003"/>
      <c r="M612" s="2003"/>
      <c r="N612" s="2003"/>
      <c r="O612" s="2003"/>
      <c r="P612" s="2003"/>
      <c r="Q612" s="2003"/>
      <c r="R612" s="2003"/>
      <c r="T612" s="35"/>
      <c r="U612" s="12" t="s">
        <v>90</v>
      </c>
      <c r="Z612" s="2003"/>
      <c r="AA612" s="2003"/>
      <c r="AB612" s="2003"/>
      <c r="AC612" s="2003"/>
      <c r="AD612" s="2003"/>
      <c r="AE612" s="2003"/>
      <c r="AF612" s="2003"/>
      <c r="AG612" s="2003"/>
      <c r="AH612" s="2003"/>
      <c r="AI612" s="2003"/>
      <c r="AJ612" s="2003"/>
      <c r="AK612" s="2003"/>
      <c r="BA612" s="7" t="s">
        <v>169</v>
      </c>
      <c r="BB612" s="58"/>
      <c r="BC612" s="58"/>
      <c r="BD612" s="58"/>
      <c r="BE612" s="1995">
        <f t="shared" si="0"/>
        <v>0</v>
      </c>
      <c r="BF612" s="1997"/>
      <c r="BG612" s="1979">
        <f t="shared" si="1"/>
        <v>0</v>
      </c>
      <c r="BH612" s="1981"/>
      <c r="BI612" s="1995">
        <f t="shared" si="2"/>
        <v>1</v>
      </c>
      <c r="BJ612" s="1997"/>
      <c r="BK612" s="1979">
        <f t="shared" si="3"/>
        <v>4</v>
      </c>
      <c r="BL612" s="1981"/>
      <c r="BM612" s="58"/>
      <c r="BN612" s="1972">
        <f t="shared" si="4"/>
        <v>0</v>
      </c>
      <c r="BO612" s="1973"/>
      <c r="BP612" s="1973"/>
      <c r="BQ612" s="1973"/>
      <c r="BR612" s="1974"/>
      <c r="BS612" s="1978">
        <f t="shared" si="5"/>
        <v>0</v>
      </c>
      <c r="BT612" s="1978"/>
      <c r="BU612" s="1978"/>
      <c r="BV612" s="1978"/>
      <c r="BW612" s="1978"/>
      <c r="BX612" s="1978">
        <f t="shared" si="6"/>
        <v>4</v>
      </c>
      <c r="BY612" s="1978"/>
      <c r="BZ612" s="1978"/>
      <c r="CA612" s="1978"/>
      <c r="CB612" s="1978"/>
      <c r="CC612" s="1978">
        <f t="shared" si="7"/>
        <v>0</v>
      </c>
      <c r="CD612" s="1978"/>
      <c r="CE612" s="1978"/>
      <c r="CF612" s="1978"/>
      <c r="CG612" s="1978"/>
      <c r="CH612" s="1978">
        <f t="shared" si="8"/>
        <v>0</v>
      </c>
      <c r="CI612" s="1978"/>
      <c r="CJ612" s="1978"/>
      <c r="CK612" s="1978"/>
      <c r="CL612" s="1978"/>
      <c r="CM612" s="1978">
        <f t="shared" si="9"/>
        <v>0</v>
      </c>
      <c r="CN612" s="1978"/>
      <c r="CO612" s="1978"/>
      <c r="CP612" s="1978"/>
      <c r="CQ612" s="1978"/>
      <c r="CR612" s="265"/>
      <c r="CS612" s="1994">
        <f t="shared" si="10"/>
        <v>0</v>
      </c>
      <c r="CT612" s="1994"/>
      <c r="CU612" s="1994"/>
      <c r="CV612" s="1994"/>
      <c r="CW612" s="1994"/>
      <c r="CX612" s="1994">
        <f t="shared" si="11"/>
        <v>0</v>
      </c>
      <c r="CY612" s="1994"/>
      <c r="CZ612" s="1994"/>
      <c r="DA612" s="1994"/>
      <c r="DB612" s="1994"/>
      <c r="DC612" s="1994">
        <f t="shared" si="12"/>
        <v>4</v>
      </c>
      <c r="DD612" s="1994"/>
      <c r="DE612" s="1994"/>
      <c r="DF612" s="1994"/>
      <c r="DG612" s="1994"/>
      <c r="DH612" s="1994">
        <f t="shared" si="13"/>
        <v>0</v>
      </c>
      <c r="DI612" s="1994"/>
      <c r="DJ612" s="1994"/>
      <c r="DK612" s="1994"/>
      <c r="DL612" s="1994"/>
      <c r="DM612" s="1994">
        <f t="shared" si="14"/>
        <v>0</v>
      </c>
      <c r="DN612" s="1994"/>
      <c r="DO612" s="1994"/>
      <c r="DP612" s="1994"/>
      <c r="DQ612" s="1994"/>
      <c r="DR612" s="1994">
        <f t="shared" si="15"/>
        <v>0</v>
      </c>
      <c r="DS612" s="1994"/>
      <c r="DT612" s="1994"/>
      <c r="DU612" s="1994"/>
      <c r="DV612" s="1994"/>
      <c r="DX612" s="1995" t="str">
        <f t="shared" si="16"/>
        <v xml:space="preserve"> </v>
      </c>
      <c r="DY612" s="1996"/>
      <c r="DZ612" s="1996"/>
      <c r="EA612" s="1996"/>
      <c r="EB612" s="1997"/>
      <c r="EC612" s="1995" t="str">
        <f t="shared" si="17"/>
        <v xml:space="preserve"> </v>
      </c>
      <c r="ED612" s="1996"/>
      <c r="EE612" s="1996"/>
      <c r="EF612" s="1996"/>
      <c r="EG612" s="1997"/>
      <c r="EH612" s="1995">
        <f t="shared" si="18"/>
        <v>837</v>
      </c>
      <c r="EI612" s="1996"/>
      <c r="EJ612" s="1996"/>
      <c r="EK612" s="1996"/>
      <c r="EL612" s="1997"/>
      <c r="EM612" s="1995" t="str">
        <f t="shared" si="19"/>
        <v xml:space="preserve"> </v>
      </c>
      <c r="EN612" s="1996"/>
      <c r="EO612" s="1996"/>
      <c r="EP612" s="1996"/>
      <c r="EQ612" s="1997"/>
      <c r="ER612" s="1995" t="str">
        <f t="shared" si="20"/>
        <v xml:space="preserve"> </v>
      </c>
      <c r="ES612" s="1996"/>
      <c r="ET612" s="1996"/>
      <c r="EU612" s="1996"/>
      <c r="EV612" s="1997"/>
      <c r="EW612" s="1995" t="str">
        <f t="shared" si="21"/>
        <v xml:space="preserve"> </v>
      </c>
      <c r="EX612" s="1996"/>
      <c r="EY612" s="1996"/>
      <c r="EZ612" s="1996"/>
      <c r="FA612" s="1997"/>
    </row>
    <row r="613" spans="1:157" ht="12.5">
      <c r="A613" s="35"/>
      <c r="B613" s="12" t="s">
        <v>613</v>
      </c>
      <c r="G613" s="2003"/>
      <c r="H613" s="2003"/>
      <c r="I613" s="2003"/>
      <c r="J613" s="2003"/>
      <c r="K613" s="2003"/>
      <c r="L613" s="2003"/>
      <c r="M613" s="2003"/>
      <c r="N613" s="2003"/>
      <c r="O613" s="2003"/>
      <c r="P613" s="2003"/>
      <c r="Q613" s="2003"/>
      <c r="R613" s="2003"/>
      <c r="T613" s="35"/>
      <c r="U613" s="12" t="s">
        <v>613</v>
      </c>
      <c r="Z613" s="2005"/>
      <c r="AA613" s="2005"/>
      <c r="AB613" s="2005"/>
      <c r="AC613" s="2005"/>
      <c r="AD613" s="2005"/>
      <c r="AE613" s="2005"/>
      <c r="AF613" s="2005"/>
      <c r="AG613" s="2005"/>
      <c r="AH613" s="2005"/>
      <c r="AI613" s="2005"/>
      <c r="AJ613" s="2005"/>
      <c r="AK613" s="2005"/>
      <c r="BA613" s="7" t="s">
        <v>170</v>
      </c>
      <c r="BB613" s="58"/>
      <c r="BC613" s="58"/>
      <c r="BD613" s="58"/>
      <c r="BE613" s="1995">
        <f t="shared" si="0"/>
        <v>1</v>
      </c>
      <c r="BF613" s="1997"/>
      <c r="BG613" s="1979">
        <f t="shared" si="1"/>
        <v>4</v>
      </c>
      <c r="BH613" s="1981"/>
      <c r="BI613" s="1995">
        <f t="shared" si="2"/>
        <v>0</v>
      </c>
      <c r="BJ613" s="1997"/>
      <c r="BK613" s="1979">
        <f t="shared" si="3"/>
        <v>0</v>
      </c>
      <c r="BL613" s="1981"/>
      <c r="BM613" s="58"/>
      <c r="BN613" s="1972">
        <f t="shared" si="4"/>
        <v>0</v>
      </c>
      <c r="BO613" s="1973"/>
      <c r="BP613" s="1973"/>
      <c r="BQ613" s="1973"/>
      <c r="BR613" s="1974"/>
      <c r="BS613" s="1978">
        <f t="shared" si="5"/>
        <v>0</v>
      </c>
      <c r="BT613" s="1978"/>
      <c r="BU613" s="1978"/>
      <c r="BV613" s="1978"/>
      <c r="BW613" s="1978"/>
      <c r="BX613" s="1978">
        <f t="shared" si="6"/>
        <v>4</v>
      </c>
      <c r="BY613" s="1978"/>
      <c r="BZ613" s="1978"/>
      <c r="CA613" s="1978"/>
      <c r="CB613" s="1978"/>
      <c r="CC613" s="1978">
        <f t="shared" si="7"/>
        <v>0</v>
      </c>
      <c r="CD613" s="1978"/>
      <c r="CE613" s="1978"/>
      <c r="CF613" s="1978"/>
      <c r="CG613" s="1978"/>
      <c r="CH613" s="1978">
        <f t="shared" si="8"/>
        <v>0</v>
      </c>
      <c r="CI613" s="1978"/>
      <c r="CJ613" s="1978"/>
      <c r="CK613" s="1978"/>
      <c r="CL613" s="1978"/>
      <c r="CM613" s="1978">
        <f t="shared" si="9"/>
        <v>0</v>
      </c>
      <c r="CN613" s="1978"/>
      <c r="CO613" s="1978"/>
      <c r="CP613" s="1978"/>
      <c r="CQ613" s="1978"/>
      <c r="CR613" s="265"/>
      <c r="CS613" s="1994">
        <f t="shared" si="10"/>
        <v>0</v>
      </c>
      <c r="CT613" s="1994"/>
      <c r="CU613" s="1994"/>
      <c r="CV613" s="1994"/>
      <c r="CW613" s="1994"/>
      <c r="CX613" s="1994">
        <f t="shared" si="11"/>
        <v>0</v>
      </c>
      <c r="CY613" s="1994"/>
      <c r="CZ613" s="1994"/>
      <c r="DA613" s="1994"/>
      <c r="DB613" s="1994"/>
      <c r="DC613" s="1994">
        <f t="shared" si="12"/>
        <v>0</v>
      </c>
      <c r="DD613" s="1994"/>
      <c r="DE613" s="1994"/>
      <c r="DF613" s="1994"/>
      <c r="DG613" s="1994"/>
      <c r="DH613" s="1994">
        <f t="shared" si="13"/>
        <v>0</v>
      </c>
      <c r="DI613" s="1994"/>
      <c r="DJ613" s="1994"/>
      <c r="DK613" s="1994"/>
      <c r="DL613" s="1994"/>
      <c r="DM613" s="1994">
        <f t="shared" si="14"/>
        <v>0</v>
      </c>
      <c r="DN613" s="1994"/>
      <c r="DO613" s="1994"/>
      <c r="DP613" s="1994"/>
      <c r="DQ613" s="1994"/>
      <c r="DR613" s="1994">
        <f t="shared" si="15"/>
        <v>0</v>
      </c>
      <c r="DS613" s="1994"/>
      <c r="DT613" s="1994"/>
      <c r="DU613" s="1994"/>
      <c r="DV613" s="1994"/>
      <c r="DX613" s="1995" t="str">
        <f t="shared" si="16"/>
        <v xml:space="preserve"> </v>
      </c>
      <c r="DY613" s="1996"/>
      <c r="DZ613" s="1996"/>
      <c r="EA613" s="1996"/>
      <c r="EB613" s="1997"/>
      <c r="EC613" s="1995" t="str">
        <f t="shared" si="17"/>
        <v xml:space="preserve"> </v>
      </c>
      <c r="ED613" s="1996"/>
      <c r="EE613" s="1996"/>
      <c r="EF613" s="1996"/>
      <c r="EG613" s="1997"/>
      <c r="EH613" s="1995">
        <f t="shared" si="18"/>
        <v>1437</v>
      </c>
      <c r="EI613" s="1996"/>
      <c r="EJ613" s="1996"/>
      <c r="EK613" s="1996"/>
      <c r="EL613" s="1997"/>
      <c r="EM613" s="1995" t="str">
        <f t="shared" si="19"/>
        <v xml:space="preserve"> </v>
      </c>
      <c r="EN613" s="1996"/>
      <c r="EO613" s="1996"/>
      <c r="EP613" s="1996"/>
      <c r="EQ613" s="1997"/>
      <c r="ER613" s="1995" t="str">
        <f t="shared" si="20"/>
        <v xml:space="preserve"> </v>
      </c>
      <c r="ES613" s="1996"/>
      <c r="ET613" s="1996"/>
      <c r="EU613" s="1996"/>
      <c r="EV613" s="1997"/>
      <c r="EW613" s="1995" t="str">
        <f t="shared" si="21"/>
        <v xml:space="preserve"> </v>
      </c>
      <c r="EX613" s="1996"/>
      <c r="EY613" s="1996"/>
      <c r="EZ613" s="1996"/>
      <c r="FA613" s="1997"/>
    </row>
    <row r="614" spans="1:157" ht="12.5">
      <c r="A614" s="35"/>
      <c r="B614" s="12" t="s">
        <v>17</v>
      </c>
      <c r="G614" s="2003"/>
      <c r="H614" s="2003"/>
      <c r="I614" s="2003"/>
      <c r="J614" s="2003"/>
      <c r="K614" s="2003"/>
      <c r="L614" s="2003"/>
      <c r="M614" s="2003"/>
      <c r="N614" s="2003"/>
      <c r="O614" s="2003"/>
      <c r="P614" s="2003"/>
      <c r="Q614" s="2003"/>
      <c r="R614" s="2003"/>
      <c r="T614" s="35"/>
      <c r="U614" s="12" t="s">
        <v>17</v>
      </c>
      <c r="Z614" s="2005"/>
      <c r="AA614" s="2005"/>
      <c r="AB614" s="2005"/>
      <c r="AC614" s="2005"/>
      <c r="AD614" s="2005"/>
      <c r="AE614" s="2005"/>
      <c r="AF614" s="2005"/>
      <c r="AG614" s="2005"/>
      <c r="AH614" s="2005"/>
      <c r="AI614" s="2005"/>
      <c r="AJ614" s="2005"/>
      <c r="AK614" s="2005"/>
      <c r="BA614" s="7" t="s">
        <v>31</v>
      </c>
      <c r="BB614" s="58"/>
      <c r="BC614" s="58"/>
      <c r="BD614" s="58"/>
      <c r="BE614" s="1995">
        <f t="shared" si="0"/>
        <v>0</v>
      </c>
      <c r="BF614" s="1997"/>
      <c r="BG614" s="1979">
        <f t="shared" si="1"/>
        <v>0</v>
      </c>
      <c r="BH614" s="1981"/>
      <c r="BI614" s="1995">
        <f t="shared" si="2"/>
        <v>0</v>
      </c>
      <c r="BJ614" s="1997"/>
      <c r="BK614" s="1979">
        <f t="shared" si="3"/>
        <v>0</v>
      </c>
      <c r="BL614" s="1981"/>
      <c r="BM614" s="58"/>
      <c r="BN614" s="1972">
        <f t="shared" si="4"/>
        <v>11</v>
      </c>
      <c r="BO614" s="1973"/>
      <c r="BP614" s="1973"/>
      <c r="BQ614" s="1973"/>
      <c r="BR614" s="1974"/>
      <c r="BS614" s="1978">
        <f t="shared" si="5"/>
        <v>0</v>
      </c>
      <c r="BT614" s="1978"/>
      <c r="BU614" s="1978"/>
      <c r="BV614" s="1978"/>
      <c r="BW614" s="1978"/>
      <c r="BX614" s="1978">
        <f t="shared" si="6"/>
        <v>0</v>
      </c>
      <c r="BY614" s="1978"/>
      <c r="BZ614" s="1978"/>
      <c r="CA614" s="1978"/>
      <c r="CB614" s="1978"/>
      <c r="CC614" s="1978">
        <f t="shared" si="7"/>
        <v>0</v>
      </c>
      <c r="CD614" s="1978"/>
      <c r="CE614" s="1978"/>
      <c r="CF614" s="1978"/>
      <c r="CG614" s="1978"/>
      <c r="CH614" s="1978">
        <f t="shared" si="8"/>
        <v>0</v>
      </c>
      <c r="CI614" s="1978"/>
      <c r="CJ614" s="1978"/>
      <c r="CK614" s="1978"/>
      <c r="CL614" s="1978"/>
      <c r="CM614" s="1978">
        <f t="shared" si="9"/>
        <v>0</v>
      </c>
      <c r="CN614" s="1978"/>
      <c r="CO614" s="1978"/>
      <c r="CP614" s="1978"/>
      <c r="CQ614" s="1978"/>
      <c r="CR614" s="265"/>
      <c r="CS614" s="1994">
        <f t="shared" si="10"/>
        <v>0</v>
      </c>
      <c r="CT614" s="1994"/>
      <c r="CU614" s="1994"/>
      <c r="CV614" s="1994"/>
      <c r="CW614" s="1994"/>
      <c r="CX614" s="1994">
        <f t="shared" si="11"/>
        <v>0</v>
      </c>
      <c r="CY614" s="1994"/>
      <c r="CZ614" s="1994"/>
      <c r="DA614" s="1994"/>
      <c r="DB614" s="1994"/>
      <c r="DC614" s="1994">
        <f t="shared" si="12"/>
        <v>0</v>
      </c>
      <c r="DD614" s="1994"/>
      <c r="DE614" s="1994"/>
      <c r="DF614" s="1994"/>
      <c r="DG614" s="1994"/>
      <c r="DH614" s="1994">
        <f t="shared" si="13"/>
        <v>0</v>
      </c>
      <c r="DI614" s="1994"/>
      <c r="DJ614" s="1994"/>
      <c r="DK614" s="1994"/>
      <c r="DL614" s="1994"/>
      <c r="DM614" s="1994">
        <f t="shared" si="14"/>
        <v>0</v>
      </c>
      <c r="DN614" s="1994"/>
      <c r="DO614" s="1994"/>
      <c r="DP614" s="1994"/>
      <c r="DQ614" s="1994"/>
      <c r="DR614" s="1994">
        <f t="shared" si="15"/>
        <v>0</v>
      </c>
      <c r="DS614" s="1994"/>
      <c r="DT614" s="1994"/>
      <c r="DU614" s="1994"/>
      <c r="DV614" s="1994"/>
      <c r="DX614" s="1995">
        <f t="shared" si="16"/>
        <v>1357</v>
      </c>
      <c r="DY614" s="1996"/>
      <c r="DZ614" s="1996"/>
      <c r="EA614" s="1996"/>
      <c r="EB614" s="1997"/>
      <c r="EC614" s="1995" t="str">
        <f t="shared" si="17"/>
        <v xml:space="preserve"> </v>
      </c>
      <c r="ED614" s="1996"/>
      <c r="EE614" s="1996"/>
      <c r="EF614" s="1996"/>
      <c r="EG614" s="1997"/>
      <c r="EH614" s="1995" t="str">
        <f t="shared" si="18"/>
        <v xml:space="preserve"> </v>
      </c>
      <c r="EI614" s="1996"/>
      <c r="EJ614" s="1996"/>
      <c r="EK614" s="1996"/>
      <c r="EL614" s="1997"/>
      <c r="EM614" s="1995" t="str">
        <f t="shared" si="19"/>
        <v xml:space="preserve"> </v>
      </c>
      <c r="EN614" s="1996"/>
      <c r="EO614" s="1996"/>
      <c r="EP614" s="1996"/>
      <c r="EQ614" s="1997"/>
      <c r="ER614" s="1995" t="str">
        <f t="shared" si="20"/>
        <v xml:space="preserve"> </v>
      </c>
      <c r="ES614" s="1996"/>
      <c r="ET614" s="1996"/>
      <c r="EU614" s="1996"/>
      <c r="EV614" s="1997"/>
      <c r="EW614" s="1995" t="str">
        <f t="shared" si="21"/>
        <v xml:space="preserve"> </v>
      </c>
      <c r="EX614" s="1996"/>
      <c r="EY614" s="1996"/>
      <c r="EZ614" s="1996"/>
      <c r="FA614" s="1997"/>
    </row>
    <row r="615" spans="1:157" ht="12.5">
      <c r="A615" s="35"/>
      <c r="B615" s="12" t="s">
        <v>324</v>
      </c>
      <c r="G615" s="2008"/>
      <c r="H615" s="2007"/>
      <c r="I615" s="2007"/>
      <c r="J615" s="2007"/>
      <c r="K615" s="2007"/>
      <c r="L615" s="2007"/>
      <c r="O615" s="137" t="s">
        <v>211</v>
      </c>
      <c r="P615" s="1992"/>
      <c r="Q615" s="1992"/>
      <c r="R615" s="1992"/>
      <c r="T615" s="35"/>
      <c r="U615" s="12" t="s">
        <v>324</v>
      </c>
      <c r="Z615" s="2007"/>
      <c r="AA615" s="2007"/>
      <c r="AB615" s="2007"/>
      <c r="AC615" s="2007"/>
      <c r="AD615" s="2007"/>
      <c r="AE615" s="2007"/>
      <c r="AH615" s="137" t="s">
        <v>211</v>
      </c>
      <c r="AI615" s="1992"/>
      <c r="AJ615" s="1992"/>
      <c r="AK615" s="1992"/>
      <c r="AZ615" s="58"/>
      <c r="BA615" s="58"/>
      <c r="BB615" s="58"/>
      <c r="BC615" s="58"/>
      <c r="BD615" s="58"/>
      <c r="BE615" s="1995">
        <f t="shared" si="0"/>
        <v>1</v>
      </c>
      <c r="BF615" s="1997"/>
      <c r="BG615" s="1979">
        <f t="shared" si="1"/>
        <v>9</v>
      </c>
      <c r="BH615" s="1981"/>
      <c r="BI615" s="1995">
        <f t="shared" si="2"/>
        <v>0</v>
      </c>
      <c r="BJ615" s="1997"/>
      <c r="BK615" s="1979">
        <f t="shared" si="3"/>
        <v>0</v>
      </c>
      <c r="BL615" s="1981"/>
      <c r="BM615" s="58"/>
      <c r="BN615" s="1972">
        <f t="shared" si="4"/>
        <v>0</v>
      </c>
      <c r="BO615" s="1973"/>
      <c r="BP615" s="1973"/>
      <c r="BQ615" s="1973"/>
      <c r="BR615" s="1974"/>
      <c r="BS615" s="1978">
        <f t="shared" si="5"/>
        <v>0</v>
      </c>
      <c r="BT615" s="1978"/>
      <c r="BU615" s="1978"/>
      <c r="BV615" s="1978"/>
      <c r="BW615" s="1978"/>
      <c r="BX615" s="1978">
        <f t="shared" si="6"/>
        <v>9</v>
      </c>
      <c r="BY615" s="1978"/>
      <c r="BZ615" s="1978"/>
      <c r="CA615" s="1978"/>
      <c r="CB615" s="1978"/>
      <c r="CC615" s="1978">
        <f t="shared" si="7"/>
        <v>0</v>
      </c>
      <c r="CD615" s="1978"/>
      <c r="CE615" s="1978"/>
      <c r="CF615" s="1978"/>
      <c r="CG615" s="1978"/>
      <c r="CH615" s="1978">
        <f t="shared" si="8"/>
        <v>0</v>
      </c>
      <c r="CI615" s="1978"/>
      <c r="CJ615" s="1978"/>
      <c r="CK615" s="1978"/>
      <c r="CL615" s="1978"/>
      <c r="CM615" s="1978">
        <f t="shared" si="9"/>
        <v>0</v>
      </c>
      <c r="CN615" s="1978"/>
      <c r="CO615" s="1978"/>
      <c r="CP615" s="1978"/>
      <c r="CQ615" s="1978"/>
      <c r="CR615" s="265"/>
      <c r="CS615" s="1994">
        <f t="shared" si="10"/>
        <v>0</v>
      </c>
      <c r="CT615" s="1994"/>
      <c r="CU615" s="1994"/>
      <c r="CV615" s="1994"/>
      <c r="CW615" s="1994"/>
      <c r="CX615" s="1994">
        <f t="shared" si="11"/>
        <v>0</v>
      </c>
      <c r="CY615" s="1994"/>
      <c r="CZ615" s="1994"/>
      <c r="DA615" s="1994"/>
      <c r="DB615" s="1994"/>
      <c r="DC615" s="1994">
        <f t="shared" si="12"/>
        <v>0</v>
      </c>
      <c r="DD615" s="1994"/>
      <c r="DE615" s="1994"/>
      <c r="DF615" s="1994"/>
      <c r="DG615" s="1994"/>
      <c r="DH615" s="1994">
        <f t="shared" si="13"/>
        <v>0</v>
      </c>
      <c r="DI615" s="1994"/>
      <c r="DJ615" s="1994"/>
      <c r="DK615" s="1994"/>
      <c r="DL615" s="1994"/>
      <c r="DM615" s="1994">
        <f t="shared" si="14"/>
        <v>0</v>
      </c>
      <c r="DN615" s="1994"/>
      <c r="DO615" s="1994"/>
      <c r="DP615" s="1994"/>
      <c r="DQ615" s="1994"/>
      <c r="DR615" s="1994">
        <f t="shared" si="15"/>
        <v>0</v>
      </c>
      <c r="DS615" s="1994"/>
      <c r="DT615" s="1994"/>
      <c r="DU615" s="1994"/>
      <c r="DV615" s="1994"/>
      <c r="DX615" s="1995" t="str">
        <f t="shared" si="16"/>
        <v xml:space="preserve"> </v>
      </c>
      <c r="DY615" s="1996"/>
      <c r="DZ615" s="1996"/>
      <c r="EA615" s="1996"/>
      <c r="EB615" s="1997"/>
      <c r="EC615" s="1995" t="str">
        <f t="shared" si="17"/>
        <v xml:space="preserve"> </v>
      </c>
      <c r="ED615" s="1996"/>
      <c r="EE615" s="1996"/>
      <c r="EF615" s="1996"/>
      <c r="EG615" s="1997"/>
      <c r="EH615" s="1995">
        <f t="shared" si="18"/>
        <v>1737</v>
      </c>
      <c r="EI615" s="1996"/>
      <c r="EJ615" s="1996"/>
      <c r="EK615" s="1996"/>
      <c r="EL615" s="1997"/>
      <c r="EM615" s="1995" t="str">
        <f t="shared" si="19"/>
        <v xml:space="preserve"> </v>
      </c>
      <c r="EN615" s="1996"/>
      <c r="EO615" s="1996"/>
      <c r="EP615" s="1996"/>
      <c r="EQ615" s="1997"/>
      <c r="ER615" s="1995" t="str">
        <f t="shared" si="20"/>
        <v xml:space="preserve"> </v>
      </c>
      <c r="ES615" s="1996"/>
      <c r="ET615" s="1996"/>
      <c r="EU615" s="1996"/>
      <c r="EV615" s="1997"/>
      <c r="EW615" s="1995" t="str">
        <f t="shared" si="21"/>
        <v xml:space="preserve"> </v>
      </c>
      <c r="EX615" s="1996"/>
      <c r="EY615" s="1996"/>
      <c r="EZ615" s="1996"/>
      <c r="FA615" s="1997"/>
    </row>
    <row r="616" spans="1:157" ht="12.5">
      <c r="A616" s="35"/>
      <c r="B616" s="12" t="s">
        <v>18</v>
      </c>
      <c r="H616" s="2003"/>
      <c r="I616" s="2003"/>
      <c r="J616" s="2003"/>
      <c r="K616" s="2003"/>
      <c r="L616" s="2003"/>
      <c r="M616" s="2003"/>
      <c r="N616" s="2003"/>
      <c r="O616" s="2003"/>
      <c r="P616" s="2003"/>
      <c r="Q616" s="2003"/>
      <c r="R616" s="2003"/>
      <c r="T616" s="35"/>
      <c r="U616" s="12" t="s">
        <v>18</v>
      </c>
      <c r="AA616" s="2003"/>
      <c r="AB616" s="2003"/>
      <c r="AC616" s="2003"/>
      <c r="AD616" s="2003"/>
      <c r="AE616" s="2003"/>
      <c r="AF616" s="2003"/>
      <c r="AG616" s="2003"/>
      <c r="AH616" s="2003"/>
      <c r="AI616" s="2003"/>
      <c r="AJ616" s="2003"/>
      <c r="AK616" s="2003"/>
      <c r="AZ616" s="58"/>
      <c r="BA616" s="58"/>
      <c r="BB616" s="58"/>
      <c r="BC616" s="58"/>
      <c r="BD616" s="58"/>
      <c r="BE616" s="1995">
        <f t="shared" si="0"/>
        <v>0</v>
      </c>
      <c r="BF616" s="1997"/>
      <c r="BG616" s="1979">
        <f t="shared" si="1"/>
        <v>0</v>
      </c>
      <c r="BH616" s="1981"/>
      <c r="BI616" s="1995">
        <f t="shared" si="2"/>
        <v>0</v>
      </c>
      <c r="BJ616" s="1997"/>
      <c r="BK616" s="1979">
        <f t="shared" si="3"/>
        <v>0</v>
      </c>
      <c r="BL616" s="1981"/>
      <c r="BM616" s="58"/>
      <c r="BN616" s="1972">
        <f t="shared" si="4"/>
        <v>10</v>
      </c>
      <c r="BO616" s="1973"/>
      <c r="BP616" s="1973"/>
      <c r="BQ616" s="1973"/>
      <c r="BR616" s="1974"/>
      <c r="BS616" s="1978">
        <f t="shared" si="5"/>
        <v>0</v>
      </c>
      <c r="BT616" s="1978"/>
      <c r="BU616" s="1978"/>
      <c r="BV616" s="1978"/>
      <c r="BW616" s="1978"/>
      <c r="BX616" s="1978">
        <f t="shared" si="6"/>
        <v>0</v>
      </c>
      <c r="BY616" s="1978"/>
      <c r="BZ616" s="1978"/>
      <c r="CA616" s="1978"/>
      <c r="CB616" s="1978"/>
      <c r="CC616" s="1978">
        <f t="shared" si="7"/>
        <v>0</v>
      </c>
      <c r="CD616" s="1978"/>
      <c r="CE616" s="1978"/>
      <c r="CF616" s="1978"/>
      <c r="CG616" s="1978"/>
      <c r="CH616" s="1978">
        <f t="shared" si="8"/>
        <v>0</v>
      </c>
      <c r="CI616" s="1978"/>
      <c r="CJ616" s="1978"/>
      <c r="CK616" s="1978"/>
      <c r="CL616" s="1978"/>
      <c r="CM616" s="1978">
        <f t="shared" si="9"/>
        <v>0</v>
      </c>
      <c r="CN616" s="1978"/>
      <c r="CO616" s="1978"/>
      <c r="CP616" s="1978"/>
      <c r="CQ616" s="1978"/>
      <c r="CR616" s="265"/>
      <c r="CS616" s="1994">
        <f t="shared" si="10"/>
        <v>0</v>
      </c>
      <c r="CT616" s="1994"/>
      <c r="CU616" s="1994"/>
      <c r="CV616" s="1994"/>
      <c r="CW616" s="1994"/>
      <c r="CX616" s="1994">
        <f t="shared" si="11"/>
        <v>0</v>
      </c>
      <c r="CY616" s="1994"/>
      <c r="CZ616" s="1994"/>
      <c r="DA616" s="1994"/>
      <c r="DB616" s="1994"/>
      <c r="DC616" s="1994">
        <f t="shared" si="12"/>
        <v>0</v>
      </c>
      <c r="DD616" s="1994"/>
      <c r="DE616" s="1994"/>
      <c r="DF616" s="1994"/>
      <c r="DG616" s="1994"/>
      <c r="DH616" s="1994">
        <f t="shared" si="13"/>
        <v>0</v>
      </c>
      <c r="DI616" s="1994"/>
      <c r="DJ616" s="1994"/>
      <c r="DK616" s="1994"/>
      <c r="DL616" s="1994"/>
      <c r="DM616" s="1994">
        <f t="shared" si="14"/>
        <v>0</v>
      </c>
      <c r="DN616" s="1994"/>
      <c r="DO616" s="1994"/>
      <c r="DP616" s="1994"/>
      <c r="DQ616" s="1994"/>
      <c r="DR616" s="1994">
        <f t="shared" si="15"/>
        <v>0</v>
      </c>
      <c r="DS616" s="1994"/>
      <c r="DT616" s="1994"/>
      <c r="DU616" s="1994"/>
      <c r="DV616" s="1994"/>
      <c r="DX616" s="1995">
        <f t="shared" si="16"/>
        <v>1591</v>
      </c>
      <c r="DY616" s="1996"/>
      <c r="DZ616" s="1996"/>
      <c r="EA616" s="1996"/>
      <c r="EB616" s="1997"/>
      <c r="EC616" s="1995" t="str">
        <f t="shared" si="17"/>
        <v xml:space="preserve"> </v>
      </c>
      <c r="ED616" s="1996"/>
      <c r="EE616" s="1996"/>
      <c r="EF616" s="1996"/>
      <c r="EG616" s="1997"/>
      <c r="EH616" s="1995" t="str">
        <f t="shared" si="18"/>
        <v xml:space="preserve"> </v>
      </c>
      <c r="EI616" s="1996"/>
      <c r="EJ616" s="1996"/>
      <c r="EK616" s="1996"/>
      <c r="EL616" s="1997"/>
      <c r="EM616" s="1995" t="str">
        <f t="shared" si="19"/>
        <v xml:space="preserve"> </v>
      </c>
      <c r="EN616" s="1996"/>
      <c r="EO616" s="1996"/>
      <c r="EP616" s="1996"/>
      <c r="EQ616" s="1997"/>
      <c r="ER616" s="1995" t="str">
        <f t="shared" si="20"/>
        <v xml:space="preserve"> </v>
      </c>
      <c r="ES616" s="1996"/>
      <c r="ET616" s="1996"/>
      <c r="EU616" s="1996"/>
      <c r="EV616" s="1997"/>
      <c r="EW616" s="1995" t="str">
        <f t="shared" si="21"/>
        <v xml:space="preserve"> </v>
      </c>
      <c r="EX616" s="1996"/>
      <c r="EY616" s="1996"/>
      <c r="EZ616" s="1996"/>
      <c r="FA616" s="1997"/>
    </row>
    <row r="617" spans="1:157" ht="12.5">
      <c r="A617" s="35"/>
      <c r="B617" s="12" t="s">
        <v>20</v>
      </c>
      <c r="N617" s="1991" t="s">
        <v>704</v>
      </c>
      <c r="O617" s="1991"/>
      <c r="T617" s="35"/>
      <c r="U617" s="12" t="s">
        <v>20</v>
      </c>
      <c r="AG617" s="1991" t="s">
        <v>704</v>
      </c>
      <c r="AH617" s="1991"/>
      <c r="AZ617" s="58"/>
      <c r="BA617" s="58"/>
      <c r="BB617" s="58"/>
      <c r="BC617" s="58"/>
      <c r="BD617" s="58"/>
      <c r="BE617" s="1995">
        <f t="shared" si="0"/>
        <v>0</v>
      </c>
      <c r="BF617" s="1997"/>
      <c r="BG617" s="1979">
        <f t="shared" si="1"/>
        <v>0</v>
      </c>
      <c r="BH617" s="1981"/>
      <c r="BI617" s="1995">
        <f t="shared" si="2"/>
        <v>0</v>
      </c>
      <c r="BJ617" s="1997"/>
      <c r="BK617" s="1979">
        <f t="shared" si="3"/>
        <v>0</v>
      </c>
      <c r="BL617" s="1981"/>
      <c r="BM617" s="58"/>
      <c r="BN617" s="1972">
        <f t="shared" si="4"/>
        <v>0</v>
      </c>
      <c r="BO617" s="1973"/>
      <c r="BP617" s="1973"/>
      <c r="BQ617" s="1973"/>
      <c r="BR617" s="1974"/>
      <c r="BS617" s="1978">
        <f t="shared" si="5"/>
        <v>0</v>
      </c>
      <c r="BT617" s="1978"/>
      <c r="BU617" s="1978"/>
      <c r="BV617" s="1978"/>
      <c r="BW617" s="1978"/>
      <c r="BX617" s="1978">
        <f t="shared" si="6"/>
        <v>14</v>
      </c>
      <c r="BY617" s="1978"/>
      <c r="BZ617" s="1978"/>
      <c r="CA617" s="1978"/>
      <c r="CB617" s="1978"/>
      <c r="CC617" s="1978">
        <f t="shared" si="7"/>
        <v>0</v>
      </c>
      <c r="CD617" s="1978"/>
      <c r="CE617" s="1978"/>
      <c r="CF617" s="1978"/>
      <c r="CG617" s="1978"/>
      <c r="CH617" s="1978">
        <f t="shared" si="8"/>
        <v>0</v>
      </c>
      <c r="CI617" s="1978"/>
      <c r="CJ617" s="1978"/>
      <c r="CK617" s="1978"/>
      <c r="CL617" s="1978"/>
      <c r="CM617" s="1978">
        <f t="shared" si="9"/>
        <v>0</v>
      </c>
      <c r="CN617" s="1978"/>
      <c r="CO617" s="1978"/>
      <c r="CP617" s="1978"/>
      <c r="CQ617" s="1978"/>
      <c r="CR617" s="265"/>
      <c r="CS617" s="1994">
        <f t="shared" si="10"/>
        <v>0</v>
      </c>
      <c r="CT617" s="1994"/>
      <c r="CU617" s="1994"/>
      <c r="CV617" s="1994"/>
      <c r="CW617" s="1994"/>
      <c r="CX617" s="1994">
        <f t="shared" si="11"/>
        <v>0</v>
      </c>
      <c r="CY617" s="1994"/>
      <c r="CZ617" s="1994"/>
      <c r="DA617" s="1994"/>
      <c r="DB617" s="1994"/>
      <c r="DC617" s="1994">
        <f t="shared" si="12"/>
        <v>0</v>
      </c>
      <c r="DD617" s="1994"/>
      <c r="DE617" s="1994"/>
      <c r="DF617" s="1994"/>
      <c r="DG617" s="1994"/>
      <c r="DH617" s="1994">
        <f t="shared" si="13"/>
        <v>0</v>
      </c>
      <c r="DI617" s="1994"/>
      <c r="DJ617" s="1994"/>
      <c r="DK617" s="1994"/>
      <c r="DL617" s="1994"/>
      <c r="DM617" s="1994">
        <f t="shared" si="14"/>
        <v>0</v>
      </c>
      <c r="DN617" s="1994"/>
      <c r="DO617" s="1994"/>
      <c r="DP617" s="1994"/>
      <c r="DQ617" s="1994"/>
      <c r="DR617" s="1994">
        <f t="shared" si="15"/>
        <v>0</v>
      </c>
      <c r="DS617" s="1994"/>
      <c r="DT617" s="1994"/>
      <c r="DU617" s="1994"/>
      <c r="DV617" s="1994"/>
      <c r="DX617" s="1995" t="str">
        <f t="shared" si="16"/>
        <v xml:space="preserve"> </v>
      </c>
      <c r="DY617" s="1996"/>
      <c r="DZ617" s="1996"/>
      <c r="EA617" s="1996"/>
      <c r="EB617" s="1997"/>
      <c r="EC617" s="1995" t="str">
        <f t="shared" si="17"/>
        <v xml:space="preserve"> </v>
      </c>
      <c r="ED617" s="1996"/>
      <c r="EE617" s="1996"/>
      <c r="EF617" s="1996"/>
      <c r="EG617" s="1997"/>
      <c r="EH617" s="1995">
        <f t="shared" si="18"/>
        <v>2037</v>
      </c>
      <c r="EI617" s="1996"/>
      <c r="EJ617" s="1996"/>
      <c r="EK617" s="1996"/>
      <c r="EL617" s="1997"/>
      <c r="EM617" s="1995" t="str">
        <f t="shared" si="19"/>
        <v xml:space="preserve"> </v>
      </c>
      <c r="EN617" s="1996"/>
      <c r="EO617" s="1996"/>
      <c r="EP617" s="1996"/>
      <c r="EQ617" s="1997"/>
      <c r="ER617" s="1995" t="str">
        <f t="shared" si="20"/>
        <v xml:space="preserve"> </v>
      </c>
      <c r="ES617" s="1996"/>
      <c r="ET617" s="1996"/>
      <c r="EU617" s="1996"/>
      <c r="EV617" s="1997"/>
      <c r="EW617" s="1995" t="str">
        <f t="shared" si="21"/>
        <v xml:space="preserve"> </v>
      </c>
      <c r="EX617" s="1996"/>
      <c r="EY617" s="1996"/>
      <c r="EZ617" s="1996"/>
      <c r="FA617" s="1997"/>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5">
        <f t="shared" si="0"/>
        <v>0</v>
      </c>
      <c r="BF618" s="1997"/>
      <c r="BG618" s="1979">
        <f t="shared" si="1"/>
        <v>0</v>
      </c>
      <c r="BH618" s="1981"/>
      <c r="BI618" s="1995">
        <f t="shared" si="2"/>
        <v>0</v>
      </c>
      <c r="BJ618" s="1997"/>
      <c r="BK618" s="1979">
        <f t="shared" si="3"/>
        <v>0</v>
      </c>
      <c r="BL618" s="1981"/>
      <c r="BM618" s="58"/>
      <c r="BN618" s="1972">
        <f t="shared" si="4"/>
        <v>32</v>
      </c>
      <c r="BO618" s="1973"/>
      <c r="BP618" s="1973"/>
      <c r="BQ618" s="1973"/>
      <c r="BR618" s="1974"/>
      <c r="BS618" s="1978">
        <f t="shared" si="5"/>
        <v>0</v>
      </c>
      <c r="BT618" s="1978"/>
      <c r="BU618" s="1978"/>
      <c r="BV618" s="1978"/>
      <c r="BW618" s="1978"/>
      <c r="BX618" s="1978">
        <f t="shared" si="6"/>
        <v>0</v>
      </c>
      <c r="BY618" s="1978"/>
      <c r="BZ618" s="1978"/>
      <c r="CA618" s="1978"/>
      <c r="CB618" s="1978"/>
      <c r="CC618" s="1978">
        <f t="shared" si="7"/>
        <v>0</v>
      </c>
      <c r="CD618" s="1978"/>
      <c r="CE618" s="1978"/>
      <c r="CF618" s="1978"/>
      <c r="CG618" s="1978"/>
      <c r="CH618" s="1978">
        <f t="shared" si="8"/>
        <v>0</v>
      </c>
      <c r="CI618" s="1978"/>
      <c r="CJ618" s="1978"/>
      <c r="CK618" s="1978"/>
      <c r="CL618" s="1978"/>
      <c r="CM618" s="1978">
        <f t="shared" si="9"/>
        <v>0</v>
      </c>
      <c r="CN618" s="1978"/>
      <c r="CO618" s="1978"/>
      <c r="CP618" s="1978"/>
      <c r="CQ618" s="1978"/>
      <c r="CR618" s="265"/>
      <c r="CS618" s="1994">
        <f t="shared" si="10"/>
        <v>0</v>
      </c>
      <c r="CT618" s="1994"/>
      <c r="CU618" s="1994"/>
      <c r="CV618" s="1994"/>
      <c r="CW618" s="1994"/>
      <c r="CX618" s="1994">
        <f t="shared" si="11"/>
        <v>0</v>
      </c>
      <c r="CY618" s="1994"/>
      <c r="CZ618" s="1994"/>
      <c r="DA618" s="1994"/>
      <c r="DB618" s="1994"/>
      <c r="DC618" s="1994">
        <f t="shared" si="12"/>
        <v>0</v>
      </c>
      <c r="DD618" s="1994"/>
      <c r="DE618" s="1994"/>
      <c r="DF618" s="1994"/>
      <c r="DG618" s="1994"/>
      <c r="DH618" s="1994">
        <f t="shared" si="13"/>
        <v>0</v>
      </c>
      <c r="DI618" s="1994"/>
      <c r="DJ618" s="1994"/>
      <c r="DK618" s="1994"/>
      <c r="DL618" s="1994"/>
      <c r="DM618" s="1994">
        <f t="shared" si="14"/>
        <v>0</v>
      </c>
      <c r="DN618" s="1994"/>
      <c r="DO618" s="1994"/>
      <c r="DP618" s="1994"/>
      <c r="DQ618" s="1994"/>
      <c r="DR618" s="1994">
        <f t="shared" si="15"/>
        <v>0</v>
      </c>
      <c r="DS618" s="1994"/>
      <c r="DT618" s="1994"/>
      <c r="DU618" s="1994"/>
      <c r="DV618" s="1994"/>
      <c r="DX618" s="1995">
        <f t="shared" si="16"/>
        <v>1668</v>
      </c>
      <c r="DY618" s="1996"/>
      <c r="DZ618" s="1996"/>
      <c r="EA618" s="1996"/>
      <c r="EB618" s="1997"/>
      <c r="EC618" s="1995" t="str">
        <f t="shared" si="17"/>
        <v xml:space="preserve"> </v>
      </c>
      <c r="ED618" s="1996"/>
      <c r="EE618" s="1996"/>
      <c r="EF618" s="1996"/>
      <c r="EG618" s="1997"/>
      <c r="EH618" s="1995" t="str">
        <f t="shared" si="18"/>
        <v xml:space="preserve"> </v>
      </c>
      <c r="EI618" s="1996"/>
      <c r="EJ618" s="1996"/>
      <c r="EK618" s="1996"/>
      <c r="EL618" s="1997"/>
      <c r="EM618" s="1995" t="str">
        <f t="shared" si="19"/>
        <v xml:space="preserve"> </v>
      </c>
      <c r="EN618" s="1996"/>
      <c r="EO618" s="1996"/>
      <c r="EP618" s="1996"/>
      <c r="EQ618" s="1997"/>
      <c r="ER618" s="1995" t="str">
        <f t="shared" si="20"/>
        <v xml:space="preserve"> </v>
      </c>
      <c r="ES618" s="1996"/>
      <c r="ET618" s="1996"/>
      <c r="EU618" s="1996"/>
      <c r="EV618" s="1997"/>
      <c r="EW618" s="1995" t="str">
        <f t="shared" si="21"/>
        <v xml:space="preserve"> </v>
      </c>
      <c r="EX618" s="1996"/>
      <c r="EY618" s="1996"/>
      <c r="EZ618" s="1996"/>
      <c r="FA618" s="1997"/>
    </row>
    <row r="619" spans="1:157" s="7" customFormat="1" ht="12.5">
      <c r="A619" s="87" t="s">
        <v>371</v>
      </c>
      <c r="B619" s="12" t="s">
        <v>494</v>
      </c>
      <c r="C619" s="12"/>
      <c r="D619" s="12"/>
      <c r="E619" s="12"/>
      <c r="F619" s="12"/>
      <c r="G619" s="1984">
        <f>C574</f>
        <v>0</v>
      </c>
      <c r="H619" s="1984"/>
      <c r="I619" s="1984"/>
      <c r="J619" s="1984"/>
      <c r="K619" s="1984"/>
      <c r="L619" s="1984"/>
      <c r="M619" s="1984"/>
      <c r="N619" s="1984"/>
      <c r="O619" s="1984"/>
      <c r="P619" s="1984"/>
      <c r="Q619" s="1984"/>
      <c r="R619" s="1984"/>
      <c r="S619" s="12"/>
      <c r="T619" s="87" t="s">
        <v>372</v>
      </c>
      <c r="U619" s="12" t="s">
        <v>494</v>
      </c>
      <c r="V619" s="12"/>
      <c r="W619" s="12"/>
      <c r="X619" s="12"/>
      <c r="Y619" s="12"/>
      <c r="Z619" s="1984">
        <f>C575</f>
        <v>0</v>
      </c>
      <c r="AA619" s="1984"/>
      <c r="AB619" s="1984"/>
      <c r="AC619" s="1984"/>
      <c r="AD619" s="1984"/>
      <c r="AE619" s="1984"/>
      <c r="AF619" s="1984"/>
      <c r="AG619" s="1984"/>
      <c r="AH619" s="1984"/>
      <c r="AI619" s="1984"/>
      <c r="AJ619" s="1984"/>
      <c r="AK619" s="1984"/>
      <c r="AL619" s="12"/>
      <c r="AM619" s="39"/>
      <c r="AN619" s="39"/>
      <c r="AO619" s="39"/>
      <c r="AP619" s="39"/>
      <c r="AQ619" s="39"/>
      <c r="AR619" s="39"/>
      <c r="AS619" s="39"/>
      <c r="AT619" s="39"/>
      <c r="AU619" s="39"/>
      <c r="AV619" s="39"/>
      <c r="AW619" s="39"/>
      <c r="AX619" s="39"/>
      <c r="AY619" s="39"/>
      <c r="AZ619" s="58"/>
      <c r="BA619" s="58"/>
      <c r="BB619" s="58"/>
      <c r="BC619" s="58"/>
      <c r="BD619" s="58"/>
      <c r="BE619" s="1995">
        <f t="shared" si="0"/>
        <v>0</v>
      </c>
      <c r="BF619" s="1997"/>
      <c r="BG619" s="1979">
        <f t="shared" si="1"/>
        <v>0</v>
      </c>
      <c r="BH619" s="1981"/>
      <c r="BI619" s="1995">
        <f t="shared" si="2"/>
        <v>0</v>
      </c>
      <c r="BJ619" s="1997"/>
      <c r="BK619" s="1979">
        <f t="shared" si="3"/>
        <v>0</v>
      </c>
      <c r="BL619" s="1981"/>
      <c r="BM619" s="58"/>
      <c r="BN619" s="1972">
        <f t="shared" si="4"/>
        <v>0</v>
      </c>
      <c r="BO619" s="1973"/>
      <c r="BP619" s="1973"/>
      <c r="BQ619" s="1973"/>
      <c r="BR619" s="1974"/>
      <c r="BS619" s="1978">
        <f t="shared" si="5"/>
        <v>0</v>
      </c>
      <c r="BT619" s="1978"/>
      <c r="BU619" s="1978"/>
      <c r="BV619" s="1978"/>
      <c r="BW619" s="1978"/>
      <c r="BX619" s="1978">
        <f t="shared" si="6"/>
        <v>0</v>
      </c>
      <c r="BY619" s="1978"/>
      <c r="BZ619" s="1978"/>
      <c r="CA619" s="1978"/>
      <c r="CB619" s="1978"/>
      <c r="CC619" s="1978">
        <f t="shared" si="7"/>
        <v>0</v>
      </c>
      <c r="CD619" s="1978"/>
      <c r="CE619" s="1978"/>
      <c r="CF619" s="1978"/>
      <c r="CG619" s="1978"/>
      <c r="CH619" s="1978">
        <f t="shared" si="8"/>
        <v>0</v>
      </c>
      <c r="CI619" s="1978"/>
      <c r="CJ619" s="1978"/>
      <c r="CK619" s="1978"/>
      <c r="CL619" s="1978"/>
      <c r="CM619" s="1978">
        <f t="shared" si="9"/>
        <v>0</v>
      </c>
      <c r="CN619" s="1978"/>
      <c r="CO619" s="1978"/>
      <c r="CP619" s="1978"/>
      <c r="CQ619" s="1978"/>
      <c r="CR619" s="265"/>
      <c r="CS619" s="1994">
        <f t="shared" si="10"/>
        <v>0</v>
      </c>
      <c r="CT619" s="1994"/>
      <c r="CU619" s="1994"/>
      <c r="CV619" s="1994"/>
      <c r="CW619" s="1994"/>
      <c r="CX619" s="1994">
        <f t="shared" si="11"/>
        <v>0</v>
      </c>
      <c r="CY619" s="1994"/>
      <c r="CZ619" s="1994"/>
      <c r="DA619" s="1994"/>
      <c r="DB619" s="1994"/>
      <c r="DC619" s="1994">
        <f t="shared" si="12"/>
        <v>0</v>
      </c>
      <c r="DD619" s="1994"/>
      <c r="DE619" s="1994"/>
      <c r="DF619" s="1994"/>
      <c r="DG619" s="1994"/>
      <c r="DH619" s="1994">
        <f t="shared" si="13"/>
        <v>0</v>
      </c>
      <c r="DI619" s="1994"/>
      <c r="DJ619" s="1994"/>
      <c r="DK619" s="1994"/>
      <c r="DL619" s="1994"/>
      <c r="DM619" s="1994">
        <f t="shared" si="14"/>
        <v>0</v>
      </c>
      <c r="DN619" s="1994"/>
      <c r="DO619" s="1994"/>
      <c r="DP619" s="1994"/>
      <c r="DQ619" s="1994"/>
      <c r="DR619" s="1994">
        <f t="shared" si="15"/>
        <v>0</v>
      </c>
      <c r="DS619" s="1994"/>
      <c r="DT619" s="1994"/>
      <c r="DU619" s="1994"/>
      <c r="DV619" s="1994"/>
      <c r="DX619" s="1995" t="str">
        <f t="shared" si="16"/>
        <v xml:space="preserve"> </v>
      </c>
      <c r="DY619" s="1996"/>
      <c r="DZ619" s="1996"/>
      <c r="EA619" s="1996"/>
      <c r="EB619" s="1997"/>
      <c r="EC619" s="1995" t="str">
        <f t="shared" si="17"/>
        <v xml:space="preserve"> </v>
      </c>
      <c r="ED619" s="1996"/>
      <c r="EE619" s="1996"/>
      <c r="EF619" s="1996"/>
      <c r="EG619" s="1997"/>
      <c r="EH619" s="1995" t="str">
        <f t="shared" si="18"/>
        <v xml:space="preserve"> </v>
      </c>
      <c r="EI619" s="1996"/>
      <c r="EJ619" s="1996"/>
      <c r="EK619" s="1996"/>
      <c r="EL619" s="1997"/>
      <c r="EM619" s="1995" t="str">
        <f t="shared" si="19"/>
        <v xml:space="preserve"> </v>
      </c>
      <c r="EN619" s="1996"/>
      <c r="EO619" s="1996"/>
      <c r="EP619" s="1996"/>
      <c r="EQ619" s="1997"/>
      <c r="ER619" s="1995" t="str">
        <f t="shared" si="20"/>
        <v xml:space="preserve"> </v>
      </c>
      <c r="ES619" s="1996"/>
      <c r="ET619" s="1996"/>
      <c r="EU619" s="1996"/>
      <c r="EV619" s="1997"/>
      <c r="EW619" s="1995" t="str">
        <f t="shared" si="21"/>
        <v xml:space="preserve"> </v>
      </c>
      <c r="EX619" s="1996"/>
      <c r="EY619" s="1996"/>
      <c r="EZ619" s="1996"/>
      <c r="FA619" s="1997"/>
    </row>
    <row r="620" spans="1:157" s="7" customFormat="1" ht="12.5">
      <c r="A620" s="12"/>
      <c r="B620" s="12" t="s">
        <v>90</v>
      </c>
      <c r="C620" s="12"/>
      <c r="D620" s="12"/>
      <c r="E620" s="12"/>
      <c r="F620" s="12"/>
      <c r="G620" s="2003"/>
      <c r="H620" s="2003"/>
      <c r="I620" s="2003"/>
      <c r="J620" s="2003"/>
      <c r="K620" s="2003"/>
      <c r="L620" s="2003"/>
      <c r="M620" s="2003"/>
      <c r="N620" s="2003"/>
      <c r="O620" s="2003"/>
      <c r="P620" s="2003"/>
      <c r="Q620" s="2003"/>
      <c r="R620" s="2003"/>
      <c r="S620" s="12"/>
      <c r="T620" s="12"/>
      <c r="U620" s="12" t="s">
        <v>90</v>
      </c>
      <c r="V620" s="12"/>
      <c r="W620" s="12"/>
      <c r="X620" s="12"/>
      <c r="Y620" s="12"/>
      <c r="Z620" s="2003"/>
      <c r="AA620" s="2003"/>
      <c r="AB620" s="2003"/>
      <c r="AC620" s="2003"/>
      <c r="AD620" s="2003"/>
      <c r="AE620" s="2003"/>
      <c r="AF620" s="2003"/>
      <c r="AG620" s="2003"/>
      <c r="AH620" s="2003"/>
      <c r="AI620" s="2003"/>
      <c r="AJ620" s="2003"/>
      <c r="AK620" s="2003"/>
      <c r="AL620" s="12"/>
      <c r="AM620" s="39"/>
      <c r="AN620" s="39"/>
      <c r="AO620" s="39"/>
      <c r="AP620" s="39"/>
      <c r="AQ620" s="39"/>
      <c r="AR620" s="39"/>
      <c r="AS620" s="39"/>
      <c r="AT620" s="39"/>
      <c r="AU620" s="39"/>
      <c r="AV620" s="39"/>
      <c r="AW620" s="39"/>
      <c r="AX620" s="39"/>
      <c r="AY620" s="39"/>
      <c r="AZ620" s="58"/>
      <c r="BA620" s="58"/>
      <c r="BB620" s="58"/>
      <c r="BC620" s="58"/>
      <c r="BD620" s="58"/>
      <c r="BE620" s="1995">
        <f t="shared" si="0"/>
        <v>0</v>
      </c>
      <c r="BF620" s="1997"/>
      <c r="BG620" s="1979">
        <f t="shared" si="1"/>
        <v>0</v>
      </c>
      <c r="BH620" s="1981"/>
      <c r="BI620" s="1995">
        <f t="shared" si="2"/>
        <v>0</v>
      </c>
      <c r="BJ620" s="1997"/>
      <c r="BK620" s="1979">
        <f t="shared" si="3"/>
        <v>0</v>
      </c>
      <c r="BL620" s="1981"/>
      <c r="BM620" s="58"/>
      <c r="BN620" s="1972">
        <f t="shared" si="4"/>
        <v>0</v>
      </c>
      <c r="BO620" s="1973"/>
      <c r="BP620" s="1973"/>
      <c r="BQ620" s="1973"/>
      <c r="BR620" s="1974"/>
      <c r="BS620" s="1978">
        <f t="shared" si="5"/>
        <v>0</v>
      </c>
      <c r="BT620" s="1978"/>
      <c r="BU620" s="1978"/>
      <c r="BV620" s="1978"/>
      <c r="BW620" s="1978"/>
      <c r="BX620" s="1978">
        <f t="shared" si="6"/>
        <v>0</v>
      </c>
      <c r="BY620" s="1978"/>
      <c r="BZ620" s="1978"/>
      <c r="CA620" s="1978"/>
      <c r="CB620" s="1978"/>
      <c r="CC620" s="1978">
        <f t="shared" si="7"/>
        <v>0</v>
      </c>
      <c r="CD620" s="1978"/>
      <c r="CE620" s="1978"/>
      <c r="CF620" s="1978"/>
      <c r="CG620" s="1978"/>
      <c r="CH620" s="1978">
        <f t="shared" si="8"/>
        <v>0</v>
      </c>
      <c r="CI620" s="1978"/>
      <c r="CJ620" s="1978"/>
      <c r="CK620" s="1978"/>
      <c r="CL620" s="1978"/>
      <c r="CM620" s="1978">
        <f t="shared" si="9"/>
        <v>0</v>
      </c>
      <c r="CN620" s="1978"/>
      <c r="CO620" s="1978"/>
      <c r="CP620" s="1978"/>
      <c r="CQ620" s="1978"/>
      <c r="CR620" s="265"/>
      <c r="CS620" s="1994">
        <f t="shared" si="10"/>
        <v>0</v>
      </c>
      <c r="CT620" s="1994"/>
      <c r="CU620" s="1994"/>
      <c r="CV620" s="1994"/>
      <c r="CW620" s="1994"/>
      <c r="CX620" s="1994">
        <f t="shared" si="11"/>
        <v>0</v>
      </c>
      <c r="CY620" s="1994"/>
      <c r="CZ620" s="1994"/>
      <c r="DA620" s="1994"/>
      <c r="DB620" s="1994"/>
      <c r="DC620" s="1994">
        <f t="shared" si="12"/>
        <v>0</v>
      </c>
      <c r="DD620" s="1994"/>
      <c r="DE620" s="1994"/>
      <c r="DF620" s="1994"/>
      <c r="DG620" s="1994"/>
      <c r="DH620" s="1994">
        <f t="shared" si="13"/>
        <v>0</v>
      </c>
      <c r="DI620" s="1994"/>
      <c r="DJ620" s="1994"/>
      <c r="DK620" s="1994"/>
      <c r="DL620" s="1994"/>
      <c r="DM620" s="1994">
        <f t="shared" si="14"/>
        <v>0</v>
      </c>
      <c r="DN620" s="1994"/>
      <c r="DO620" s="1994"/>
      <c r="DP620" s="1994"/>
      <c r="DQ620" s="1994"/>
      <c r="DR620" s="1994">
        <f t="shared" si="15"/>
        <v>0</v>
      </c>
      <c r="DS620" s="1994"/>
      <c r="DT620" s="1994"/>
      <c r="DU620" s="1994"/>
      <c r="DV620" s="1994"/>
      <c r="DX620" s="1995" t="str">
        <f t="shared" si="16"/>
        <v xml:space="preserve"> </v>
      </c>
      <c r="DY620" s="1996"/>
      <c r="DZ620" s="1996"/>
      <c r="EA620" s="1996"/>
      <c r="EB620" s="1997"/>
      <c r="EC620" s="1995" t="str">
        <f t="shared" si="17"/>
        <v xml:space="preserve"> </v>
      </c>
      <c r="ED620" s="1996"/>
      <c r="EE620" s="1996"/>
      <c r="EF620" s="1996"/>
      <c r="EG620" s="1997"/>
      <c r="EH620" s="1995" t="str">
        <f t="shared" si="18"/>
        <v xml:space="preserve"> </v>
      </c>
      <c r="EI620" s="1996"/>
      <c r="EJ620" s="1996"/>
      <c r="EK620" s="1996"/>
      <c r="EL620" s="1997"/>
      <c r="EM620" s="1995" t="str">
        <f t="shared" si="19"/>
        <v xml:space="preserve"> </v>
      </c>
      <c r="EN620" s="1996"/>
      <c r="EO620" s="1996"/>
      <c r="EP620" s="1996"/>
      <c r="EQ620" s="1997"/>
      <c r="ER620" s="1995" t="str">
        <f t="shared" si="20"/>
        <v xml:space="preserve"> </v>
      </c>
      <c r="ES620" s="1996"/>
      <c r="ET620" s="1996"/>
      <c r="EU620" s="1996"/>
      <c r="EV620" s="1997"/>
      <c r="EW620" s="1995" t="str">
        <f t="shared" si="21"/>
        <v xml:space="preserve"> </v>
      </c>
      <c r="EX620" s="1996"/>
      <c r="EY620" s="1996"/>
      <c r="EZ620" s="1996"/>
      <c r="FA620" s="1997"/>
    </row>
    <row r="621" spans="1:157" ht="12.5">
      <c r="B621" s="12" t="s">
        <v>613</v>
      </c>
      <c r="G621" s="2003"/>
      <c r="H621" s="2003"/>
      <c r="I621" s="2003"/>
      <c r="J621" s="2003"/>
      <c r="K621" s="2003"/>
      <c r="L621" s="2003"/>
      <c r="M621" s="2003"/>
      <c r="N621" s="2003"/>
      <c r="O621" s="2003"/>
      <c r="P621" s="2003"/>
      <c r="Q621" s="2003"/>
      <c r="R621" s="2003"/>
      <c r="U621" s="12" t="s">
        <v>613</v>
      </c>
      <c r="Z621" s="2005"/>
      <c r="AA621" s="2005"/>
      <c r="AB621" s="2005"/>
      <c r="AC621" s="2005"/>
      <c r="AD621" s="2005"/>
      <c r="AE621" s="2005"/>
      <c r="AF621" s="2005"/>
      <c r="AG621" s="2005"/>
      <c r="AH621" s="2005"/>
      <c r="AI621" s="2005"/>
      <c r="AJ621" s="2005"/>
      <c r="AK621" s="2005"/>
      <c r="AZ621" s="58"/>
      <c r="BA621" s="58"/>
      <c r="BB621" s="58"/>
      <c r="BC621" s="58"/>
      <c r="BD621" s="58"/>
      <c r="BE621" s="1995">
        <f t="shared" si="0"/>
        <v>0</v>
      </c>
      <c r="BF621" s="1997"/>
      <c r="BG621" s="1979">
        <f t="shared" si="1"/>
        <v>0</v>
      </c>
      <c r="BH621" s="1981"/>
      <c r="BI621" s="1995">
        <f t="shared" si="2"/>
        <v>0</v>
      </c>
      <c r="BJ621" s="1997"/>
      <c r="BK621" s="1979">
        <f t="shared" si="3"/>
        <v>0</v>
      </c>
      <c r="BL621" s="1981"/>
      <c r="BM621" s="58"/>
      <c r="BN621" s="1972">
        <f t="shared" si="4"/>
        <v>0</v>
      </c>
      <c r="BO621" s="1973"/>
      <c r="BP621" s="1973"/>
      <c r="BQ621" s="1973"/>
      <c r="BR621" s="1974"/>
      <c r="BS621" s="1978">
        <f t="shared" si="5"/>
        <v>0</v>
      </c>
      <c r="BT621" s="1978"/>
      <c r="BU621" s="1978"/>
      <c r="BV621" s="1978"/>
      <c r="BW621" s="1978"/>
      <c r="BX621" s="1978">
        <f t="shared" si="6"/>
        <v>0</v>
      </c>
      <c r="BY621" s="1978"/>
      <c r="BZ621" s="1978"/>
      <c r="CA621" s="1978"/>
      <c r="CB621" s="1978"/>
      <c r="CC621" s="1978">
        <f t="shared" si="7"/>
        <v>0</v>
      </c>
      <c r="CD621" s="1978"/>
      <c r="CE621" s="1978"/>
      <c r="CF621" s="1978"/>
      <c r="CG621" s="1978"/>
      <c r="CH621" s="1978">
        <f t="shared" si="8"/>
        <v>0</v>
      </c>
      <c r="CI621" s="1978"/>
      <c r="CJ621" s="1978"/>
      <c r="CK621" s="1978"/>
      <c r="CL621" s="1978"/>
      <c r="CM621" s="1978">
        <f t="shared" si="9"/>
        <v>0</v>
      </c>
      <c r="CN621" s="1978"/>
      <c r="CO621" s="1978"/>
      <c r="CP621" s="1978"/>
      <c r="CQ621" s="1978"/>
      <c r="CR621" s="265"/>
      <c r="CS621" s="1994">
        <f t="shared" si="10"/>
        <v>0</v>
      </c>
      <c r="CT621" s="1994"/>
      <c r="CU621" s="1994"/>
      <c r="CV621" s="1994"/>
      <c r="CW621" s="1994"/>
      <c r="CX621" s="1994">
        <f t="shared" si="11"/>
        <v>0</v>
      </c>
      <c r="CY621" s="1994"/>
      <c r="CZ621" s="1994"/>
      <c r="DA621" s="1994"/>
      <c r="DB621" s="1994"/>
      <c r="DC621" s="1994">
        <f t="shared" si="12"/>
        <v>0</v>
      </c>
      <c r="DD621" s="1994"/>
      <c r="DE621" s="1994"/>
      <c r="DF621" s="1994"/>
      <c r="DG621" s="1994"/>
      <c r="DH621" s="1994">
        <f t="shared" si="13"/>
        <v>0</v>
      </c>
      <c r="DI621" s="1994"/>
      <c r="DJ621" s="1994"/>
      <c r="DK621" s="1994"/>
      <c r="DL621" s="1994"/>
      <c r="DM621" s="1994">
        <f t="shared" si="14"/>
        <v>0</v>
      </c>
      <c r="DN621" s="1994"/>
      <c r="DO621" s="1994"/>
      <c r="DP621" s="1994"/>
      <c r="DQ621" s="1994"/>
      <c r="DR621" s="1994">
        <f t="shared" si="15"/>
        <v>0</v>
      </c>
      <c r="DS621" s="1994"/>
      <c r="DT621" s="1994"/>
      <c r="DU621" s="1994"/>
      <c r="DV621" s="1994"/>
      <c r="DX621" s="1995" t="str">
        <f t="shared" si="16"/>
        <v xml:space="preserve"> </v>
      </c>
      <c r="DY621" s="1996"/>
      <c r="DZ621" s="1996"/>
      <c r="EA621" s="1996"/>
      <c r="EB621" s="1997"/>
      <c r="EC621" s="1995" t="str">
        <f t="shared" si="17"/>
        <v xml:space="preserve"> </v>
      </c>
      <c r="ED621" s="1996"/>
      <c r="EE621" s="1996"/>
      <c r="EF621" s="1996"/>
      <c r="EG621" s="1997"/>
      <c r="EH621" s="1995" t="str">
        <f t="shared" si="18"/>
        <v xml:space="preserve"> </v>
      </c>
      <c r="EI621" s="1996"/>
      <c r="EJ621" s="1996"/>
      <c r="EK621" s="1996"/>
      <c r="EL621" s="1997"/>
      <c r="EM621" s="1995" t="str">
        <f t="shared" si="19"/>
        <v xml:space="preserve"> </v>
      </c>
      <c r="EN621" s="1996"/>
      <c r="EO621" s="1996"/>
      <c r="EP621" s="1996"/>
      <c r="EQ621" s="1997"/>
      <c r="ER621" s="1995" t="str">
        <f t="shared" si="20"/>
        <v xml:space="preserve"> </v>
      </c>
      <c r="ES621" s="1996"/>
      <c r="ET621" s="1996"/>
      <c r="EU621" s="1996"/>
      <c r="EV621" s="1997"/>
      <c r="EW621" s="1995" t="str">
        <f t="shared" si="21"/>
        <v xml:space="preserve"> </v>
      </c>
      <c r="EX621" s="1996"/>
      <c r="EY621" s="1996"/>
      <c r="EZ621" s="1996"/>
      <c r="FA621" s="1997"/>
    </row>
    <row r="622" spans="1:157" ht="12.5">
      <c r="B622" s="12" t="s">
        <v>17</v>
      </c>
      <c r="G622" s="2003"/>
      <c r="H622" s="2003"/>
      <c r="I622" s="2003"/>
      <c r="J622" s="2003"/>
      <c r="K622" s="2003"/>
      <c r="L622" s="2003"/>
      <c r="M622" s="2003"/>
      <c r="N622" s="2003"/>
      <c r="O622" s="2003"/>
      <c r="P622" s="2003"/>
      <c r="Q622" s="2003"/>
      <c r="R622" s="2003"/>
      <c r="U622" s="12" t="s">
        <v>17</v>
      </c>
      <c r="Z622" s="2005"/>
      <c r="AA622" s="2005"/>
      <c r="AB622" s="2005"/>
      <c r="AC622" s="2005"/>
      <c r="AD622" s="2005"/>
      <c r="AE622" s="2005"/>
      <c r="AF622" s="2005"/>
      <c r="AG622" s="2005"/>
      <c r="AH622" s="2005"/>
      <c r="AI622" s="2005"/>
      <c r="AJ622" s="2005"/>
      <c r="AK622" s="2005"/>
      <c r="AZ622" s="58"/>
      <c r="BA622" s="58"/>
      <c r="BB622" s="58"/>
      <c r="BC622" s="58"/>
      <c r="BD622" s="58"/>
      <c r="BE622" s="1995">
        <f t="shared" si="0"/>
        <v>0</v>
      </c>
      <c r="BF622" s="1997"/>
      <c r="BG622" s="1979">
        <f t="shared" si="1"/>
        <v>0</v>
      </c>
      <c r="BH622" s="1981"/>
      <c r="BI622" s="1995">
        <f t="shared" si="2"/>
        <v>0</v>
      </c>
      <c r="BJ622" s="1997"/>
      <c r="BK622" s="1979">
        <f t="shared" si="3"/>
        <v>0</v>
      </c>
      <c r="BL622" s="1981"/>
      <c r="BM622" s="58"/>
      <c r="BN622" s="1972">
        <f t="shared" si="4"/>
        <v>0</v>
      </c>
      <c r="BO622" s="1973"/>
      <c r="BP622" s="1973"/>
      <c r="BQ622" s="1973"/>
      <c r="BR622" s="1974"/>
      <c r="BS622" s="1978">
        <f t="shared" si="5"/>
        <v>0</v>
      </c>
      <c r="BT622" s="1978"/>
      <c r="BU622" s="1978"/>
      <c r="BV622" s="1978"/>
      <c r="BW622" s="1978"/>
      <c r="BX622" s="1978">
        <f t="shared" si="6"/>
        <v>0</v>
      </c>
      <c r="BY622" s="1978"/>
      <c r="BZ622" s="1978"/>
      <c r="CA622" s="1978"/>
      <c r="CB622" s="1978"/>
      <c r="CC622" s="1978">
        <f t="shared" si="7"/>
        <v>0</v>
      </c>
      <c r="CD622" s="1978"/>
      <c r="CE622" s="1978"/>
      <c r="CF622" s="1978"/>
      <c r="CG622" s="1978"/>
      <c r="CH622" s="1978">
        <f t="shared" si="8"/>
        <v>0</v>
      </c>
      <c r="CI622" s="1978"/>
      <c r="CJ622" s="1978"/>
      <c r="CK622" s="1978"/>
      <c r="CL622" s="1978"/>
      <c r="CM622" s="1978">
        <f t="shared" si="9"/>
        <v>0</v>
      </c>
      <c r="CN622" s="1978"/>
      <c r="CO622" s="1978"/>
      <c r="CP622" s="1978"/>
      <c r="CQ622" s="1978"/>
      <c r="CR622" s="265"/>
      <c r="CS622" s="1994">
        <f t="shared" si="10"/>
        <v>0</v>
      </c>
      <c r="CT622" s="1994"/>
      <c r="CU622" s="1994"/>
      <c r="CV622" s="1994"/>
      <c r="CW622" s="1994"/>
      <c r="CX622" s="1994">
        <f t="shared" si="11"/>
        <v>0</v>
      </c>
      <c r="CY622" s="1994"/>
      <c r="CZ622" s="1994"/>
      <c r="DA622" s="1994"/>
      <c r="DB622" s="1994"/>
      <c r="DC622" s="1994">
        <f t="shared" si="12"/>
        <v>0</v>
      </c>
      <c r="DD622" s="1994"/>
      <c r="DE622" s="1994"/>
      <c r="DF622" s="1994"/>
      <c r="DG622" s="1994"/>
      <c r="DH622" s="1994">
        <f t="shared" si="13"/>
        <v>0</v>
      </c>
      <c r="DI622" s="1994"/>
      <c r="DJ622" s="1994"/>
      <c r="DK622" s="1994"/>
      <c r="DL622" s="1994"/>
      <c r="DM622" s="1994">
        <f t="shared" si="14"/>
        <v>0</v>
      </c>
      <c r="DN622" s="1994"/>
      <c r="DO622" s="1994"/>
      <c r="DP622" s="1994"/>
      <c r="DQ622" s="1994"/>
      <c r="DR622" s="1994">
        <f t="shared" si="15"/>
        <v>0</v>
      </c>
      <c r="DS622" s="1994"/>
      <c r="DT622" s="1994"/>
      <c r="DU622" s="1994"/>
      <c r="DV622" s="1994"/>
      <c r="DX622" s="1995" t="str">
        <f t="shared" si="16"/>
        <v xml:space="preserve"> </v>
      </c>
      <c r="DY622" s="1996"/>
      <c r="DZ622" s="1996"/>
      <c r="EA622" s="1996"/>
      <c r="EB622" s="1997"/>
      <c r="EC622" s="1995" t="str">
        <f t="shared" si="17"/>
        <v xml:space="preserve"> </v>
      </c>
      <c r="ED622" s="1996"/>
      <c r="EE622" s="1996"/>
      <c r="EF622" s="1996"/>
      <c r="EG622" s="1997"/>
      <c r="EH622" s="1995" t="str">
        <f t="shared" si="18"/>
        <v xml:space="preserve"> </v>
      </c>
      <c r="EI622" s="1996"/>
      <c r="EJ622" s="1996"/>
      <c r="EK622" s="1996"/>
      <c r="EL622" s="1997"/>
      <c r="EM622" s="1995" t="str">
        <f t="shared" si="19"/>
        <v xml:space="preserve"> </v>
      </c>
      <c r="EN622" s="1996"/>
      <c r="EO622" s="1996"/>
      <c r="EP622" s="1996"/>
      <c r="EQ622" s="1997"/>
      <c r="ER622" s="1995" t="str">
        <f t="shared" si="20"/>
        <v xml:space="preserve"> </v>
      </c>
      <c r="ES622" s="1996"/>
      <c r="ET622" s="1996"/>
      <c r="EU622" s="1996"/>
      <c r="EV622" s="1997"/>
      <c r="EW622" s="1995" t="str">
        <f t="shared" si="21"/>
        <v xml:space="preserve"> </v>
      </c>
      <c r="EX622" s="1996"/>
      <c r="EY622" s="1996"/>
      <c r="EZ622" s="1996"/>
      <c r="FA622" s="1997"/>
    </row>
    <row r="623" spans="1:157" ht="12.5">
      <c r="B623" s="12" t="s">
        <v>324</v>
      </c>
      <c r="G623" s="2007"/>
      <c r="H623" s="2007"/>
      <c r="I623" s="2007"/>
      <c r="J623" s="2007"/>
      <c r="K623" s="2007"/>
      <c r="L623" s="2007"/>
      <c r="O623" s="137" t="s">
        <v>211</v>
      </c>
      <c r="P623" s="1992"/>
      <c r="Q623" s="1992"/>
      <c r="R623" s="1992"/>
      <c r="U623" s="12" t="s">
        <v>324</v>
      </c>
      <c r="Z623" s="2007"/>
      <c r="AA623" s="2007"/>
      <c r="AB623" s="2007"/>
      <c r="AC623" s="2007"/>
      <c r="AD623" s="2007"/>
      <c r="AE623" s="2007"/>
      <c r="AH623" s="137" t="s">
        <v>211</v>
      </c>
      <c r="AI623" s="1992"/>
      <c r="AJ623" s="1992"/>
      <c r="AK623" s="1992"/>
      <c r="AZ623" s="58"/>
      <c r="BA623" s="58"/>
      <c r="BB623" s="58"/>
      <c r="BC623" s="58"/>
      <c r="BD623" s="58"/>
      <c r="BE623" s="1995">
        <f t="shared" si="0"/>
        <v>0</v>
      </c>
      <c r="BF623" s="1997"/>
      <c r="BG623" s="1979">
        <f t="shared" si="1"/>
        <v>0</v>
      </c>
      <c r="BH623" s="1981"/>
      <c r="BI623" s="1995">
        <f t="shared" si="2"/>
        <v>0</v>
      </c>
      <c r="BJ623" s="1997"/>
      <c r="BK623" s="1979">
        <f t="shared" si="3"/>
        <v>0</v>
      </c>
      <c r="BL623" s="1981"/>
      <c r="BM623" s="58"/>
      <c r="BN623" s="1972">
        <f t="shared" si="4"/>
        <v>0</v>
      </c>
      <c r="BO623" s="1973"/>
      <c r="BP623" s="1973"/>
      <c r="BQ623" s="1973"/>
      <c r="BR623" s="1974"/>
      <c r="BS623" s="1978">
        <f t="shared" si="5"/>
        <v>0</v>
      </c>
      <c r="BT623" s="1978"/>
      <c r="BU623" s="1978"/>
      <c r="BV623" s="1978"/>
      <c r="BW623" s="1978"/>
      <c r="BX623" s="1978">
        <f t="shared" si="6"/>
        <v>0</v>
      </c>
      <c r="BY623" s="1978"/>
      <c r="BZ623" s="1978"/>
      <c r="CA623" s="1978"/>
      <c r="CB623" s="1978"/>
      <c r="CC623" s="1978">
        <f t="shared" si="7"/>
        <v>0</v>
      </c>
      <c r="CD623" s="1978"/>
      <c r="CE623" s="1978"/>
      <c r="CF623" s="1978"/>
      <c r="CG623" s="1978"/>
      <c r="CH623" s="1978">
        <f t="shared" si="8"/>
        <v>0</v>
      </c>
      <c r="CI623" s="1978"/>
      <c r="CJ623" s="1978"/>
      <c r="CK623" s="1978"/>
      <c r="CL623" s="1978"/>
      <c r="CM623" s="1978">
        <f t="shared" si="9"/>
        <v>0</v>
      </c>
      <c r="CN623" s="1978"/>
      <c r="CO623" s="1978"/>
      <c r="CP623" s="1978"/>
      <c r="CQ623" s="1978"/>
      <c r="CR623" s="265"/>
      <c r="CS623" s="1994">
        <f t="shared" si="10"/>
        <v>0</v>
      </c>
      <c r="CT623" s="1994"/>
      <c r="CU623" s="1994"/>
      <c r="CV623" s="1994"/>
      <c r="CW623" s="1994"/>
      <c r="CX623" s="1994">
        <f t="shared" si="11"/>
        <v>0</v>
      </c>
      <c r="CY623" s="1994"/>
      <c r="CZ623" s="1994"/>
      <c r="DA623" s="1994"/>
      <c r="DB623" s="1994"/>
      <c r="DC623" s="1994">
        <f t="shared" si="12"/>
        <v>0</v>
      </c>
      <c r="DD623" s="1994"/>
      <c r="DE623" s="1994"/>
      <c r="DF623" s="1994"/>
      <c r="DG623" s="1994"/>
      <c r="DH623" s="1994">
        <f t="shared" si="13"/>
        <v>0</v>
      </c>
      <c r="DI623" s="1994"/>
      <c r="DJ623" s="1994"/>
      <c r="DK623" s="1994"/>
      <c r="DL623" s="1994"/>
      <c r="DM623" s="1994">
        <f t="shared" si="14"/>
        <v>0</v>
      </c>
      <c r="DN623" s="1994"/>
      <c r="DO623" s="1994"/>
      <c r="DP623" s="1994"/>
      <c r="DQ623" s="1994"/>
      <c r="DR623" s="1994">
        <f t="shared" si="15"/>
        <v>0</v>
      </c>
      <c r="DS623" s="1994"/>
      <c r="DT623" s="1994"/>
      <c r="DU623" s="1994"/>
      <c r="DV623" s="1994"/>
      <c r="DX623" s="1995" t="str">
        <f t="shared" si="16"/>
        <v xml:space="preserve"> </v>
      </c>
      <c r="DY623" s="1996"/>
      <c r="DZ623" s="1996"/>
      <c r="EA623" s="1996"/>
      <c r="EB623" s="1997"/>
      <c r="EC623" s="1995" t="str">
        <f t="shared" si="17"/>
        <v xml:space="preserve"> </v>
      </c>
      <c r="ED623" s="1996"/>
      <c r="EE623" s="1996"/>
      <c r="EF623" s="1996"/>
      <c r="EG623" s="1997"/>
      <c r="EH623" s="1995" t="str">
        <f t="shared" si="18"/>
        <v xml:space="preserve"> </v>
      </c>
      <c r="EI623" s="1996"/>
      <c r="EJ623" s="1996"/>
      <c r="EK623" s="1996"/>
      <c r="EL623" s="1997"/>
      <c r="EM623" s="1995" t="str">
        <f t="shared" si="19"/>
        <v xml:space="preserve"> </v>
      </c>
      <c r="EN623" s="1996"/>
      <c r="EO623" s="1996"/>
      <c r="EP623" s="1996"/>
      <c r="EQ623" s="1997"/>
      <c r="ER623" s="1995" t="str">
        <f t="shared" si="20"/>
        <v xml:space="preserve"> </v>
      </c>
      <c r="ES623" s="1996"/>
      <c r="ET623" s="1996"/>
      <c r="EU623" s="1996"/>
      <c r="EV623" s="1997"/>
      <c r="EW623" s="1995" t="str">
        <f t="shared" si="21"/>
        <v xml:space="preserve"> </v>
      </c>
      <c r="EX623" s="1996"/>
      <c r="EY623" s="1996"/>
      <c r="EZ623" s="1996"/>
      <c r="FA623" s="1997"/>
    </row>
    <row r="624" spans="1:157" ht="12.5">
      <c r="B624" s="12" t="s">
        <v>18</v>
      </c>
      <c r="H624" s="2003"/>
      <c r="I624" s="2003"/>
      <c r="J624" s="2003"/>
      <c r="K624" s="2003"/>
      <c r="L624" s="2003"/>
      <c r="M624" s="2003"/>
      <c r="N624" s="2003"/>
      <c r="O624" s="2003"/>
      <c r="P624" s="2003"/>
      <c r="Q624" s="2003"/>
      <c r="R624" s="2003"/>
      <c r="U624" s="12" t="s">
        <v>18</v>
      </c>
      <c r="AA624" s="2003"/>
      <c r="AB624" s="2003"/>
      <c r="AC624" s="2003"/>
      <c r="AD624" s="2003"/>
      <c r="AE624" s="2003"/>
      <c r="AF624" s="2003"/>
      <c r="AG624" s="2003"/>
      <c r="AH624" s="2003"/>
      <c r="AI624" s="2003"/>
      <c r="AJ624" s="2003"/>
      <c r="AK624" s="2003"/>
      <c r="AZ624" s="58"/>
      <c r="BA624" s="58"/>
      <c r="BB624" s="58"/>
      <c r="BC624" s="58"/>
      <c r="BD624" s="58"/>
      <c r="BE624" s="1995">
        <f t="shared" si="0"/>
        <v>0</v>
      </c>
      <c r="BF624" s="1997"/>
      <c r="BG624" s="1979">
        <f t="shared" si="1"/>
        <v>0</v>
      </c>
      <c r="BH624" s="1981"/>
      <c r="BI624" s="1995">
        <f t="shared" si="2"/>
        <v>0</v>
      </c>
      <c r="BJ624" s="1997"/>
      <c r="BK624" s="1979">
        <f t="shared" si="3"/>
        <v>0</v>
      </c>
      <c r="BL624" s="1981"/>
      <c r="BM624" s="58"/>
      <c r="BN624" s="1972">
        <f t="shared" si="4"/>
        <v>0</v>
      </c>
      <c r="BO624" s="1973"/>
      <c r="BP624" s="1973"/>
      <c r="BQ624" s="1973"/>
      <c r="BR624" s="1974"/>
      <c r="BS624" s="1978">
        <f t="shared" si="5"/>
        <v>0</v>
      </c>
      <c r="BT624" s="1978"/>
      <c r="BU624" s="1978"/>
      <c r="BV624" s="1978"/>
      <c r="BW624" s="1978"/>
      <c r="BX624" s="1978">
        <f t="shared" si="6"/>
        <v>0</v>
      </c>
      <c r="BY624" s="1978"/>
      <c r="BZ624" s="1978"/>
      <c r="CA624" s="1978"/>
      <c r="CB624" s="1978"/>
      <c r="CC624" s="1978">
        <f t="shared" si="7"/>
        <v>0</v>
      </c>
      <c r="CD624" s="1978"/>
      <c r="CE624" s="1978"/>
      <c r="CF624" s="1978"/>
      <c r="CG624" s="1978"/>
      <c r="CH624" s="1978">
        <f t="shared" si="8"/>
        <v>0</v>
      </c>
      <c r="CI624" s="1978"/>
      <c r="CJ624" s="1978"/>
      <c r="CK624" s="1978"/>
      <c r="CL624" s="1978"/>
      <c r="CM624" s="1978">
        <f t="shared" si="9"/>
        <v>0</v>
      </c>
      <c r="CN624" s="1978"/>
      <c r="CO624" s="1978"/>
      <c r="CP624" s="1978"/>
      <c r="CQ624" s="1978"/>
      <c r="CR624" s="265"/>
      <c r="CS624" s="1994">
        <f t="shared" si="10"/>
        <v>0</v>
      </c>
      <c r="CT624" s="1994"/>
      <c r="CU624" s="1994"/>
      <c r="CV624" s="1994"/>
      <c r="CW624" s="1994"/>
      <c r="CX624" s="1994">
        <f t="shared" si="11"/>
        <v>0</v>
      </c>
      <c r="CY624" s="1994"/>
      <c r="CZ624" s="1994"/>
      <c r="DA624" s="1994"/>
      <c r="DB624" s="1994"/>
      <c r="DC624" s="1994">
        <f t="shared" si="12"/>
        <v>0</v>
      </c>
      <c r="DD624" s="1994"/>
      <c r="DE624" s="1994"/>
      <c r="DF624" s="1994"/>
      <c r="DG624" s="1994"/>
      <c r="DH624" s="1994">
        <f t="shared" si="13"/>
        <v>0</v>
      </c>
      <c r="DI624" s="1994"/>
      <c r="DJ624" s="1994"/>
      <c r="DK624" s="1994"/>
      <c r="DL624" s="1994"/>
      <c r="DM624" s="1994">
        <f t="shared" si="14"/>
        <v>0</v>
      </c>
      <c r="DN624" s="1994"/>
      <c r="DO624" s="1994"/>
      <c r="DP624" s="1994"/>
      <c r="DQ624" s="1994"/>
      <c r="DR624" s="1994">
        <f t="shared" si="15"/>
        <v>0</v>
      </c>
      <c r="DS624" s="1994"/>
      <c r="DT624" s="1994"/>
      <c r="DU624" s="1994"/>
      <c r="DV624" s="1994"/>
      <c r="DX624" s="1995" t="str">
        <f t="shared" si="16"/>
        <v xml:space="preserve"> </v>
      </c>
      <c r="DY624" s="1996"/>
      <c r="DZ624" s="1996"/>
      <c r="EA624" s="1996"/>
      <c r="EB624" s="1997"/>
      <c r="EC624" s="1995" t="str">
        <f t="shared" si="17"/>
        <v xml:space="preserve"> </v>
      </c>
      <c r="ED624" s="1996"/>
      <c r="EE624" s="1996"/>
      <c r="EF624" s="1996"/>
      <c r="EG624" s="1997"/>
      <c r="EH624" s="1995" t="str">
        <f t="shared" si="18"/>
        <v xml:space="preserve"> </v>
      </c>
      <c r="EI624" s="1996"/>
      <c r="EJ624" s="1996"/>
      <c r="EK624" s="1996"/>
      <c r="EL624" s="1997"/>
      <c r="EM624" s="1995" t="str">
        <f t="shared" si="19"/>
        <v xml:space="preserve"> </v>
      </c>
      <c r="EN624" s="1996"/>
      <c r="EO624" s="1996"/>
      <c r="EP624" s="1996"/>
      <c r="EQ624" s="1997"/>
      <c r="ER624" s="1995" t="str">
        <f t="shared" si="20"/>
        <v xml:space="preserve"> </v>
      </c>
      <c r="ES624" s="1996"/>
      <c r="ET624" s="1996"/>
      <c r="EU624" s="1996"/>
      <c r="EV624" s="1997"/>
      <c r="EW624" s="1995" t="str">
        <f t="shared" si="21"/>
        <v xml:space="preserve"> </v>
      </c>
      <c r="EX624" s="1996"/>
      <c r="EY624" s="1996"/>
      <c r="EZ624" s="1996"/>
      <c r="FA624" s="1997"/>
    </row>
    <row r="625" spans="1:157" ht="12.5">
      <c r="B625" s="12" t="s">
        <v>20</v>
      </c>
      <c r="N625" s="1991" t="s">
        <v>704</v>
      </c>
      <c r="O625" s="1991"/>
      <c r="U625" s="12" t="s">
        <v>20</v>
      </c>
      <c r="AG625" s="1991" t="s">
        <v>704</v>
      </c>
      <c r="AH625" s="1991"/>
      <c r="AZ625" s="58"/>
      <c r="BA625" s="58"/>
      <c r="BB625" s="58"/>
      <c r="BC625" s="58"/>
      <c r="BD625" s="58"/>
      <c r="BE625" s="1995">
        <f t="shared" si="0"/>
        <v>0</v>
      </c>
      <c r="BF625" s="1997"/>
      <c r="BG625" s="1979">
        <f t="shared" si="1"/>
        <v>0</v>
      </c>
      <c r="BH625" s="1981"/>
      <c r="BI625" s="1995">
        <f t="shared" si="2"/>
        <v>0</v>
      </c>
      <c r="BJ625" s="1997"/>
      <c r="BK625" s="1979">
        <f t="shared" si="3"/>
        <v>0</v>
      </c>
      <c r="BL625" s="1981"/>
      <c r="BM625" s="58"/>
      <c r="BN625" s="1972">
        <f t="shared" si="4"/>
        <v>0</v>
      </c>
      <c r="BO625" s="1973"/>
      <c r="BP625" s="1973"/>
      <c r="BQ625" s="1973"/>
      <c r="BR625" s="1974"/>
      <c r="BS625" s="1978">
        <f t="shared" si="5"/>
        <v>0</v>
      </c>
      <c r="BT625" s="1978"/>
      <c r="BU625" s="1978"/>
      <c r="BV625" s="1978"/>
      <c r="BW625" s="1978"/>
      <c r="BX625" s="1978">
        <f t="shared" si="6"/>
        <v>0</v>
      </c>
      <c r="BY625" s="1978"/>
      <c r="BZ625" s="1978"/>
      <c r="CA625" s="1978"/>
      <c r="CB625" s="1978"/>
      <c r="CC625" s="1978">
        <f t="shared" si="7"/>
        <v>0</v>
      </c>
      <c r="CD625" s="1978"/>
      <c r="CE625" s="1978"/>
      <c r="CF625" s="1978"/>
      <c r="CG625" s="1978"/>
      <c r="CH625" s="1978">
        <f t="shared" si="8"/>
        <v>0</v>
      </c>
      <c r="CI625" s="1978"/>
      <c r="CJ625" s="1978"/>
      <c r="CK625" s="1978"/>
      <c r="CL625" s="1978"/>
      <c r="CM625" s="1978">
        <f t="shared" si="9"/>
        <v>0</v>
      </c>
      <c r="CN625" s="1978"/>
      <c r="CO625" s="1978"/>
      <c r="CP625" s="1978"/>
      <c r="CQ625" s="1978"/>
      <c r="CR625" s="265"/>
      <c r="CS625" s="1994">
        <f t="shared" si="10"/>
        <v>0</v>
      </c>
      <c r="CT625" s="1994"/>
      <c r="CU625" s="1994"/>
      <c r="CV625" s="1994"/>
      <c r="CW625" s="1994"/>
      <c r="CX625" s="1994">
        <f t="shared" si="11"/>
        <v>0</v>
      </c>
      <c r="CY625" s="1994"/>
      <c r="CZ625" s="1994"/>
      <c r="DA625" s="1994"/>
      <c r="DB625" s="1994"/>
      <c r="DC625" s="1994">
        <f t="shared" si="12"/>
        <v>0</v>
      </c>
      <c r="DD625" s="1994"/>
      <c r="DE625" s="1994"/>
      <c r="DF625" s="1994"/>
      <c r="DG625" s="1994"/>
      <c r="DH625" s="1994">
        <f t="shared" si="13"/>
        <v>0</v>
      </c>
      <c r="DI625" s="1994"/>
      <c r="DJ625" s="1994"/>
      <c r="DK625" s="1994"/>
      <c r="DL625" s="1994"/>
      <c r="DM625" s="1994">
        <f t="shared" si="14"/>
        <v>0</v>
      </c>
      <c r="DN625" s="1994"/>
      <c r="DO625" s="1994"/>
      <c r="DP625" s="1994"/>
      <c r="DQ625" s="1994"/>
      <c r="DR625" s="1994">
        <f t="shared" si="15"/>
        <v>0</v>
      </c>
      <c r="DS625" s="1994"/>
      <c r="DT625" s="1994"/>
      <c r="DU625" s="1994"/>
      <c r="DV625" s="1994"/>
      <c r="DX625" s="1995" t="str">
        <f t="shared" si="16"/>
        <v xml:space="preserve"> </v>
      </c>
      <c r="DY625" s="1996"/>
      <c r="DZ625" s="1996"/>
      <c r="EA625" s="1996"/>
      <c r="EB625" s="1997"/>
      <c r="EC625" s="1995" t="str">
        <f t="shared" si="17"/>
        <v xml:space="preserve"> </v>
      </c>
      <c r="ED625" s="1996"/>
      <c r="EE625" s="1996"/>
      <c r="EF625" s="1996"/>
      <c r="EG625" s="1997"/>
      <c r="EH625" s="1995" t="str">
        <f t="shared" si="18"/>
        <v xml:space="preserve"> </v>
      </c>
      <c r="EI625" s="1996"/>
      <c r="EJ625" s="1996"/>
      <c r="EK625" s="1996"/>
      <c r="EL625" s="1997"/>
      <c r="EM625" s="1995" t="str">
        <f t="shared" si="19"/>
        <v xml:space="preserve"> </v>
      </c>
      <c r="EN625" s="1996"/>
      <c r="EO625" s="1996"/>
      <c r="EP625" s="1996"/>
      <c r="EQ625" s="1997"/>
      <c r="ER625" s="1995" t="str">
        <f t="shared" si="20"/>
        <v xml:space="preserve"> </v>
      </c>
      <c r="ES625" s="1996"/>
      <c r="ET625" s="1996"/>
      <c r="EU625" s="1996"/>
      <c r="EV625" s="1997"/>
      <c r="EW625" s="1995" t="str">
        <f t="shared" si="21"/>
        <v xml:space="preserve"> </v>
      </c>
      <c r="EX625" s="1996"/>
      <c r="EY625" s="1996"/>
      <c r="EZ625" s="1996"/>
      <c r="FA625" s="1997"/>
    </row>
    <row r="626" spans="1:157" ht="12.5">
      <c r="AZ626" s="58"/>
      <c r="BA626" s="58"/>
      <c r="BB626" s="58"/>
      <c r="BC626" s="58"/>
      <c r="BD626" s="58"/>
      <c r="BE626" s="1995">
        <f t="shared" si="0"/>
        <v>0</v>
      </c>
      <c r="BF626" s="1997"/>
      <c r="BG626" s="1979">
        <f t="shared" si="1"/>
        <v>0</v>
      </c>
      <c r="BH626" s="1981"/>
      <c r="BI626" s="1995">
        <f t="shared" si="2"/>
        <v>0</v>
      </c>
      <c r="BJ626" s="1997"/>
      <c r="BK626" s="1979">
        <f t="shared" si="3"/>
        <v>0</v>
      </c>
      <c r="BL626" s="1981"/>
      <c r="BM626" s="58"/>
      <c r="BN626" s="1972">
        <f t="shared" si="4"/>
        <v>0</v>
      </c>
      <c r="BO626" s="1973"/>
      <c r="BP626" s="1973"/>
      <c r="BQ626" s="1973"/>
      <c r="BR626" s="1974"/>
      <c r="BS626" s="1978">
        <f t="shared" si="5"/>
        <v>0</v>
      </c>
      <c r="BT626" s="1978"/>
      <c r="BU626" s="1978"/>
      <c r="BV626" s="1978"/>
      <c r="BW626" s="1978"/>
      <c r="BX626" s="1978">
        <f t="shared" si="6"/>
        <v>0</v>
      </c>
      <c r="BY626" s="1978"/>
      <c r="BZ626" s="1978"/>
      <c r="CA626" s="1978"/>
      <c r="CB626" s="1978"/>
      <c r="CC626" s="1978">
        <f t="shared" si="7"/>
        <v>0</v>
      </c>
      <c r="CD626" s="1978"/>
      <c r="CE626" s="1978"/>
      <c r="CF626" s="1978"/>
      <c r="CG626" s="1978"/>
      <c r="CH626" s="1978">
        <f t="shared" si="8"/>
        <v>0</v>
      </c>
      <c r="CI626" s="1978"/>
      <c r="CJ626" s="1978"/>
      <c r="CK626" s="1978"/>
      <c r="CL626" s="1978"/>
      <c r="CM626" s="1978">
        <f t="shared" si="9"/>
        <v>0</v>
      </c>
      <c r="CN626" s="1978"/>
      <c r="CO626" s="1978"/>
      <c r="CP626" s="1978"/>
      <c r="CQ626" s="1978"/>
      <c r="CR626" s="265"/>
      <c r="CS626" s="1994">
        <f t="shared" si="10"/>
        <v>0</v>
      </c>
      <c r="CT626" s="1994"/>
      <c r="CU626" s="1994"/>
      <c r="CV626" s="1994"/>
      <c r="CW626" s="1994"/>
      <c r="CX626" s="1994">
        <f t="shared" si="11"/>
        <v>0</v>
      </c>
      <c r="CY626" s="1994"/>
      <c r="CZ626" s="1994"/>
      <c r="DA626" s="1994"/>
      <c r="DB626" s="1994"/>
      <c r="DC626" s="1994">
        <f t="shared" si="12"/>
        <v>0</v>
      </c>
      <c r="DD626" s="1994"/>
      <c r="DE626" s="1994"/>
      <c r="DF626" s="1994"/>
      <c r="DG626" s="1994"/>
      <c r="DH626" s="1994">
        <f t="shared" si="13"/>
        <v>0</v>
      </c>
      <c r="DI626" s="1994"/>
      <c r="DJ626" s="1994"/>
      <c r="DK626" s="1994"/>
      <c r="DL626" s="1994"/>
      <c r="DM626" s="1994">
        <f t="shared" si="14"/>
        <v>0</v>
      </c>
      <c r="DN626" s="1994"/>
      <c r="DO626" s="1994"/>
      <c r="DP626" s="1994"/>
      <c r="DQ626" s="1994"/>
      <c r="DR626" s="1994">
        <f t="shared" si="15"/>
        <v>0</v>
      </c>
      <c r="DS626" s="1994"/>
      <c r="DT626" s="1994"/>
      <c r="DU626" s="1994"/>
      <c r="DV626" s="1994"/>
      <c r="DX626" s="1995" t="str">
        <f t="shared" si="16"/>
        <v xml:space="preserve"> </v>
      </c>
      <c r="DY626" s="1996"/>
      <c r="DZ626" s="1996"/>
      <c r="EA626" s="1996"/>
      <c r="EB626" s="1997"/>
      <c r="EC626" s="1995" t="str">
        <f t="shared" si="17"/>
        <v xml:space="preserve"> </v>
      </c>
      <c r="ED626" s="1996"/>
      <c r="EE626" s="1996"/>
      <c r="EF626" s="1996"/>
      <c r="EG626" s="1997"/>
      <c r="EH626" s="1995" t="str">
        <f t="shared" si="18"/>
        <v xml:space="preserve"> </v>
      </c>
      <c r="EI626" s="1996"/>
      <c r="EJ626" s="1996"/>
      <c r="EK626" s="1996"/>
      <c r="EL626" s="1997"/>
      <c r="EM626" s="1995" t="str">
        <f t="shared" si="19"/>
        <v xml:space="preserve"> </v>
      </c>
      <c r="EN626" s="1996"/>
      <c r="EO626" s="1996"/>
      <c r="EP626" s="1996"/>
      <c r="EQ626" s="1997"/>
      <c r="ER626" s="1995" t="str">
        <f t="shared" si="20"/>
        <v xml:space="preserve"> </v>
      </c>
      <c r="ES626" s="1996"/>
      <c r="ET626" s="1996"/>
      <c r="EU626" s="1996"/>
      <c r="EV626" s="1997"/>
      <c r="EW626" s="1995" t="str">
        <f t="shared" si="21"/>
        <v xml:space="preserve"> </v>
      </c>
      <c r="EX626" s="1996"/>
      <c r="EY626" s="1996"/>
      <c r="EZ626" s="1996"/>
      <c r="FA626" s="1997"/>
    </row>
    <row r="627" spans="1:157" ht="12.75" customHeight="1">
      <c r="A627" s="1811" t="s">
        <v>575</v>
      </c>
      <c r="B627" s="1811"/>
      <c r="C627" s="1811"/>
      <c r="D627" s="1811"/>
      <c r="E627" s="1811"/>
      <c r="F627" s="1811"/>
      <c r="G627" s="1811"/>
      <c r="H627" s="1811"/>
      <c r="I627" s="1811"/>
      <c r="J627" s="1811"/>
      <c r="K627" s="1811"/>
      <c r="L627" s="1811"/>
      <c r="M627" s="1811"/>
      <c r="N627" s="1811"/>
      <c r="O627" s="1811"/>
      <c r="P627" s="1811"/>
      <c r="Q627" s="1811"/>
      <c r="R627" s="1811"/>
      <c r="S627" s="1811"/>
      <c r="T627" s="1811"/>
      <c r="U627" s="1811"/>
      <c r="V627" s="1811"/>
      <c r="W627" s="1811"/>
      <c r="X627" s="1811"/>
      <c r="Y627" s="1811"/>
      <c r="Z627" s="1811"/>
      <c r="AA627" s="1811"/>
      <c r="AB627" s="1811"/>
      <c r="AC627" s="1811"/>
      <c r="AD627" s="1811"/>
      <c r="AE627" s="1811"/>
      <c r="AF627" s="1811"/>
      <c r="AG627" s="1811"/>
      <c r="AH627" s="1811"/>
      <c r="AI627" s="1811"/>
      <c r="AJ627" s="1811"/>
      <c r="AK627" s="1811"/>
      <c r="AL627" s="1811"/>
      <c r="AM627" s="1811"/>
      <c r="AN627" s="1811"/>
      <c r="AO627" s="1811"/>
      <c r="AP627" s="1811"/>
      <c r="AQ627" s="1811"/>
      <c r="AR627" s="1811"/>
      <c r="AS627" s="1811"/>
      <c r="AT627" s="1477"/>
      <c r="AU627" s="1477"/>
      <c r="AV627" s="1477"/>
      <c r="AW627" s="1477"/>
      <c r="AX627" s="1477"/>
      <c r="AY627" s="1477"/>
      <c r="AZ627" s="58"/>
      <c r="BA627" s="58"/>
      <c r="BB627" s="58"/>
      <c r="BC627" s="58"/>
      <c r="BD627" s="58"/>
      <c r="BE627" s="1995">
        <f t="shared" si="0"/>
        <v>0</v>
      </c>
      <c r="BF627" s="1997"/>
      <c r="BG627" s="1979">
        <f t="shared" si="1"/>
        <v>0</v>
      </c>
      <c r="BH627" s="1981"/>
      <c r="BI627" s="1995">
        <f t="shared" si="2"/>
        <v>0</v>
      </c>
      <c r="BJ627" s="1997"/>
      <c r="BK627" s="1979">
        <f t="shared" si="3"/>
        <v>0</v>
      </c>
      <c r="BL627" s="1981"/>
      <c r="BM627" s="58"/>
      <c r="BN627" s="1972">
        <f t="shared" si="4"/>
        <v>0</v>
      </c>
      <c r="BO627" s="1973"/>
      <c r="BP627" s="1973"/>
      <c r="BQ627" s="1973"/>
      <c r="BR627" s="1974"/>
      <c r="BS627" s="1978">
        <f t="shared" si="5"/>
        <v>0</v>
      </c>
      <c r="BT627" s="1978"/>
      <c r="BU627" s="1978"/>
      <c r="BV627" s="1978"/>
      <c r="BW627" s="1978"/>
      <c r="BX627" s="1978">
        <f t="shared" si="6"/>
        <v>0</v>
      </c>
      <c r="BY627" s="1978"/>
      <c r="BZ627" s="1978"/>
      <c r="CA627" s="1978"/>
      <c r="CB627" s="1978"/>
      <c r="CC627" s="1978">
        <f t="shared" si="7"/>
        <v>0</v>
      </c>
      <c r="CD627" s="1978"/>
      <c r="CE627" s="1978"/>
      <c r="CF627" s="1978"/>
      <c r="CG627" s="1978"/>
      <c r="CH627" s="1978">
        <f t="shared" si="8"/>
        <v>0</v>
      </c>
      <c r="CI627" s="1978"/>
      <c r="CJ627" s="1978"/>
      <c r="CK627" s="1978"/>
      <c r="CL627" s="1978"/>
      <c r="CM627" s="1978">
        <f t="shared" si="9"/>
        <v>0</v>
      </c>
      <c r="CN627" s="1978"/>
      <c r="CO627" s="1978"/>
      <c r="CP627" s="1978"/>
      <c r="CQ627" s="1978"/>
      <c r="CR627" s="265"/>
      <c r="CS627" s="1994">
        <f t="shared" si="10"/>
        <v>0</v>
      </c>
      <c r="CT627" s="1994"/>
      <c r="CU627" s="1994"/>
      <c r="CV627" s="1994"/>
      <c r="CW627" s="1994"/>
      <c r="CX627" s="1994">
        <f t="shared" si="11"/>
        <v>0</v>
      </c>
      <c r="CY627" s="1994"/>
      <c r="CZ627" s="1994"/>
      <c r="DA627" s="1994"/>
      <c r="DB627" s="1994"/>
      <c r="DC627" s="1994">
        <f t="shared" si="12"/>
        <v>0</v>
      </c>
      <c r="DD627" s="1994"/>
      <c r="DE627" s="1994"/>
      <c r="DF627" s="1994"/>
      <c r="DG627" s="1994"/>
      <c r="DH627" s="1994">
        <f t="shared" si="13"/>
        <v>0</v>
      </c>
      <c r="DI627" s="1994"/>
      <c r="DJ627" s="1994"/>
      <c r="DK627" s="1994"/>
      <c r="DL627" s="1994"/>
      <c r="DM627" s="1994">
        <f t="shared" si="14"/>
        <v>0</v>
      </c>
      <c r="DN627" s="1994"/>
      <c r="DO627" s="1994"/>
      <c r="DP627" s="1994"/>
      <c r="DQ627" s="1994"/>
      <c r="DR627" s="1994">
        <f t="shared" si="15"/>
        <v>0</v>
      </c>
      <c r="DS627" s="1994"/>
      <c r="DT627" s="1994"/>
      <c r="DU627" s="1994"/>
      <c r="DV627" s="1994"/>
      <c r="DX627" s="1995" t="str">
        <f t="shared" si="16"/>
        <v xml:space="preserve"> </v>
      </c>
      <c r="DY627" s="1996"/>
      <c r="DZ627" s="1996"/>
      <c r="EA627" s="1996"/>
      <c r="EB627" s="1997"/>
      <c r="EC627" s="1995" t="str">
        <f t="shared" si="17"/>
        <v xml:space="preserve"> </v>
      </c>
      <c r="ED627" s="1996"/>
      <c r="EE627" s="1996"/>
      <c r="EF627" s="1996"/>
      <c r="EG627" s="1997"/>
      <c r="EH627" s="1995" t="str">
        <f t="shared" si="18"/>
        <v xml:space="preserve"> </v>
      </c>
      <c r="EI627" s="1996"/>
      <c r="EJ627" s="1996"/>
      <c r="EK627" s="1996"/>
      <c r="EL627" s="1997"/>
      <c r="EM627" s="1995" t="str">
        <f t="shared" si="19"/>
        <v xml:space="preserve"> </v>
      </c>
      <c r="EN627" s="1996"/>
      <c r="EO627" s="1996"/>
      <c r="EP627" s="1996"/>
      <c r="EQ627" s="1997"/>
      <c r="ER627" s="1995" t="str">
        <f t="shared" si="20"/>
        <v xml:space="preserve"> </v>
      </c>
      <c r="ES627" s="1996"/>
      <c r="ET627" s="1996"/>
      <c r="EU627" s="1996"/>
      <c r="EV627" s="1997"/>
      <c r="EW627" s="1995" t="str">
        <f t="shared" si="21"/>
        <v xml:space="preserve"> </v>
      </c>
      <c r="EX627" s="1996"/>
      <c r="EY627" s="1996"/>
      <c r="EZ627" s="1996"/>
      <c r="FA627" s="1997"/>
    </row>
    <row r="628" spans="1:157" ht="13">
      <c r="A628" s="1811"/>
      <c r="B628" s="1811"/>
      <c r="C628" s="1811"/>
      <c r="D628" s="1811"/>
      <c r="E628" s="1811"/>
      <c r="F628" s="1811"/>
      <c r="G628" s="1811"/>
      <c r="H628" s="1811"/>
      <c r="I628" s="1811"/>
      <c r="J628" s="1811"/>
      <c r="K628" s="1811"/>
      <c r="L628" s="1811"/>
      <c r="M628" s="1811"/>
      <c r="N628" s="1811"/>
      <c r="O628" s="1811"/>
      <c r="P628" s="1811"/>
      <c r="Q628" s="1811"/>
      <c r="R628" s="1811"/>
      <c r="S628" s="1811"/>
      <c r="T628" s="1811"/>
      <c r="U628" s="1811"/>
      <c r="V628" s="1811"/>
      <c r="W628" s="1811"/>
      <c r="X628" s="1811"/>
      <c r="Y628" s="1811"/>
      <c r="Z628" s="1811"/>
      <c r="AA628" s="1811"/>
      <c r="AB628" s="1811"/>
      <c r="AC628" s="1811"/>
      <c r="AD628" s="1811"/>
      <c r="AE628" s="1811"/>
      <c r="AF628" s="1811"/>
      <c r="AG628" s="1811"/>
      <c r="AH628" s="1811"/>
      <c r="AI628" s="1811"/>
      <c r="AJ628" s="1811"/>
      <c r="AK628" s="1811"/>
      <c r="AL628" s="1811"/>
      <c r="AM628" s="1811"/>
      <c r="AN628" s="1811"/>
      <c r="AO628" s="1811"/>
      <c r="AP628" s="1811"/>
      <c r="AQ628" s="1811"/>
      <c r="AR628" s="1811"/>
      <c r="AS628" s="1811"/>
      <c r="AT628" s="1477"/>
      <c r="AU628" s="1477"/>
      <c r="AV628" s="1477"/>
      <c r="AW628" s="1477"/>
      <c r="AX628" s="1477"/>
      <c r="AY628" s="1477"/>
      <c r="AZ628" s="58"/>
      <c r="BA628" s="58"/>
      <c r="BB628" s="58"/>
      <c r="BC628" s="58"/>
      <c r="BD628" s="58"/>
      <c r="BE628" s="1995">
        <f t="shared" si="0"/>
        <v>0</v>
      </c>
      <c r="BF628" s="1997"/>
      <c r="BG628" s="1979">
        <f t="shared" si="1"/>
        <v>0</v>
      </c>
      <c r="BH628" s="1981"/>
      <c r="BI628" s="1995">
        <f t="shared" si="2"/>
        <v>0</v>
      </c>
      <c r="BJ628" s="1997"/>
      <c r="BK628" s="1979">
        <f t="shared" si="3"/>
        <v>0</v>
      </c>
      <c r="BL628" s="1981"/>
      <c r="BM628" s="58"/>
      <c r="BN628" s="1972">
        <f t="shared" si="4"/>
        <v>0</v>
      </c>
      <c r="BO628" s="1973"/>
      <c r="BP628" s="1973"/>
      <c r="BQ628" s="1973"/>
      <c r="BR628" s="1974"/>
      <c r="BS628" s="1978">
        <f t="shared" si="5"/>
        <v>0</v>
      </c>
      <c r="BT628" s="1978"/>
      <c r="BU628" s="1978"/>
      <c r="BV628" s="1978"/>
      <c r="BW628" s="1978"/>
      <c r="BX628" s="1978">
        <f t="shared" si="6"/>
        <v>0</v>
      </c>
      <c r="BY628" s="1978"/>
      <c r="BZ628" s="1978"/>
      <c r="CA628" s="1978"/>
      <c r="CB628" s="1978"/>
      <c r="CC628" s="1978">
        <f t="shared" si="7"/>
        <v>0</v>
      </c>
      <c r="CD628" s="1978"/>
      <c r="CE628" s="1978"/>
      <c r="CF628" s="1978"/>
      <c r="CG628" s="1978"/>
      <c r="CH628" s="1978">
        <f t="shared" si="8"/>
        <v>0</v>
      </c>
      <c r="CI628" s="1978"/>
      <c r="CJ628" s="1978"/>
      <c r="CK628" s="1978"/>
      <c r="CL628" s="1978"/>
      <c r="CM628" s="1978">
        <f t="shared" si="9"/>
        <v>0</v>
      </c>
      <c r="CN628" s="1978"/>
      <c r="CO628" s="1978"/>
      <c r="CP628" s="1978"/>
      <c r="CQ628" s="1978"/>
      <c r="CR628" s="265"/>
      <c r="CS628" s="1994">
        <f t="shared" si="10"/>
        <v>0</v>
      </c>
      <c r="CT628" s="1994"/>
      <c r="CU628" s="1994"/>
      <c r="CV628" s="1994"/>
      <c r="CW628" s="1994"/>
      <c r="CX628" s="1994">
        <f t="shared" si="11"/>
        <v>0</v>
      </c>
      <c r="CY628" s="1994"/>
      <c r="CZ628" s="1994"/>
      <c r="DA628" s="1994"/>
      <c r="DB628" s="1994"/>
      <c r="DC628" s="1994">
        <f t="shared" si="12"/>
        <v>0</v>
      </c>
      <c r="DD628" s="1994"/>
      <c r="DE628" s="1994"/>
      <c r="DF628" s="1994"/>
      <c r="DG628" s="1994"/>
      <c r="DH628" s="1994">
        <f t="shared" si="13"/>
        <v>0</v>
      </c>
      <c r="DI628" s="1994"/>
      <c r="DJ628" s="1994"/>
      <c r="DK628" s="1994"/>
      <c r="DL628" s="1994"/>
      <c r="DM628" s="1994">
        <f t="shared" si="14"/>
        <v>0</v>
      </c>
      <c r="DN628" s="1994"/>
      <c r="DO628" s="1994"/>
      <c r="DP628" s="1994"/>
      <c r="DQ628" s="1994"/>
      <c r="DR628" s="1994">
        <f t="shared" si="15"/>
        <v>0</v>
      </c>
      <c r="DS628" s="1994"/>
      <c r="DT628" s="1994"/>
      <c r="DU628" s="1994"/>
      <c r="DV628" s="1994"/>
      <c r="DX628" s="1995" t="str">
        <f t="shared" si="16"/>
        <v xml:space="preserve"> </v>
      </c>
      <c r="DY628" s="1996"/>
      <c r="DZ628" s="1996"/>
      <c r="EA628" s="1996"/>
      <c r="EB628" s="1997"/>
      <c r="EC628" s="1995" t="str">
        <f t="shared" si="17"/>
        <v xml:space="preserve"> </v>
      </c>
      <c r="ED628" s="1996"/>
      <c r="EE628" s="1996"/>
      <c r="EF628" s="1996"/>
      <c r="EG628" s="1997"/>
      <c r="EH628" s="1995" t="str">
        <f t="shared" si="18"/>
        <v xml:space="preserve"> </v>
      </c>
      <c r="EI628" s="1996"/>
      <c r="EJ628" s="1996"/>
      <c r="EK628" s="1996"/>
      <c r="EL628" s="1997"/>
      <c r="EM628" s="1995" t="str">
        <f t="shared" si="19"/>
        <v xml:space="preserve"> </v>
      </c>
      <c r="EN628" s="1996"/>
      <c r="EO628" s="1996"/>
      <c r="EP628" s="1996"/>
      <c r="EQ628" s="1997"/>
      <c r="ER628" s="1995" t="str">
        <f t="shared" si="20"/>
        <v xml:space="preserve"> </v>
      </c>
      <c r="ES628" s="1996"/>
      <c r="ET628" s="1996"/>
      <c r="EU628" s="1996"/>
      <c r="EV628" s="1997"/>
      <c r="EW628" s="1995" t="str">
        <f t="shared" si="21"/>
        <v xml:space="preserve"> </v>
      </c>
      <c r="EX628" s="1996"/>
      <c r="EY628" s="1996"/>
      <c r="EZ628" s="1996"/>
      <c r="FA628" s="1997"/>
    </row>
    <row r="629" spans="1:157" ht="12.5">
      <c r="A629" s="25"/>
      <c r="B629" s="25"/>
      <c r="C629" s="25"/>
      <c r="D629" s="25"/>
      <c r="E629" s="25"/>
      <c r="F629" s="25"/>
      <c r="G629" s="3"/>
      <c r="H629" s="25"/>
      <c r="AZ629" s="58"/>
      <c r="BA629" s="58"/>
      <c r="BB629" s="58"/>
      <c r="BC629" s="58"/>
      <c r="BD629" s="58"/>
      <c r="BE629" s="1995">
        <f t="shared" si="0"/>
        <v>0</v>
      </c>
      <c r="BF629" s="1997"/>
      <c r="BG629" s="1979">
        <f t="shared" si="1"/>
        <v>0</v>
      </c>
      <c r="BH629" s="1981"/>
      <c r="BI629" s="1995">
        <f t="shared" si="2"/>
        <v>0</v>
      </c>
      <c r="BJ629" s="1997"/>
      <c r="BK629" s="1979">
        <f t="shared" si="3"/>
        <v>0</v>
      </c>
      <c r="BL629" s="1981"/>
      <c r="BM629" s="58"/>
      <c r="BN629" s="1972">
        <f t="shared" si="4"/>
        <v>0</v>
      </c>
      <c r="BO629" s="1973"/>
      <c r="BP629" s="1973"/>
      <c r="BQ629" s="1973"/>
      <c r="BR629" s="1974"/>
      <c r="BS629" s="1978">
        <f t="shared" si="5"/>
        <v>0</v>
      </c>
      <c r="BT629" s="1978"/>
      <c r="BU629" s="1978"/>
      <c r="BV629" s="1978"/>
      <c r="BW629" s="1978"/>
      <c r="BX629" s="1978">
        <f t="shared" si="6"/>
        <v>0</v>
      </c>
      <c r="BY629" s="1978"/>
      <c r="BZ629" s="1978"/>
      <c r="CA629" s="1978"/>
      <c r="CB629" s="1978"/>
      <c r="CC629" s="1978">
        <f t="shared" si="7"/>
        <v>0</v>
      </c>
      <c r="CD629" s="1978"/>
      <c r="CE629" s="1978"/>
      <c r="CF629" s="1978"/>
      <c r="CG629" s="1978"/>
      <c r="CH629" s="1978">
        <f t="shared" si="8"/>
        <v>0</v>
      </c>
      <c r="CI629" s="1978"/>
      <c r="CJ629" s="1978"/>
      <c r="CK629" s="1978"/>
      <c r="CL629" s="1978"/>
      <c r="CM629" s="1978">
        <f t="shared" si="9"/>
        <v>0</v>
      </c>
      <c r="CN629" s="1978"/>
      <c r="CO629" s="1978"/>
      <c r="CP629" s="1978"/>
      <c r="CQ629" s="1978"/>
      <c r="CR629" s="265"/>
      <c r="CS629" s="1994">
        <f t="shared" si="10"/>
        <v>0</v>
      </c>
      <c r="CT629" s="1994"/>
      <c r="CU629" s="1994"/>
      <c r="CV629" s="1994"/>
      <c r="CW629" s="1994"/>
      <c r="CX629" s="1994">
        <f t="shared" si="11"/>
        <v>0</v>
      </c>
      <c r="CY629" s="1994"/>
      <c r="CZ629" s="1994"/>
      <c r="DA629" s="1994"/>
      <c r="DB629" s="1994"/>
      <c r="DC629" s="1994">
        <f t="shared" si="12"/>
        <v>0</v>
      </c>
      <c r="DD629" s="1994"/>
      <c r="DE629" s="1994"/>
      <c r="DF629" s="1994"/>
      <c r="DG629" s="1994"/>
      <c r="DH629" s="1994">
        <f t="shared" si="13"/>
        <v>0</v>
      </c>
      <c r="DI629" s="1994"/>
      <c r="DJ629" s="1994"/>
      <c r="DK629" s="1994"/>
      <c r="DL629" s="1994"/>
      <c r="DM629" s="1994">
        <f t="shared" si="14"/>
        <v>0</v>
      </c>
      <c r="DN629" s="1994"/>
      <c r="DO629" s="1994"/>
      <c r="DP629" s="1994"/>
      <c r="DQ629" s="1994"/>
      <c r="DR629" s="1994">
        <f t="shared" si="15"/>
        <v>0</v>
      </c>
      <c r="DS629" s="1994"/>
      <c r="DT629" s="1994"/>
      <c r="DU629" s="1994"/>
      <c r="DV629" s="1994"/>
      <c r="DX629" s="1995" t="str">
        <f t="shared" si="16"/>
        <v xml:space="preserve"> </v>
      </c>
      <c r="DY629" s="1996"/>
      <c r="DZ629" s="1996"/>
      <c r="EA629" s="1996"/>
      <c r="EB629" s="1997"/>
      <c r="EC629" s="1995" t="str">
        <f t="shared" si="17"/>
        <v xml:space="preserve"> </v>
      </c>
      <c r="ED629" s="1996"/>
      <c r="EE629" s="1996"/>
      <c r="EF629" s="1996"/>
      <c r="EG629" s="1997"/>
      <c r="EH629" s="1995" t="str">
        <f t="shared" si="18"/>
        <v xml:space="preserve"> </v>
      </c>
      <c r="EI629" s="1996"/>
      <c r="EJ629" s="1996"/>
      <c r="EK629" s="1996"/>
      <c r="EL629" s="1997"/>
      <c r="EM629" s="1995" t="str">
        <f t="shared" si="19"/>
        <v xml:space="preserve"> </v>
      </c>
      <c r="EN629" s="1996"/>
      <c r="EO629" s="1996"/>
      <c r="EP629" s="1996"/>
      <c r="EQ629" s="1997"/>
      <c r="ER629" s="1995" t="str">
        <f t="shared" si="20"/>
        <v xml:space="preserve"> </v>
      </c>
      <c r="ES629" s="1996"/>
      <c r="ET629" s="1996"/>
      <c r="EU629" s="1996"/>
      <c r="EV629" s="1997"/>
      <c r="EW629" s="1995" t="str">
        <f t="shared" si="21"/>
        <v xml:space="preserve"> </v>
      </c>
      <c r="EX629" s="1996"/>
      <c r="EY629" s="1996"/>
      <c r="EZ629" s="1996"/>
      <c r="FA629" s="1997"/>
    </row>
    <row r="630" spans="1:157" ht="13">
      <c r="A630" s="50" t="s">
        <v>327</v>
      </c>
      <c r="B630" s="50"/>
      <c r="C630" s="50" t="s">
        <v>21</v>
      </c>
      <c r="AZ630" s="58"/>
      <c r="BA630" s="58"/>
      <c r="BB630" s="58"/>
      <c r="BC630" s="58"/>
      <c r="BD630" s="58"/>
      <c r="BE630" s="1995">
        <f t="shared" si="0"/>
        <v>0</v>
      </c>
      <c r="BF630" s="1997"/>
      <c r="BG630" s="1979">
        <f t="shared" si="1"/>
        <v>0</v>
      </c>
      <c r="BH630" s="1981"/>
      <c r="BI630" s="1995">
        <f t="shared" si="2"/>
        <v>0</v>
      </c>
      <c r="BJ630" s="1997"/>
      <c r="BK630" s="1979">
        <f t="shared" si="3"/>
        <v>0</v>
      </c>
      <c r="BL630" s="1981"/>
      <c r="BM630" s="58"/>
      <c r="BN630" s="1972">
        <f t="shared" si="4"/>
        <v>0</v>
      </c>
      <c r="BO630" s="1973"/>
      <c r="BP630" s="1973"/>
      <c r="BQ630" s="1973"/>
      <c r="BR630" s="1974"/>
      <c r="BS630" s="1978">
        <f t="shared" si="5"/>
        <v>0</v>
      </c>
      <c r="BT630" s="1978"/>
      <c r="BU630" s="1978"/>
      <c r="BV630" s="1978"/>
      <c r="BW630" s="1978"/>
      <c r="BX630" s="1978">
        <f t="shared" si="6"/>
        <v>0</v>
      </c>
      <c r="BY630" s="1978"/>
      <c r="BZ630" s="1978"/>
      <c r="CA630" s="1978"/>
      <c r="CB630" s="1978"/>
      <c r="CC630" s="1978">
        <f t="shared" si="7"/>
        <v>0</v>
      </c>
      <c r="CD630" s="1978"/>
      <c r="CE630" s="1978"/>
      <c r="CF630" s="1978"/>
      <c r="CG630" s="1978"/>
      <c r="CH630" s="1978">
        <f t="shared" si="8"/>
        <v>0</v>
      </c>
      <c r="CI630" s="1978"/>
      <c r="CJ630" s="1978"/>
      <c r="CK630" s="1978"/>
      <c r="CL630" s="1978"/>
      <c r="CM630" s="1978">
        <f t="shared" si="9"/>
        <v>0</v>
      </c>
      <c r="CN630" s="1978"/>
      <c r="CO630" s="1978"/>
      <c r="CP630" s="1978"/>
      <c r="CQ630" s="1978"/>
      <c r="CR630" s="265"/>
      <c r="CS630" s="1994">
        <f t="shared" si="10"/>
        <v>0</v>
      </c>
      <c r="CT630" s="1994"/>
      <c r="CU630" s="1994"/>
      <c r="CV630" s="1994"/>
      <c r="CW630" s="1994"/>
      <c r="CX630" s="1994">
        <f t="shared" si="11"/>
        <v>0</v>
      </c>
      <c r="CY630" s="1994"/>
      <c r="CZ630" s="1994"/>
      <c r="DA630" s="1994"/>
      <c r="DB630" s="1994"/>
      <c r="DC630" s="1994">
        <f t="shared" si="12"/>
        <v>0</v>
      </c>
      <c r="DD630" s="1994"/>
      <c r="DE630" s="1994"/>
      <c r="DF630" s="1994"/>
      <c r="DG630" s="1994"/>
      <c r="DH630" s="1994">
        <f t="shared" si="13"/>
        <v>0</v>
      </c>
      <c r="DI630" s="1994"/>
      <c r="DJ630" s="1994"/>
      <c r="DK630" s="1994"/>
      <c r="DL630" s="1994"/>
      <c r="DM630" s="1994">
        <f t="shared" si="14"/>
        <v>0</v>
      </c>
      <c r="DN630" s="1994"/>
      <c r="DO630" s="1994"/>
      <c r="DP630" s="1994"/>
      <c r="DQ630" s="1994"/>
      <c r="DR630" s="1994">
        <f t="shared" si="15"/>
        <v>0</v>
      </c>
      <c r="DS630" s="1994"/>
      <c r="DT630" s="1994"/>
      <c r="DU630" s="1994"/>
      <c r="DV630" s="1994"/>
      <c r="DX630" s="1995" t="str">
        <f t="shared" si="16"/>
        <v xml:space="preserve"> </v>
      </c>
      <c r="DY630" s="1996"/>
      <c r="DZ630" s="1996"/>
      <c r="EA630" s="1996"/>
      <c r="EB630" s="1997"/>
      <c r="EC630" s="1995" t="str">
        <f t="shared" si="17"/>
        <v xml:space="preserve"> </v>
      </c>
      <c r="ED630" s="1996"/>
      <c r="EE630" s="1996"/>
      <c r="EF630" s="1996"/>
      <c r="EG630" s="1997"/>
      <c r="EH630" s="1995" t="str">
        <f t="shared" si="18"/>
        <v xml:space="preserve"> </v>
      </c>
      <c r="EI630" s="1996"/>
      <c r="EJ630" s="1996"/>
      <c r="EK630" s="1996"/>
      <c r="EL630" s="1997"/>
      <c r="EM630" s="1995" t="str">
        <f t="shared" si="19"/>
        <v xml:space="preserve"> </v>
      </c>
      <c r="EN630" s="1996"/>
      <c r="EO630" s="1996"/>
      <c r="EP630" s="1996"/>
      <c r="EQ630" s="1997"/>
      <c r="ER630" s="1995" t="str">
        <f t="shared" si="20"/>
        <v xml:space="preserve"> </v>
      </c>
      <c r="ES630" s="1996"/>
      <c r="ET630" s="1996"/>
      <c r="EU630" s="1996"/>
      <c r="EV630" s="1997"/>
      <c r="EW630" s="1995" t="str">
        <f t="shared" si="21"/>
        <v xml:space="preserve"> </v>
      </c>
      <c r="EX630" s="1996"/>
      <c r="EY630" s="1996"/>
      <c r="EZ630" s="1996"/>
      <c r="FA630" s="1997"/>
    </row>
    <row r="631" spans="1:157" ht="13">
      <c r="A631" s="50"/>
      <c r="B631" s="50"/>
      <c r="C631" s="50"/>
      <c r="AZ631" s="58"/>
      <c r="BA631" s="58"/>
      <c r="BB631" s="58"/>
      <c r="BC631" s="58"/>
      <c r="BD631" s="58"/>
      <c r="BE631" s="1995">
        <f t="shared" si="0"/>
        <v>0</v>
      </c>
      <c r="BF631" s="1997"/>
      <c r="BG631" s="1979">
        <f t="shared" si="1"/>
        <v>0</v>
      </c>
      <c r="BH631" s="1981"/>
      <c r="BI631" s="1995">
        <f t="shared" si="2"/>
        <v>0</v>
      </c>
      <c r="BJ631" s="1997"/>
      <c r="BK631" s="1979">
        <f t="shared" si="3"/>
        <v>0</v>
      </c>
      <c r="BL631" s="1981"/>
      <c r="BM631" s="58"/>
      <c r="BN631" s="1972">
        <f t="shared" si="4"/>
        <v>0</v>
      </c>
      <c r="BO631" s="1973"/>
      <c r="BP631" s="1973"/>
      <c r="BQ631" s="1973"/>
      <c r="BR631" s="1974"/>
      <c r="BS631" s="1978">
        <f t="shared" si="5"/>
        <v>0</v>
      </c>
      <c r="BT631" s="1978"/>
      <c r="BU631" s="1978"/>
      <c r="BV631" s="1978"/>
      <c r="BW631" s="1978"/>
      <c r="BX631" s="1978">
        <f t="shared" si="6"/>
        <v>0</v>
      </c>
      <c r="BY631" s="1978"/>
      <c r="BZ631" s="1978"/>
      <c r="CA631" s="1978"/>
      <c r="CB631" s="1978"/>
      <c r="CC631" s="1978">
        <f t="shared" si="7"/>
        <v>0</v>
      </c>
      <c r="CD631" s="1978"/>
      <c r="CE631" s="1978"/>
      <c r="CF631" s="1978"/>
      <c r="CG631" s="1978"/>
      <c r="CH631" s="1978">
        <f t="shared" si="8"/>
        <v>0</v>
      </c>
      <c r="CI631" s="1978"/>
      <c r="CJ631" s="1978"/>
      <c r="CK631" s="1978"/>
      <c r="CL631" s="1978"/>
      <c r="CM631" s="1978">
        <f t="shared" si="9"/>
        <v>0</v>
      </c>
      <c r="CN631" s="1978"/>
      <c r="CO631" s="1978"/>
      <c r="CP631" s="1978"/>
      <c r="CQ631" s="1978"/>
      <c r="CR631" s="265"/>
      <c r="CS631" s="1994">
        <f t="shared" si="10"/>
        <v>0</v>
      </c>
      <c r="CT631" s="1994"/>
      <c r="CU631" s="1994"/>
      <c r="CV631" s="1994"/>
      <c r="CW631" s="1994"/>
      <c r="CX631" s="1994">
        <f t="shared" si="11"/>
        <v>0</v>
      </c>
      <c r="CY631" s="1994"/>
      <c r="CZ631" s="1994"/>
      <c r="DA631" s="1994"/>
      <c r="DB631" s="1994"/>
      <c r="DC631" s="1994">
        <f t="shared" si="12"/>
        <v>0</v>
      </c>
      <c r="DD631" s="1994"/>
      <c r="DE631" s="1994"/>
      <c r="DF631" s="1994"/>
      <c r="DG631" s="1994"/>
      <c r="DH631" s="1994">
        <f t="shared" si="13"/>
        <v>0</v>
      </c>
      <c r="DI631" s="1994"/>
      <c r="DJ631" s="1994"/>
      <c r="DK631" s="1994"/>
      <c r="DL631" s="1994"/>
      <c r="DM631" s="1994">
        <f t="shared" si="14"/>
        <v>0</v>
      </c>
      <c r="DN631" s="1994"/>
      <c r="DO631" s="1994"/>
      <c r="DP631" s="1994"/>
      <c r="DQ631" s="1994"/>
      <c r="DR631" s="1994">
        <f t="shared" si="15"/>
        <v>0</v>
      </c>
      <c r="DS631" s="1994"/>
      <c r="DT631" s="1994"/>
      <c r="DU631" s="1994"/>
      <c r="DV631" s="1994"/>
      <c r="DX631" s="1995" t="str">
        <f t="shared" si="16"/>
        <v xml:space="preserve"> </v>
      </c>
      <c r="DY631" s="1996"/>
      <c r="DZ631" s="1996"/>
      <c r="EA631" s="1996"/>
      <c r="EB631" s="1997"/>
      <c r="EC631" s="1995" t="str">
        <f t="shared" si="17"/>
        <v xml:space="preserve"> </v>
      </c>
      <c r="ED631" s="1996"/>
      <c r="EE631" s="1996"/>
      <c r="EF631" s="1996"/>
      <c r="EG631" s="1997"/>
      <c r="EH631" s="1995" t="str">
        <f t="shared" si="18"/>
        <v xml:space="preserve"> </v>
      </c>
      <c r="EI631" s="1996"/>
      <c r="EJ631" s="1996"/>
      <c r="EK631" s="1996"/>
      <c r="EL631" s="1997"/>
      <c r="EM631" s="1995" t="str">
        <f t="shared" si="19"/>
        <v xml:space="preserve"> </v>
      </c>
      <c r="EN631" s="1996"/>
      <c r="EO631" s="1996"/>
      <c r="EP631" s="1996"/>
      <c r="EQ631" s="1997"/>
      <c r="ER631" s="1995" t="str">
        <f t="shared" si="20"/>
        <v xml:space="preserve"> </v>
      </c>
      <c r="ES631" s="1996"/>
      <c r="ET631" s="1996"/>
      <c r="EU631" s="1996"/>
      <c r="EV631" s="1997"/>
      <c r="EW631" s="1995" t="str">
        <f t="shared" si="21"/>
        <v xml:space="preserve"> </v>
      </c>
      <c r="EX631" s="1996"/>
      <c r="EY631" s="1996"/>
      <c r="EZ631" s="1996"/>
      <c r="FA631" s="1997"/>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5">
        <f t="shared" si="0"/>
        <v>0</v>
      </c>
      <c r="BF632" s="1997"/>
      <c r="BG632" s="1979">
        <f t="shared" si="1"/>
        <v>0</v>
      </c>
      <c r="BH632" s="1981"/>
      <c r="BI632" s="1995">
        <f t="shared" si="2"/>
        <v>0</v>
      </c>
      <c r="BJ632" s="1997"/>
      <c r="BK632" s="1979">
        <f t="shared" si="3"/>
        <v>0</v>
      </c>
      <c r="BL632" s="1981"/>
      <c r="BM632" s="58"/>
      <c r="BN632" s="1972">
        <f t="shared" si="4"/>
        <v>0</v>
      </c>
      <c r="BO632" s="1973"/>
      <c r="BP632" s="1973"/>
      <c r="BQ632" s="1973"/>
      <c r="BR632" s="1974"/>
      <c r="BS632" s="1978">
        <f t="shared" si="5"/>
        <v>0</v>
      </c>
      <c r="BT632" s="1978"/>
      <c r="BU632" s="1978"/>
      <c r="BV632" s="1978"/>
      <c r="BW632" s="1978"/>
      <c r="BX632" s="1978">
        <f t="shared" si="6"/>
        <v>0</v>
      </c>
      <c r="BY632" s="1978"/>
      <c r="BZ632" s="1978"/>
      <c r="CA632" s="1978"/>
      <c r="CB632" s="1978"/>
      <c r="CC632" s="1978">
        <f t="shared" si="7"/>
        <v>0</v>
      </c>
      <c r="CD632" s="1978"/>
      <c r="CE632" s="1978"/>
      <c r="CF632" s="1978"/>
      <c r="CG632" s="1978"/>
      <c r="CH632" s="1978">
        <f t="shared" si="8"/>
        <v>0</v>
      </c>
      <c r="CI632" s="1978"/>
      <c r="CJ632" s="1978"/>
      <c r="CK632" s="1978"/>
      <c r="CL632" s="1978"/>
      <c r="CM632" s="1978">
        <f t="shared" si="9"/>
        <v>0</v>
      </c>
      <c r="CN632" s="1978"/>
      <c r="CO632" s="1978"/>
      <c r="CP632" s="1978"/>
      <c r="CQ632" s="1978"/>
      <c r="CR632" s="265"/>
      <c r="CS632" s="1994">
        <f t="shared" si="10"/>
        <v>0</v>
      </c>
      <c r="CT632" s="1994"/>
      <c r="CU632" s="1994"/>
      <c r="CV632" s="1994"/>
      <c r="CW632" s="1994"/>
      <c r="CX632" s="1994">
        <f t="shared" si="11"/>
        <v>0</v>
      </c>
      <c r="CY632" s="1994"/>
      <c r="CZ632" s="1994"/>
      <c r="DA632" s="1994"/>
      <c r="DB632" s="1994"/>
      <c r="DC632" s="1994">
        <f t="shared" si="12"/>
        <v>0</v>
      </c>
      <c r="DD632" s="1994"/>
      <c r="DE632" s="1994"/>
      <c r="DF632" s="1994"/>
      <c r="DG632" s="1994"/>
      <c r="DH632" s="1994">
        <f t="shared" si="13"/>
        <v>0</v>
      </c>
      <c r="DI632" s="1994"/>
      <c r="DJ632" s="1994"/>
      <c r="DK632" s="1994"/>
      <c r="DL632" s="1994"/>
      <c r="DM632" s="1994">
        <f t="shared" si="14"/>
        <v>0</v>
      </c>
      <c r="DN632" s="1994"/>
      <c r="DO632" s="1994"/>
      <c r="DP632" s="1994"/>
      <c r="DQ632" s="1994"/>
      <c r="DR632" s="1994">
        <f t="shared" si="15"/>
        <v>0</v>
      </c>
      <c r="DS632" s="1994"/>
      <c r="DT632" s="1994"/>
      <c r="DU632" s="1994"/>
      <c r="DV632" s="1994"/>
      <c r="DX632" s="1995" t="str">
        <f t="shared" si="16"/>
        <v xml:space="preserve"> </v>
      </c>
      <c r="DY632" s="1996"/>
      <c r="DZ632" s="1996"/>
      <c r="EA632" s="1996"/>
      <c r="EB632" s="1997"/>
      <c r="EC632" s="1995" t="str">
        <f t="shared" si="17"/>
        <v xml:space="preserve"> </v>
      </c>
      <c r="ED632" s="1996"/>
      <c r="EE632" s="1996"/>
      <c r="EF632" s="1996"/>
      <c r="EG632" s="1997"/>
      <c r="EH632" s="1995" t="str">
        <f t="shared" si="18"/>
        <v xml:space="preserve"> </v>
      </c>
      <c r="EI632" s="1996"/>
      <c r="EJ632" s="1996"/>
      <c r="EK632" s="1996"/>
      <c r="EL632" s="1997"/>
      <c r="EM632" s="1995" t="str">
        <f t="shared" si="19"/>
        <v xml:space="preserve"> </v>
      </c>
      <c r="EN632" s="1996"/>
      <c r="EO632" s="1996"/>
      <c r="EP632" s="1996"/>
      <c r="EQ632" s="1997"/>
      <c r="ER632" s="1995" t="str">
        <f t="shared" si="20"/>
        <v xml:space="preserve"> </v>
      </c>
      <c r="ES632" s="1996"/>
      <c r="ET632" s="1996"/>
      <c r="EU632" s="1996"/>
      <c r="EV632" s="1997"/>
      <c r="EW632" s="1995" t="str">
        <f t="shared" si="21"/>
        <v xml:space="preserve"> </v>
      </c>
      <c r="EX632" s="1996"/>
      <c r="EY632" s="1996"/>
      <c r="EZ632" s="1996"/>
      <c r="FA632" s="1997"/>
    </row>
    <row r="633" spans="1:157" ht="13">
      <c r="B633" s="911"/>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5">
        <f t="shared" si="0"/>
        <v>0</v>
      </c>
      <c r="BF633" s="1997"/>
      <c r="BG633" s="1979">
        <f t="shared" si="1"/>
        <v>0</v>
      </c>
      <c r="BH633" s="1981"/>
      <c r="BI633" s="1995">
        <f t="shared" si="2"/>
        <v>0</v>
      </c>
      <c r="BJ633" s="1997"/>
      <c r="BK633" s="1979">
        <f t="shared" si="3"/>
        <v>0</v>
      </c>
      <c r="BL633" s="1981"/>
      <c r="BM633" s="58"/>
      <c r="BN633" s="1972">
        <f t="shared" si="4"/>
        <v>0</v>
      </c>
      <c r="BO633" s="1973"/>
      <c r="BP633" s="1973"/>
      <c r="BQ633" s="1973"/>
      <c r="BR633" s="1974"/>
      <c r="BS633" s="1978">
        <f t="shared" si="5"/>
        <v>0</v>
      </c>
      <c r="BT633" s="1978"/>
      <c r="BU633" s="1978"/>
      <c r="BV633" s="1978"/>
      <c r="BW633" s="1978"/>
      <c r="BX633" s="1978">
        <f t="shared" si="6"/>
        <v>0</v>
      </c>
      <c r="BY633" s="1978"/>
      <c r="BZ633" s="1978"/>
      <c r="CA633" s="1978"/>
      <c r="CB633" s="1978"/>
      <c r="CC633" s="1978">
        <f t="shared" si="7"/>
        <v>0</v>
      </c>
      <c r="CD633" s="1978"/>
      <c r="CE633" s="1978"/>
      <c r="CF633" s="1978"/>
      <c r="CG633" s="1978"/>
      <c r="CH633" s="1978">
        <f t="shared" si="8"/>
        <v>0</v>
      </c>
      <c r="CI633" s="1978"/>
      <c r="CJ633" s="1978"/>
      <c r="CK633" s="1978"/>
      <c r="CL633" s="1978"/>
      <c r="CM633" s="1978">
        <f t="shared" si="9"/>
        <v>0</v>
      </c>
      <c r="CN633" s="1978"/>
      <c r="CO633" s="1978"/>
      <c r="CP633" s="1978"/>
      <c r="CQ633" s="1978"/>
      <c r="CR633" s="265"/>
      <c r="CS633" s="1994">
        <f t="shared" si="10"/>
        <v>0</v>
      </c>
      <c r="CT633" s="1994"/>
      <c r="CU633" s="1994"/>
      <c r="CV633" s="1994"/>
      <c r="CW633" s="1994"/>
      <c r="CX633" s="1994">
        <f t="shared" si="11"/>
        <v>0</v>
      </c>
      <c r="CY633" s="1994"/>
      <c r="CZ633" s="1994"/>
      <c r="DA633" s="1994"/>
      <c r="DB633" s="1994"/>
      <c r="DC633" s="1994">
        <f t="shared" si="12"/>
        <v>0</v>
      </c>
      <c r="DD633" s="1994"/>
      <c r="DE633" s="1994"/>
      <c r="DF633" s="1994"/>
      <c r="DG633" s="1994"/>
      <c r="DH633" s="1994">
        <f t="shared" si="13"/>
        <v>0</v>
      </c>
      <c r="DI633" s="1994"/>
      <c r="DJ633" s="1994"/>
      <c r="DK633" s="1994"/>
      <c r="DL633" s="1994"/>
      <c r="DM633" s="1994">
        <f t="shared" si="14"/>
        <v>0</v>
      </c>
      <c r="DN633" s="1994"/>
      <c r="DO633" s="1994"/>
      <c r="DP633" s="1994"/>
      <c r="DQ633" s="1994"/>
      <c r="DR633" s="1994">
        <f t="shared" si="15"/>
        <v>0</v>
      </c>
      <c r="DS633" s="1994"/>
      <c r="DT633" s="1994"/>
      <c r="DU633" s="1994"/>
      <c r="DV633" s="1994"/>
      <c r="DX633" s="1995" t="str">
        <f t="shared" si="16"/>
        <v xml:space="preserve"> </v>
      </c>
      <c r="DY633" s="1996"/>
      <c r="DZ633" s="1996"/>
      <c r="EA633" s="1996"/>
      <c r="EB633" s="1997"/>
      <c r="EC633" s="1995" t="str">
        <f t="shared" si="17"/>
        <v xml:space="preserve"> </v>
      </c>
      <c r="ED633" s="1996"/>
      <c r="EE633" s="1996"/>
      <c r="EF633" s="1996"/>
      <c r="EG633" s="1997"/>
      <c r="EH633" s="1995" t="str">
        <f t="shared" si="18"/>
        <v xml:space="preserve"> </v>
      </c>
      <c r="EI633" s="1996"/>
      <c r="EJ633" s="1996"/>
      <c r="EK633" s="1996"/>
      <c r="EL633" s="1997"/>
      <c r="EM633" s="1995" t="str">
        <f t="shared" si="19"/>
        <v xml:space="preserve"> </v>
      </c>
      <c r="EN633" s="1996"/>
      <c r="EO633" s="1996"/>
      <c r="EP633" s="1996"/>
      <c r="EQ633" s="1997"/>
      <c r="ER633" s="1995" t="str">
        <f t="shared" si="20"/>
        <v xml:space="preserve"> </v>
      </c>
      <c r="ES633" s="1996"/>
      <c r="ET633" s="1996"/>
      <c r="EU633" s="1996"/>
      <c r="EV633" s="1997"/>
      <c r="EW633" s="1995" t="str">
        <f t="shared" si="21"/>
        <v xml:space="preserve"> </v>
      </c>
      <c r="EX633" s="1996"/>
      <c r="EY633" s="1996"/>
      <c r="EZ633" s="1996"/>
      <c r="FA633" s="1997"/>
    </row>
    <row r="634" spans="1:157" s="1720" customFormat="1" ht="12.75" customHeight="1">
      <c r="B634" s="2229" t="s">
        <v>482</v>
      </c>
      <c r="C634" s="2230"/>
      <c r="D634" s="2230"/>
      <c r="E634" s="2230"/>
      <c r="F634" s="2230"/>
      <c r="G634" s="2230"/>
      <c r="H634" s="2230"/>
      <c r="I634" s="2230"/>
      <c r="J634" s="2230"/>
      <c r="K634" s="2230"/>
      <c r="L634" s="2230"/>
      <c r="M634" s="2230"/>
      <c r="N634" s="2231"/>
      <c r="O634" s="2138" t="s">
        <v>2294</v>
      </c>
      <c r="P634" s="2139"/>
      <c r="Q634" s="2292"/>
      <c r="R634" s="2138" t="s">
        <v>2292</v>
      </c>
      <c r="S634" s="2139"/>
      <c r="T634" s="2292"/>
      <c r="U634" s="2024" t="s">
        <v>483</v>
      </c>
      <c r="V634" s="2024"/>
      <c r="W634" s="2025"/>
      <c r="X634" s="2138" t="s">
        <v>2079</v>
      </c>
      <c r="Y634" s="2139"/>
      <c r="Z634" s="2139"/>
      <c r="AA634" s="2139"/>
      <c r="AB634" s="2292"/>
      <c r="AC634" s="2296" t="s">
        <v>2077</v>
      </c>
      <c r="AD634" s="2297"/>
      <c r="AE634" s="2298"/>
      <c r="AF634" s="2138" t="s">
        <v>2080</v>
      </c>
      <c r="AG634" s="2139"/>
      <c r="AH634" s="2139"/>
      <c r="AI634" s="2139"/>
      <c r="AJ634" s="2292"/>
      <c r="AK634" s="2241" t="s">
        <v>2081</v>
      </c>
      <c r="AL634" s="2242"/>
      <c r="AM634" s="2242"/>
      <c r="AN634" s="2243"/>
      <c r="AO634" s="2295" t="s">
        <v>484</v>
      </c>
      <c r="AP634" s="2295"/>
      <c r="AQ634" s="2295"/>
      <c r="AR634" s="2295"/>
      <c r="AS634" s="2295"/>
      <c r="AT634" s="1721"/>
      <c r="AU634" s="1721"/>
      <c r="AV634" s="1721"/>
      <c r="AW634" s="1721"/>
      <c r="AX634" s="1721"/>
      <c r="AY634" s="1721"/>
      <c r="AZ634" s="181"/>
      <c r="BA634" s="181"/>
      <c r="BB634" s="181"/>
      <c r="BC634" s="181"/>
      <c r="BD634" s="181"/>
      <c r="BE634" s="1995">
        <f t="shared" si="0"/>
        <v>0</v>
      </c>
      <c r="BF634" s="1997"/>
      <c r="BG634" s="1979">
        <f t="shared" si="1"/>
        <v>0</v>
      </c>
      <c r="BH634" s="1981"/>
      <c r="BI634" s="1995">
        <f t="shared" si="2"/>
        <v>0</v>
      </c>
      <c r="BJ634" s="1997"/>
      <c r="BK634" s="1979">
        <f t="shared" si="3"/>
        <v>0</v>
      </c>
      <c r="BL634" s="1981"/>
      <c r="BM634" s="181"/>
      <c r="BN634" s="1972">
        <f t="shared" si="4"/>
        <v>0</v>
      </c>
      <c r="BO634" s="1973"/>
      <c r="BP634" s="1973"/>
      <c r="BQ634" s="1973"/>
      <c r="BR634" s="1974"/>
      <c r="BS634" s="1978">
        <f t="shared" si="5"/>
        <v>0</v>
      </c>
      <c r="BT634" s="1978"/>
      <c r="BU634" s="1978"/>
      <c r="BV634" s="1978"/>
      <c r="BW634" s="1978"/>
      <c r="BX634" s="1978">
        <f t="shared" si="6"/>
        <v>0</v>
      </c>
      <c r="BY634" s="1978"/>
      <c r="BZ634" s="1978"/>
      <c r="CA634" s="1978"/>
      <c r="CB634" s="1978"/>
      <c r="CC634" s="1978">
        <f t="shared" si="7"/>
        <v>0</v>
      </c>
      <c r="CD634" s="1978"/>
      <c r="CE634" s="1978"/>
      <c r="CF634" s="1978"/>
      <c r="CG634" s="1978"/>
      <c r="CH634" s="1978">
        <f t="shared" si="8"/>
        <v>0</v>
      </c>
      <c r="CI634" s="1978"/>
      <c r="CJ634" s="1978"/>
      <c r="CK634" s="1978"/>
      <c r="CL634" s="1978"/>
      <c r="CM634" s="1978">
        <f t="shared" si="9"/>
        <v>0</v>
      </c>
      <c r="CN634" s="1978"/>
      <c r="CO634" s="1978"/>
      <c r="CP634" s="1978"/>
      <c r="CQ634" s="1978"/>
      <c r="CR634" s="265"/>
      <c r="CS634" s="1994">
        <f t="shared" si="10"/>
        <v>0</v>
      </c>
      <c r="CT634" s="1994"/>
      <c r="CU634" s="1994"/>
      <c r="CV634" s="1994"/>
      <c r="CW634" s="1994"/>
      <c r="CX634" s="1994">
        <f t="shared" si="11"/>
        <v>0</v>
      </c>
      <c r="CY634" s="1994"/>
      <c r="CZ634" s="1994"/>
      <c r="DA634" s="1994"/>
      <c r="DB634" s="1994"/>
      <c r="DC634" s="1994">
        <f t="shared" si="12"/>
        <v>0</v>
      </c>
      <c r="DD634" s="1994"/>
      <c r="DE634" s="1994"/>
      <c r="DF634" s="1994"/>
      <c r="DG634" s="1994"/>
      <c r="DH634" s="1994">
        <f t="shared" si="13"/>
        <v>0</v>
      </c>
      <c r="DI634" s="1994"/>
      <c r="DJ634" s="1994"/>
      <c r="DK634" s="1994"/>
      <c r="DL634" s="1994"/>
      <c r="DM634" s="1994">
        <f t="shared" si="14"/>
        <v>0</v>
      </c>
      <c r="DN634" s="1994"/>
      <c r="DO634" s="1994"/>
      <c r="DP634" s="1994"/>
      <c r="DQ634" s="1994"/>
      <c r="DR634" s="1994">
        <f t="shared" si="15"/>
        <v>0</v>
      </c>
      <c r="DS634" s="1994"/>
      <c r="DT634" s="1994"/>
      <c r="DU634" s="1994"/>
      <c r="DV634" s="1994"/>
      <c r="DX634" s="1995" t="str">
        <f t="shared" si="16"/>
        <v xml:space="preserve"> </v>
      </c>
      <c r="DY634" s="1996"/>
      <c r="DZ634" s="1996"/>
      <c r="EA634" s="1996"/>
      <c r="EB634" s="1997"/>
      <c r="EC634" s="1995" t="str">
        <f t="shared" si="17"/>
        <v xml:space="preserve"> </v>
      </c>
      <c r="ED634" s="1996"/>
      <c r="EE634" s="1996"/>
      <c r="EF634" s="1996"/>
      <c r="EG634" s="1997"/>
      <c r="EH634" s="1995" t="str">
        <f t="shared" si="18"/>
        <v xml:space="preserve"> </v>
      </c>
      <c r="EI634" s="1996"/>
      <c r="EJ634" s="1996"/>
      <c r="EK634" s="1996"/>
      <c r="EL634" s="1997"/>
      <c r="EM634" s="1995" t="str">
        <f t="shared" si="19"/>
        <v xml:space="preserve"> </v>
      </c>
      <c r="EN634" s="1996"/>
      <c r="EO634" s="1996"/>
      <c r="EP634" s="1996"/>
      <c r="EQ634" s="1997"/>
      <c r="ER634" s="1995" t="str">
        <f t="shared" si="20"/>
        <v xml:space="preserve"> </v>
      </c>
      <c r="ES634" s="1996"/>
      <c r="ET634" s="1996"/>
      <c r="EU634" s="1996"/>
      <c r="EV634" s="1997"/>
      <c r="EW634" s="1995" t="str">
        <f t="shared" si="21"/>
        <v xml:space="preserve"> </v>
      </c>
      <c r="EX634" s="1996"/>
      <c r="EY634" s="1996"/>
      <c r="EZ634" s="1996"/>
      <c r="FA634" s="1997"/>
    </row>
    <row r="635" spans="1:157" s="1720" customFormat="1" ht="12.5">
      <c r="B635" s="2391"/>
      <c r="C635" s="2392"/>
      <c r="D635" s="2392"/>
      <c r="E635" s="2392"/>
      <c r="F635" s="2392"/>
      <c r="G635" s="2392"/>
      <c r="H635" s="2392"/>
      <c r="I635" s="2392"/>
      <c r="J635" s="2392"/>
      <c r="K635" s="2392"/>
      <c r="L635" s="2392"/>
      <c r="M635" s="2392"/>
      <c r="N635" s="2393"/>
      <c r="O635" s="2140"/>
      <c r="P635" s="2141"/>
      <c r="Q635" s="2293"/>
      <c r="R635" s="2140"/>
      <c r="S635" s="2141"/>
      <c r="T635" s="2293"/>
      <c r="U635" s="2026"/>
      <c r="V635" s="2026"/>
      <c r="W635" s="2027"/>
      <c r="X635" s="2140"/>
      <c r="Y635" s="2141"/>
      <c r="Z635" s="2141"/>
      <c r="AA635" s="2141"/>
      <c r="AB635" s="2293"/>
      <c r="AC635" s="2299"/>
      <c r="AD635" s="2300"/>
      <c r="AE635" s="2301"/>
      <c r="AF635" s="2140"/>
      <c r="AG635" s="2141"/>
      <c r="AH635" s="2141"/>
      <c r="AI635" s="2141"/>
      <c r="AJ635" s="2293"/>
      <c r="AK635" s="2244"/>
      <c r="AL635" s="2245"/>
      <c r="AM635" s="2245"/>
      <c r="AN635" s="2246"/>
      <c r="AO635" s="2295"/>
      <c r="AP635" s="2295"/>
      <c r="AQ635" s="2295"/>
      <c r="AR635" s="2295"/>
      <c r="AS635" s="2295"/>
      <c r="AT635" s="1721"/>
      <c r="AU635" s="1721"/>
      <c r="AV635" s="1721"/>
      <c r="AW635" s="1721"/>
      <c r="AX635" s="1721"/>
      <c r="AY635" s="1721"/>
      <c r="AZ635" s="181"/>
      <c r="BA635" s="181"/>
      <c r="BB635" s="181"/>
      <c r="BC635" s="181"/>
      <c r="BD635" s="181"/>
      <c r="BE635" s="181"/>
      <c r="BF635" s="181"/>
      <c r="BG635" s="1995">
        <f>SUM(BG610:BH634)</f>
        <v>13</v>
      </c>
      <c r="BH635" s="1997"/>
      <c r="BI635" s="181"/>
      <c r="BJ635" s="181"/>
      <c r="BK635" s="1995">
        <f>SUM(BK610:BL634)</f>
        <v>30</v>
      </c>
      <c r="BL635" s="1997"/>
      <c r="BM635" s="181"/>
      <c r="BN635" s="1995">
        <f>SUM(BN610:BR634)</f>
        <v>79</v>
      </c>
      <c r="BO635" s="1996"/>
      <c r="BP635" s="1996"/>
      <c r="BQ635" s="1996"/>
      <c r="BR635" s="1997"/>
      <c r="BS635" s="1998">
        <f>SUM(BS610:BW634)</f>
        <v>0</v>
      </c>
      <c r="BT635" s="1998"/>
      <c r="BU635" s="1998"/>
      <c r="BV635" s="1998"/>
      <c r="BW635" s="1998"/>
      <c r="BX635" s="1998">
        <f>SUM(BX610:CB634)</f>
        <v>31</v>
      </c>
      <c r="BY635" s="1998"/>
      <c r="BZ635" s="1998"/>
      <c r="CA635" s="1998"/>
      <c r="CB635" s="1998"/>
      <c r="CC635" s="1998">
        <f>SUM(CC610:CG634)</f>
        <v>0</v>
      </c>
      <c r="CD635" s="1998"/>
      <c r="CE635" s="1998"/>
      <c r="CF635" s="1998"/>
      <c r="CG635" s="1998"/>
      <c r="CH635" s="1998">
        <f>SUM(CH610:CL634)</f>
        <v>0</v>
      </c>
      <c r="CI635" s="1998"/>
      <c r="CJ635" s="1998"/>
      <c r="CK635" s="1998"/>
      <c r="CL635" s="1998"/>
      <c r="CM635" s="1998">
        <f>SUM(CM610:CQ634)</f>
        <v>0</v>
      </c>
      <c r="CN635" s="1998"/>
      <c r="CO635" s="1998"/>
      <c r="CP635" s="1998"/>
      <c r="CQ635" s="1998"/>
      <c r="CR635" s="695"/>
      <c r="CS635" s="1998">
        <f>SUM(CS610:CW634)</f>
        <v>26</v>
      </c>
      <c r="CT635" s="1998"/>
      <c r="CU635" s="1998"/>
      <c r="CV635" s="1998"/>
      <c r="CW635" s="1998"/>
      <c r="CX635" s="1998">
        <f>SUM(CX610:DB634)</f>
        <v>0</v>
      </c>
      <c r="CY635" s="1998"/>
      <c r="CZ635" s="1998"/>
      <c r="DA635" s="1998"/>
      <c r="DB635" s="1998"/>
      <c r="DC635" s="1998">
        <f>SUM(DC610:DG634)</f>
        <v>4</v>
      </c>
      <c r="DD635" s="1998"/>
      <c r="DE635" s="1998"/>
      <c r="DF635" s="1998"/>
      <c r="DG635" s="1998"/>
      <c r="DH635" s="1998">
        <f>SUM(DH610:DL634)</f>
        <v>0</v>
      </c>
      <c r="DI635" s="1998"/>
      <c r="DJ635" s="1998"/>
      <c r="DK635" s="1998"/>
      <c r="DL635" s="1998"/>
      <c r="DM635" s="1998">
        <f>SUM(DM610:DQ634)</f>
        <v>0</v>
      </c>
      <c r="DN635" s="1998"/>
      <c r="DO635" s="1998"/>
      <c r="DP635" s="1998"/>
      <c r="DQ635" s="1998"/>
      <c r="DR635" s="1998">
        <f>SUM(DR610:DV634)</f>
        <v>0</v>
      </c>
      <c r="DS635" s="1998"/>
      <c r="DT635" s="1998"/>
      <c r="DU635" s="1998"/>
      <c r="DV635" s="1998"/>
      <c r="DX635" s="1998">
        <f>SUM(DX610:EB634)</f>
        <v>5698</v>
      </c>
      <c r="DY635" s="1998"/>
      <c r="DZ635" s="1998"/>
      <c r="EA635" s="1998"/>
      <c r="EB635" s="1998"/>
      <c r="EC635" s="1998">
        <f>SUM(EC610:EG634)</f>
        <v>0</v>
      </c>
      <c r="ED635" s="1998"/>
      <c r="EE635" s="1998"/>
      <c r="EF635" s="1998"/>
      <c r="EG635" s="1998"/>
      <c r="EH635" s="1998">
        <f>SUM(EH610:EL634)</f>
        <v>6048</v>
      </c>
      <c r="EI635" s="1998"/>
      <c r="EJ635" s="1998"/>
      <c r="EK635" s="1998"/>
      <c r="EL635" s="1998"/>
      <c r="EM635" s="1998">
        <f>SUM(EM610:EQ634)</f>
        <v>0</v>
      </c>
      <c r="EN635" s="1998"/>
      <c r="EO635" s="1998"/>
      <c r="EP635" s="1998"/>
      <c r="EQ635" s="1998"/>
      <c r="ER635" s="1998">
        <f>SUM(ER610:EV634)</f>
        <v>0</v>
      </c>
      <c r="ES635" s="1998"/>
      <c r="ET635" s="1998"/>
      <c r="EU635" s="1998"/>
      <c r="EV635" s="1998"/>
      <c r="EW635" s="1998">
        <f>SUM(EW610:FA634)</f>
        <v>0</v>
      </c>
      <c r="EX635" s="1998"/>
      <c r="EY635" s="1998"/>
      <c r="EZ635" s="1998"/>
      <c r="FA635" s="1998"/>
    </row>
    <row r="636" spans="1:157" s="1720" customFormat="1" ht="13">
      <c r="B636" s="2394"/>
      <c r="C636" s="2392"/>
      <c r="D636" s="2392"/>
      <c r="E636" s="2392"/>
      <c r="F636" s="2392"/>
      <c r="G636" s="2392"/>
      <c r="H636" s="2392"/>
      <c r="I636" s="2392"/>
      <c r="J636" s="2392"/>
      <c r="K636" s="2392"/>
      <c r="L636" s="2392"/>
      <c r="M636" s="2392"/>
      <c r="N636" s="2393"/>
      <c r="O636" s="2142"/>
      <c r="P636" s="2143"/>
      <c r="Q636" s="2294"/>
      <c r="R636" s="2142"/>
      <c r="S636" s="2143"/>
      <c r="T636" s="2294"/>
      <c r="U636" s="2028"/>
      <c r="V636" s="2028"/>
      <c r="W636" s="2029"/>
      <c r="X636" s="2142"/>
      <c r="Y636" s="2143"/>
      <c r="Z636" s="2143"/>
      <c r="AA636" s="2143"/>
      <c r="AB636" s="2294"/>
      <c r="AC636" s="2302"/>
      <c r="AD636" s="2303"/>
      <c r="AE636" s="2304"/>
      <c r="AF636" s="2142"/>
      <c r="AG636" s="2143"/>
      <c r="AH636" s="2143"/>
      <c r="AI636" s="2143"/>
      <c r="AJ636" s="2294"/>
      <c r="AK636" s="2247"/>
      <c r="AL636" s="2248"/>
      <c r="AM636" s="2248"/>
      <c r="AN636" s="2249"/>
      <c r="AO636" s="2295"/>
      <c r="AP636" s="2295"/>
      <c r="AQ636" s="2295"/>
      <c r="AR636" s="2295"/>
      <c r="AS636" s="2295"/>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2304</v>
      </c>
      <c r="CM636" s="1995">
        <f>BN635+BS635+BX635+CC635+CH635+CM635</f>
        <v>110</v>
      </c>
      <c r="CN636" s="1996"/>
      <c r="CO636" s="1996"/>
      <c r="CP636" s="1996"/>
      <c r="CQ636" s="1997"/>
      <c r="CR636" s="695"/>
      <c r="CS636" s="181"/>
      <c r="CT636" s="181"/>
      <c r="CU636" s="181"/>
      <c r="CV636" s="181"/>
      <c r="CW636" s="181"/>
      <c r="CX636" s="181"/>
      <c r="CY636" s="181"/>
      <c r="CZ636" s="181"/>
      <c r="DA636" s="181"/>
      <c r="DB636" s="181"/>
      <c r="DC636" s="181"/>
      <c r="DD636" s="181"/>
      <c r="DE636" s="181"/>
      <c r="DF636" s="181"/>
    </row>
    <row r="637" spans="1:157" ht="13">
      <c r="B637" s="83" t="s">
        <v>117</v>
      </c>
      <c r="C637" s="1993" t="s">
        <v>2649</v>
      </c>
      <c r="D637" s="1993"/>
      <c r="E637" s="1993"/>
      <c r="F637" s="1993"/>
      <c r="G637" s="1993"/>
      <c r="H637" s="1993"/>
      <c r="I637" s="1993"/>
      <c r="J637" s="1993"/>
      <c r="K637" s="1993"/>
      <c r="L637" s="1993"/>
      <c r="M637" s="1993"/>
      <c r="N637" s="2305"/>
      <c r="O637" s="2021">
        <f>17*12</f>
        <v>204</v>
      </c>
      <c r="P637" s="2022"/>
      <c r="Q637" s="2023"/>
      <c r="R637" s="1966">
        <f>30*12</f>
        <v>360</v>
      </c>
      <c r="S637" s="2013"/>
      <c r="T637" s="2014"/>
      <c r="U637" s="2015">
        <v>4.8000000000000001E-2</v>
      </c>
      <c r="V637" s="2016"/>
      <c r="W637" s="2017"/>
      <c r="X637" s="2009" t="s">
        <v>2078</v>
      </c>
      <c r="Y637" s="2010"/>
      <c r="Z637" s="2010"/>
      <c r="AA637" s="2010"/>
      <c r="AB637" s="2011"/>
      <c r="AC637" s="2000">
        <v>1</v>
      </c>
      <c r="AD637" s="2001"/>
      <c r="AE637" s="2002"/>
      <c r="AF637" s="2018">
        <f>-PMT(U637/12,R637,AO637)*12</f>
        <v>432345.23859143339</v>
      </c>
      <c r="AG637" s="2019"/>
      <c r="AH637" s="2019"/>
      <c r="AI637" s="2019"/>
      <c r="AJ637" s="2020"/>
      <c r="AK637" s="2030"/>
      <c r="AL637" s="2031"/>
      <c r="AM637" s="2031"/>
      <c r="AN637" s="2032"/>
      <c r="AO637" s="1999">
        <v>6867000</v>
      </c>
      <c r="AP637" s="1999"/>
      <c r="AQ637" s="1999"/>
      <c r="AR637" s="1999"/>
      <c r="AS637" s="1999"/>
      <c r="AT637" s="239"/>
      <c r="AU637" s="239"/>
      <c r="AV637" s="239"/>
      <c r="AW637" s="239"/>
      <c r="AX637" s="239"/>
      <c r="AY637" s="239"/>
      <c r="AZ637" s="58"/>
      <c r="BA637" s="58" t="s">
        <v>1377</v>
      </c>
      <c r="BB637" s="58"/>
      <c r="BC637" s="58"/>
      <c r="BD637" s="58"/>
      <c r="BE637" s="58"/>
      <c r="BF637" s="58"/>
      <c r="BG637" s="58"/>
      <c r="BH637" s="58"/>
      <c r="BI637" s="58"/>
      <c r="BJ637" s="58"/>
      <c r="BK637" s="58"/>
      <c r="BL637" s="58"/>
      <c r="BM637" s="58"/>
      <c r="BR637" s="1420">
        <f>BN635*1</f>
        <v>79</v>
      </c>
      <c r="BS637" s="58"/>
      <c r="BT637" s="58"/>
      <c r="BU637" s="58"/>
      <c r="BV637" s="58"/>
      <c r="BW637" s="1420">
        <f>BS635*1</f>
        <v>0</v>
      </c>
      <c r="BX637" s="58"/>
      <c r="BY637" s="58"/>
      <c r="BZ637" s="58"/>
      <c r="CA637" s="58"/>
      <c r="CB637" s="1420">
        <f>BX635*2</f>
        <v>62</v>
      </c>
      <c r="CC637" s="58"/>
      <c r="CD637" s="58"/>
      <c r="CE637" s="58"/>
      <c r="CF637" s="58"/>
      <c r="CG637" s="1420">
        <f>CC635*3</f>
        <v>0</v>
      </c>
      <c r="CH637" s="58"/>
      <c r="CI637" s="58"/>
      <c r="CJ637" s="58"/>
      <c r="CK637" s="58"/>
      <c r="CL637" s="1420">
        <f>CH635*4</f>
        <v>0</v>
      </c>
      <c r="CM637" s="58"/>
      <c r="CN637" s="58"/>
      <c r="CO637" s="58"/>
      <c r="CP637" s="58"/>
      <c r="CQ637" s="1420">
        <f>CM635*5</f>
        <v>0</v>
      </c>
      <c r="CS637" s="1420">
        <f>BR637+BW637+CB637+CG637+CL637+CQ637</f>
        <v>141</v>
      </c>
      <c r="CT637" s="134" t="s">
        <v>2306</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1993" t="s">
        <v>2579</v>
      </c>
      <c r="D638" s="1993"/>
      <c r="E638" s="1993"/>
      <c r="F638" s="1993"/>
      <c r="G638" s="1993"/>
      <c r="H638" s="1993"/>
      <c r="I638" s="1993"/>
      <c r="J638" s="1993"/>
      <c r="K638" s="1993"/>
      <c r="L638" s="1993"/>
      <c r="M638" s="1993"/>
      <c r="N638" s="2305"/>
      <c r="O638" s="2021">
        <f>55*12</f>
        <v>660</v>
      </c>
      <c r="P638" s="2022"/>
      <c r="Q638" s="2023"/>
      <c r="R638" s="2012">
        <f>O638</f>
        <v>660</v>
      </c>
      <c r="S638" s="2013"/>
      <c r="T638" s="2014"/>
      <c r="U638" s="2015">
        <v>0.03</v>
      </c>
      <c r="V638" s="2016"/>
      <c r="W638" s="2017"/>
      <c r="X638" s="2009" t="s">
        <v>488</v>
      </c>
      <c r="Y638" s="2010"/>
      <c r="Z638" s="2010"/>
      <c r="AA638" s="2010"/>
      <c r="AB638" s="2011"/>
      <c r="AC638" s="2000">
        <v>2</v>
      </c>
      <c r="AD638" s="2001"/>
      <c r="AE638" s="2002"/>
      <c r="AF638" s="2018">
        <f>0.0042*AO638</f>
        <v>84000</v>
      </c>
      <c r="AG638" s="2019"/>
      <c r="AH638" s="2019"/>
      <c r="AI638" s="2019"/>
      <c r="AJ638" s="2020"/>
      <c r="AK638" s="2030"/>
      <c r="AL638" s="2031"/>
      <c r="AM638" s="2031"/>
      <c r="AN638" s="2032"/>
      <c r="AO638" s="1999">
        <v>20000000</v>
      </c>
      <c r="AP638" s="1999"/>
      <c r="AQ638" s="1999"/>
      <c r="AR638" s="1999"/>
      <c r="AS638" s="1999"/>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2">
        <f t="shared" ref="DX638:DX662" si="22">DX610*(BN610/$BN$635)</f>
        <v>128.81012658227849</v>
      </c>
      <c r="DY638" s="1982"/>
      <c r="DZ638" s="1982"/>
      <c r="EA638" s="1982"/>
      <c r="EB638" s="1982"/>
      <c r="EC638" s="1982" t="e">
        <f t="shared" ref="EC638:EC662" si="23">EC610*(BS610/$BS$635)</f>
        <v>#VALUE!</v>
      </c>
      <c r="ED638" s="1982"/>
      <c r="EE638" s="1982"/>
      <c r="EF638" s="1982"/>
      <c r="EG638" s="1982"/>
      <c r="EH638" s="1982" t="e">
        <f t="shared" ref="EH638:EH662" si="24">EH610*(BX610/$BX$635)</f>
        <v>#VALUE!</v>
      </c>
      <c r="EI638" s="1982"/>
      <c r="EJ638" s="1982"/>
      <c r="EK638" s="1982"/>
      <c r="EL638" s="1982"/>
      <c r="EM638" s="1982" t="e">
        <f t="shared" ref="EM638:EM662" si="25">EM610*(CC610/$CC$635)</f>
        <v>#VALUE!</v>
      </c>
      <c r="EN638" s="1982"/>
      <c r="EO638" s="1982"/>
      <c r="EP638" s="1982"/>
      <c r="EQ638" s="1982"/>
      <c r="ER638" s="1982" t="e">
        <f t="shared" ref="ER638:ER662" si="26">ER610*(CH610/$CH$635)</f>
        <v>#VALUE!</v>
      </c>
      <c r="ES638" s="1982"/>
      <c r="ET638" s="1982"/>
      <c r="EU638" s="1982"/>
      <c r="EV638" s="1982"/>
      <c r="EW638" s="1982" t="e">
        <f t="shared" ref="EW638:EW662" si="27">EW610*(CM610/$CM$635)</f>
        <v>#VALUE!</v>
      </c>
      <c r="EX638" s="1982"/>
      <c r="EY638" s="1982"/>
      <c r="EZ638" s="1982"/>
      <c r="FA638" s="1982"/>
    </row>
    <row r="639" spans="1:157" ht="12.75" customHeight="1">
      <c r="B639" s="84" t="s">
        <v>124</v>
      </c>
      <c r="C639" s="1993" t="s">
        <v>2573</v>
      </c>
      <c r="D639" s="1993"/>
      <c r="E639" s="1993"/>
      <c r="F639" s="1993"/>
      <c r="G639" s="1993"/>
      <c r="H639" s="1993"/>
      <c r="I639" s="1993"/>
      <c r="J639" s="1993"/>
      <c r="K639" s="1993"/>
      <c r="L639" s="1993"/>
      <c r="M639" s="1993"/>
      <c r="N639" s="2305"/>
      <c r="O639" s="2021">
        <f>O638</f>
        <v>660</v>
      </c>
      <c r="P639" s="2022"/>
      <c r="Q639" s="2023"/>
      <c r="R639" s="2012">
        <f>O639</f>
        <v>660</v>
      </c>
      <c r="S639" s="2013"/>
      <c r="T639" s="2014"/>
      <c r="U639" s="2015">
        <v>0.03</v>
      </c>
      <c r="V639" s="2016"/>
      <c r="W639" s="2017"/>
      <c r="X639" s="2009" t="s">
        <v>488</v>
      </c>
      <c r="Y639" s="2010"/>
      <c r="Z639" s="2010"/>
      <c r="AA639" s="2010"/>
      <c r="AB639" s="2011"/>
      <c r="AC639" s="2000">
        <v>3</v>
      </c>
      <c r="AD639" s="2001"/>
      <c r="AE639" s="2002"/>
      <c r="AF639" s="2018"/>
      <c r="AG639" s="2019"/>
      <c r="AH639" s="2019"/>
      <c r="AI639" s="2019"/>
      <c r="AJ639" s="2020"/>
      <c r="AK639" s="2030"/>
      <c r="AL639" s="2031"/>
      <c r="AM639" s="2031"/>
      <c r="AN639" s="2032"/>
      <c r="AO639" s="1999">
        <f>AM566</f>
        <v>12150000</v>
      </c>
      <c r="AP639" s="1999"/>
      <c r="AQ639" s="1999"/>
      <c r="AR639" s="1999"/>
      <c r="AS639" s="1999"/>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2">
        <f t="shared" si="22"/>
        <v>16.658227848101266</v>
      </c>
      <c r="DY639" s="1982"/>
      <c r="DZ639" s="1982"/>
      <c r="EA639" s="1982"/>
      <c r="EB639" s="1982"/>
      <c r="EC639" s="1982" t="e">
        <f t="shared" si="23"/>
        <v>#VALUE!</v>
      </c>
      <c r="ED639" s="1982"/>
      <c r="EE639" s="1982"/>
      <c r="EF639" s="1982"/>
      <c r="EG639" s="1982"/>
      <c r="EH639" s="1982" t="e">
        <f t="shared" si="24"/>
        <v>#VALUE!</v>
      </c>
      <c r="EI639" s="1982"/>
      <c r="EJ639" s="1982"/>
      <c r="EK639" s="1982"/>
      <c r="EL639" s="1982"/>
      <c r="EM639" s="1982" t="e">
        <f t="shared" si="25"/>
        <v>#VALUE!</v>
      </c>
      <c r="EN639" s="1982"/>
      <c r="EO639" s="1982"/>
      <c r="EP639" s="1982"/>
      <c r="EQ639" s="1982"/>
      <c r="ER639" s="1982" t="e">
        <f t="shared" si="26"/>
        <v>#VALUE!</v>
      </c>
      <c r="ES639" s="1982"/>
      <c r="ET639" s="1982"/>
      <c r="EU639" s="1982"/>
      <c r="EV639" s="1982"/>
      <c r="EW639" s="1982" t="e">
        <f t="shared" si="27"/>
        <v>#VALUE!</v>
      </c>
      <c r="EX639" s="1982"/>
      <c r="EY639" s="1982"/>
      <c r="EZ639" s="1982"/>
      <c r="FA639" s="1982"/>
    </row>
    <row r="640" spans="1:157" ht="12.5">
      <c r="B640" s="84" t="s">
        <v>614</v>
      </c>
      <c r="C640" s="1993" t="s">
        <v>2587</v>
      </c>
      <c r="D640" s="1993"/>
      <c r="E640" s="1993"/>
      <c r="F640" s="1993"/>
      <c r="G640" s="1993"/>
      <c r="H640" s="1993"/>
      <c r="I640" s="1993"/>
      <c r="J640" s="1993"/>
      <c r="K640" s="1993"/>
      <c r="L640" s="1993"/>
      <c r="M640" s="1993"/>
      <c r="N640" s="2305"/>
      <c r="O640" s="2021">
        <f ca="1">R640</f>
        <v>660</v>
      </c>
      <c r="P640" s="2022"/>
      <c r="Q640" s="2023"/>
      <c r="R640" s="2012">
        <f ca="1">O640</f>
        <v>660</v>
      </c>
      <c r="S640" s="2013"/>
      <c r="T640" s="2014"/>
      <c r="U640" s="2015">
        <v>1E-13</v>
      </c>
      <c r="V640" s="2016"/>
      <c r="W640" s="2017"/>
      <c r="X640" s="2009" t="s">
        <v>489</v>
      </c>
      <c r="Y640" s="2010"/>
      <c r="Z640" s="2010"/>
      <c r="AA640" s="2010"/>
      <c r="AB640" s="2011"/>
      <c r="AC640" s="2000">
        <v>4</v>
      </c>
      <c r="AD640" s="2001"/>
      <c r="AE640" s="2002"/>
      <c r="AF640" s="2018"/>
      <c r="AG640" s="2019"/>
      <c r="AH640" s="2019"/>
      <c r="AI640" s="2019"/>
      <c r="AJ640" s="2020"/>
      <c r="AK640" s="2030"/>
      <c r="AL640" s="2031"/>
      <c r="AM640" s="2031"/>
      <c r="AN640" s="2032"/>
      <c r="AO640" s="1999">
        <v>1000000</v>
      </c>
      <c r="AP640" s="1999"/>
      <c r="AQ640" s="1999"/>
      <c r="AR640" s="1999"/>
      <c r="AS640" s="1999"/>
      <c r="AT640" s="239"/>
      <c r="AU640" s="239"/>
      <c r="AV640" s="239"/>
      <c r="AW640" s="239"/>
      <c r="AX640" s="239"/>
      <c r="AY640" s="239"/>
      <c r="AZ640" s="61"/>
      <c r="BA640" s="58" t="s">
        <v>2078</v>
      </c>
      <c r="BB640" s="61"/>
      <c r="BC640" s="61"/>
      <c r="BD640" s="61"/>
      <c r="BE640" s="61"/>
      <c r="BF640" s="61"/>
      <c r="BG640" s="61"/>
      <c r="BH640" s="61"/>
      <c r="BI640" s="61"/>
      <c r="BJ640" s="61"/>
      <c r="BK640" s="61"/>
      <c r="BL640" s="61"/>
      <c r="BM640" s="61"/>
      <c r="BN640" s="1972">
        <f>IF(J772="SRO/Studio",O772,0)</f>
        <v>1</v>
      </c>
      <c r="BO640" s="1973"/>
      <c r="BP640" s="1973"/>
      <c r="BQ640" s="1973"/>
      <c r="BR640" s="1974"/>
      <c r="BS640" s="1978">
        <f>IF(J772="1 Bedroom",O772,0)</f>
        <v>0</v>
      </c>
      <c r="BT640" s="1978"/>
      <c r="BU640" s="1978"/>
      <c r="BV640" s="1978"/>
      <c r="BW640" s="1978"/>
      <c r="BX640" s="1978">
        <f>IF(J772="2 Bedrooms",O772,0)</f>
        <v>0</v>
      </c>
      <c r="BY640" s="1978"/>
      <c r="BZ640" s="1978"/>
      <c r="CA640" s="1978"/>
      <c r="CB640" s="1978"/>
      <c r="CC640" s="1978">
        <f>IF(J772="3 Bedrooms",O772,0)</f>
        <v>0</v>
      </c>
      <c r="CD640" s="1978"/>
      <c r="CE640" s="1978"/>
      <c r="CF640" s="1978"/>
      <c r="CG640" s="1978"/>
      <c r="CH640" s="1978">
        <f>IF(J772="4 Bedrooms",O772,0)</f>
        <v>0</v>
      </c>
      <c r="CI640" s="1978"/>
      <c r="CJ640" s="1978"/>
      <c r="CK640" s="1978"/>
      <c r="CL640" s="1978"/>
      <c r="CM640" s="1978">
        <f>IF(J772="5 Bedrooms",O772,0)</f>
        <v>0</v>
      </c>
      <c r="CN640" s="1978"/>
      <c r="CO640" s="1978"/>
      <c r="CP640" s="1978"/>
      <c r="CQ640" s="1978"/>
      <c r="CR640" s="265"/>
      <c r="CS640" s="58"/>
      <c r="CT640" s="58"/>
      <c r="CU640" s="58"/>
      <c r="CV640" s="58"/>
      <c r="CW640" s="58"/>
      <c r="CX640" s="58"/>
      <c r="CY640" s="58"/>
      <c r="CZ640" s="58"/>
      <c r="DA640" s="58"/>
      <c r="DB640" s="58"/>
      <c r="DC640" s="58"/>
      <c r="DD640" s="58"/>
      <c r="DE640" s="58"/>
      <c r="DF640" s="58"/>
      <c r="DX640" s="1982" t="e">
        <f t="shared" si="22"/>
        <v>#VALUE!</v>
      </c>
      <c r="DY640" s="1982"/>
      <c r="DZ640" s="1982"/>
      <c r="EA640" s="1982"/>
      <c r="EB640" s="1982"/>
      <c r="EC640" s="1982" t="e">
        <f t="shared" si="23"/>
        <v>#VALUE!</v>
      </c>
      <c r="ED640" s="1982"/>
      <c r="EE640" s="1982"/>
      <c r="EF640" s="1982"/>
      <c r="EG640" s="1982"/>
      <c r="EH640" s="1982">
        <f t="shared" si="24"/>
        <v>108</v>
      </c>
      <c r="EI640" s="1982"/>
      <c r="EJ640" s="1982"/>
      <c r="EK640" s="1982"/>
      <c r="EL640" s="1982"/>
      <c r="EM640" s="1982" t="e">
        <f t="shared" si="25"/>
        <v>#VALUE!</v>
      </c>
      <c r="EN640" s="1982"/>
      <c r="EO640" s="1982"/>
      <c r="EP640" s="1982"/>
      <c r="EQ640" s="1982"/>
      <c r="ER640" s="1982" t="e">
        <f t="shared" si="26"/>
        <v>#VALUE!</v>
      </c>
      <c r="ES640" s="1982"/>
      <c r="ET640" s="1982"/>
      <c r="EU640" s="1982"/>
      <c r="EV640" s="1982"/>
      <c r="EW640" s="1982" t="e">
        <f t="shared" si="27"/>
        <v>#VALUE!</v>
      </c>
      <c r="EX640" s="1982"/>
      <c r="EY640" s="1982"/>
      <c r="EZ640" s="1982"/>
      <c r="FA640" s="1982"/>
    </row>
    <row r="641" spans="1:157" ht="12.5">
      <c r="B641" s="84" t="s">
        <v>819</v>
      </c>
      <c r="C641" s="1993" t="str">
        <f>C567</f>
        <v>The Kelsey Sponsor Loan</v>
      </c>
      <c r="D641" s="1993"/>
      <c r="E641" s="1993"/>
      <c r="F641" s="1993"/>
      <c r="G641" s="1993"/>
      <c r="H641" s="1993"/>
      <c r="I641" s="1993"/>
      <c r="J641" s="1993"/>
      <c r="K641" s="1993"/>
      <c r="L641" s="1993"/>
      <c r="M641" s="1993"/>
      <c r="N641" s="2305"/>
      <c r="O641" s="2021">
        <f ca="1">O640</f>
        <v>660</v>
      </c>
      <c r="P641" s="2022"/>
      <c r="Q641" s="2023"/>
      <c r="R641" s="2012">
        <f ca="1">O641</f>
        <v>660</v>
      </c>
      <c r="S641" s="2013"/>
      <c r="T641" s="2014"/>
      <c r="U641" s="2015">
        <f>W567</f>
        <v>0.03</v>
      </c>
      <c r="V641" s="2016"/>
      <c r="W641" s="2017"/>
      <c r="X641" s="2009" t="s">
        <v>488</v>
      </c>
      <c r="Y641" s="2010"/>
      <c r="Z641" s="2010"/>
      <c r="AA641" s="2010"/>
      <c r="AB641" s="2011"/>
      <c r="AC641" s="2000">
        <v>5</v>
      </c>
      <c r="AD641" s="2001"/>
      <c r="AE641" s="2002"/>
      <c r="AF641" s="2018"/>
      <c r="AG641" s="2019"/>
      <c r="AH641" s="2019"/>
      <c r="AI641" s="2019"/>
      <c r="AJ641" s="2020"/>
      <c r="AK641" s="2030"/>
      <c r="AL641" s="2031"/>
      <c r="AM641" s="2031"/>
      <c r="AN641" s="2032"/>
      <c r="AO641" s="1999">
        <f>AM567-AO643</f>
        <v>2116308</v>
      </c>
      <c r="AP641" s="1999"/>
      <c r="AQ641" s="1999"/>
      <c r="AR641" s="1999"/>
      <c r="AS641" s="1999"/>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72">
        <f>IF(J773="SRO/Studio",O773,0)</f>
        <v>0</v>
      </c>
      <c r="BO641" s="1973"/>
      <c r="BP641" s="1973"/>
      <c r="BQ641" s="1973"/>
      <c r="BR641" s="1974"/>
      <c r="BS641" s="1978">
        <f>IF(J773="1 Bedroom",O773,0)</f>
        <v>0</v>
      </c>
      <c r="BT641" s="1978"/>
      <c r="BU641" s="1978"/>
      <c r="BV641" s="1978"/>
      <c r="BW641" s="1978"/>
      <c r="BX641" s="1978">
        <f>IF(J773="2 Bedrooms",O773,0)</f>
        <v>1</v>
      </c>
      <c r="BY641" s="1978"/>
      <c r="BZ641" s="1978"/>
      <c r="CA641" s="1978"/>
      <c r="CB641" s="1978"/>
      <c r="CC641" s="1978">
        <f>IF(J773="3 Bedrooms",O773,0)</f>
        <v>0</v>
      </c>
      <c r="CD641" s="1978"/>
      <c r="CE641" s="1978"/>
      <c r="CF641" s="1978"/>
      <c r="CG641" s="1978"/>
      <c r="CH641" s="1978">
        <f>IF(J773="4 Bedrooms",O773,0)</f>
        <v>0</v>
      </c>
      <c r="CI641" s="1978"/>
      <c r="CJ641" s="1978"/>
      <c r="CK641" s="1978"/>
      <c r="CL641" s="1978"/>
      <c r="CM641" s="1978">
        <f>IF(J773="5 Bedrooms",O773,0)</f>
        <v>0</v>
      </c>
      <c r="CN641" s="1978"/>
      <c r="CO641" s="1978"/>
      <c r="CP641" s="1978"/>
      <c r="CQ641" s="1978"/>
      <c r="CR641" s="265"/>
      <c r="CS641" s="58"/>
      <c r="CT641" s="58"/>
      <c r="CU641" s="58"/>
      <c r="CV641" s="58"/>
      <c r="CW641" s="58"/>
      <c r="CX641" s="58"/>
      <c r="CY641" s="58"/>
      <c r="CZ641" s="58"/>
      <c r="DA641" s="58"/>
      <c r="DB641" s="58"/>
      <c r="DC641" s="58"/>
      <c r="DD641" s="58"/>
      <c r="DE641" s="58"/>
      <c r="DF641" s="58"/>
      <c r="DX641" s="1982" t="e">
        <f t="shared" si="22"/>
        <v>#VALUE!</v>
      </c>
      <c r="DY641" s="1982"/>
      <c r="DZ641" s="1982"/>
      <c r="EA641" s="1982"/>
      <c r="EB641" s="1982"/>
      <c r="EC641" s="1982" t="e">
        <f t="shared" si="23"/>
        <v>#VALUE!</v>
      </c>
      <c r="ED641" s="1982"/>
      <c r="EE641" s="1982"/>
      <c r="EF641" s="1982"/>
      <c r="EG641" s="1982"/>
      <c r="EH641" s="1982">
        <f t="shared" si="24"/>
        <v>185.41935483870967</v>
      </c>
      <c r="EI641" s="1982"/>
      <c r="EJ641" s="1982"/>
      <c r="EK641" s="1982"/>
      <c r="EL641" s="1982"/>
      <c r="EM641" s="1982" t="e">
        <f t="shared" si="25"/>
        <v>#VALUE!</v>
      </c>
      <c r="EN641" s="1982"/>
      <c r="EO641" s="1982"/>
      <c r="EP641" s="1982"/>
      <c r="EQ641" s="1982"/>
      <c r="ER641" s="1982" t="e">
        <f t="shared" si="26"/>
        <v>#VALUE!</v>
      </c>
      <c r="ES641" s="1982"/>
      <c r="ET641" s="1982"/>
      <c r="EU641" s="1982"/>
      <c r="EV641" s="1982"/>
      <c r="EW641" s="1982" t="e">
        <f t="shared" si="27"/>
        <v>#VALUE!</v>
      </c>
      <c r="EX641" s="1982"/>
      <c r="EY641" s="1982"/>
      <c r="EZ641" s="1982"/>
      <c r="FA641" s="1982"/>
    </row>
    <row r="642" spans="1:157" ht="12.5">
      <c r="B642" s="84" t="s">
        <v>617</v>
      </c>
      <c r="C642" s="1993" t="str">
        <f>C568</f>
        <v>Accrued Interest on Soft Loans</v>
      </c>
      <c r="D642" s="1993"/>
      <c r="E642" s="1993"/>
      <c r="F642" s="1993"/>
      <c r="G642" s="1993"/>
      <c r="H642" s="1993"/>
      <c r="I642" s="1993"/>
      <c r="J642" s="1993"/>
      <c r="K642" s="1993"/>
      <c r="L642" s="1993"/>
      <c r="M642" s="1993"/>
      <c r="N642" s="2305"/>
      <c r="O642" s="2021">
        <v>660</v>
      </c>
      <c r="P642" s="2022"/>
      <c r="Q642" s="2023"/>
      <c r="R642" s="2012">
        <f>O642</f>
        <v>660</v>
      </c>
      <c r="S642" s="2013"/>
      <c r="T642" s="2014"/>
      <c r="U642" s="2015"/>
      <c r="V642" s="2016"/>
      <c r="W642" s="2017"/>
      <c r="X642" s="2009" t="s">
        <v>489</v>
      </c>
      <c r="Y642" s="2010"/>
      <c r="Z642" s="2010"/>
      <c r="AA642" s="2010"/>
      <c r="AB642" s="2011"/>
      <c r="AC642" s="2000"/>
      <c r="AD642" s="2001"/>
      <c r="AE642" s="2002"/>
      <c r="AF642" s="2018"/>
      <c r="AG642" s="2019"/>
      <c r="AH642" s="2019"/>
      <c r="AI642" s="2019"/>
      <c r="AJ642" s="2020"/>
      <c r="AK642" s="2030"/>
      <c r="AL642" s="2031"/>
      <c r="AM642" s="2031"/>
      <c r="AN642" s="2032"/>
      <c r="AO642" s="1999">
        <f>159635+554914+1</f>
        <v>714550</v>
      </c>
      <c r="AP642" s="1999"/>
      <c r="AQ642" s="1999"/>
      <c r="AR642" s="1999"/>
      <c r="AS642" s="1999"/>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8">
        <f>IF(J774="1 Bedroom",O774,0)</f>
        <v>0</v>
      </c>
      <c r="BT642" s="1978"/>
      <c r="BU642" s="1978"/>
      <c r="BV642" s="1978"/>
      <c r="BW642" s="1978"/>
      <c r="BX642" s="1978">
        <f>IF(J774="2 Bedrooms",O774,0)</f>
        <v>0</v>
      </c>
      <c r="BY642" s="1978"/>
      <c r="BZ642" s="1978"/>
      <c r="CA642" s="1978"/>
      <c r="CB642" s="1978"/>
      <c r="CC642" s="1978">
        <f>IF(J774="3 Bedrooms",O774,0)</f>
        <v>0</v>
      </c>
      <c r="CD642" s="1978"/>
      <c r="CE642" s="1978"/>
      <c r="CF642" s="1978"/>
      <c r="CG642" s="1978"/>
      <c r="CH642" s="1978">
        <f>IF(J774="4 Bedrooms",O774,0)</f>
        <v>0</v>
      </c>
      <c r="CI642" s="1978"/>
      <c r="CJ642" s="1978"/>
      <c r="CK642" s="1978"/>
      <c r="CL642" s="1978"/>
      <c r="CM642" s="1978">
        <f>IF(J774="5 Bedrooms",O774,0)</f>
        <v>0</v>
      </c>
      <c r="CN642" s="1978"/>
      <c r="CO642" s="1978"/>
      <c r="CP642" s="1978"/>
      <c r="CQ642" s="1978"/>
      <c r="CR642" s="1708"/>
      <c r="CV642" s="58"/>
      <c r="CW642" s="58"/>
      <c r="CX642" s="58"/>
      <c r="CY642" s="58"/>
      <c r="CZ642" s="58"/>
      <c r="DA642" s="58"/>
      <c r="DB642" s="58"/>
      <c r="DC642" s="58"/>
      <c r="DD642" s="58"/>
      <c r="DE642" s="58"/>
      <c r="DF642" s="58"/>
      <c r="DX642" s="1982">
        <f t="shared" si="22"/>
        <v>188.94936708860757</v>
      </c>
      <c r="DY642" s="1982"/>
      <c r="DZ642" s="1982"/>
      <c r="EA642" s="1982"/>
      <c r="EB642" s="1982"/>
      <c r="EC642" s="1982" t="e">
        <f t="shared" si="23"/>
        <v>#VALUE!</v>
      </c>
      <c r="ED642" s="1982"/>
      <c r="EE642" s="1982"/>
      <c r="EF642" s="1982"/>
      <c r="EG642" s="1982"/>
      <c r="EH642" s="1982" t="e">
        <f t="shared" si="24"/>
        <v>#VALUE!</v>
      </c>
      <c r="EI642" s="1982"/>
      <c r="EJ642" s="1982"/>
      <c r="EK642" s="1982"/>
      <c r="EL642" s="1982"/>
      <c r="EM642" s="1982" t="e">
        <f t="shared" si="25"/>
        <v>#VALUE!</v>
      </c>
      <c r="EN642" s="1982"/>
      <c r="EO642" s="1982"/>
      <c r="EP642" s="1982"/>
      <c r="EQ642" s="1982"/>
      <c r="ER642" s="1982" t="e">
        <f t="shared" si="26"/>
        <v>#VALUE!</v>
      </c>
      <c r="ES642" s="1982"/>
      <c r="ET642" s="1982"/>
      <c r="EU642" s="1982"/>
      <c r="EV642" s="1982"/>
      <c r="EW642" s="1982" t="e">
        <f t="shared" si="27"/>
        <v>#VALUE!</v>
      </c>
      <c r="EX642" s="1982"/>
      <c r="EY642" s="1982"/>
      <c r="EZ642" s="1982"/>
      <c r="FA642" s="1982"/>
    </row>
    <row r="643" spans="1:157" ht="12.5">
      <c r="B643" s="84" t="s">
        <v>485</v>
      </c>
      <c r="C643" s="1993" t="s">
        <v>2588</v>
      </c>
      <c r="D643" s="1993"/>
      <c r="E643" s="1993"/>
      <c r="F643" s="1993"/>
      <c r="G643" s="1993"/>
      <c r="H643" s="1993"/>
      <c r="I643" s="1993"/>
      <c r="J643" s="1993"/>
      <c r="K643" s="1993"/>
      <c r="L643" s="1993"/>
      <c r="M643" s="1993"/>
      <c r="N643" s="2305"/>
      <c r="O643" s="2021"/>
      <c r="P643" s="2022"/>
      <c r="Q643" s="2023"/>
      <c r="R643" s="2012"/>
      <c r="S643" s="2013"/>
      <c r="T643" s="2014"/>
      <c r="U643" s="2015"/>
      <c r="V643" s="2016"/>
      <c r="W643" s="2017"/>
      <c r="X643" s="2009" t="s">
        <v>307</v>
      </c>
      <c r="Y643" s="2010"/>
      <c r="Z643" s="2010"/>
      <c r="AA643" s="2010"/>
      <c r="AB643" s="2011"/>
      <c r="AC643" s="2000"/>
      <c r="AD643" s="2001"/>
      <c r="AE643" s="2002"/>
      <c r="AF643" s="2018"/>
      <c r="AG643" s="2019"/>
      <c r="AH643" s="2019"/>
      <c r="AI643" s="2019"/>
      <c r="AJ643" s="2020"/>
      <c r="AK643" s="2030"/>
      <c r="AL643" s="2031"/>
      <c r="AM643" s="2031"/>
      <c r="AN643" s="2032"/>
      <c r="AO643" s="1999">
        <v>1434971</v>
      </c>
      <c r="AP643" s="1999"/>
      <c r="AQ643" s="1999"/>
      <c r="AR643" s="1999"/>
      <c r="AS643" s="1999"/>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8">
        <f>IF(J775="1 Bedroom",O775,0)</f>
        <v>0</v>
      </c>
      <c r="BT643" s="1978"/>
      <c r="BU643" s="1978"/>
      <c r="BV643" s="1978"/>
      <c r="BW643" s="1978"/>
      <c r="BX643" s="1978">
        <f>IF(J775="2 Bedrooms",O775,0)</f>
        <v>0</v>
      </c>
      <c r="BY643" s="1978"/>
      <c r="BZ643" s="1978"/>
      <c r="CA643" s="1978"/>
      <c r="CB643" s="1978"/>
      <c r="CC643" s="1978">
        <f>IF(J775="3 Bedrooms",O775,0)</f>
        <v>0</v>
      </c>
      <c r="CD643" s="1978"/>
      <c r="CE643" s="1978"/>
      <c r="CF643" s="1978"/>
      <c r="CG643" s="1978"/>
      <c r="CH643" s="1978">
        <f>IF(J775="4 Bedrooms",O775,0)</f>
        <v>0</v>
      </c>
      <c r="CI643" s="1978"/>
      <c r="CJ643" s="1978"/>
      <c r="CK643" s="1978"/>
      <c r="CL643" s="1978"/>
      <c r="CM643" s="1978">
        <f>IF(J775="5 Bedrooms",O775,0)</f>
        <v>0</v>
      </c>
      <c r="CN643" s="1978"/>
      <c r="CO643" s="1978"/>
      <c r="CP643" s="1978"/>
      <c r="CQ643" s="1978"/>
      <c r="CV643" s="58"/>
      <c r="CW643" s="58"/>
      <c r="CX643" s="58"/>
      <c r="CY643" s="58"/>
      <c r="CZ643" s="58"/>
      <c r="DA643" s="58"/>
      <c r="DB643" s="58"/>
      <c r="DC643" s="58"/>
      <c r="DD643" s="58"/>
      <c r="DE643" s="58"/>
      <c r="DF643" s="58"/>
      <c r="DX643" s="1982" t="e">
        <f t="shared" si="22"/>
        <v>#VALUE!</v>
      </c>
      <c r="DY643" s="1982"/>
      <c r="DZ643" s="1982"/>
      <c r="EA643" s="1982"/>
      <c r="EB643" s="1982"/>
      <c r="EC643" s="1982" t="e">
        <f t="shared" si="23"/>
        <v>#VALUE!</v>
      </c>
      <c r="ED643" s="1982"/>
      <c r="EE643" s="1982"/>
      <c r="EF643" s="1982"/>
      <c r="EG643" s="1982"/>
      <c r="EH643" s="1982">
        <f t="shared" si="24"/>
        <v>504.29032258064518</v>
      </c>
      <c r="EI643" s="1982"/>
      <c r="EJ643" s="1982"/>
      <c r="EK643" s="1982"/>
      <c r="EL643" s="1982"/>
      <c r="EM643" s="1982" t="e">
        <f t="shared" si="25"/>
        <v>#VALUE!</v>
      </c>
      <c r="EN643" s="1982"/>
      <c r="EO643" s="1982"/>
      <c r="EP643" s="1982"/>
      <c r="EQ643" s="1982"/>
      <c r="ER643" s="1982" t="e">
        <f t="shared" si="26"/>
        <v>#VALUE!</v>
      </c>
      <c r="ES643" s="1982"/>
      <c r="ET643" s="1982"/>
      <c r="EU643" s="1982"/>
      <c r="EV643" s="1982"/>
      <c r="EW643" s="1982" t="e">
        <f t="shared" si="27"/>
        <v>#VALUE!</v>
      </c>
      <c r="EX643" s="1982"/>
      <c r="EY643" s="1982"/>
      <c r="EZ643" s="1982"/>
      <c r="FA643" s="1982"/>
    </row>
    <row r="644" spans="1:157" ht="13">
      <c r="B644" s="84" t="s">
        <v>486</v>
      </c>
      <c r="C644" s="1809" t="str">
        <f>C570</f>
        <v>GP Capital</v>
      </c>
      <c r="D644" s="1809"/>
      <c r="E644" s="1809"/>
      <c r="F644" s="1809"/>
      <c r="G644" s="1809"/>
      <c r="H644" s="1809"/>
      <c r="I644" s="1809"/>
      <c r="J644" s="1809"/>
      <c r="K644" s="1809"/>
      <c r="L644" s="1809"/>
      <c r="M644" s="1809"/>
      <c r="N644" s="1810"/>
      <c r="O644" s="2021"/>
      <c r="P644" s="2022"/>
      <c r="Q644" s="2023"/>
      <c r="R644" s="2012"/>
      <c r="S644" s="2013"/>
      <c r="T644" s="2014"/>
      <c r="U644" s="2015"/>
      <c r="V644" s="2016"/>
      <c r="W644" s="2017"/>
      <c r="X644" s="2009" t="s">
        <v>307</v>
      </c>
      <c r="Y644" s="2010"/>
      <c r="Z644" s="2010"/>
      <c r="AA644" s="2010"/>
      <c r="AB644" s="2011"/>
      <c r="AC644" s="2000"/>
      <c r="AD644" s="2001"/>
      <c r="AE644" s="2002"/>
      <c r="AF644" s="2018"/>
      <c r="AG644" s="2019"/>
      <c r="AH644" s="2019"/>
      <c r="AI644" s="2019"/>
      <c r="AJ644" s="2020"/>
      <c r="AK644" s="2030"/>
      <c r="AL644" s="2031"/>
      <c r="AM644" s="2031"/>
      <c r="AN644" s="2032"/>
      <c r="AO644" s="1999">
        <v>100</v>
      </c>
      <c r="AP644" s="1999"/>
      <c r="AQ644" s="1999"/>
      <c r="AR644" s="1999"/>
      <c r="AS644" s="1999"/>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9">
        <f>SUM(BN640:BR643)</f>
        <v>1</v>
      </c>
      <c r="BO644" s="1980"/>
      <c r="BP644" s="1980"/>
      <c r="BQ644" s="1980"/>
      <c r="BR644" s="1981"/>
      <c r="BS644" s="1975">
        <f>SUM(BS640:BW643)</f>
        <v>0</v>
      </c>
      <c r="BT644" s="1976"/>
      <c r="BU644" s="1976"/>
      <c r="BV644" s="1976"/>
      <c r="BW644" s="1977"/>
      <c r="BX644" s="1975">
        <f>SUM(BX640:CB643)</f>
        <v>1</v>
      </c>
      <c r="BY644" s="1976"/>
      <c r="BZ644" s="1976"/>
      <c r="CA644" s="1976"/>
      <c r="CB644" s="1977"/>
      <c r="CC644" s="1975">
        <f>SUM(CC640:CG643)</f>
        <v>0</v>
      </c>
      <c r="CD644" s="1976"/>
      <c r="CE644" s="1976"/>
      <c r="CF644" s="1976"/>
      <c r="CG644" s="1977"/>
      <c r="CH644" s="1975">
        <f>SUM(CH640:CL643)</f>
        <v>0</v>
      </c>
      <c r="CI644" s="1976"/>
      <c r="CJ644" s="1976"/>
      <c r="CK644" s="1976"/>
      <c r="CL644" s="1977"/>
      <c r="CM644" s="1975">
        <f>SUM(CM640:CQ643)</f>
        <v>0</v>
      </c>
      <c r="CN644" s="1976"/>
      <c r="CO644" s="1976"/>
      <c r="CP644" s="1976"/>
      <c r="CQ644" s="1977"/>
      <c r="CS644" s="1420">
        <f>BN644+BS644+BX644+CC644+CH644+CM644</f>
        <v>2</v>
      </c>
      <c r="CT644" s="134" t="s">
        <v>2303</v>
      </c>
      <c r="CU644" s="58"/>
      <c r="CV644" s="58"/>
      <c r="CW644" s="58"/>
      <c r="CX644" s="58"/>
      <c r="CY644" s="58"/>
      <c r="CZ644" s="58"/>
      <c r="DA644" s="58"/>
      <c r="DB644" s="58"/>
      <c r="DC644" s="58"/>
      <c r="DD644" s="58"/>
      <c r="DE644" s="58"/>
      <c r="DF644" s="58"/>
      <c r="DX644" s="1982">
        <f t="shared" si="22"/>
        <v>201.39240506329116</v>
      </c>
      <c r="DY644" s="1982"/>
      <c r="DZ644" s="1982"/>
      <c r="EA644" s="1982"/>
      <c r="EB644" s="1982"/>
      <c r="EC644" s="1982" t="e">
        <f t="shared" si="23"/>
        <v>#VALUE!</v>
      </c>
      <c r="ED644" s="1982"/>
      <c r="EE644" s="1982"/>
      <c r="EF644" s="1982"/>
      <c r="EG644" s="1982"/>
      <c r="EH644" s="1982" t="e">
        <f t="shared" si="24"/>
        <v>#VALUE!</v>
      </c>
      <c r="EI644" s="1982"/>
      <c r="EJ644" s="1982"/>
      <c r="EK644" s="1982"/>
      <c r="EL644" s="1982"/>
      <c r="EM644" s="1982" t="e">
        <f t="shared" si="25"/>
        <v>#VALUE!</v>
      </c>
      <c r="EN644" s="1982"/>
      <c r="EO644" s="1982"/>
      <c r="EP644" s="1982"/>
      <c r="EQ644" s="1982"/>
      <c r="ER644" s="1982" t="e">
        <f t="shared" si="26"/>
        <v>#VALUE!</v>
      </c>
      <c r="ES644" s="1982"/>
      <c r="ET644" s="1982"/>
      <c r="EU644" s="1982"/>
      <c r="EV644" s="1982"/>
      <c r="EW644" s="1982" t="e">
        <f t="shared" si="27"/>
        <v>#VALUE!</v>
      </c>
      <c r="EX644" s="1982"/>
      <c r="EY644" s="1982"/>
      <c r="EZ644" s="1982"/>
      <c r="FA644" s="1982"/>
    </row>
    <row r="645" spans="1:157" ht="13">
      <c r="B645" s="84" t="s">
        <v>492</v>
      </c>
      <c r="C645" s="1993"/>
      <c r="D645" s="1993"/>
      <c r="E645" s="1993"/>
      <c r="F645" s="1993"/>
      <c r="G645" s="1993"/>
      <c r="H645" s="1993"/>
      <c r="I645" s="1993"/>
      <c r="J645" s="1993"/>
      <c r="K645" s="1993"/>
      <c r="L645" s="1993"/>
      <c r="M645" s="1993"/>
      <c r="N645" s="2305"/>
      <c r="O645" s="2021"/>
      <c r="P645" s="2022"/>
      <c r="Q645" s="2023"/>
      <c r="R645" s="2012"/>
      <c r="S645" s="2013"/>
      <c r="T645" s="2014"/>
      <c r="U645" s="2015"/>
      <c r="V645" s="2016"/>
      <c r="W645" s="2017"/>
      <c r="X645" s="2009" t="s">
        <v>1377</v>
      </c>
      <c r="Y645" s="2010"/>
      <c r="Z645" s="2010"/>
      <c r="AA645" s="2010"/>
      <c r="AB645" s="2011"/>
      <c r="AC645" s="2000"/>
      <c r="AD645" s="2001"/>
      <c r="AE645" s="2002"/>
      <c r="AF645" s="2018"/>
      <c r="AG645" s="2019"/>
      <c r="AH645" s="2019"/>
      <c r="AI645" s="2019"/>
      <c r="AJ645" s="2020"/>
      <c r="AK645" s="2030"/>
      <c r="AL645" s="2031"/>
      <c r="AM645" s="2031"/>
      <c r="AN645" s="2032"/>
      <c r="AO645" s="1999"/>
      <c r="AP645" s="1999"/>
      <c r="AQ645" s="1999"/>
      <c r="AR645" s="1999"/>
      <c r="AS645" s="199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20">
        <f>BN644*1</f>
        <v>1</v>
      </c>
      <c r="BS645" s="58"/>
      <c r="BT645" s="58"/>
      <c r="BU645" s="58"/>
      <c r="BV645" s="58"/>
      <c r="BW645" s="1420">
        <f>BS644*1</f>
        <v>0</v>
      </c>
      <c r="BX645" s="58"/>
      <c r="BY645" s="58"/>
      <c r="BZ645" s="58"/>
      <c r="CA645" s="58"/>
      <c r="CB645" s="1420">
        <f>BX644*2</f>
        <v>2</v>
      </c>
      <c r="CC645" s="58"/>
      <c r="CD645" s="58"/>
      <c r="CE645" s="58"/>
      <c r="CF645" s="58"/>
      <c r="CG645" s="1420">
        <f>CC644*3</f>
        <v>0</v>
      </c>
      <c r="CH645" s="58"/>
      <c r="CI645" s="58"/>
      <c r="CJ645" s="58"/>
      <c r="CK645" s="58"/>
      <c r="CL645" s="1420">
        <f>CH644*4</f>
        <v>0</v>
      </c>
      <c r="CM645" s="58"/>
      <c r="CN645" s="58"/>
      <c r="CO645" s="58"/>
      <c r="CP645" s="58"/>
      <c r="CQ645" s="1420">
        <f>CM644*5</f>
        <v>0</v>
      </c>
      <c r="CS645" s="1420">
        <f>BR645+BW645+CB645+CG645+CL645+CQ645</f>
        <v>3</v>
      </c>
      <c r="CT645" s="134" t="s">
        <v>2305</v>
      </c>
      <c r="CU645" s="58"/>
      <c r="CV645" s="58"/>
      <c r="CW645" s="58"/>
      <c r="CX645" s="58"/>
      <c r="CY645" s="58"/>
      <c r="CZ645" s="58"/>
      <c r="DA645" s="58"/>
      <c r="DB645" s="58"/>
      <c r="DC645" s="58"/>
      <c r="DD645" s="58"/>
      <c r="DE645" s="58"/>
      <c r="DF645" s="58"/>
      <c r="DX645" s="1982" t="e">
        <f t="shared" si="22"/>
        <v>#VALUE!</v>
      </c>
      <c r="DY645" s="1982"/>
      <c r="DZ645" s="1982"/>
      <c r="EA645" s="1982"/>
      <c r="EB645" s="1982"/>
      <c r="EC645" s="1982" t="e">
        <f t="shared" si="23"/>
        <v>#VALUE!</v>
      </c>
      <c r="ED645" s="1982"/>
      <c r="EE645" s="1982"/>
      <c r="EF645" s="1982"/>
      <c r="EG645" s="1982"/>
      <c r="EH645" s="1982">
        <f t="shared" si="24"/>
        <v>919.93548387096769</v>
      </c>
      <c r="EI645" s="1982"/>
      <c r="EJ645" s="1982"/>
      <c r="EK645" s="1982"/>
      <c r="EL645" s="1982"/>
      <c r="EM645" s="1982" t="e">
        <f t="shared" si="25"/>
        <v>#VALUE!</v>
      </c>
      <c r="EN645" s="1982"/>
      <c r="EO645" s="1982"/>
      <c r="EP645" s="1982"/>
      <c r="EQ645" s="1982"/>
      <c r="ER645" s="1982" t="e">
        <f t="shared" si="26"/>
        <v>#VALUE!</v>
      </c>
      <c r="ES645" s="1982"/>
      <c r="ET645" s="1982"/>
      <c r="EU645" s="1982"/>
      <c r="EV645" s="1982"/>
      <c r="EW645" s="1982" t="e">
        <f t="shared" si="27"/>
        <v>#VALUE!</v>
      </c>
      <c r="EX645" s="1982"/>
      <c r="EY645" s="1982"/>
      <c r="EZ645" s="1982"/>
      <c r="FA645" s="1982"/>
    </row>
    <row r="646" spans="1:157" ht="12.5">
      <c r="B646" s="84" t="s">
        <v>679</v>
      </c>
      <c r="C646" s="1993"/>
      <c r="D646" s="1993"/>
      <c r="E646" s="1993"/>
      <c r="F646" s="1993"/>
      <c r="G646" s="1993"/>
      <c r="H646" s="1993"/>
      <c r="I646" s="1993"/>
      <c r="J646" s="1993"/>
      <c r="K646" s="1993"/>
      <c r="L646" s="1993"/>
      <c r="M646" s="1993"/>
      <c r="N646" s="2305"/>
      <c r="O646" s="2021"/>
      <c r="P646" s="2022"/>
      <c r="Q646" s="2023"/>
      <c r="R646" s="2012"/>
      <c r="S646" s="2013"/>
      <c r="T646" s="2014"/>
      <c r="U646" s="2015"/>
      <c r="V646" s="2016"/>
      <c r="W646" s="2017"/>
      <c r="X646" s="2009" t="s">
        <v>1377</v>
      </c>
      <c r="Y646" s="2010"/>
      <c r="Z646" s="2010"/>
      <c r="AA646" s="2010"/>
      <c r="AB646" s="2011"/>
      <c r="AC646" s="2000"/>
      <c r="AD646" s="2001"/>
      <c r="AE646" s="2002"/>
      <c r="AF646" s="2018"/>
      <c r="AG646" s="2019"/>
      <c r="AH646" s="2019"/>
      <c r="AI646" s="2019"/>
      <c r="AJ646" s="2020"/>
      <c r="AK646" s="2030"/>
      <c r="AL646" s="2031"/>
      <c r="AM646" s="2031"/>
      <c r="AN646" s="2032"/>
      <c r="AO646" s="1999"/>
      <c r="AP646" s="1999"/>
      <c r="AQ646" s="1999"/>
      <c r="AR646" s="1999"/>
      <c r="AS646" s="199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2">
        <f t="shared" si="22"/>
        <v>675.64556962025313</v>
      </c>
      <c r="DY646" s="1982"/>
      <c r="DZ646" s="1982"/>
      <c r="EA646" s="1982"/>
      <c r="EB646" s="1982"/>
      <c r="EC646" s="1982" t="e">
        <f t="shared" si="23"/>
        <v>#VALUE!</v>
      </c>
      <c r="ED646" s="1982"/>
      <c r="EE646" s="1982"/>
      <c r="EF646" s="1982"/>
      <c r="EG646" s="1982"/>
      <c r="EH646" s="1982" t="e">
        <f t="shared" si="24"/>
        <v>#VALUE!</v>
      </c>
      <c r="EI646" s="1982"/>
      <c r="EJ646" s="1982"/>
      <c r="EK646" s="1982"/>
      <c r="EL646" s="1982"/>
      <c r="EM646" s="1982" t="e">
        <f t="shared" si="25"/>
        <v>#VALUE!</v>
      </c>
      <c r="EN646" s="1982"/>
      <c r="EO646" s="1982"/>
      <c r="EP646" s="1982"/>
      <c r="EQ646" s="1982"/>
      <c r="ER646" s="1982" t="e">
        <f t="shared" si="26"/>
        <v>#VALUE!</v>
      </c>
      <c r="ES646" s="1982"/>
      <c r="ET646" s="1982"/>
      <c r="EU646" s="1982"/>
      <c r="EV646" s="1982"/>
      <c r="EW646" s="1982" t="e">
        <f t="shared" si="27"/>
        <v>#VALUE!</v>
      </c>
      <c r="EX646" s="1982"/>
      <c r="EY646" s="1982"/>
      <c r="EZ646" s="1982"/>
      <c r="FA646" s="1982"/>
    </row>
    <row r="647" spans="1:157" ht="12.5">
      <c r="B647" s="84" t="s">
        <v>371</v>
      </c>
      <c r="C647" s="1992"/>
      <c r="D647" s="1992"/>
      <c r="E647" s="1992"/>
      <c r="F647" s="1992"/>
      <c r="G647" s="1992"/>
      <c r="H647" s="1992"/>
      <c r="I647" s="1992"/>
      <c r="J647" s="1992"/>
      <c r="K647" s="1992"/>
      <c r="L647" s="1992"/>
      <c r="M647" s="1992"/>
      <c r="N647" s="2251"/>
      <c r="O647" s="2021"/>
      <c r="P647" s="2022"/>
      <c r="Q647" s="2023"/>
      <c r="R647" s="2012"/>
      <c r="S647" s="2013"/>
      <c r="T647" s="2014"/>
      <c r="U647" s="2015"/>
      <c r="V647" s="2016"/>
      <c r="W647" s="2017"/>
      <c r="X647" s="2009" t="s">
        <v>1377</v>
      </c>
      <c r="Y647" s="2010"/>
      <c r="Z647" s="2010"/>
      <c r="AA647" s="2010"/>
      <c r="AB647" s="2011"/>
      <c r="AC647" s="2000"/>
      <c r="AD647" s="2001"/>
      <c r="AE647" s="2002"/>
      <c r="AF647" s="2018"/>
      <c r="AG647" s="2019"/>
      <c r="AH647" s="2019"/>
      <c r="AI647" s="2019"/>
      <c r="AJ647" s="2020"/>
      <c r="AK647" s="2030"/>
      <c r="AL647" s="2031"/>
      <c r="AM647" s="2031"/>
      <c r="AN647" s="2032"/>
      <c r="AO647" s="1999"/>
      <c r="AP647" s="1999"/>
      <c r="AQ647" s="1999"/>
      <c r="AR647" s="1999"/>
      <c r="AS647" s="199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2" t="e">
        <f t="shared" si="22"/>
        <v>#VALUE!</v>
      </c>
      <c r="DY647" s="1982"/>
      <c r="DZ647" s="1982"/>
      <c r="EA647" s="1982"/>
      <c r="EB647" s="1982"/>
      <c r="EC647" s="1982" t="e">
        <f t="shared" si="23"/>
        <v>#VALUE!</v>
      </c>
      <c r="ED647" s="1982"/>
      <c r="EE647" s="1982"/>
      <c r="EF647" s="1982"/>
      <c r="EG647" s="1982"/>
      <c r="EH647" s="1982" t="e">
        <f t="shared" si="24"/>
        <v>#VALUE!</v>
      </c>
      <c r="EI647" s="1982"/>
      <c r="EJ647" s="1982"/>
      <c r="EK647" s="1982"/>
      <c r="EL647" s="1982"/>
      <c r="EM647" s="1982" t="e">
        <f t="shared" si="25"/>
        <v>#VALUE!</v>
      </c>
      <c r="EN647" s="1982"/>
      <c r="EO647" s="1982"/>
      <c r="EP647" s="1982"/>
      <c r="EQ647" s="1982"/>
      <c r="ER647" s="1982" t="e">
        <f t="shared" si="26"/>
        <v>#VALUE!</v>
      </c>
      <c r="ES647" s="1982"/>
      <c r="ET647" s="1982"/>
      <c r="EU647" s="1982"/>
      <c r="EV647" s="1982"/>
      <c r="EW647" s="1982" t="e">
        <f t="shared" si="27"/>
        <v>#VALUE!</v>
      </c>
      <c r="EX647" s="1982"/>
      <c r="EY647" s="1982"/>
      <c r="EZ647" s="1982"/>
      <c r="FA647" s="1982"/>
    </row>
    <row r="648" spans="1:157" ht="12.5">
      <c r="B648" s="84" t="s">
        <v>372</v>
      </c>
      <c r="C648" s="1992"/>
      <c r="D648" s="1992"/>
      <c r="E648" s="1992"/>
      <c r="F648" s="1992"/>
      <c r="G648" s="1992"/>
      <c r="H648" s="1992"/>
      <c r="I648" s="1992"/>
      <c r="J648" s="1992"/>
      <c r="K648" s="1992"/>
      <c r="L648" s="1992"/>
      <c r="M648" s="1992"/>
      <c r="N648" s="2251"/>
      <c r="O648" s="2021"/>
      <c r="P648" s="2022"/>
      <c r="Q648" s="2023"/>
      <c r="R648" s="2012"/>
      <c r="S648" s="2013"/>
      <c r="T648" s="2014"/>
      <c r="U648" s="2015"/>
      <c r="V648" s="2016"/>
      <c r="W648" s="2017"/>
      <c r="X648" s="2009" t="s">
        <v>1377</v>
      </c>
      <c r="Y648" s="2010"/>
      <c r="Z648" s="2010"/>
      <c r="AA648" s="2010"/>
      <c r="AB648" s="2011"/>
      <c r="AC648" s="2000"/>
      <c r="AD648" s="2001"/>
      <c r="AE648" s="2002"/>
      <c r="AF648" s="2018"/>
      <c r="AG648" s="2019"/>
      <c r="AH648" s="2019"/>
      <c r="AI648" s="2019"/>
      <c r="AJ648" s="2020"/>
      <c r="AK648" s="2030"/>
      <c r="AL648" s="2031"/>
      <c r="AM648" s="2031"/>
      <c r="AN648" s="2032"/>
      <c r="AO648" s="1999"/>
      <c r="AP648" s="1999"/>
      <c r="AQ648" s="1999"/>
      <c r="AR648" s="1999"/>
      <c r="AS648" s="1999"/>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8">IF(J786="SRO/Studio",O786,0)</f>
        <v>0</v>
      </c>
      <c r="BO648" s="1973"/>
      <c r="BP648" s="1973"/>
      <c r="BQ648" s="1973"/>
      <c r="BR648" s="1974"/>
      <c r="BS648" s="1978">
        <f t="shared" ref="BS648:BS657" si="29">IF(J786="1 Bedroom",O786,0)</f>
        <v>0</v>
      </c>
      <c r="BT648" s="1978"/>
      <c r="BU648" s="1978"/>
      <c r="BV648" s="1978"/>
      <c r="BW648" s="1978"/>
      <c r="BX648" s="1978">
        <f t="shared" ref="BX648:BX657" si="30">IF(J786="2 Bedrooms",O786,0)</f>
        <v>0</v>
      </c>
      <c r="BY648" s="1978"/>
      <c r="BZ648" s="1978"/>
      <c r="CA648" s="1978"/>
      <c r="CB648" s="1978"/>
      <c r="CC648" s="1978">
        <f t="shared" ref="CC648:CC657" si="31">IF(J786="3 Bedrooms",O786,0)</f>
        <v>0</v>
      </c>
      <c r="CD648" s="1978"/>
      <c r="CE648" s="1978"/>
      <c r="CF648" s="1978"/>
      <c r="CG648" s="1978"/>
      <c r="CH648" s="1978">
        <f t="shared" ref="CH648:CH657" si="32">IF(J786="4 Bedrooms",O786,0)</f>
        <v>0</v>
      </c>
      <c r="CI648" s="1978"/>
      <c r="CJ648" s="1978"/>
      <c r="CK648" s="1978"/>
      <c r="CL648" s="1978"/>
      <c r="CM648" s="1978">
        <f t="shared" ref="CM648:CM657" si="33">IF(J786="5 Bedrooms",O786,0)</f>
        <v>0</v>
      </c>
      <c r="CN648" s="1978"/>
      <c r="CO648" s="1978"/>
      <c r="CP648" s="1978"/>
      <c r="CQ648" s="1978"/>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1982" t="e">
        <f t="shared" si="22"/>
        <v>#VALUE!</v>
      </c>
      <c r="DY648" s="1982"/>
      <c r="DZ648" s="1982"/>
      <c r="EA648" s="1982"/>
      <c r="EB648" s="1982"/>
      <c r="EC648" s="1982" t="e">
        <f t="shared" si="23"/>
        <v>#VALUE!</v>
      </c>
      <c r="ED648" s="1982"/>
      <c r="EE648" s="1982"/>
      <c r="EF648" s="1982"/>
      <c r="EG648" s="1982"/>
      <c r="EH648" s="1982" t="e">
        <f t="shared" si="24"/>
        <v>#VALUE!</v>
      </c>
      <c r="EI648" s="1982"/>
      <c r="EJ648" s="1982"/>
      <c r="EK648" s="1982"/>
      <c r="EL648" s="1982"/>
      <c r="EM648" s="1982" t="e">
        <f t="shared" si="25"/>
        <v>#VALUE!</v>
      </c>
      <c r="EN648" s="1982"/>
      <c r="EO648" s="1982"/>
      <c r="EP648" s="1982"/>
      <c r="EQ648" s="1982"/>
      <c r="ER648" s="1982" t="e">
        <f t="shared" si="26"/>
        <v>#VALUE!</v>
      </c>
      <c r="ES648" s="1982"/>
      <c r="ET648" s="1982"/>
      <c r="EU648" s="1982"/>
      <c r="EV648" s="1982"/>
      <c r="EW648" s="1982" t="e">
        <f t="shared" si="27"/>
        <v>#VALUE!</v>
      </c>
      <c r="EX648" s="1982"/>
      <c r="EY648" s="1982"/>
      <c r="EZ648" s="1982"/>
      <c r="FA648" s="1982"/>
    </row>
    <row r="649" spans="1:157" ht="13">
      <c r="B649" s="2252" t="s">
        <v>133</v>
      </c>
      <c r="C649" s="2253"/>
      <c r="D649" s="2253"/>
      <c r="E649" s="2253"/>
      <c r="F649" s="2253"/>
      <c r="G649" s="2253"/>
      <c r="H649" s="2253"/>
      <c r="I649" s="2253"/>
      <c r="J649" s="2253"/>
      <c r="K649" s="2253"/>
      <c r="L649" s="2253"/>
      <c r="M649" s="2253"/>
      <c r="N649" s="2253"/>
      <c r="O649" s="2253"/>
      <c r="P649" s="2253"/>
      <c r="Q649" s="2253"/>
      <c r="R649" s="2253"/>
      <c r="S649" s="2253"/>
      <c r="T649" s="2253"/>
      <c r="U649" s="2253"/>
      <c r="V649" s="2253"/>
      <c r="W649" s="2253"/>
      <c r="X649" s="2253"/>
      <c r="Y649" s="2253"/>
      <c r="Z649" s="2253"/>
      <c r="AA649" s="2253"/>
      <c r="AB649" s="2253"/>
      <c r="AC649" s="2253"/>
      <c r="AD649" s="2253"/>
      <c r="AE649" s="2253"/>
      <c r="AF649" s="2253"/>
      <c r="AG649" s="2253"/>
      <c r="AH649" s="2253"/>
      <c r="AI649" s="2253"/>
      <c r="AJ649" s="2253"/>
      <c r="AK649" s="2253"/>
      <c r="AL649" s="2253"/>
      <c r="AM649" s="2253"/>
      <c r="AN649" s="2254"/>
      <c r="AO649" s="2266">
        <f>SUM(AO637:AR648)</f>
        <v>44282929</v>
      </c>
      <c r="AP649" s="2267"/>
      <c r="AQ649" s="2267"/>
      <c r="AR649" s="2267"/>
      <c r="AS649" s="2268"/>
      <c r="AZ649" s="58"/>
      <c r="BA649" s="58"/>
      <c r="BB649" s="58"/>
      <c r="BC649" s="58"/>
      <c r="BD649" s="58"/>
      <c r="BE649" s="58"/>
      <c r="BF649" s="58"/>
      <c r="BG649" s="58"/>
      <c r="BH649" s="58"/>
      <c r="BI649" s="58"/>
      <c r="BJ649" s="58"/>
      <c r="BK649" s="58"/>
      <c r="BL649" s="58"/>
      <c r="BM649" s="58"/>
      <c r="BN649" s="1972">
        <f t="shared" si="28"/>
        <v>0</v>
      </c>
      <c r="BO649" s="1973"/>
      <c r="BP649" s="1973"/>
      <c r="BQ649" s="1973"/>
      <c r="BR649" s="1974"/>
      <c r="BS649" s="1978">
        <f t="shared" si="29"/>
        <v>0</v>
      </c>
      <c r="BT649" s="1978"/>
      <c r="BU649" s="1978"/>
      <c r="BV649" s="1978"/>
      <c r="BW649" s="1978"/>
      <c r="BX649" s="1978">
        <f t="shared" si="30"/>
        <v>0</v>
      </c>
      <c r="BY649" s="1978"/>
      <c r="BZ649" s="1978"/>
      <c r="CA649" s="1978"/>
      <c r="CB649" s="1978"/>
      <c r="CC649" s="1978">
        <f t="shared" si="31"/>
        <v>0</v>
      </c>
      <c r="CD649" s="1978"/>
      <c r="CE649" s="1978"/>
      <c r="CF649" s="1978"/>
      <c r="CG649" s="1978"/>
      <c r="CH649" s="1978">
        <f t="shared" si="32"/>
        <v>0</v>
      </c>
      <c r="CI649" s="1978"/>
      <c r="CJ649" s="1978"/>
      <c r="CK649" s="1978"/>
      <c r="CL649" s="1978"/>
      <c r="CM649" s="1978">
        <f t="shared" si="33"/>
        <v>0</v>
      </c>
      <c r="CN649" s="1978"/>
      <c r="CO649" s="1978"/>
      <c r="CP649" s="1978"/>
      <c r="CQ649" s="1978"/>
      <c r="CR649" s="265"/>
      <c r="CS649" s="1972">
        <f t="shared" ref="CS649:CS657" si="34">IF(AND(BN649&gt;=1,AH787&gt;=0.1,AH787&lt;=1),O787,0)</f>
        <v>0</v>
      </c>
      <c r="CT649" s="1973"/>
      <c r="CU649" s="1973"/>
      <c r="CV649" s="1973"/>
      <c r="CW649" s="1974"/>
      <c r="CX649" s="1972">
        <f t="shared" ref="CX649:CX657" si="35">IF(AND(BS649&gt;=1,AH787&gt;=0.1,AH787&lt;=1),O787,0)</f>
        <v>0</v>
      </c>
      <c r="CY649" s="1973"/>
      <c r="CZ649" s="1973"/>
      <c r="DA649" s="1973"/>
      <c r="DB649" s="1974"/>
      <c r="DC649" s="1972">
        <f t="shared" ref="DC649:DC657" si="36">IF(AND(BX649&gt;=1,AH787&gt;=0.1,AH787&lt;=1),O787,0)</f>
        <v>0</v>
      </c>
      <c r="DD649" s="1973"/>
      <c r="DE649" s="1973"/>
      <c r="DF649" s="1973"/>
      <c r="DG649" s="1974"/>
      <c r="DH649" s="1972">
        <f t="shared" ref="DH649:DH657" si="37">IF(AND(CC649&gt;=1,AH787&gt;=0.1,AH787&lt;=1),O787,0)</f>
        <v>0</v>
      </c>
      <c r="DI649" s="1973"/>
      <c r="DJ649" s="1973"/>
      <c r="DK649" s="1973"/>
      <c r="DL649" s="1974"/>
      <c r="DM649" s="1972">
        <f t="shared" ref="DM649:DM657" si="38">IF(AND(CH649&gt;=1,AH787&gt;=0.1,AH787&lt;=1),O787,0)</f>
        <v>0</v>
      </c>
      <c r="DN649" s="1973"/>
      <c r="DO649" s="1973"/>
      <c r="DP649" s="1973"/>
      <c r="DQ649" s="1974"/>
      <c r="DR649" s="1972">
        <f t="shared" ref="DR649:DR657" si="39">IF(AND(CM649&gt;=1,AH787&gt;=0.1,AH787&lt;=1),O787,0)</f>
        <v>0</v>
      </c>
      <c r="DS649" s="1973"/>
      <c r="DT649" s="1973"/>
      <c r="DU649" s="1973"/>
      <c r="DV649" s="1974"/>
      <c r="DX649" s="1982" t="e">
        <f t="shared" si="22"/>
        <v>#VALUE!</v>
      </c>
      <c r="DY649" s="1982"/>
      <c r="DZ649" s="1982"/>
      <c r="EA649" s="1982"/>
      <c r="EB649" s="1982"/>
      <c r="EC649" s="1982" t="e">
        <f t="shared" si="23"/>
        <v>#VALUE!</v>
      </c>
      <c r="ED649" s="1982"/>
      <c r="EE649" s="1982"/>
      <c r="EF649" s="1982"/>
      <c r="EG649" s="1982"/>
      <c r="EH649" s="1982" t="e">
        <f t="shared" si="24"/>
        <v>#VALUE!</v>
      </c>
      <c r="EI649" s="1982"/>
      <c r="EJ649" s="1982"/>
      <c r="EK649" s="1982"/>
      <c r="EL649" s="1982"/>
      <c r="EM649" s="1982" t="e">
        <f t="shared" si="25"/>
        <v>#VALUE!</v>
      </c>
      <c r="EN649" s="1982"/>
      <c r="EO649" s="1982"/>
      <c r="EP649" s="1982"/>
      <c r="EQ649" s="1982"/>
      <c r="ER649" s="1982" t="e">
        <f t="shared" si="26"/>
        <v>#VALUE!</v>
      </c>
      <c r="ES649" s="1982"/>
      <c r="ET649" s="1982"/>
      <c r="EU649" s="1982"/>
      <c r="EV649" s="1982"/>
      <c r="EW649" s="1982" t="e">
        <f t="shared" si="27"/>
        <v>#VALUE!</v>
      </c>
      <c r="EX649" s="1982"/>
      <c r="EY649" s="1982"/>
      <c r="EZ649" s="1982"/>
      <c r="FA649" s="1982"/>
    </row>
    <row r="650" spans="1:157" ht="12.75" customHeight="1">
      <c r="B650" s="2252" t="s">
        <v>272</v>
      </c>
      <c r="C650" s="2253"/>
      <c r="D650" s="2253"/>
      <c r="E650" s="2253"/>
      <c r="F650" s="2253"/>
      <c r="G650" s="2253"/>
      <c r="H650" s="2253"/>
      <c r="I650" s="2253"/>
      <c r="J650" s="2253"/>
      <c r="K650" s="2253"/>
      <c r="L650" s="2253"/>
      <c r="M650" s="2253"/>
      <c r="N650" s="2253"/>
      <c r="O650" s="2253"/>
      <c r="P650" s="2253"/>
      <c r="Q650" s="2253"/>
      <c r="R650" s="2253"/>
      <c r="S650" s="2253"/>
      <c r="T650" s="2253"/>
      <c r="U650" s="2253"/>
      <c r="V650" s="2253"/>
      <c r="W650" s="2253"/>
      <c r="X650" s="2253"/>
      <c r="Y650" s="2253"/>
      <c r="Z650" s="2253"/>
      <c r="AA650" s="2253"/>
      <c r="AB650" s="2253"/>
      <c r="AC650" s="2253"/>
      <c r="AD650" s="2253"/>
      <c r="AE650" s="2253"/>
      <c r="AF650" s="2253"/>
      <c r="AG650" s="2253"/>
      <c r="AH650" s="2253"/>
      <c r="AI650" s="2253"/>
      <c r="AJ650" s="2253"/>
      <c r="AK650" s="2253"/>
      <c r="AL650" s="2253"/>
      <c r="AM650" s="2253"/>
      <c r="AN650" s="2254"/>
      <c r="AO650" s="1985">
        <v>36382130</v>
      </c>
      <c r="AP650" s="1986"/>
      <c r="AQ650" s="1986"/>
      <c r="AR650" s="1986"/>
      <c r="AS650" s="1987"/>
      <c r="AZ650" s="61"/>
      <c r="BA650" s="61"/>
      <c r="BB650" s="61"/>
      <c r="BC650" s="61"/>
      <c r="BD650" s="61"/>
      <c r="BE650" s="61"/>
      <c r="BF650" s="61"/>
      <c r="BG650" s="61"/>
      <c r="BH650" s="61"/>
      <c r="BI650" s="61"/>
      <c r="BJ650" s="61"/>
      <c r="BK650" s="61"/>
      <c r="BL650" s="61"/>
      <c r="BM650" s="61"/>
      <c r="BN650" s="1972">
        <f t="shared" si="28"/>
        <v>0</v>
      </c>
      <c r="BO650" s="1973"/>
      <c r="BP650" s="1973"/>
      <c r="BQ650" s="1973"/>
      <c r="BR650" s="1974"/>
      <c r="BS650" s="1978">
        <f t="shared" si="29"/>
        <v>0</v>
      </c>
      <c r="BT650" s="1978"/>
      <c r="BU650" s="1978"/>
      <c r="BV650" s="1978"/>
      <c r="BW650" s="1978"/>
      <c r="BX650" s="1978">
        <f t="shared" si="30"/>
        <v>0</v>
      </c>
      <c r="BY650" s="1978"/>
      <c r="BZ650" s="1978"/>
      <c r="CA650" s="1978"/>
      <c r="CB650" s="1978"/>
      <c r="CC650" s="1978">
        <f t="shared" si="31"/>
        <v>0</v>
      </c>
      <c r="CD650" s="1978"/>
      <c r="CE650" s="1978"/>
      <c r="CF650" s="1978"/>
      <c r="CG650" s="1978"/>
      <c r="CH650" s="1978">
        <f t="shared" si="32"/>
        <v>0</v>
      </c>
      <c r="CI650" s="1978"/>
      <c r="CJ650" s="1978"/>
      <c r="CK650" s="1978"/>
      <c r="CL650" s="1978"/>
      <c r="CM650" s="1978">
        <f t="shared" si="33"/>
        <v>0</v>
      </c>
      <c r="CN650" s="1978"/>
      <c r="CO650" s="1978"/>
      <c r="CP650" s="1978"/>
      <c r="CQ650" s="1978"/>
      <c r="CR650" s="265"/>
      <c r="CS650" s="1972">
        <f t="shared" si="34"/>
        <v>0</v>
      </c>
      <c r="CT650" s="1973"/>
      <c r="CU650" s="1973"/>
      <c r="CV650" s="1973"/>
      <c r="CW650" s="1974"/>
      <c r="CX650" s="1972">
        <f t="shared" si="35"/>
        <v>0</v>
      </c>
      <c r="CY650" s="1973"/>
      <c r="CZ650" s="1973"/>
      <c r="DA650" s="1973"/>
      <c r="DB650" s="1974"/>
      <c r="DC650" s="1972">
        <f t="shared" si="36"/>
        <v>0</v>
      </c>
      <c r="DD650" s="1973"/>
      <c r="DE650" s="1973"/>
      <c r="DF650" s="1973"/>
      <c r="DG650" s="1974"/>
      <c r="DH650" s="1972">
        <f t="shared" si="37"/>
        <v>0</v>
      </c>
      <c r="DI650" s="1973"/>
      <c r="DJ650" s="1973"/>
      <c r="DK650" s="1973"/>
      <c r="DL650" s="1974"/>
      <c r="DM650" s="1972">
        <f t="shared" si="38"/>
        <v>0</v>
      </c>
      <c r="DN650" s="1973"/>
      <c r="DO650" s="1973"/>
      <c r="DP650" s="1973"/>
      <c r="DQ650" s="1974"/>
      <c r="DR650" s="1972">
        <f t="shared" si="39"/>
        <v>0</v>
      </c>
      <c r="DS650" s="1973"/>
      <c r="DT650" s="1973"/>
      <c r="DU650" s="1973"/>
      <c r="DV650" s="1974"/>
      <c r="DX650" s="1982" t="e">
        <f t="shared" si="22"/>
        <v>#VALUE!</v>
      </c>
      <c r="DY650" s="1982"/>
      <c r="DZ650" s="1982"/>
      <c r="EA650" s="1982"/>
      <c r="EB650" s="1982"/>
      <c r="EC650" s="1982" t="e">
        <f t="shared" si="23"/>
        <v>#VALUE!</v>
      </c>
      <c r="ED650" s="1982"/>
      <c r="EE650" s="1982"/>
      <c r="EF650" s="1982"/>
      <c r="EG650" s="1982"/>
      <c r="EH650" s="1982" t="e">
        <f t="shared" si="24"/>
        <v>#VALUE!</v>
      </c>
      <c r="EI650" s="1982"/>
      <c r="EJ650" s="1982"/>
      <c r="EK650" s="1982"/>
      <c r="EL650" s="1982"/>
      <c r="EM650" s="1982" t="e">
        <f t="shared" si="25"/>
        <v>#VALUE!</v>
      </c>
      <c r="EN650" s="1982"/>
      <c r="EO650" s="1982"/>
      <c r="EP650" s="1982"/>
      <c r="EQ650" s="1982"/>
      <c r="ER650" s="1982" t="e">
        <f t="shared" si="26"/>
        <v>#VALUE!</v>
      </c>
      <c r="ES650" s="1982"/>
      <c r="ET650" s="1982"/>
      <c r="EU650" s="1982"/>
      <c r="EV650" s="1982"/>
      <c r="EW650" s="1982" t="e">
        <f t="shared" si="27"/>
        <v>#VALUE!</v>
      </c>
      <c r="EX650" s="1982"/>
      <c r="EY650" s="1982"/>
      <c r="EZ650" s="1982"/>
      <c r="FA650" s="1982"/>
    </row>
    <row r="651" spans="1:157" ht="12.75" customHeight="1">
      <c r="B651" s="2378" t="s">
        <v>273</v>
      </c>
      <c r="C651" s="2379"/>
      <c r="D651" s="2379"/>
      <c r="E651" s="2379"/>
      <c r="F651" s="2379"/>
      <c r="G651" s="2379"/>
      <c r="H651" s="2379"/>
      <c r="I651" s="2379"/>
      <c r="J651" s="2379"/>
      <c r="K651" s="2379"/>
      <c r="L651" s="2379"/>
      <c r="M651" s="2379"/>
      <c r="N651" s="2379"/>
      <c r="O651" s="2379"/>
      <c r="P651" s="2379"/>
      <c r="Q651" s="2379"/>
      <c r="R651" s="2379"/>
      <c r="S651" s="2379"/>
      <c r="T651" s="2379"/>
      <c r="U651" s="2379"/>
      <c r="V651" s="2379"/>
      <c r="W651" s="2379"/>
      <c r="X651" s="2379"/>
      <c r="Y651" s="2379"/>
      <c r="Z651" s="2379"/>
      <c r="AA651" s="2379"/>
      <c r="AB651" s="2379"/>
      <c r="AC651" s="2379"/>
      <c r="AD651" s="2379"/>
      <c r="AE651" s="2379"/>
      <c r="AF651" s="2379"/>
      <c r="AG651" s="2379"/>
      <c r="AH651" s="2379"/>
      <c r="AI651" s="2379"/>
      <c r="AJ651" s="2379"/>
      <c r="AK651" s="2379"/>
      <c r="AL651" s="2379"/>
      <c r="AM651" s="2379"/>
      <c r="AN651" s="2380"/>
      <c r="AO651" s="2266">
        <f>AO649+AO650</f>
        <v>80665059</v>
      </c>
      <c r="AP651" s="2267"/>
      <c r="AQ651" s="2267"/>
      <c r="AR651" s="2267"/>
      <c r="AS651" s="2268"/>
      <c r="AZ651" s="61"/>
      <c r="BA651" s="61"/>
      <c r="BB651" s="61"/>
      <c r="BC651" s="61"/>
      <c r="BD651" s="61"/>
      <c r="BE651" s="61"/>
      <c r="BF651" s="61"/>
      <c r="BG651" s="61"/>
      <c r="BH651" s="61"/>
      <c r="BI651" s="61"/>
      <c r="BJ651" s="61"/>
      <c r="BK651" s="61"/>
      <c r="BL651" s="61"/>
      <c r="BM651" s="61"/>
      <c r="BN651" s="1972">
        <f t="shared" si="28"/>
        <v>0</v>
      </c>
      <c r="BO651" s="1973"/>
      <c r="BP651" s="1973"/>
      <c r="BQ651" s="1973"/>
      <c r="BR651" s="1974"/>
      <c r="BS651" s="1978">
        <f t="shared" si="29"/>
        <v>0</v>
      </c>
      <c r="BT651" s="1978"/>
      <c r="BU651" s="1978"/>
      <c r="BV651" s="1978"/>
      <c r="BW651" s="1978"/>
      <c r="BX651" s="1978">
        <f t="shared" si="30"/>
        <v>0</v>
      </c>
      <c r="BY651" s="1978"/>
      <c r="BZ651" s="1978"/>
      <c r="CA651" s="1978"/>
      <c r="CB651" s="1978"/>
      <c r="CC651" s="1978">
        <f t="shared" si="31"/>
        <v>0</v>
      </c>
      <c r="CD651" s="1978"/>
      <c r="CE651" s="1978"/>
      <c r="CF651" s="1978"/>
      <c r="CG651" s="1978"/>
      <c r="CH651" s="1978">
        <f t="shared" si="32"/>
        <v>0</v>
      </c>
      <c r="CI651" s="1978"/>
      <c r="CJ651" s="1978"/>
      <c r="CK651" s="1978"/>
      <c r="CL651" s="1978"/>
      <c r="CM651" s="1978">
        <f t="shared" si="33"/>
        <v>0</v>
      </c>
      <c r="CN651" s="1978"/>
      <c r="CO651" s="1978"/>
      <c r="CP651" s="1978"/>
      <c r="CQ651" s="1978"/>
      <c r="CR651" s="265"/>
      <c r="CS651" s="1972">
        <f t="shared" si="34"/>
        <v>0</v>
      </c>
      <c r="CT651" s="1973"/>
      <c r="CU651" s="1973"/>
      <c r="CV651" s="1973"/>
      <c r="CW651" s="1974"/>
      <c r="CX651" s="1972">
        <f t="shared" si="35"/>
        <v>0</v>
      </c>
      <c r="CY651" s="1973"/>
      <c r="CZ651" s="1973"/>
      <c r="DA651" s="1973"/>
      <c r="DB651" s="1974"/>
      <c r="DC651" s="1972">
        <f t="shared" si="36"/>
        <v>0</v>
      </c>
      <c r="DD651" s="1973"/>
      <c r="DE651" s="1973"/>
      <c r="DF651" s="1973"/>
      <c r="DG651" s="1974"/>
      <c r="DH651" s="1972">
        <f t="shared" si="37"/>
        <v>0</v>
      </c>
      <c r="DI651" s="1973"/>
      <c r="DJ651" s="1973"/>
      <c r="DK651" s="1973"/>
      <c r="DL651" s="1974"/>
      <c r="DM651" s="1972">
        <f t="shared" si="38"/>
        <v>0</v>
      </c>
      <c r="DN651" s="1973"/>
      <c r="DO651" s="1973"/>
      <c r="DP651" s="1973"/>
      <c r="DQ651" s="1974"/>
      <c r="DR651" s="1972">
        <f t="shared" si="39"/>
        <v>0</v>
      </c>
      <c r="DS651" s="1973"/>
      <c r="DT651" s="1973"/>
      <c r="DU651" s="1973"/>
      <c r="DV651" s="1974"/>
      <c r="DX651" s="1982" t="e">
        <f t="shared" si="22"/>
        <v>#VALUE!</v>
      </c>
      <c r="DY651" s="1982"/>
      <c r="DZ651" s="1982"/>
      <c r="EA651" s="1982"/>
      <c r="EB651" s="1982"/>
      <c r="EC651" s="1982" t="e">
        <f t="shared" si="23"/>
        <v>#VALUE!</v>
      </c>
      <c r="ED651" s="1982"/>
      <c r="EE651" s="1982"/>
      <c r="EF651" s="1982"/>
      <c r="EG651" s="1982"/>
      <c r="EH651" s="1982" t="e">
        <f t="shared" si="24"/>
        <v>#VALUE!</v>
      </c>
      <c r="EI651" s="1982"/>
      <c r="EJ651" s="1982"/>
      <c r="EK651" s="1982"/>
      <c r="EL651" s="1982"/>
      <c r="EM651" s="1982" t="e">
        <f t="shared" si="25"/>
        <v>#VALUE!</v>
      </c>
      <c r="EN651" s="1982"/>
      <c r="EO651" s="1982"/>
      <c r="EP651" s="1982"/>
      <c r="EQ651" s="1982"/>
      <c r="ER651" s="1982" t="e">
        <f t="shared" si="26"/>
        <v>#VALUE!</v>
      </c>
      <c r="ES651" s="1982"/>
      <c r="ET651" s="1982"/>
      <c r="EU651" s="1982"/>
      <c r="EV651" s="1982"/>
      <c r="EW651" s="1982" t="e">
        <f t="shared" si="27"/>
        <v>#VALUE!</v>
      </c>
      <c r="EX651" s="1982"/>
      <c r="EY651" s="1982"/>
      <c r="EZ651" s="1982"/>
      <c r="FA651" s="1982"/>
    </row>
    <row r="652" spans="1:157" ht="13">
      <c r="A652" s="25"/>
      <c r="B652" s="919"/>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8"/>
        <v>0</v>
      </c>
      <c r="BO652" s="1973"/>
      <c r="BP652" s="1973"/>
      <c r="BQ652" s="1973"/>
      <c r="BR652" s="1974"/>
      <c r="BS652" s="1978">
        <f t="shared" si="29"/>
        <v>0</v>
      </c>
      <c r="BT652" s="1978"/>
      <c r="BU652" s="1978"/>
      <c r="BV652" s="1978"/>
      <c r="BW652" s="1978"/>
      <c r="BX652" s="1978">
        <f t="shared" si="30"/>
        <v>0</v>
      </c>
      <c r="BY652" s="1978"/>
      <c r="BZ652" s="1978"/>
      <c r="CA652" s="1978"/>
      <c r="CB652" s="1978"/>
      <c r="CC652" s="1978">
        <f t="shared" si="31"/>
        <v>0</v>
      </c>
      <c r="CD652" s="1978"/>
      <c r="CE652" s="1978"/>
      <c r="CF652" s="1978"/>
      <c r="CG652" s="1978"/>
      <c r="CH652" s="1978">
        <f t="shared" si="32"/>
        <v>0</v>
      </c>
      <c r="CI652" s="1978"/>
      <c r="CJ652" s="1978"/>
      <c r="CK652" s="1978"/>
      <c r="CL652" s="1978"/>
      <c r="CM652" s="1978">
        <f t="shared" si="33"/>
        <v>0</v>
      </c>
      <c r="CN652" s="1978"/>
      <c r="CO652" s="1978"/>
      <c r="CP652" s="1978"/>
      <c r="CQ652" s="1978"/>
      <c r="CR652" s="265"/>
      <c r="CS652" s="1972">
        <f t="shared" si="34"/>
        <v>0</v>
      </c>
      <c r="CT652" s="1973"/>
      <c r="CU652" s="1973"/>
      <c r="CV652" s="1973"/>
      <c r="CW652" s="1974"/>
      <c r="CX652" s="1972">
        <f t="shared" si="35"/>
        <v>0</v>
      </c>
      <c r="CY652" s="1973"/>
      <c r="CZ652" s="1973"/>
      <c r="DA652" s="1973"/>
      <c r="DB652" s="1974"/>
      <c r="DC652" s="1972">
        <f t="shared" si="36"/>
        <v>0</v>
      </c>
      <c r="DD652" s="1973"/>
      <c r="DE652" s="1973"/>
      <c r="DF652" s="1973"/>
      <c r="DG652" s="1974"/>
      <c r="DH652" s="1972">
        <f t="shared" si="37"/>
        <v>0</v>
      </c>
      <c r="DI652" s="1973"/>
      <c r="DJ652" s="1973"/>
      <c r="DK652" s="1973"/>
      <c r="DL652" s="1974"/>
      <c r="DM652" s="1972">
        <f t="shared" si="38"/>
        <v>0</v>
      </c>
      <c r="DN652" s="1973"/>
      <c r="DO652" s="1973"/>
      <c r="DP652" s="1973"/>
      <c r="DQ652" s="1974"/>
      <c r="DR652" s="1972">
        <f t="shared" si="39"/>
        <v>0</v>
      </c>
      <c r="DS652" s="1973"/>
      <c r="DT652" s="1973"/>
      <c r="DU652" s="1973"/>
      <c r="DV652" s="1974"/>
      <c r="DX652" s="1982" t="e">
        <f t="shared" si="22"/>
        <v>#VALUE!</v>
      </c>
      <c r="DY652" s="1982"/>
      <c r="DZ652" s="1982"/>
      <c r="EA652" s="1982"/>
      <c r="EB652" s="1982"/>
      <c r="EC652" s="1982" t="e">
        <f t="shared" si="23"/>
        <v>#VALUE!</v>
      </c>
      <c r="ED652" s="1982"/>
      <c r="EE652" s="1982"/>
      <c r="EF652" s="1982"/>
      <c r="EG652" s="1982"/>
      <c r="EH652" s="1982" t="e">
        <f t="shared" si="24"/>
        <v>#VALUE!</v>
      </c>
      <c r="EI652" s="1982"/>
      <c r="EJ652" s="1982"/>
      <c r="EK652" s="1982"/>
      <c r="EL652" s="1982"/>
      <c r="EM652" s="1982" t="e">
        <f t="shared" si="25"/>
        <v>#VALUE!</v>
      </c>
      <c r="EN652" s="1982"/>
      <c r="EO652" s="1982"/>
      <c r="EP652" s="1982"/>
      <c r="EQ652" s="1982"/>
      <c r="ER652" s="1982" t="e">
        <f t="shared" si="26"/>
        <v>#VALUE!</v>
      </c>
      <c r="ES652" s="1982"/>
      <c r="ET652" s="1982"/>
      <c r="EU652" s="1982"/>
      <c r="EV652" s="1982"/>
      <c r="EW652" s="1982" t="e">
        <f t="shared" si="27"/>
        <v>#VALUE!</v>
      </c>
      <c r="EX652" s="1982"/>
      <c r="EY652" s="1982"/>
      <c r="EZ652" s="1982"/>
      <c r="FA652" s="1982"/>
    </row>
    <row r="653" spans="1:157" ht="12.5">
      <c r="A653" s="87" t="s">
        <v>117</v>
      </c>
      <c r="B653" s="12" t="s">
        <v>494</v>
      </c>
      <c r="G653" s="1984" t="str">
        <f>C637</f>
        <v>Tax-Exempt Perm Loan</v>
      </c>
      <c r="H653" s="1984"/>
      <c r="I653" s="1984"/>
      <c r="J653" s="1984"/>
      <c r="K653" s="1984"/>
      <c r="L653" s="1984"/>
      <c r="M653" s="1984"/>
      <c r="N653" s="1984"/>
      <c r="O653" s="1984"/>
      <c r="P653" s="1984"/>
      <c r="Q653" s="1984"/>
      <c r="R653" s="1984"/>
      <c r="S653" s="14"/>
      <c r="T653" s="87" t="s">
        <v>118</v>
      </c>
      <c r="U653" s="12" t="s">
        <v>494</v>
      </c>
      <c r="Z653" s="1984" t="str">
        <f>C638</f>
        <v>HCD AHSC</v>
      </c>
      <c r="AA653" s="1984"/>
      <c r="AB653" s="1984"/>
      <c r="AC653" s="1984"/>
      <c r="AD653" s="1984"/>
      <c r="AE653" s="1984"/>
      <c r="AF653" s="1984"/>
      <c r="AG653" s="1984"/>
      <c r="AH653" s="1984"/>
      <c r="AI653" s="1984"/>
      <c r="AJ653" s="1984"/>
      <c r="AK653" s="1984"/>
      <c r="AZ653" s="61"/>
      <c r="BA653" s="61"/>
      <c r="BB653" s="61"/>
      <c r="BC653" s="61"/>
      <c r="BD653" s="61"/>
      <c r="BE653" s="61"/>
      <c r="BF653" s="61"/>
      <c r="BG653" s="61"/>
      <c r="BH653" s="61"/>
      <c r="BI653" s="61"/>
      <c r="BJ653" s="61"/>
      <c r="BK653" s="61"/>
      <c r="BL653" s="61"/>
      <c r="BM653" s="61"/>
      <c r="BN653" s="1972">
        <f t="shared" si="28"/>
        <v>0</v>
      </c>
      <c r="BO653" s="1973"/>
      <c r="BP653" s="1973"/>
      <c r="BQ653" s="1973"/>
      <c r="BR653" s="1974"/>
      <c r="BS653" s="1978">
        <f t="shared" si="29"/>
        <v>0</v>
      </c>
      <c r="BT653" s="1978"/>
      <c r="BU653" s="1978"/>
      <c r="BV653" s="1978"/>
      <c r="BW653" s="1978"/>
      <c r="BX653" s="1978">
        <f t="shared" si="30"/>
        <v>0</v>
      </c>
      <c r="BY653" s="1978"/>
      <c r="BZ653" s="1978"/>
      <c r="CA653" s="1978"/>
      <c r="CB653" s="1978"/>
      <c r="CC653" s="1978">
        <f t="shared" si="31"/>
        <v>0</v>
      </c>
      <c r="CD653" s="1978"/>
      <c r="CE653" s="1978"/>
      <c r="CF653" s="1978"/>
      <c r="CG653" s="1978"/>
      <c r="CH653" s="1978">
        <f t="shared" si="32"/>
        <v>0</v>
      </c>
      <c r="CI653" s="1978"/>
      <c r="CJ653" s="1978"/>
      <c r="CK653" s="1978"/>
      <c r="CL653" s="1978"/>
      <c r="CM653" s="1978">
        <f t="shared" si="33"/>
        <v>0</v>
      </c>
      <c r="CN653" s="1978"/>
      <c r="CO653" s="1978"/>
      <c r="CP653" s="1978"/>
      <c r="CQ653" s="1978"/>
      <c r="CR653" s="265"/>
      <c r="CS653" s="1972">
        <f t="shared" si="34"/>
        <v>0</v>
      </c>
      <c r="CT653" s="1973"/>
      <c r="CU653" s="1973"/>
      <c r="CV653" s="1973"/>
      <c r="CW653" s="1974"/>
      <c r="CX653" s="1972">
        <f t="shared" si="35"/>
        <v>0</v>
      </c>
      <c r="CY653" s="1973"/>
      <c r="CZ653" s="1973"/>
      <c r="DA653" s="1973"/>
      <c r="DB653" s="1974"/>
      <c r="DC653" s="1972">
        <f t="shared" si="36"/>
        <v>0</v>
      </c>
      <c r="DD653" s="1973"/>
      <c r="DE653" s="1973"/>
      <c r="DF653" s="1973"/>
      <c r="DG653" s="1974"/>
      <c r="DH653" s="1972">
        <f t="shared" si="37"/>
        <v>0</v>
      </c>
      <c r="DI653" s="1973"/>
      <c r="DJ653" s="1973"/>
      <c r="DK653" s="1973"/>
      <c r="DL653" s="1974"/>
      <c r="DM653" s="1972">
        <f t="shared" si="38"/>
        <v>0</v>
      </c>
      <c r="DN653" s="1973"/>
      <c r="DO653" s="1973"/>
      <c r="DP653" s="1973"/>
      <c r="DQ653" s="1974"/>
      <c r="DR653" s="1972">
        <f t="shared" si="39"/>
        <v>0</v>
      </c>
      <c r="DS653" s="1973"/>
      <c r="DT653" s="1973"/>
      <c r="DU653" s="1973"/>
      <c r="DV653" s="1974"/>
      <c r="DX653" s="1982" t="e">
        <f t="shared" si="22"/>
        <v>#VALUE!</v>
      </c>
      <c r="DY653" s="1982"/>
      <c r="DZ653" s="1982"/>
      <c r="EA653" s="1982"/>
      <c r="EB653" s="1982"/>
      <c r="EC653" s="1982" t="e">
        <f t="shared" si="23"/>
        <v>#VALUE!</v>
      </c>
      <c r="ED653" s="1982"/>
      <c r="EE653" s="1982"/>
      <c r="EF653" s="1982"/>
      <c r="EG653" s="1982"/>
      <c r="EH653" s="1982" t="e">
        <f t="shared" si="24"/>
        <v>#VALUE!</v>
      </c>
      <c r="EI653" s="1982"/>
      <c r="EJ653" s="1982"/>
      <c r="EK653" s="1982"/>
      <c r="EL653" s="1982"/>
      <c r="EM653" s="1982" t="e">
        <f t="shared" si="25"/>
        <v>#VALUE!</v>
      </c>
      <c r="EN653" s="1982"/>
      <c r="EO653" s="1982"/>
      <c r="EP653" s="1982"/>
      <c r="EQ653" s="1982"/>
      <c r="ER653" s="1982" t="e">
        <f t="shared" si="26"/>
        <v>#VALUE!</v>
      </c>
      <c r="ES653" s="1982"/>
      <c r="ET653" s="1982"/>
      <c r="EU653" s="1982"/>
      <c r="EV653" s="1982"/>
      <c r="EW653" s="1982" t="e">
        <f t="shared" si="27"/>
        <v>#VALUE!</v>
      </c>
      <c r="EX653" s="1982"/>
      <c r="EY653" s="1982"/>
      <c r="EZ653" s="1982"/>
      <c r="FA653" s="1982"/>
    </row>
    <row r="654" spans="1:157" ht="12.5">
      <c r="A654" s="35"/>
      <c r="B654" s="12" t="s">
        <v>90</v>
      </c>
      <c r="G654" s="2003" t="s">
        <v>2598</v>
      </c>
      <c r="H654" s="2003"/>
      <c r="I654" s="2003"/>
      <c r="J654" s="2003"/>
      <c r="K654" s="2003"/>
      <c r="L654" s="2003"/>
      <c r="M654" s="2003"/>
      <c r="N654" s="2003"/>
      <c r="O654" s="2003"/>
      <c r="P654" s="2003"/>
      <c r="Q654" s="2003"/>
      <c r="R654" s="2003"/>
      <c r="S654" s="14"/>
      <c r="T654" s="35"/>
      <c r="U654" s="12" t="s">
        <v>90</v>
      </c>
      <c r="Z654" s="2003" t="s">
        <v>2616</v>
      </c>
      <c r="AA654" s="2003"/>
      <c r="AB654" s="2003"/>
      <c r="AC654" s="2003"/>
      <c r="AD654" s="2003"/>
      <c r="AE654" s="2003"/>
      <c r="AF654" s="2003"/>
      <c r="AG654" s="2003"/>
      <c r="AH654" s="2003"/>
      <c r="AI654" s="2003"/>
      <c r="AJ654" s="2003"/>
      <c r="AK654" s="2003"/>
      <c r="AZ654" s="61"/>
      <c r="BA654" s="61"/>
      <c r="BB654" s="61"/>
      <c r="BC654" s="61"/>
      <c r="BD654" s="61"/>
      <c r="BE654" s="61"/>
      <c r="BF654" s="61"/>
      <c r="BG654" s="61"/>
      <c r="BH654" s="61"/>
      <c r="BI654" s="61"/>
      <c r="BJ654" s="61"/>
      <c r="BK654" s="61"/>
      <c r="BL654" s="61"/>
      <c r="BM654" s="61"/>
      <c r="BN654" s="1972">
        <f t="shared" si="28"/>
        <v>0</v>
      </c>
      <c r="BO654" s="1973"/>
      <c r="BP654" s="1973"/>
      <c r="BQ654" s="1973"/>
      <c r="BR654" s="1974"/>
      <c r="BS654" s="1978">
        <f t="shared" si="29"/>
        <v>0</v>
      </c>
      <c r="BT654" s="1978"/>
      <c r="BU654" s="1978"/>
      <c r="BV654" s="1978"/>
      <c r="BW654" s="1978"/>
      <c r="BX654" s="1978">
        <f t="shared" si="30"/>
        <v>0</v>
      </c>
      <c r="BY654" s="1978"/>
      <c r="BZ654" s="1978"/>
      <c r="CA654" s="1978"/>
      <c r="CB654" s="1978"/>
      <c r="CC654" s="1978">
        <f t="shared" si="31"/>
        <v>0</v>
      </c>
      <c r="CD654" s="1978"/>
      <c r="CE654" s="1978"/>
      <c r="CF654" s="1978"/>
      <c r="CG654" s="1978"/>
      <c r="CH654" s="1978">
        <f t="shared" si="32"/>
        <v>0</v>
      </c>
      <c r="CI654" s="1978"/>
      <c r="CJ654" s="1978"/>
      <c r="CK654" s="1978"/>
      <c r="CL654" s="1978"/>
      <c r="CM654" s="1978">
        <f t="shared" si="33"/>
        <v>0</v>
      </c>
      <c r="CN654" s="1978"/>
      <c r="CO654" s="1978"/>
      <c r="CP654" s="1978"/>
      <c r="CQ654" s="1978"/>
      <c r="CR654" s="265"/>
      <c r="CS654" s="1972">
        <f t="shared" si="34"/>
        <v>0</v>
      </c>
      <c r="CT654" s="1973"/>
      <c r="CU654" s="1973"/>
      <c r="CV654" s="1973"/>
      <c r="CW654" s="1974"/>
      <c r="CX654" s="1972">
        <f t="shared" si="35"/>
        <v>0</v>
      </c>
      <c r="CY654" s="1973"/>
      <c r="CZ654" s="1973"/>
      <c r="DA654" s="1973"/>
      <c r="DB654" s="1974"/>
      <c r="DC654" s="1972">
        <f t="shared" si="36"/>
        <v>0</v>
      </c>
      <c r="DD654" s="1973"/>
      <c r="DE654" s="1973"/>
      <c r="DF654" s="1973"/>
      <c r="DG654" s="1974"/>
      <c r="DH654" s="1972">
        <f t="shared" si="37"/>
        <v>0</v>
      </c>
      <c r="DI654" s="1973"/>
      <c r="DJ654" s="1973"/>
      <c r="DK654" s="1973"/>
      <c r="DL654" s="1974"/>
      <c r="DM654" s="1972">
        <f t="shared" si="38"/>
        <v>0</v>
      </c>
      <c r="DN654" s="1973"/>
      <c r="DO654" s="1973"/>
      <c r="DP654" s="1973"/>
      <c r="DQ654" s="1974"/>
      <c r="DR654" s="1972">
        <f t="shared" si="39"/>
        <v>0</v>
      </c>
      <c r="DS654" s="1973"/>
      <c r="DT654" s="1973"/>
      <c r="DU654" s="1973"/>
      <c r="DV654" s="1974"/>
      <c r="DX654" s="1982" t="e">
        <f t="shared" si="22"/>
        <v>#VALUE!</v>
      </c>
      <c r="DY654" s="1982"/>
      <c r="DZ654" s="1982"/>
      <c r="EA654" s="1982"/>
      <c r="EB654" s="1982"/>
      <c r="EC654" s="1982" t="e">
        <f t="shared" si="23"/>
        <v>#VALUE!</v>
      </c>
      <c r="ED654" s="1982"/>
      <c r="EE654" s="1982"/>
      <c r="EF654" s="1982"/>
      <c r="EG654" s="1982"/>
      <c r="EH654" s="1982" t="e">
        <f t="shared" si="24"/>
        <v>#VALUE!</v>
      </c>
      <c r="EI654" s="1982"/>
      <c r="EJ654" s="1982"/>
      <c r="EK654" s="1982"/>
      <c r="EL654" s="1982"/>
      <c r="EM654" s="1982" t="e">
        <f t="shared" si="25"/>
        <v>#VALUE!</v>
      </c>
      <c r="EN654" s="1982"/>
      <c r="EO654" s="1982"/>
      <c r="EP654" s="1982"/>
      <c r="EQ654" s="1982"/>
      <c r="ER654" s="1982" t="e">
        <f t="shared" si="26"/>
        <v>#VALUE!</v>
      </c>
      <c r="ES654" s="1982"/>
      <c r="ET654" s="1982"/>
      <c r="EU654" s="1982"/>
      <c r="EV654" s="1982"/>
      <c r="EW654" s="1982" t="e">
        <f t="shared" si="27"/>
        <v>#VALUE!</v>
      </c>
      <c r="EX654" s="1982"/>
      <c r="EY654" s="1982"/>
      <c r="EZ654" s="1982"/>
      <c r="FA654" s="1982"/>
    </row>
    <row r="655" spans="1:157" ht="12.5">
      <c r="A655" s="35"/>
      <c r="B655" s="12" t="s">
        <v>613</v>
      </c>
      <c r="G655" s="2003" t="s">
        <v>2610</v>
      </c>
      <c r="H655" s="2003"/>
      <c r="I655" s="2003"/>
      <c r="J655" s="2003"/>
      <c r="K655" s="2003"/>
      <c r="L655" s="2003"/>
      <c r="M655" s="2003"/>
      <c r="N655" s="2003"/>
      <c r="O655" s="2003"/>
      <c r="P655" s="2003"/>
      <c r="Q655" s="2003"/>
      <c r="R655" s="2003"/>
      <c r="S655" s="88"/>
      <c r="T655" s="35"/>
      <c r="U655" s="12" t="s">
        <v>613</v>
      </c>
      <c r="Z655" s="2005" t="s">
        <v>2617</v>
      </c>
      <c r="AA655" s="2005"/>
      <c r="AB655" s="2005"/>
      <c r="AC655" s="2005"/>
      <c r="AD655" s="2005"/>
      <c r="AE655" s="2005"/>
      <c r="AF655" s="2005"/>
      <c r="AG655" s="2005"/>
      <c r="AH655" s="2005"/>
      <c r="AI655" s="2005"/>
      <c r="AJ655" s="2005"/>
      <c r="AK655" s="2005"/>
      <c r="AZ655" s="61"/>
      <c r="BA655" s="61"/>
      <c r="BB655" s="61"/>
      <c r="BC655" s="61"/>
      <c r="BD655" s="61"/>
      <c r="BE655" s="61"/>
      <c r="BF655" s="61"/>
      <c r="BG655" s="61"/>
      <c r="BH655" s="61"/>
      <c r="BI655" s="61"/>
      <c r="BJ655" s="61"/>
      <c r="BK655" s="61"/>
      <c r="BL655" s="61"/>
      <c r="BM655" s="61"/>
      <c r="BN655" s="1972">
        <f t="shared" si="28"/>
        <v>0</v>
      </c>
      <c r="BO655" s="1973"/>
      <c r="BP655" s="1973"/>
      <c r="BQ655" s="1973"/>
      <c r="BR655" s="1974"/>
      <c r="BS655" s="1978">
        <f t="shared" si="29"/>
        <v>0</v>
      </c>
      <c r="BT655" s="1978"/>
      <c r="BU655" s="1978"/>
      <c r="BV655" s="1978"/>
      <c r="BW655" s="1978"/>
      <c r="BX655" s="1978">
        <f t="shared" si="30"/>
        <v>0</v>
      </c>
      <c r="BY655" s="1978"/>
      <c r="BZ655" s="1978"/>
      <c r="CA655" s="1978"/>
      <c r="CB655" s="1978"/>
      <c r="CC655" s="1978">
        <f t="shared" si="31"/>
        <v>0</v>
      </c>
      <c r="CD655" s="1978"/>
      <c r="CE655" s="1978"/>
      <c r="CF655" s="1978"/>
      <c r="CG655" s="1978"/>
      <c r="CH655" s="1978">
        <f t="shared" si="32"/>
        <v>0</v>
      </c>
      <c r="CI655" s="1978"/>
      <c r="CJ655" s="1978"/>
      <c r="CK655" s="1978"/>
      <c r="CL655" s="1978"/>
      <c r="CM655" s="1978">
        <f t="shared" si="33"/>
        <v>0</v>
      </c>
      <c r="CN655" s="1978"/>
      <c r="CO655" s="1978"/>
      <c r="CP655" s="1978"/>
      <c r="CQ655" s="1978"/>
      <c r="CR655" s="265"/>
      <c r="CS655" s="1972">
        <f t="shared" si="34"/>
        <v>0</v>
      </c>
      <c r="CT655" s="1973"/>
      <c r="CU655" s="1973"/>
      <c r="CV655" s="1973"/>
      <c r="CW655" s="1974"/>
      <c r="CX655" s="1972">
        <f t="shared" si="35"/>
        <v>0</v>
      </c>
      <c r="CY655" s="1973"/>
      <c r="CZ655" s="1973"/>
      <c r="DA655" s="1973"/>
      <c r="DB655" s="1974"/>
      <c r="DC655" s="1972">
        <f t="shared" si="36"/>
        <v>0</v>
      </c>
      <c r="DD655" s="1973"/>
      <c r="DE655" s="1973"/>
      <c r="DF655" s="1973"/>
      <c r="DG655" s="1974"/>
      <c r="DH655" s="1972">
        <f t="shared" si="37"/>
        <v>0</v>
      </c>
      <c r="DI655" s="1973"/>
      <c r="DJ655" s="1973"/>
      <c r="DK655" s="1973"/>
      <c r="DL655" s="1974"/>
      <c r="DM655" s="1972">
        <f t="shared" si="38"/>
        <v>0</v>
      </c>
      <c r="DN655" s="1973"/>
      <c r="DO655" s="1973"/>
      <c r="DP655" s="1973"/>
      <c r="DQ655" s="1974"/>
      <c r="DR655" s="1972">
        <f t="shared" si="39"/>
        <v>0</v>
      </c>
      <c r="DS655" s="1973"/>
      <c r="DT655" s="1973"/>
      <c r="DU655" s="1973"/>
      <c r="DV655" s="1974"/>
      <c r="DX655" s="1982" t="e">
        <f t="shared" si="22"/>
        <v>#VALUE!</v>
      </c>
      <c r="DY655" s="1982"/>
      <c r="DZ655" s="1982"/>
      <c r="EA655" s="1982"/>
      <c r="EB655" s="1982"/>
      <c r="EC655" s="1982" t="e">
        <f t="shared" si="23"/>
        <v>#VALUE!</v>
      </c>
      <c r="ED655" s="1982"/>
      <c r="EE655" s="1982"/>
      <c r="EF655" s="1982"/>
      <c r="EG655" s="1982"/>
      <c r="EH655" s="1982" t="e">
        <f t="shared" si="24"/>
        <v>#VALUE!</v>
      </c>
      <c r="EI655" s="1982"/>
      <c r="EJ655" s="1982"/>
      <c r="EK655" s="1982"/>
      <c r="EL655" s="1982"/>
      <c r="EM655" s="1982" t="e">
        <f t="shared" si="25"/>
        <v>#VALUE!</v>
      </c>
      <c r="EN655" s="1982"/>
      <c r="EO655" s="1982"/>
      <c r="EP655" s="1982"/>
      <c r="EQ655" s="1982"/>
      <c r="ER655" s="1982" t="e">
        <f t="shared" si="26"/>
        <v>#VALUE!</v>
      </c>
      <c r="ES655" s="1982"/>
      <c r="ET655" s="1982"/>
      <c r="EU655" s="1982"/>
      <c r="EV655" s="1982"/>
      <c r="EW655" s="1982" t="e">
        <f t="shared" si="27"/>
        <v>#VALUE!</v>
      </c>
      <c r="EX655" s="1982"/>
      <c r="EY655" s="1982"/>
      <c r="EZ655" s="1982"/>
      <c r="FA655" s="1982"/>
    </row>
    <row r="656" spans="1:157" ht="12.5">
      <c r="A656" s="35"/>
      <c r="B656" s="12" t="s">
        <v>17</v>
      </c>
      <c r="G656" s="2003" t="s">
        <v>2599</v>
      </c>
      <c r="H656" s="2003"/>
      <c r="I656" s="2003"/>
      <c r="J656" s="2003"/>
      <c r="K656" s="2003"/>
      <c r="L656" s="2003"/>
      <c r="M656" s="2003"/>
      <c r="N656" s="2003"/>
      <c r="O656" s="2003"/>
      <c r="P656" s="2003"/>
      <c r="Q656" s="2003"/>
      <c r="R656" s="2003"/>
      <c r="S656" s="14"/>
      <c r="T656" s="35"/>
      <c r="U656" s="12" t="s">
        <v>17</v>
      </c>
      <c r="Z656" s="2005" t="s">
        <v>2618</v>
      </c>
      <c r="AA656" s="2005"/>
      <c r="AB656" s="2005"/>
      <c r="AC656" s="2005"/>
      <c r="AD656" s="2005"/>
      <c r="AE656" s="2005"/>
      <c r="AF656" s="2005"/>
      <c r="AG656" s="2005"/>
      <c r="AH656" s="2005"/>
      <c r="AI656" s="2005"/>
      <c r="AJ656" s="2005"/>
      <c r="AK656" s="2005"/>
      <c r="AZ656" s="61"/>
      <c r="BA656" s="61"/>
      <c r="BB656" s="61"/>
      <c r="BC656" s="61"/>
      <c r="BD656" s="61"/>
      <c r="BE656" s="61"/>
      <c r="BF656" s="61"/>
      <c r="BG656" s="61"/>
      <c r="BH656" s="61"/>
      <c r="BI656" s="61"/>
      <c r="BJ656" s="61"/>
      <c r="BK656" s="61"/>
      <c r="BL656" s="61"/>
      <c r="BM656" s="61"/>
      <c r="BN656" s="1972">
        <f t="shared" si="28"/>
        <v>0</v>
      </c>
      <c r="BO656" s="1973"/>
      <c r="BP656" s="1973"/>
      <c r="BQ656" s="1973"/>
      <c r="BR656" s="1974"/>
      <c r="BS656" s="1978">
        <f t="shared" si="29"/>
        <v>0</v>
      </c>
      <c r="BT656" s="1978"/>
      <c r="BU656" s="1978"/>
      <c r="BV656" s="1978"/>
      <c r="BW656" s="1978"/>
      <c r="BX656" s="1978">
        <f t="shared" si="30"/>
        <v>0</v>
      </c>
      <c r="BY656" s="1978"/>
      <c r="BZ656" s="1978"/>
      <c r="CA656" s="1978"/>
      <c r="CB656" s="1978"/>
      <c r="CC656" s="1978">
        <f t="shared" si="31"/>
        <v>0</v>
      </c>
      <c r="CD656" s="1978"/>
      <c r="CE656" s="1978"/>
      <c r="CF656" s="1978"/>
      <c r="CG656" s="1978"/>
      <c r="CH656" s="1978">
        <f t="shared" si="32"/>
        <v>0</v>
      </c>
      <c r="CI656" s="1978"/>
      <c r="CJ656" s="1978"/>
      <c r="CK656" s="1978"/>
      <c r="CL656" s="1978"/>
      <c r="CM656" s="1978">
        <f t="shared" si="33"/>
        <v>0</v>
      </c>
      <c r="CN656" s="1978"/>
      <c r="CO656" s="1978"/>
      <c r="CP656" s="1978"/>
      <c r="CQ656" s="1978"/>
      <c r="CR656" s="265"/>
      <c r="CS656" s="1972">
        <f t="shared" si="34"/>
        <v>0</v>
      </c>
      <c r="CT656" s="1973"/>
      <c r="CU656" s="1973"/>
      <c r="CV656" s="1973"/>
      <c r="CW656" s="1974"/>
      <c r="CX656" s="1972">
        <f t="shared" si="35"/>
        <v>0</v>
      </c>
      <c r="CY656" s="1973"/>
      <c r="CZ656" s="1973"/>
      <c r="DA656" s="1973"/>
      <c r="DB656" s="1974"/>
      <c r="DC656" s="1972">
        <f t="shared" si="36"/>
        <v>0</v>
      </c>
      <c r="DD656" s="1973"/>
      <c r="DE656" s="1973"/>
      <c r="DF656" s="1973"/>
      <c r="DG656" s="1974"/>
      <c r="DH656" s="1972">
        <f t="shared" si="37"/>
        <v>0</v>
      </c>
      <c r="DI656" s="1973"/>
      <c r="DJ656" s="1973"/>
      <c r="DK656" s="1973"/>
      <c r="DL656" s="1974"/>
      <c r="DM656" s="1972">
        <f t="shared" si="38"/>
        <v>0</v>
      </c>
      <c r="DN656" s="1973"/>
      <c r="DO656" s="1973"/>
      <c r="DP656" s="1973"/>
      <c r="DQ656" s="1974"/>
      <c r="DR656" s="1972">
        <f t="shared" si="39"/>
        <v>0</v>
      </c>
      <c r="DS656" s="1973"/>
      <c r="DT656" s="1973"/>
      <c r="DU656" s="1973"/>
      <c r="DV656" s="1974"/>
      <c r="DX656" s="1982" t="e">
        <f t="shared" si="22"/>
        <v>#VALUE!</v>
      </c>
      <c r="DY656" s="1982"/>
      <c r="DZ656" s="1982"/>
      <c r="EA656" s="1982"/>
      <c r="EB656" s="1982"/>
      <c r="EC656" s="1982" t="e">
        <f t="shared" si="23"/>
        <v>#VALUE!</v>
      </c>
      <c r="ED656" s="1982"/>
      <c r="EE656" s="1982"/>
      <c r="EF656" s="1982"/>
      <c r="EG656" s="1982"/>
      <c r="EH656" s="1982" t="e">
        <f t="shared" si="24"/>
        <v>#VALUE!</v>
      </c>
      <c r="EI656" s="1982"/>
      <c r="EJ656" s="1982"/>
      <c r="EK656" s="1982"/>
      <c r="EL656" s="1982"/>
      <c r="EM656" s="1982" t="e">
        <f t="shared" si="25"/>
        <v>#VALUE!</v>
      </c>
      <c r="EN656" s="1982"/>
      <c r="EO656" s="1982"/>
      <c r="EP656" s="1982"/>
      <c r="EQ656" s="1982"/>
      <c r="ER656" s="1982" t="e">
        <f t="shared" si="26"/>
        <v>#VALUE!</v>
      </c>
      <c r="ES656" s="1982"/>
      <c r="ET656" s="1982"/>
      <c r="EU656" s="1982"/>
      <c r="EV656" s="1982"/>
      <c r="EW656" s="1982" t="e">
        <f t="shared" si="27"/>
        <v>#VALUE!</v>
      </c>
      <c r="EX656" s="1982"/>
      <c r="EY656" s="1982"/>
      <c r="EZ656" s="1982"/>
      <c r="FA656" s="1982"/>
    </row>
    <row r="657" spans="1:157" ht="12.5">
      <c r="A657" s="35"/>
      <c r="B657" s="12" t="s">
        <v>324</v>
      </c>
      <c r="G657" s="2008" t="s">
        <v>2602</v>
      </c>
      <c r="H657" s="2008"/>
      <c r="I657" s="2008"/>
      <c r="J657" s="2008"/>
      <c r="K657" s="2008"/>
      <c r="L657" s="2008"/>
      <c r="O657" s="137" t="s">
        <v>211</v>
      </c>
      <c r="P657" s="1992"/>
      <c r="Q657" s="1992"/>
      <c r="R657" s="1992"/>
      <c r="S657" s="16"/>
      <c r="T657" s="35"/>
      <c r="U657" s="12" t="s">
        <v>324</v>
      </c>
      <c r="Z657" s="2008" t="s">
        <v>2619</v>
      </c>
      <c r="AA657" s="2007"/>
      <c r="AB657" s="2007"/>
      <c r="AC657" s="2007"/>
      <c r="AD657" s="2007"/>
      <c r="AE657" s="2007"/>
      <c r="AH657" s="137" t="s">
        <v>211</v>
      </c>
      <c r="AI657" s="1992"/>
      <c r="AJ657" s="1992"/>
      <c r="AK657" s="1992"/>
      <c r="AZ657" s="61"/>
      <c r="BA657" s="61"/>
      <c r="BB657" s="61"/>
      <c r="BC657" s="61"/>
      <c r="BD657" s="61"/>
      <c r="BE657" s="61"/>
      <c r="BF657" s="61"/>
      <c r="BG657" s="61"/>
      <c r="BH657" s="61"/>
      <c r="BI657" s="61"/>
      <c r="BJ657" s="61"/>
      <c r="BK657" s="61"/>
      <c r="BL657" s="61"/>
      <c r="BM657" s="61"/>
      <c r="BN657" s="1972">
        <f t="shared" si="28"/>
        <v>0</v>
      </c>
      <c r="BO657" s="1973"/>
      <c r="BP657" s="1973"/>
      <c r="BQ657" s="1973"/>
      <c r="BR657" s="1974"/>
      <c r="BS657" s="1978">
        <f t="shared" si="29"/>
        <v>0</v>
      </c>
      <c r="BT657" s="1978"/>
      <c r="BU657" s="1978"/>
      <c r="BV657" s="1978"/>
      <c r="BW657" s="1978"/>
      <c r="BX657" s="1978">
        <f t="shared" si="30"/>
        <v>0</v>
      </c>
      <c r="BY657" s="1978"/>
      <c r="BZ657" s="1978"/>
      <c r="CA657" s="1978"/>
      <c r="CB657" s="1978"/>
      <c r="CC657" s="1978">
        <f t="shared" si="31"/>
        <v>0</v>
      </c>
      <c r="CD657" s="1978"/>
      <c r="CE657" s="1978"/>
      <c r="CF657" s="1978"/>
      <c r="CG657" s="1978"/>
      <c r="CH657" s="1978">
        <f t="shared" si="32"/>
        <v>0</v>
      </c>
      <c r="CI657" s="1978"/>
      <c r="CJ657" s="1978"/>
      <c r="CK657" s="1978"/>
      <c r="CL657" s="1978"/>
      <c r="CM657" s="1978">
        <f t="shared" si="33"/>
        <v>0</v>
      </c>
      <c r="CN657" s="1978"/>
      <c r="CO657" s="1978"/>
      <c r="CP657" s="1978"/>
      <c r="CQ657" s="1978"/>
      <c r="CR657" s="265"/>
      <c r="CS657" s="1972">
        <f t="shared" si="34"/>
        <v>0</v>
      </c>
      <c r="CT657" s="1973"/>
      <c r="CU657" s="1973"/>
      <c r="CV657" s="1973"/>
      <c r="CW657" s="1974"/>
      <c r="CX657" s="1972">
        <f t="shared" si="35"/>
        <v>0</v>
      </c>
      <c r="CY657" s="1973"/>
      <c r="CZ657" s="1973"/>
      <c r="DA657" s="1973"/>
      <c r="DB657" s="1974"/>
      <c r="DC657" s="1972">
        <f t="shared" si="36"/>
        <v>0</v>
      </c>
      <c r="DD657" s="1973"/>
      <c r="DE657" s="1973"/>
      <c r="DF657" s="1973"/>
      <c r="DG657" s="1974"/>
      <c r="DH657" s="1972">
        <f t="shared" si="37"/>
        <v>0</v>
      </c>
      <c r="DI657" s="1973"/>
      <c r="DJ657" s="1973"/>
      <c r="DK657" s="1973"/>
      <c r="DL657" s="1974"/>
      <c r="DM657" s="1972">
        <f t="shared" si="38"/>
        <v>0</v>
      </c>
      <c r="DN657" s="1973"/>
      <c r="DO657" s="1973"/>
      <c r="DP657" s="1973"/>
      <c r="DQ657" s="1974"/>
      <c r="DR657" s="1972">
        <f t="shared" si="39"/>
        <v>0</v>
      </c>
      <c r="DS657" s="1973"/>
      <c r="DT657" s="1973"/>
      <c r="DU657" s="1973"/>
      <c r="DV657" s="1974"/>
      <c r="DX657" s="1982" t="e">
        <f t="shared" si="22"/>
        <v>#VALUE!</v>
      </c>
      <c r="DY657" s="1982"/>
      <c r="DZ657" s="1982"/>
      <c r="EA657" s="1982"/>
      <c r="EB657" s="1982"/>
      <c r="EC657" s="1982" t="e">
        <f t="shared" si="23"/>
        <v>#VALUE!</v>
      </c>
      <c r="ED657" s="1982"/>
      <c r="EE657" s="1982"/>
      <c r="EF657" s="1982"/>
      <c r="EG657" s="1982"/>
      <c r="EH657" s="1982" t="e">
        <f t="shared" si="24"/>
        <v>#VALUE!</v>
      </c>
      <c r="EI657" s="1982"/>
      <c r="EJ657" s="1982"/>
      <c r="EK657" s="1982"/>
      <c r="EL657" s="1982"/>
      <c r="EM657" s="1982" t="e">
        <f t="shared" si="25"/>
        <v>#VALUE!</v>
      </c>
      <c r="EN657" s="1982"/>
      <c r="EO657" s="1982"/>
      <c r="EP657" s="1982"/>
      <c r="EQ657" s="1982"/>
      <c r="ER657" s="1982" t="e">
        <f t="shared" si="26"/>
        <v>#VALUE!</v>
      </c>
      <c r="ES657" s="1982"/>
      <c r="ET657" s="1982"/>
      <c r="EU657" s="1982"/>
      <c r="EV657" s="1982"/>
      <c r="EW657" s="1982" t="e">
        <f t="shared" si="27"/>
        <v>#VALUE!</v>
      </c>
      <c r="EX657" s="1982"/>
      <c r="EY657" s="1982"/>
      <c r="EZ657" s="1982"/>
      <c r="FA657" s="1982"/>
    </row>
    <row r="658" spans="1:157" ht="12.5">
      <c r="A658" s="35"/>
      <c r="B658" s="12" t="s">
        <v>18</v>
      </c>
      <c r="H658" s="2003" t="s">
        <v>2620</v>
      </c>
      <c r="I658" s="2003"/>
      <c r="J658" s="2003"/>
      <c r="K658" s="2003"/>
      <c r="L658" s="2003"/>
      <c r="M658" s="2003"/>
      <c r="N658" s="2003"/>
      <c r="O658" s="2003"/>
      <c r="P658" s="2003"/>
      <c r="Q658" s="2003"/>
      <c r="R658" s="2003"/>
      <c r="S658" s="14"/>
      <c r="T658" s="35"/>
      <c r="U658" s="12" t="s">
        <v>18</v>
      </c>
      <c r="AA658" s="2003" t="s">
        <v>2611</v>
      </c>
      <c r="AB658" s="2003"/>
      <c r="AC658" s="2003"/>
      <c r="AD658" s="2003"/>
      <c r="AE658" s="2003"/>
      <c r="AF658" s="2003"/>
      <c r="AG658" s="2003"/>
      <c r="AH658" s="2003"/>
      <c r="AI658" s="2003"/>
      <c r="AJ658" s="2003"/>
      <c r="AK658" s="2003"/>
      <c r="AZ658" s="61"/>
      <c r="BA658" s="61"/>
      <c r="BB658" s="61"/>
      <c r="BC658" s="61"/>
      <c r="BD658" s="61"/>
      <c r="BE658" s="61"/>
      <c r="BF658" s="61"/>
      <c r="BG658" s="61"/>
      <c r="BH658" s="61"/>
      <c r="BI658" s="61"/>
      <c r="BJ658" s="61"/>
      <c r="BK658" s="61"/>
      <c r="BL658" s="61"/>
      <c r="BM658" s="61"/>
      <c r="BN658" s="1979">
        <f>SUM(BN648:BR657)</f>
        <v>0</v>
      </c>
      <c r="BO658" s="1980"/>
      <c r="BP658" s="1980"/>
      <c r="BQ658" s="1980"/>
      <c r="BR658" s="1981"/>
      <c r="BS658" s="1975">
        <f>SUM(BS648:BW657)</f>
        <v>0</v>
      </c>
      <c r="BT658" s="1976"/>
      <c r="BU658" s="1976"/>
      <c r="BV658" s="1976"/>
      <c r="BW658" s="1977"/>
      <c r="BX658" s="1975">
        <f>SUM(BX648:CB657)</f>
        <v>0</v>
      </c>
      <c r="BY658" s="1976"/>
      <c r="BZ658" s="1976"/>
      <c r="CA658" s="1976"/>
      <c r="CB658" s="1977"/>
      <c r="CC658" s="1975">
        <f>SUM(CC648:CG657)</f>
        <v>0</v>
      </c>
      <c r="CD658" s="1976"/>
      <c r="CE658" s="1976"/>
      <c r="CF658" s="1976"/>
      <c r="CG658" s="1977"/>
      <c r="CH658" s="1975">
        <f>SUM(CH648:CL657)</f>
        <v>0</v>
      </c>
      <c r="CI658" s="1976"/>
      <c r="CJ658" s="1976"/>
      <c r="CK658" s="1976"/>
      <c r="CL658" s="1977"/>
      <c r="CM658" s="1975">
        <f>SUM(CM648:CQ657)</f>
        <v>0</v>
      </c>
      <c r="CN658" s="1976"/>
      <c r="CO658" s="1976"/>
      <c r="CP658" s="1976"/>
      <c r="CQ658" s="1977"/>
      <c r="CR658" s="1708"/>
      <c r="CS658" s="1983">
        <f>SUM(CS648:CW657)</f>
        <v>0</v>
      </c>
      <c r="CT658" s="1983"/>
      <c r="CU658" s="1983"/>
      <c r="CV658" s="1983"/>
      <c r="CW658" s="1983"/>
      <c r="CX658" s="1983">
        <f>SUM(CX648:DB657)</f>
        <v>0</v>
      </c>
      <c r="CY658" s="1983"/>
      <c r="CZ658" s="1983"/>
      <c r="DA658" s="1983"/>
      <c r="DB658" s="1983"/>
      <c r="DC658" s="1983">
        <f>SUM(DC648:DG657)</f>
        <v>0</v>
      </c>
      <c r="DD658" s="1983"/>
      <c r="DE658" s="1983"/>
      <c r="DF658" s="1983"/>
      <c r="DG658" s="1983"/>
      <c r="DH658" s="1983">
        <f>SUM(DH648:DL657)</f>
        <v>0</v>
      </c>
      <c r="DI658" s="1983"/>
      <c r="DJ658" s="1983"/>
      <c r="DK658" s="1983"/>
      <c r="DL658" s="1983"/>
      <c r="DM658" s="1983">
        <f>SUM(DM648:DQ657)</f>
        <v>0</v>
      </c>
      <c r="DN658" s="1983"/>
      <c r="DO658" s="1983"/>
      <c r="DP658" s="1983"/>
      <c r="DQ658" s="1983"/>
      <c r="DR658" s="1983">
        <f>SUM(DR648:DV657)</f>
        <v>0</v>
      </c>
      <c r="DS658" s="1983"/>
      <c r="DT658" s="1983"/>
      <c r="DU658" s="1983"/>
      <c r="DV658" s="1983"/>
      <c r="DX658" s="1982" t="e">
        <f t="shared" si="22"/>
        <v>#VALUE!</v>
      </c>
      <c r="DY658" s="1982"/>
      <c r="DZ658" s="1982"/>
      <c r="EA658" s="1982"/>
      <c r="EB658" s="1982"/>
      <c r="EC658" s="1982" t="e">
        <f t="shared" si="23"/>
        <v>#VALUE!</v>
      </c>
      <c r="ED658" s="1982"/>
      <c r="EE658" s="1982"/>
      <c r="EF658" s="1982"/>
      <c r="EG658" s="1982"/>
      <c r="EH658" s="1982" t="e">
        <f t="shared" si="24"/>
        <v>#VALUE!</v>
      </c>
      <c r="EI658" s="1982"/>
      <c r="EJ658" s="1982"/>
      <c r="EK658" s="1982"/>
      <c r="EL658" s="1982"/>
      <c r="EM658" s="1982" t="e">
        <f t="shared" si="25"/>
        <v>#VALUE!</v>
      </c>
      <c r="EN658" s="1982"/>
      <c r="EO658" s="1982"/>
      <c r="EP658" s="1982"/>
      <c r="EQ658" s="1982"/>
      <c r="ER658" s="1982" t="e">
        <f t="shared" si="26"/>
        <v>#VALUE!</v>
      </c>
      <c r="ES658" s="1982"/>
      <c r="ET658" s="1982"/>
      <c r="EU658" s="1982"/>
      <c r="EV658" s="1982"/>
      <c r="EW658" s="1982" t="e">
        <f t="shared" si="27"/>
        <v>#VALUE!</v>
      </c>
      <c r="EX658" s="1982"/>
      <c r="EY658" s="1982"/>
      <c r="EZ658" s="1982"/>
      <c r="FA658" s="1982"/>
    </row>
    <row r="659" spans="1:157" ht="12.5">
      <c r="A659" s="35"/>
      <c r="B659" s="12" t="s">
        <v>20</v>
      </c>
      <c r="N659" s="1991" t="s">
        <v>704</v>
      </c>
      <c r="O659" s="1991"/>
      <c r="T659" s="35"/>
      <c r="U659" s="12" t="s">
        <v>20</v>
      </c>
      <c r="AG659" s="1991" t="s">
        <v>576</v>
      </c>
      <c r="AH659" s="1991"/>
      <c r="AZ659" s="61"/>
      <c r="BA659" s="61"/>
      <c r="BB659" s="61"/>
      <c r="BC659" s="61"/>
      <c r="BD659" s="61"/>
      <c r="BE659" s="61"/>
      <c r="BF659" s="61"/>
      <c r="BG659" s="61"/>
      <c r="BH659" s="61"/>
      <c r="BI659" s="61"/>
      <c r="BJ659" s="61"/>
      <c r="BK659" s="61"/>
      <c r="BL659" s="61"/>
      <c r="BM659" s="61"/>
      <c r="BN659" s="717"/>
      <c r="BO659" s="717"/>
      <c r="BP659" s="717"/>
      <c r="BQ659" s="717"/>
      <c r="BR659" s="1420">
        <f>BN658*1</f>
        <v>0</v>
      </c>
      <c r="BS659" s="58"/>
      <c r="BT659" s="58"/>
      <c r="BU659" s="58"/>
      <c r="BV659" s="58"/>
      <c r="BW659" s="1420">
        <f>BS658*1</f>
        <v>0</v>
      </c>
      <c r="BX659" s="58"/>
      <c r="BY659" s="58"/>
      <c r="BZ659" s="58"/>
      <c r="CA659" s="58"/>
      <c r="CB659" s="1420">
        <f>BX658*2</f>
        <v>0</v>
      </c>
      <c r="CC659" s="58"/>
      <c r="CD659" s="58"/>
      <c r="CE659" s="58"/>
      <c r="CF659" s="58"/>
      <c r="CG659" s="1420">
        <f>CC658*3</f>
        <v>0</v>
      </c>
      <c r="CH659" s="58"/>
      <c r="CI659" s="58"/>
      <c r="CJ659" s="58"/>
      <c r="CK659" s="58"/>
      <c r="CL659" s="1420">
        <f>CH658*4</f>
        <v>0</v>
      </c>
      <c r="CM659" s="58"/>
      <c r="CN659" s="58"/>
      <c r="CO659" s="58"/>
      <c r="CP659" s="58"/>
      <c r="CQ659" s="1420">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2" t="e">
        <f t="shared" si="22"/>
        <v>#VALUE!</v>
      </c>
      <c r="DY659" s="1982"/>
      <c r="DZ659" s="1982"/>
      <c r="EA659" s="1982"/>
      <c r="EB659" s="1982"/>
      <c r="EC659" s="1982" t="e">
        <f t="shared" si="23"/>
        <v>#VALUE!</v>
      </c>
      <c r="ED659" s="1982"/>
      <c r="EE659" s="1982"/>
      <c r="EF659" s="1982"/>
      <c r="EG659" s="1982"/>
      <c r="EH659" s="1982" t="e">
        <f t="shared" si="24"/>
        <v>#VALUE!</v>
      </c>
      <c r="EI659" s="1982"/>
      <c r="EJ659" s="1982"/>
      <c r="EK659" s="1982"/>
      <c r="EL659" s="1982"/>
      <c r="EM659" s="1982" t="e">
        <f t="shared" si="25"/>
        <v>#VALUE!</v>
      </c>
      <c r="EN659" s="1982"/>
      <c r="EO659" s="1982"/>
      <c r="EP659" s="1982"/>
      <c r="EQ659" s="1982"/>
      <c r="ER659" s="1982" t="e">
        <f t="shared" si="26"/>
        <v>#VALUE!</v>
      </c>
      <c r="ES659" s="1982"/>
      <c r="ET659" s="1982"/>
      <c r="EU659" s="1982"/>
      <c r="EV659" s="1982"/>
      <c r="EW659" s="1982" t="e">
        <f t="shared" si="27"/>
        <v>#VALUE!</v>
      </c>
      <c r="EX659" s="1982"/>
      <c r="EY659" s="1982"/>
      <c r="EZ659" s="1982"/>
      <c r="FA659" s="1982"/>
    </row>
    <row r="660" spans="1:157" ht="13">
      <c r="A660" s="35"/>
      <c r="T660" s="35"/>
      <c r="AZ660" s="61"/>
      <c r="BA660" s="61"/>
      <c r="BB660" s="61"/>
      <c r="BC660" s="61"/>
      <c r="BD660" s="61"/>
      <c r="BE660" s="61"/>
      <c r="BF660" s="61"/>
      <c r="BG660" s="61"/>
      <c r="BH660" s="61"/>
      <c r="BI660" s="61"/>
      <c r="BJ660" s="61"/>
      <c r="BK660" s="61"/>
      <c r="BL660" s="61"/>
      <c r="BM660" s="61"/>
      <c r="CR660" s="177"/>
      <c r="CS660" s="1420">
        <f>BN658+BS658+BX658+CC658+CH658+CM658</f>
        <v>0</v>
      </c>
      <c r="CT660" s="134" t="s">
        <v>2302</v>
      </c>
      <c r="CU660" s="58"/>
      <c r="CV660" s="58"/>
      <c r="CW660" s="58"/>
      <c r="CX660" s="58"/>
      <c r="CY660" s="58"/>
      <c r="CZ660" s="58"/>
      <c r="DA660" s="58"/>
      <c r="DB660" s="58"/>
      <c r="DC660" s="58"/>
      <c r="DD660" s="58"/>
      <c r="DE660" s="58"/>
      <c r="DF660" s="58"/>
      <c r="DQ660" s="136" t="s">
        <v>2314</v>
      </c>
      <c r="DR660" s="1982">
        <f>SUM(CS658:DV658)</f>
        <v>0</v>
      </c>
      <c r="DS660" s="1982"/>
      <c r="DT660" s="1982"/>
      <c r="DU660" s="1982"/>
      <c r="DV660" s="1982"/>
      <c r="DX660" s="1982" t="e">
        <f t="shared" si="22"/>
        <v>#VALUE!</v>
      </c>
      <c r="DY660" s="1982"/>
      <c r="DZ660" s="1982"/>
      <c r="EA660" s="1982"/>
      <c r="EB660" s="1982"/>
      <c r="EC660" s="1982" t="e">
        <f t="shared" si="23"/>
        <v>#VALUE!</v>
      </c>
      <c r="ED660" s="1982"/>
      <c r="EE660" s="1982"/>
      <c r="EF660" s="1982"/>
      <c r="EG660" s="1982"/>
      <c r="EH660" s="1982" t="e">
        <f t="shared" si="24"/>
        <v>#VALUE!</v>
      </c>
      <c r="EI660" s="1982"/>
      <c r="EJ660" s="1982"/>
      <c r="EK660" s="1982"/>
      <c r="EL660" s="1982"/>
      <c r="EM660" s="1982" t="e">
        <f t="shared" si="25"/>
        <v>#VALUE!</v>
      </c>
      <c r="EN660" s="1982"/>
      <c r="EO660" s="1982"/>
      <c r="EP660" s="1982"/>
      <c r="EQ660" s="1982"/>
      <c r="ER660" s="1982" t="e">
        <f t="shared" si="26"/>
        <v>#VALUE!</v>
      </c>
      <c r="ES660" s="1982"/>
      <c r="ET660" s="1982"/>
      <c r="EU660" s="1982"/>
      <c r="EV660" s="1982"/>
      <c r="EW660" s="1982" t="e">
        <f t="shared" si="27"/>
        <v>#VALUE!</v>
      </c>
      <c r="EX660" s="1982"/>
      <c r="EY660" s="1982"/>
      <c r="EZ660" s="1982"/>
      <c r="FA660" s="1982"/>
    </row>
    <row r="661" spans="1:157" ht="13">
      <c r="A661" s="87" t="s">
        <v>124</v>
      </c>
      <c r="B661" s="12" t="s">
        <v>494</v>
      </c>
      <c r="G661" s="1984" t="str">
        <f>C639</f>
        <v>SF MOHCD</v>
      </c>
      <c r="H661" s="1984"/>
      <c r="I661" s="1984"/>
      <c r="J661" s="1984"/>
      <c r="K661" s="1984"/>
      <c r="L661" s="1984"/>
      <c r="M661" s="1984"/>
      <c r="N661" s="1984"/>
      <c r="O661" s="1984"/>
      <c r="P661" s="1984"/>
      <c r="Q661" s="1984"/>
      <c r="R661" s="1984"/>
      <c r="T661" s="87" t="s">
        <v>614</v>
      </c>
      <c r="U661" s="12" t="s">
        <v>494</v>
      </c>
      <c r="Z661" s="1984" t="str">
        <f>C640</f>
        <v>FHLB AHP</v>
      </c>
      <c r="AA661" s="1984"/>
      <c r="AB661" s="1984"/>
      <c r="AC661" s="1984"/>
      <c r="AD661" s="1984"/>
      <c r="AE661" s="1984"/>
      <c r="AF661" s="1984"/>
      <c r="AG661" s="1984"/>
      <c r="AH661" s="1984"/>
      <c r="AI661" s="1984"/>
      <c r="AJ661" s="1984"/>
      <c r="AK661" s="1984"/>
      <c r="AZ661" s="61"/>
      <c r="BA661" s="61"/>
      <c r="BB661" s="61"/>
      <c r="BC661" s="61"/>
      <c r="BD661" s="61"/>
      <c r="BE661" s="61"/>
      <c r="BF661" s="61"/>
      <c r="BG661" s="61"/>
      <c r="BH661" s="61"/>
      <c r="BI661" s="61"/>
      <c r="BJ661" s="61"/>
      <c r="BK661" s="61"/>
      <c r="BL661" s="61"/>
      <c r="BM661" s="61"/>
      <c r="CR661" s="177"/>
      <c r="CS661" s="1420">
        <f>BR659+BW659+CB659+CG659+CL659+CQ659</f>
        <v>0</v>
      </c>
      <c r="CT661" s="134" t="s">
        <v>1931</v>
      </c>
      <c r="CU661" s="58"/>
      <c r="CV661" s="58"/>
      <c r="CW661" s="58"/>
      <c r="CX661" s="58"/>
      <c r="CY661" s="58"/>
      <c r="CZ661" s="58"/>
      <c r="DA661" s="58"/>
      <c r="DB661" s="58"/>
      <c r="DC661" s="58"/>
      <c r="DD661" s="58"/>
      <c r="DE661" s="58"/>
      <c r="DF661" s="58"/>
      <c r="DX661" s="1982" t="e">
        <f t="shared" si="22"/>
        <v>#VALUE!</v>
      </c>
      <c r="DY661" s="1982"/>
      <c r="DZ661" s="1982"/>
      <c r="EA661" s="1982"/>
      <c r="EB661" s="1982"/>
      <c r="EC661" s="1982" t="e">
        <f t="shared" si="23"/>
        <v>#VALUE!</v>
      </c>
      <c r="ED661" s="1982"/>
      <c r="EE661" s="1982"/>
      <c r="EF661" s="1982"/>
      <c r="EG661" s="1982"/>
      <c r="EH661" s="1982" t="e">
        <f t="shared" si="24"/>
        <v>#VALUE!</v>
      </c>
      <c r="EI661" s="1982"/>
      <c r="EJ661" s="1982"/>
      <c r="EK661" s="1982"/>
      <c r="EL661" s="1982"/>
      <c r="EM661" s="1982" t="e">
        <f t="shared" si="25"/>
        <v>#VALUE!</v>
      </c>
      <c r="EN661" s="1982"/>
      <c r="EO661" s="1982"/>
      <c r="EP661" s="1982"/>
      <c r="EQ661" s="1982"/>
      <c r="ER661" s="1982" t="e">
        <f t="shared" si="26"/>
        <v>#VALUE!</v>
      </c>
      <c r="ES661" s="1982"/>
      <c r="ET661" s="1982"/>
      <c r="EU661" s="1982"/>
      <c r="EV661" s="1982"/>
      <c r="EW661" s="1982" t="e">
        <f t="shared" si="27"/>
        <v>#VALUE!</v>
      </c>
      <c r="EX661" s="1982"/>
      <c r="EY661" s="1982"/>
      <c r="EZ661" s="1982"/>
      <c r="FA661" s="1982"/>
    </row>
    <row r="662" spans="1:157" ht="12.5">
      <c r="A662" s="35"/>
      <c r="B662" s="12" t="s">
        <v>90</v>
      </c>
      <c r="G662" s="2004" t="s">
        <v>2621</v>
      </c>
      <c r="H662" s="2003"/>
      <c r="I662" s="2003"/>
      <c r="J662" s="2003"/>
      <c r="K662" s="2003"/>
      <c r="L662" s="2003"/>
      <c r="M662" s="2003"/>
      <c r="N662" s="2003"/>
      <c r="O662" s="2003"/>
      <c r="P662" s="2003"/>
      <c r="Q662" s="2003"/>
      <c r="R662" s="2003"/>
      <c r="T662" s="35"/>
      <c r="U662" s="12" t="s">
        <v>90</v>
      </c>
      <c r="Z662" s="2004" t="s">
        <v>2558</v>
      </c>
      <c r="AA662" s="2003"/>
      <c r="AB662" s="2003"/>
      <c r="AC662" s="2003"/>
      <c r="AD662" s="2003"/>
      <c r="AE662" s="2003"/>
      <c r="AF662" s="2003"/>
      <c r="AG662" s="2003"/>
      <c r="AH662" s="2003"/>
      <c r="AI662" s="2003"/>
      <c r="AJ662" s="2003"/>
      <c r="AK662" s="200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2" t="e">
        <f t="shared" si="22"/>
        <v>#VALUE!</v>
      </c>
      <c r="DY662" s="1982"/>
      <c r="DZ662" s="1982"/>
      <c r="EA662" s="1982"/>
      <c r="EB662" s="1982"/>
      <c r="EC662" s="1982" t="e">
        <f t="shared" si="23"/>
        <v>#VALUE!</v>
      </c>
      <c r="ED662" s="1982"/>
      <c r="EE662" s="1982"/>
      <c r="EF662" s="1982"/>
      <c r="EG662" s="1982"/>
      <c r="EH662" s="1982" t="e">
        <f t="shared" si="24"/>
        <v>#VALUE!</v>
      </c>
      <c r="EI662" s="1982"/>
      <c r="EJ662" s="1982"/>
      <c r="EK662" s="1982"/>
      <c r="EL662" s="1982"/>
      <c r="EM662" s="1982" t="e">
        <f t="shared" si="25"/>
        <v>#VALUE!</v>
      </c>
      <c r="EN662" s="1982"/>
      <c r="EO662" s="1982"/>
      <c r="EP662" s="1982"/>
      <c r="EQ662" s="1982"/>
      <c r="ER662" s="1982" t="e">
        <f t="shared" si="26"/>
        <v>#VALUE!</v>
      </c>
      <c r="ES662" s="1982"/>
      <c r="ET662" s="1982"/>
      <c r="EU662" s="1982"/>
      <c r="EV662" s="1982"/>
      <c r="EW662" s="1982" t="e">
        <f t="shared" si="27"/>
        <v>#VALUE!</v>
      </c>
      <c r="EX662" s="1982"/>
      <c r="EY662" s="1982"/>
      <c r="EZ662" s="1982"/>
      <c r="FA662" s="1982"/>
    </row>
    <row r="663" spans="1:157" ht="13">
      <c r="A663" s="35"/>
      <c r="B663" s="12" t="s">
        <v>613</v>
      </c>
      <c r="G663" s="1993" t="s">
        <v>2605</v>
      </c>
      <c r="H663" s="1993"/>
      <c r="I663" s="1993"/>
      <c r="J663" s="1993"/>
      <c r="K663" s="1993"/>
      <c r="L663" s="1993"/>
      <c r="M663" s="1993"/>
      <c r="N663" s="1993"/>
      <c r="O663" s="1993"/>
      <c r="P663" s="1993"/>
      <c r="Q663" s="1993"/>
      <c r="R663" s="1993"/>
      <c r="T663" s="35"/>
      <c r="U663" s="12" t="s">
        <v>613</v>
      </c>
      <c r="Z663" s="1993"/>
      <c r="AA663" s="2005"/>
      <c r="AB663" s="2005"/>
      <c r="AC663" s="2005"/>
      <c r="AD663" s="2005"/>
      <c r="AE663" s="2005"/>
      <c r="AF663" s="2005"/>
      <c r="AG663" s="2005"/>
      <c r="AH663" s="2005"/>
      <c r="AI663" s="2005"/>
      <c r="AJ663" s="2005"/>
      <c r="AK663" s="2005"/>
      <c r="AZ663" s="61"/>
      <c r="BA663" s="61"/>
      <c r="BB663" s="61"/>
      <c r="BC663" s="61"/>
      <c r="BD663" s="61"/>
      <c r="BE663" s="61"/>
      <c r="BF663" s="61"/>
      <c r="BG663" s="61"/>
      <c r="BH663" s="61"/>
      <c r="BI663" s="61"/>
      <c r="BJ663" s="61"/>
      <c r="BK663" s="61"/>
      <c r="BL663" s="61"/>
      <c r="BM663" s="61"/>
      <c r="BN663" s="1975">
        <f>BN635+BN644+BN658</f>
        <v>80</v>
      </c>
      <c r="BO663" s="1976"/>
      <c r="BP663" s="1976"/>
      <c r="BQ663" s="1976"/>
      <c r="BR663" s="1977"/>
      <c r="BS663" s="1975">
        <f>BS635+BS644+BS658</f>
        <v>0</v>
      </c>
      <c r="BT663" s="1976"/>
      <c r="BU663" s="1976"/>
      <c r="BV663" s="1976"/>
      <c r="BW663" s="1977"/>
      <c r="BX663" s="1975">
        <f>BX635+BX644+BX658</f>
        <v>32</v>
      </c>
      <c r="BY663" s="1976"/>
      <c r="BZ663" s="1976"/>
      <c r="CA663" s="1976"/>
      <c r="CB663" s="1977"/>
      <c r="CC663" s="1975">
        <f>CC635+CC644+CC658</f>
        <v>0</v>
      </c>
      <c r="CD663" s="1976"/>
      <c r="CE663" s="1976"/>
      <c r="CF663" s="1976"/>
      <c r="CG663" s="1977"/>
      <c r="CH663" s="1975">
        <f>CH635+CH644+CH658</f>
        <v>0</v>
      </c>
      <c r="CI663" s="1976"/>
      <c r="CJ663" s="1976"/>
      <c r="CK663" s="1976"/>
      <c r="CL663" s="1977"/>
      <c r="CM663" s="1995">
        <f>CM658+CM644+CM635</f>
        <v>0</v>
      </c>
      <c r="CN663" s="1996"/>
      <c r="CO663" s="1996"/>
      <c r="CP663" s="1996"/>
      <c r="CQ663" s="1997"/>
      <c r="CR663" s="177"/>
      <c r="CS663" s="1420">
        <f>CS637+CS661</f>
        <v>141</v>
      </c>
      <c r="CT663" s="134" t="s">
        <v>2307</v>
      </c>
      <c r="CU663" s="58"/>
      <c r="CV663" s="58"/>
      <c r="CW663" s="58"/>
      <c r="CX663" s="58"/>
      <c r="CY663" s="58"/>
      <c r="CZ663" s="58"/>
      <c r="DA663" s="58"/>
      <c r="DB663" s="58"/>
      <c r="DC663" s="58"/>
      <c r="DD663" s="58"/>
      <c r="DE663" s="58"/>
      <c r="DF663" s="58"/>
      <c r="DX663" s="1982">
        <f>SUMIF(DX638:EB662,"&gt;0")</f>
        <v>1211.4556962025317</v>
      </c>
      <c r="DY663" s="1982"/>
      <c r="DZ663" s="1982"/>
      <c r="EA663" s="1982"/>
      <c r="EB663" s="1982"/>
      <c r="EC663" s="1982">
        <f>SUMIF(EC638:EG662,"&gt;0")</f>
        <v>0</v>
      </c>
      <c r="ED663" s="1982"/>
      <c r="EE663" s="1982"/>
      <c r="EF663" s="1982"/>
      <c r="EG663" s="1982"/>
      <c r="EH663" s="1982">
        <f>SUMIF(EH638:EL662,"&gt;0")</f>
        <v>1717.6451612903224</v>
      </c>
      <c r="EI663" s="1982"/>
      <c r="EJ663" s="1982"/>
      <c r="EK663" s="1982"/>
      <c r="EL663" s="1982"/>
      <c r="EM663" s="1982">
        <f>SUMIF(EM638:EQ662,"&gt;0")</f>
        <v>0</v>
      </c>
      <c r="EN663" s="1982"/>
      <c r="EO663" s="1982"/>
      <c r="EP663" s="1982"/>
      <c r="EQ663" s="1982"/>
      <c r="ER663" s="1982">
        <f>SUMIF(ER638:EV662,"&gt;0")</f>
        <v>0</v>
      </c>
      <c r="ES663" s="1982"/>
      <c r="ET663" s="1982"/>
      <c r="EU663" s="1982"/>
      <c r="EV663" s="1982"/>
      <c r="EW663" s="1982">
        <f>SUMIF(EW638:FA662,"&gt;0")</f>
        <v>0</v>
      </c>
      <c r="EX663" s="1982"/>
      <c r="EY663" s="1982"/>
      <c r="EZ663" s="1982"/>
      <c r="FA663" s="1982"/>
    </row>
    <row r="664" spans="1:157" ht="12.5">
      <c r="A664" s="35"/>
      <c r="B664" s="12" t="s">
        <v>17</v>
      </c>
      <c r="G664" s="2005" t="s">
        <v>2606</v>
      </c>
      <c r="H664" s="2005"/>
      <c r="I664" s="2005"/>
      <c r="J664" s="2005"/>
      <c r="K664" s="2005"/>
      <c r="L664" s="2005"/>
      <c r="M664" s="2005"/>
      <c r="N664" s="2005"/>
      <c r="O664" s="2005"/>
      <c r="P664" s="2005"/>
      <c r="Q664" s="2005"/>
      <c r="R664" s="2005"/>
      <c r="T664" s="35"/>
      <c r="U664" s="12" t="s">
        <v>17</v>
      </c>
      <c r="Z664" s="2005"/>
      <c r="AA664" s="2005"/>
      <c r="AB664" s="2005"/>
      <c r="AC664" s="2005"/>
      <c r="AD664" s="2005"/>
      <c r="AE664" s="2005"/>
      <c r="AF664" s="2005"/>
      <c r="AG664" s="2005"/>
      <c r="AH664" s="2005"/>
      <c r="AI664" s="2005"/>
      <c r="AJ664" s="2005"/>
      <c r="AK664" s="200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324</v>
      </c>
      <c r="G665" s="2008" t="s">
        <v>2607</v>
      </c>
      <c r="H665" s="2008"/>
      <c r="I665" s="2008"/>
      <c r="J665" s="2008"/>
      <c r="K665" s="2008"/>
      <c r="L665" s="2008"/>
      <c r="O665" s="137" t="s">
        <v>211</v>
      </c>
      <c r="P665" s="1992"/>
      <c r="Q665" s="1992"/>
      <c r="R665" s="1992"/>
      <c r="T665" s="35"/>
      <c r="U665" s="12" t="s">
        <v>324</v>
      </c>
      <c r="Z665" s="2008"/>
      <c r="AA665" s="2007"/>
      <c r="AB665" s="2007"/>
      <c r="AC665" s="2007"/>
      <c r="AD665" s="2007"/>
      <c r="AE665" s="2007"/>
      <c r="AH665" s="137" t="s">
        <v>211</v>
      </c>
      <c r="AI665" s="1992"/>
      <c r="AJ665" s="1992"/>
      <c r="AK665" s="199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3" t="s">
        <v>2613</v>
      </c>
      <c r="I666" s="2003"/>
      <c r="J666" s="2003"/>
      <c r="K666" s="2003"/>
      <c r="L666" s="2003"/>
      <c r="M666" s="2003"/>
      <c r="N666" s="2003"/>
      <c r="O666" s="2003"/>
      <c r="P666" s="2003"/>
      <c r="Q666" s="2003"/>
      <c r="R666" s="2003"/>
      <c r="T666" s="35"/>
      <c r="U666" s="12" t="s">
        <v>18</v>
      </c>
      <c r="AA666" s="2003" t="s">
        <v>2613</v>
      </c>
      <c r="AB666" s="2003"/>
      <c r="AC666" s="2003"/>
      <c r="AD666" s="2003"/>
      <c r="AE666" s="2003"/>
      <c r="AF666" s="2003"/>
      <c r="AG666" s="2003"/>
      <c r="AH666" s="2003"/>
      <c r="AI666" s="2003"/>
      <c r="AJ666" s="2003"/>
      <c r="AK666" s="2003"/>
      <c r="AZ666" s="58"/>
      <c r="BA666" s="58"/>
      <c r="BB666" s="58"/>
      <c r="BC666" s="58"/>
      <c r="BD666" s="58"/>
      <c r="BE666" s="58"/>
      <c r="BF666" s="58"/>
      <c r="BG666" s="58"/>
      <c r="BH666" s="58"/>
      <c r="BI666" s="58"/>
      <c r="BJ666" s="58"/>
      <c r="BK666" s="58"/>
      <c r="BL666" s="58"/>
      <c r="BM666" s="58"/>
      <c r="BN666" s="58"/>
      <c r="BO666" s="58"/>
      <c r="BP666" s="306" t="s">
        <v>2404</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
      <c r="A667" s="35"/>
      <c r="B667" s="12" t="s">
        <v>20</v>
      </c>
      <c r="N667" s="1991" t="s">
        <v>576</v>
      </c>
      <c r="O667" s="1991"/>
      <c r="T667" s="35"/>
      <c r="U667" s="12" t="s">
        <v>20</v>
      </c>
      <c r="AG667" s="1991" t="s">
        <v>704</v>
      </c>
      <c r="AH667" s="1991"/>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1984" t="str">
        <f>C641</f>
        <v>The Kelsey Sponsor Loan</v>
      </c>
      <c r="H669" s="1984"/>
      <c r="I669" s="1984"/>
      <c r="J669" s="1984"/>
      <c r="K669" s="1984"/>
      <c r="L669" s="1984"/>
      <c r="M669" s="1984"/>
      <c r="N669" s="1984"/>
      <c r="O669" s="1984"/>
      <c r="P669" s="1984"/>
      <c r="Q669" s="1984"/>
      <c r="R669" s="1984"/>
      <c r="T669" s="87" t="s">
        <v>617</v>
      </c>
      <c r="U669" s="12" t="s">
        <v>494</v>
      </c>
      <c r="Z669" s="1984" t="str">
        <f>C642</f>
        <v>Accrued Interest on Soft Loans</v>
      </c>
      <c r="AA669" s="1984"/>
      <c r="AB669" s="1984"/>
      <c r="AC669" s="1984"/>
      <c r="AD669" s="1984"/>
      <c r="AE669" s="1984"/>
      <c r="AF669" s="1984"/>
      <c r="AG669" s="1984"/>
      <c r="AH669" s="1984"/>
      <c r="AI669" s="1984"/>
      <c r="AJ669" s="1984"/>
      <c r="AK669" s="1984"/>
      <c r="AZ669" s="58"/>
      <c r="BA669" s="310" t="s">
        <v>683</v>
      </c>
      <c r="BB669" s="58"/>
      <c r="BC669" s="58"/>
      <c r="BD669" s="58"/>
      <c r="BE669" s="58"/>
      <c r="BF669" s="382"/>
      <c r="BG669" s="334" t="s">
        <v>962</v>
      </c>
      <c r="BH669" s="382"/>
      <c r="BI669" s="382"/>
      <c r="BJ669" s="58"/>
      <c r="BK669" s="58"/>
      <c r="BL669" s="58"/>
      <c r="BM669" s="58"/>
      <c r="BN669" s="58"/>
      <c r="BO669" s="58"/>
      <c r="BP669" s="537" t="s">
        <v>682</v>
      </c>
      <c r="BQ669" s="538" t="s">
        <v>332</v>
      </c>
      <c r="BR669" s="538" t="s">
        <v>333</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03" t="s">
        <v>2505</v>
      </c>
      <c r="H670" s="2003"/>
      <c r="I670" s="2003"/>
      <c r="J670" s="2003"/>
      <c r="K670" s="2003"/>
      <c r="L670" s="2003"/>
      <c r="M670" s="2003"/>
      <c r="N670" s="2003"/>
      <c r="O670" s="2003"/>
      <c r="P670" s="2003"/>
      <c r="Q670" s="2003"/>
      <c r="R670" s="2003"/>
      <c r="T670" s="35"/>
      <c r="U670" s="12" t="s">
        <v>90</v>
      </c>
      <c r="Z670" s="2004" t="s">
        <v>2621</v>
      </c>
      <c r="AA670" s="2003"/>
      <c r="AB670" s="2003"/>
      <c r="AC670" s="2003"/>
      <c r="AD670" s="2003"/>
      <c r="AE670" s="2003"/>
      <c r="AF670" s="2003"/>
      <c r="AG670" s="2003"/>
      <c r="AH670" s="2003"/>
      <c r="AI670" s="2003"/>
      <c r="AJ670" s="2003"/>
      <c r="AK670" s="2003"/>
      <c r="AZ670" s="58"/>
      <c r="BA670" s="446">
        <f t="shared" ref="BA670:BA694" si="40">IF($G728=0,"N/A",VLOOKUP($T$189,TC_Rent,(MATCH($B728,bedrooms,FALSE))))</f>
        <v>3196</v>
      </c>
      <c r="BB670" s="58"/>
      <c r="BC670" s="58"/>
      <c r="BD670" s="58"/>
      <c r="BE670" s="58"/>
      <c r="BF670" s="382"/>
      <c r="BG670" s="454" t="s">
        <v>963</v>
      </c>
      <c r="BH670" s="459" t="s">
        <v>964</v>
      </c>
      <c r="BI670" s="458" t="s">
        <v>965</v>
      </c>
      <c r="BJ670" s="58"/>
      <c r="BK670" s="58"/>
      <c r="BL670" s="58"/>
      <c r="BM670" s="58"/>
      <c r="BN670" s="58"/>
      <c r="BO670" s="58"/>
      <c r="BP670" s="539" t="s">
        <v>507</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613</v>
      </c>
      <c r="G671" s="1993" t="s">
        <v>2605</v>
      </c>
      <c r="H671" s="2005"/>
      <c r="I671" s="2005"/>
      <c r="J671" s="2005"/>
      <c r="K671" s="2005"/>
      <c r="L671" s="2005"/>
      <c r="M671" s="2005"/>
      <c r="N671" s="2005"/>
      <c r="O671" s="2005"/>
      <c r="P671" s="2005"/>
      <c r="Q671" s="2005"/>
      <c r="R671" s="2005"/>
      <c r="T671" s="35"/>
      <c r="U671" s="12" t="s">
        <v>613</v>
      </c>
      <c r="Z671" s="1993" t="s">
        <v>2605</v>
      </c>
      <c r="AA671" s="1993"/>
      <c r="AB671" s="1993"/>
      <c r="AC671" s="1993"/>
      <c r="AD671" s="1993"/>
      <c r="AE671" s="1993"/>
      <c r="AF671" s="1993"/>
      <c r="AG671" s="1993"/>
      <c r="AH671" s="1993"/>
      <c r="AI671" s="1993"/>
      <c r="AJ671" s="1993"/>
      <c r="AK671" s="1993"/>
      <c r="AZ671" s="58"/>
      <c r="BA671" s="446">
        <f t="shared" si="40"/>
        <v>3196</v>
      </c>
      <c r="BB671" s="58"/>
      <c r="BC671" s="58"/>
      <c r="BD671" s="58"/>
      <c r="BE671" s="58"/>
      <c r="BF671" s="382"/>
      <c r="BG671" s="456">
        <f t="shared" ref="BG671:BG695" si="41">G728</f>
        <v>24</v>
      </c>
      <c r="BH671" s="460">
        <f>BG671/$BG$696</f>
        <v>0.21818181818181817</v>
      </c>
      <c r="BI671" s="461">
        <f t="shared" ref="BI671:BI695" si="42">IF(BH671=0," ",BH671*AH728)</f>
        <v>4.363636363636364E-2</v>
      </c>
      <c r="BJ671" s="58"/>
      <c r="BK671" s="58"/>
      <c r="BL671" s="58"/>
      <c r="BM671" s="58"/>
      <c r="BN671" s="58"/>
      <c r="BO671" s="58"/>
      <c r="BP671" s="540" t="s">
        <v>508</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03" t="s">
        <v>2647</v>
      </c>
      <c r="H672" s="2003"/>
      <c r="I672" s="2003"/>
      <c r="J672" s="2003"/>
      <c r="K672" s="2003"/>
      <c r="L672" s="2003"/>
      <c r="M672" s="2003"/>
      <c r="N672" s="2003"/>
      <c r="O672" s="2003"/>
      <c r="P672" s="2003"/>
      <c r="Q672" s="2003"/>
      <c r="R672" s="2003"/>
      <c r="T672" s="35"/>
      <c r="U672" s="12" t="s">
        <v>17</v>
      </c>
      <c r="Z672" s="2005" t="s">
        <v>2606</v>
      </c>
      <c r="AA672" s="2005"/>
      <c r="AB672" s="2005"/>
      <c r="AC672" s="2005"/>
      <c r="AD672" s="2005"/>
      <c r="AE672" s="2005"/>
      <c r="AF672" s="2005"/>
      <c r="AG672" s="2005"/>
      <c r="AH672" s="2005"/>
      <c r="AI672" s="2005"/>
      <c r="AJ672" s="2005"/>
      <c r="AK672" s="2005"/>
      <c r="AZ672" s="58"/>
      <c r="BA672" s="446">
        <f t="shared" si="40"/>
        <v>4112</v>
      </c>
      <c r="BB672" s="58"/>
      <c r="BC672" s="58"/>
      <c r="BD672" s="58"/>
      <c r="BE672" s="58"/>
      <c r="BF672" s="382"/>
      <c r="BG672" s="457">
        <f t="shared" si="41"/>
        <v>2</v>
      </c>
      <c r="BH672" s="460">
        <f t="shared" ref="BH672:BH695" si="43">BG672/$BG$696</f>
        <v>1.8181818181818181E-2</v>
      </c>
      <c r="BI672" s="461">
        <f t="shared" si="42"/>
        <v>5.4545454545454541E-3</v>
      </c>
      <c r="BJ672" s="58"/>
      <c r="BK672" s="58"/>
      <c r="BL672" s="58"/>
      <c r="BM672" s="58"/>
      <c r="BN672" s="58"/>
      <c r="BO672" s="58"/>
      <c r="BP672" s="540" t="s">
        <v>509</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324</v>
      </c>
      <c r="G673" s="2008" t="s">
        <v>2571</v>
      </c>
      <c r="H673" s="2007"/>
      <c r="I673" s="2007"/>
      <c r="J673" s="2007"/>
      <c r="K673" s="2007"/>
      <c r="L673" s="2007"/>
      <c r="O673" s="137" t="s">
        <v>211</v>
      </c>
      <c r="P673" s="1992"/>
      <c r="Q673" s="1992"/>
      <c r="R673" s="1992"/>
      <c r="T673" s="35"/>
      <c r="U673" s="12" t="s">
        <v>324</v>
      </c>
      <c r="Z673" s="2008" t="s">
        <v>2607</v>
      </c>
      <c r="AA673" s="2008"/>
      <c r="AB673" s="2008"/>
      <c r="AC673" s="2008"/>
      <c r="AD673" s="2008"/>
      <c r="AE673" s="2008"/>
      <c r="AH673" s="137" t="s">
        <v>211</v>
      </c>
      <c r="AI673" s="1992"/>
      <c r="AJ673" s="1992"/>
      <c r="AK673" s="1992"/>
      <c r="AZ673" s="58"/>
      <c r="BA673" s="446">
        <f t="shared" si="40"/>
        <v>4112</v>
      </c>
      <c r="BB673" s="58"/>
      <c r="BC673" s="58"/>
      <c r="BD673" s="58"/>
      <c r="BE673" s="58"/>
      <c r="BF673" s="382"/>
      <c r="BG673" s="457">
        <f t="shared" si="41"/>
        <v>4</v>
      </c>
      <c r="BH673" s="460">
        <f t="shared" si="43"/>
        <v>3.6363636363636362E-2</v>
      </c>
      <c r="BI673" s="461">
        <f t="shared" si="42"/>
        <v>1.0909090909090908E-2</v>
      </c>
      <c r="BJ673" s="58"/>
      <c r="BK673" s="58"/>
      <c r="BL673" s="58"/>
      <c r="BM673" s="58"/>
      <c r="BN673" s="58"/>
      <c r="BO673" s="58"/>
      <c r="BP673" s="540" t="s">
        <v>510</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03" t="s">
        <v>2613</v>
      </c>
      <c r="I674" s="2003"/>
      <c r="J674" s="2003"/>
      <c r="K674" s="2003"/>
      <c r="L674" s="2003"/>
      <c r="M674" s="2003"/>
      <c r="N674" s="2003"/>
      <c r="O674" s="2003"/>
      <c r="P674" s="2003"/>
      <c r="Q674" s="2003"/>
      <c r="R674" s="2003"/>
      <c r="T674" s="35"/>
      <c r="U674" s="12" t="s">
        <v>18</v>
      </c>
      <c r="AA674" s="2004" t="s">
        <v>2614</v>
      </c>
      <c r="AB674" s="2003"/>
      <c r="AC674" s="2003"/>
      <c r="AD674" s="2003"/>
      <c r="AE674" s="2003"/>
      <c r="AF674" s="2003"/>
      <c r="AG674" s="2003"/>
      <c r="AH674" s="2003"/>
      <c r="AI674" s="2003"/>
      <c r="AJ674" s="2003"/>
      <c r="AK674" s="2003"/>
      <c r="AZ674" s="58"/>
      <c r="BA674" s="446">
        <f t="shared" si="40"/>
        <v>3196</v>
      </c>
      <c r="BB674" s="58"/>
      <c r="BC674" s="58"/>
      <c r="BD674" s="58"/>
      <c r="BE674" s="58"/>
      <c r="BF674" s="382"/>
      <c r="BG674" s="457">
        <f t="shared" si="41"/>
        <v>4</v>
      </c>
      <c r="BH674" s="460">
        <f t="shared" si="43"/>
        <v>3.6363636363636362E-2</v>
      </c>
      <c r="BI674" s="461">
        <f t="shared" si="42"/>
        <v>1.8181818181818181E-2</v>
      </c>
      <c r="BJ674" s="58"/>
      <c r="BK674" s="58"/>
      <c r="BL674" s="58"/>
      <c r="BM674" s="58"/>
      <c r="BN674" s="58"/>
      <c r="BO674" s="58"/>
      <c r="BP674" s="540" t="s">
        <v>511</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1991" t="s">
        <v>704</v>
      </c>
      <c r="O675" s="1991"/>
      <c r="T675" s="35"/>
      <c r="U675" s="12" t="s">
        <v>20</v>
      </c>
      <c r="AG675" s="1991" t="s">
        <v>576</v>
      </c>
      <c r="AH675" s="1991"/>
      <c r="AZ675" s="58"/>
      <c r="BA675" s="446">
        <f t="shared" si="40"/>
        <v>4112</v>
      </c>
      <c r="BB675" s="58"/>
      <c r="BC675" s="58"/>
      <c r="BD675" s="58"/>
      <c r="BE675" s="58"/>
      <c r="BF675" s="382"/>
      <c r="BG675" s="457">
        <f t="shared" si="41"/>
        <v>11</v>
      </c>
      <c r="BH675" s="460">
        <f t="shared" si="43"/>
        <v>0.1</v>
      </c>
      <c r="BI675" s="461">
        <f t="shared" si="42"/>
        <v>0.06</v>
      </c>
      <c r="BJ675" s="58"/>
      <c r="BK675" s="58"/>
      <c r="BL675" s="58"/>
      <c r="BM675" s="58"/>
      <c r="BN675" s="58"/>
      <c r="BO675" s="58"/>
      <c r="BP675" s="540" t="s">
        <v>512</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f t="shared" si="40"/>
        <v>3196</v>
      </c>
      <c r="BB676" s="58"/>
      <c r="BC676" s="58"/>
      <c r="BD676" s="58"/>
      <c r="BE676" s="58"/>
      <c r="BF676" s="382"/>
      <c r="BG676" s="457">
        <f t="shared" si="41"/>
        <v>9</v>
      </c>
      <c r="BH676" s="460">
        <f t="shared" si="43"/>
        <v>8.1818181818181818E-2</v>
      </c>
      <c r="BI676" s="461">
        <f t="shared" si="42"/>
        <v>4.0909090909090909E-2</v>
      </c>
      <c r="BJ676" s="58"/>
      <c r="BK676" s="58"/>
      <c r="BL676" s="58"/>
      <c r="BM676" s="58"/>
      <c r="BN676" s="58"/>
      <c r="BO676" s="58"/>
      <c r="BP676" s="540" t="s">
        <v>513</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485</v>
      </c>
      <c r="B677" s="12" t="s">
        <v>494</v>
      </c>
      <c r="G677" s="1984" t="str">
        <f>C643</f>
        <v>Kelsey Commercial Space Purchase</v>
      </c>
      <c r="H677" s="1984"/>
      <c r="I677" s="1984"/>
      <c r="J677" s="1984"/>
      <c r="K677" s="1984"/>
      <c r="L677" s="1984"/>
      <c r="M677" s="1984"/>
      <c r="N677" s="1984"/>
      <c r="O677" s="1984"/>
      <c r="P677" s="1984"/>
      <c r="Q677" s="1984"/>
      <c r="R677" s="1984"/>
      <c r="T677" s="87" t="s">
        <v>486</v>
      </c>
      <c r="U677" s="12" t="s">
        <v>494</v>
      </c>
      <c r="Z677" s="1984" t="str">
        <f>C644</f>
        <v>GP Capital</v>
      </c>
      <c r="AA677" s="1984"/>
      <c r="AB677" s="1984"/>
      <c r="AC677" s="1984"/>
      <c r="AD677" s="1984"/>
      <c r="AE677" s="1984"/>
      <c r="AF677" s="1984"/>
      <c r="AG677" s="1984"/>
      <c r="AH677" s="1984"/>
      <c r="AI677" s="1984"/>
      <c r="AJ677" s="1984"/>
      <c r="AK677" s="1984"/>
      <c r="AZ677" s="58"/>
      <c r="BA677" s="446">
        <f t="shared" si="40"/>
        <v>4112</v>
      </c>
      <c r="BB677" s="58"/>
      <c r="BC677" s="58"/>
      <c r="BD677" s="58"/>
      <c r="BE677" s="58"/>
      <c r="BF677" s="382"/>
      <c r="BG677" s="457">
        <f t="shared" si="41"/>
        <v>10</v>
      </c>
      <c r="BH677" s="460">
        <f t="shared" si="43"/>
        <v>9.0909090909090912E-2</v>
      </c>
      <c r="BI677" s="461">
        <f t="shared" si="42"/>
        <v>5.4545454545454543E-2</v>
      </c>
      <c r="BJ677" s="58"/>
      <c r="BK677" s="58"/>
      <c r="BL677" s="58"/>
      <c r="BM677" s="58"/>
      <c r="BN677" s="58"/>
      <c r="BO677" s="58"/>
      <c r="BP677" s="540" t="s">
        <v>514</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03" t="s">
        <v>2505</v>
      </c>
      <c r="H678" s="2003"/>
      <c r="I678" s="2003"/>
      <c r="J678" s="2003"/>
      <c r="K678" s="2003"/>
      <c r="L678" s="2003"/>
      <c r="M678" s="2003"/>
      <c r="N678" s="2003"/>
      <c r="O678" s="2003"/>
      <c r="P678" s="2003"/>
      <c r="Q678" s="2003"/>
      <c r="R678" s="2003"/>
      <c r="T678" s="35"/>
      <c r="U678" s="12" t="s">
        <v>90</v>
      </c>
      <c r="Z678" s="2004" t="s">
        <v>2493</v>
      </c>
      <c r="AA678" s="2003"/>
      <c r="AB678" s="2003"/>
      <c r="AC678" s="2003"/>
      <c r="AD678" s="2003"/>
      <c r="AE678" s="2003"/>
      <c r="AF678" s="2003"/>
      <c r="AG678" s="2003"/>
      <c r="AH678" s="2003"/>
      <c r="AI678" s="2003"/>
      <c r="AJ678" s="2003"/>
      <c r="AK678" s="2003"/>
      <c r="AZ678" s="58"/>
      <c r="BA678" s="446">
        <f t="shared" si="40"/>
        <v>3196</v>
      </c>
      <c r="BB678" s="58"/>
      <c r="BC678" s="58"/>
      <c r="BD678" s="58"/>
      <c r="BE678" s="58"/>
      <c r="BF678" s="382"/>
      <c r="BG678" s="457">
        <f t="shared" si="41"/>
        <v>14</v>
      </c>
      <c r="BH678" s="460">
        <f t="shared" si="43"/>
        <v>0.12727272727272726</v>
      </c>
      <c r="BI678" s="461">
        <f t="shared" si="42"/>
        <v>7.6363636363636356E-2</v>
      </c>
      <c r="BJ678" s="58"/>
      <c r="BK678" s="58"/>
      <c r="BL678" s="58"/>
      <c r="BM678" s="58"/>
      <c r="BN678" s="58"/>
      <c r="BO678" s="58"/>
      <c r="BP678" s="540" t="s">
        <v>515</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613</v>
      </c>
      <c r="G679" s="1993" t="s">
        <v>2605</v>
      </c>
      <c r="H679" s="2005"/>
      <c r="I679" s="2005"/>
      <c r="J679" s="2005"/>
      <c r="K679" s="2005"/>
      <c r="L679" s="2005"/>
      <c r="M679" s="2005"/>
      <c r="N679" s="2005"/>
      <c r="O679" s="2005"/>
      <c r="P679" s="2005"/>
      <c r="Q679" s="2005"/>
      <c r="R679" s="2005"/>
      <c r="T679" s="35"/>
      <c r="U679" s="12" t="s">
        <v>613</v>
      </c>
      <c r="Z679" s="1993" t="s">
        <v>2508</v>
      </c>
      <c r="AA679" s="2005"/>
      <c r="AB679" s="2005"/>
      <c r="AC679" s="2005"/>
      <c r="AD679" s="2005"/>
      <c r="AE679" s="2005"/>
      <c r="AF679" s="2005"/>
      <c r="AG679" s="2005"/>
      <c r="AH679" s="2005"/>
      <c r="AI679" s="2005"/>
      <c r="AJ679" s="2005"/>
      <c r="AK679" s="2005"/>
      <c r="AZ679" s="58"/>
      <c r="BA679" s="446" t="str">
        <f t="shared" si="40"/>
        <v>N/A</v>
      </c>
      <c r="BB679" s="58"/>
      <c r="BC679" s="58"/>
      <c r="BD679" s="58"/>
      <c r="BE679" s="58"/>
      <c r="BF679" s="382"/>
      <c r="BG679" s="457">
        <f t="shared" si="41"/>
        <v>32</v>
      </c>
      <c r="BH679" s="460">
        <f t="shared" si="43"/>
        <v>0.29090909090909089</v>
      </c>
      <c r="BI679" s="461">
        <f t="shared" si="42"/>
        <v>0.17454545454545453</v>
      </c>
      <c r="BJ679" s="58"/>
      <c r="BK679" s="58"/>
      <c r="BL679" s="58"/>
      <c r="BM679" s="58"/>
      <c r="BN679" s="58"/>
      <c r="BO679" s="58"/>
      <c r="BP679" s="540" t="s">
        <v>516</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05" t="s">
        <v>2512</v>
      </c>
      <c r="H680" s="2005"/>
      <c r="I680" s="2005"/>
      <c r="J680" s="2005"/>
      <c r="K680" s="2005"/>
      <c r="L680" s="2005"/>
      <c r="M680" s="2005"/>
      <c r="N680" s="2005"/>
      <c r="O680" s="2005"/>
      <c r="P680" s="2005"/>
      <c r="Q680" s="2005"/>
      <c r="R680" s="2005"/>
      <c r="T680" s="35"/>
      <c r="U680" s="12" t="s">
        <v>17</v>
      </c>
      <c r="Z680" s="2005" t="s">
        <v>2509</v>
      </c>
      <c r="AA680" s="2005"/>
      <c r="AB680" s="2005"/>
      <c r="AC680" s="2005"/>
      <c r="AD680" s="2005"/>
      <c r="AE680" s="2005"/>
      <c r="AF680" s="2005"/>
      <c r="AG680" s="2005"/>
      <c r="AH680" s="2005"/>
      <c r="AI680" s="2005"/>
      <c r="AJ680" s="2005"/>
      <c r="AK680" s="2005"/>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517</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324</v>
      </c>
      <c r="G681" s="2008" t="s">
        <v>2571</v>
      </c>
      <c r="H681" s="2007"/>
      <c r="I681" s="2007"/>
      <c r="J681" s="2007"/>
      <c r="K681" s="2007"/>
      <c r="L681" s="2007"/>
      <c r="O681" s="137" t="s">
        <v>211</v>
      </c>
      <c r="P681" s="1992"/>
      <c r="Q681" s="1992"/>
      <c r="R681" s="1992"/>
      <c r="T681" s="35"/>
      <c r="U681" s="12" t="s">
        <v>324</v>
      </c>
      <c r="Z681" s="2008" t="s">
        <v>2510</v>
      </c>
      <c r="AA681" s="2008"/>
      <c r="AB681" s="2008"/>
      <c r="AC681" s="2008"/>
      <c r="AD681" s="2008"/>
      <c r="AE681" s="2008"/>
      <c r="AH681" s="137" t="s">
        <v>211</v>
      </c>
      <c r="AI681" s="1992"/>
      <c r="AJ681" s="1992"/>
      <c r="AK681" s="1992"/>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518</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03" t="s">
        <v>2650</v>
      </c>
      <c r="I682" s="2003"/>
      <c r="J682" s="2003"/>
      <c r="K682" s="2003"/>
      <c r="L682" s="2003"/>
      <c r="M682" s="2003"/>
      <c r="N682" s="2003"/>
      <c r="O682" s="2003"/>
      <c r="P682" s="2003"/>
      <c r="Q682" s="2003"/>
      <c r="R682" s="2003"/>
      <c r="T682" s="35"/>
      <c r="U682" s="12" t="s">
        <v>18</v>
      </c>
      <c r="AA682" s="2003" t="s">
        <v>2650</v>
      </c>
      <c r="AB682" s="2003"/>
      <c r="AC682" s="2003"/>
      <c r="AD682" s="2003"/>
      <c r="AE682" s="2003"/>
      <c r="AF682" s="2003"/>
      <c r="AG682" s="2003"/>
      <c r="AH682" s="2003"/>
      <c r="AI682" s="2003"/>
      <c r="AJ682" s="2003"/>
      <c r="AK682" s="2003"/>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519</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1991" t="s">
        <v>576</v>
      </c>
      <c r="O683" s="1991"/>
      <c r="T683" s="35"/>
      <c r="U683" s="12" t="s">
        <v>20</v>
      </c>
      <c r="AG683" s="1991" t="s">
        <v>576</v>
      </c>
      <c r="AH683" s="1991"/>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520</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521</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492</v>
      </c>
      <c r="B685" s="12" t="s">
        <v>494</v>
      </c>
      <c r="G685" s="1984">
        <f>C645</f>
        <v>0</v>
      </c>
      <c r="H685" s="1984"/>
      <c r="I685" s="1984"/>
      <c r="J685" s="1984"/>
      <c r="K685" s="1984"/>
      <c r="L685" s="1984"/>
      <c r="M685" s="1984"/>
      <c r="N685" s="1984"/>
      <c r="O685" s="1984"/>
      <c r="P685" s="1984"/>
      <c r="Q685" s="1984"/>
      <c r="R685" s="1984"/>
      <c r="T685" s="87" t="s">
        <v>679</v>
      </c>
      <c r="U685" s="12" t="s">
        <v>494</v>
      </c>
      <c r="Z685" s="1984">
        <f>C646</f>
        <v>0</v>
      </c>
      <c r="AA685" s="1984"/>
      <c r="AB685" s="1984"/>
      <c r="AC685" s="1984"/>
      <c r="AD685" s="1984"/>
      <c r="AE685" s="1984"/>
      <c r="AF685" s="1984"/>
      <c r="AG685" s="1984"/>
      <c r="AH685" s="1984"/>
      <c r="AI685" s="1984"/>
      <c r="AJ685" s="1984"/>
      <c r="AK685" s="1984"/>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522</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03"/>
      <c r="H686" s="2003"/>
      <c r="I686" s="2003"/>
      <c r="J686" s="2003"/>
      <c r="K686" s="2003"/>
      <c r="L686" s="2003"/>
      <c r="M686" s="2003"/>
      <c r="N686" s="2003"/>
      <c r="O686" s="2003"/>
      <c r="P686" s="2003"/>
      <c r="Q686" s="2003"/>
      <c r="R686" s="2003"/>
      <c r="T686" s="35"/>
      <c r="U686" s="12" t="s">
        <v>90</v>
      </c>
      <c r="Z686" s="2003"/>
      <c r="AA686" s="2003"/>
      <c r="AB686" s="2003"/>
      <c r="AC686" s="2003"/>
      <c r="AD686" s="2003"/>
      <c r="AE686" s="2003"/>
      <c r="AF686" s="2003"/>
      <c r="AG686" s="2003"/>
      <c r="AH686" s="2003"/>
      <c r="AI686" s="2003"/>
      <c r="AJ686" s="2003"/>
      <c r="AK686" s="200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523</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613</v>
      </c>
      <c r="G687" s="2003"/>
      <c r="H687" s="2003"/>
      <c r="I687" s="2003"/>
      <c r="J687" s="2003"/>
      <c r="K687" s="2003"/>
      <c r="L687" s="2003"/>
      <c r="M687" s="2003"/>
      <c r="N687" s="2003"/>
      <c r="O687" s="2003"/>
      <c r="P687" s="2003"/>
      <c r="Q687" s="2003"/>
      <c r="R687" s="2003"/>
      <c r="T687" s="35"/>
      <c r="U687" s="12" t="s">
        <v>613</v>
      </c>
      <c r="Z687" s="2005"/>
      <c r="AA687" s="2005"/>
      <c r="AB687" s="2005"/>
      <c r="AC687" s="2005"/>
      <c r="AD687" s="2005"/>
      <c r="AE687" s="2005"/>
      <c r="AF687" s="2005"/>
      <c r="AG687" s="2005"/>
      <c r="AH687" s="2005"/>
      <c r="AI687" s="2005"/>
      <c r="AJ687" s="2005"/>
      <c r="AK687" s="200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524</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03"/>
      <c r="H688" s="2003"/>
      <c r="I688" s="2003"/>
      <c r="J688" s="2003"/>
      <c r="K688" s="2003"/>
      <c r="L688" s="2003"/>
      <c r="M688" s="2003"/>
      <c r="N688" s="2003"/>
      <c r="O688" s="2003"/>
      <c r="P688" s="2003"/>
      <c r="Q688" s="2003"/>
      <c r="R688" s="2003"/>
      <c r="T688" s="35"/>
      <c r="U688" s="12" t="s">
        <v>17</v>
      </c>
      <c r="Z688" s="2005"/>
      <c r="AA688" s="2005"/>
      <c r="AB688" s="2005"/>
      <c r="AC688" s="2005"/>
      <c r="AD688" s="2005"/>
      <c r="AE688" s="2005"/>
      <c r="AF688" s="2005"/>
      <c r="AG688" s="2005"/>
      <c r="AH688" s="2005"/>
      <c r="AI688" s="2005"/>
      <c r="AJ688" s="2005"/>
      <c r="AK688" s="200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525</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324</v>
      </c>
      <c r="G689" s="2008"/>
      <c r="H689" s="2007"/>
      <c r="I689" s="2007"/>
      <c r="J689" s="2007"/>
      <c r="K689" s="2007"/>
      <c r="L689" s="2007"/>
      <c r="O689" s="137" t="s">
        <v>211</v>
      </c>
      <c r="P689" s="1992"/>
      <c r="Q689" s="1992"/>
      <c r="R689" s="1992"/>
      <c r="T689" s="35"/>
      <c r="U689" s="12" t="s">
        <v>324</v>
      </c>
      <c r="Z689" s="2007"/>
      <c r="AA689" s="2007"/>
      <c r="AB689" s="2007"/>
      <c r="AC689" s="2007"/>
      <c r="AD689" s="2007"/>
      <c r="AE689" s="2007"/>
      <c r="AH689" s="137" t="s">
        <v>211</v>
      </c>
      <c r="AI689" s="1992"/>
      <c r="AJ689" s="1992"/>
      <c r="AK689" s="199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526</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03"/>
      <c r="I690" s="2003"/>
      <c r="J690" s="2003"/>
      <c r="K690" s="2003"/>
      <c r="L690" s="2003"/>
      <c r="M690" s="2003"/>
      <c r="N690" s="2003"/>
      <c r="O690" s="2003"/>
      <c r="P690" s="2003"/>
      <c r="Q690" s="2003"/>
      <c r="R690" s="2003"/>
      <c r="T690" s="35"/>
      <c r="U690" s="12" t="s">
        <v>18</v>
      </c>
      <c r="AA690" s="2003"/>
      <c r="AB690" s="2003"/>
      <c r="AC690" s="2003"/>
      <c r="AD690" s="2003"/>
      <c r="AE690" s="2003"/>
      <c r="AF690" s="2003"/>
      <c r="AG690" s="2003"/>
      <c r="AH690" s="2003"/>
      <c r="AI690" s="2003"/>
      <c r="AJ690" s="2003"/>
      <c r="AK690" s="200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527</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1991" t="s">
        <v>704</v>
      </c>
      <c r="O691" s="1991"/>
      <c r="T691" s="35"/>
      <c r="U691" s="12" t="s">
        <v>20</v>
      </c>
      <c r="AG691" s="1991" t="s">
        <v>704</v>
      </c>
      <c r="AH691" s="1991"/>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371</v>
      </c>
      <c r="B693" s="12" t="s">
        <v>494</v>
      </c>
      <c r="G693" s="1984">
        <f>C647</f>
        <v>0</v>
      </c>
      <c r="H693" s="1984"/>
      <c r="I693" s="1984"/>
      <c r="J693" s="1984"/>
      <c r="K693" s="1984"/>
      <c r="L693" s="1984"/>
      <c r="M693" s="1984"/>
      <c r="N693" s="1984"/>
      <c r="O693" s="1984"/>
      <c r="P693" s="1984"/>
      <c r="Q693" s="1984"/>
      <c r="R693" s="1984"/>
      <c r="T693" s="87" t="s">
        <v>372</v>
      </c>
      <c r="U693" s="12" t="s">
        <v>494</v>
      </c>
      <c r="Z693" s="1984">
        <f>C648</f>
        <v>0</v>
      </c>
      <c r="AA693" s="1984"/>
      <c r="AB693" s="1984"/>
      <c r="AC693" s="1984"/>
      <c r="AD693" s="1984"/>
      <c r="AE693" s="1984"/>
      <c r="AF693" s="1984"/>
      <c r="AG693" s="1984"/>
      <c r="AH693" s="1984"/>
      <c r="AI693" s="1984"/>
      <c r="AJ693" s="1984"/>
      <c r="AK693" s="1984"/>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03"/>
      <c r="H694" s="2003"/>
      <c r="I694" s="2003"/>
      <c r="J694" s="2003"/>
      <c r="K694" s="2003"/>
      <c r="L694" s="2003"/>
      <c r="M694" s="2003"/>
      <c r="N694" s="2003"/>
      <c r="O694" s="2003"/>
      <c r="P694" s="2003"/>
      <c r="Q694" s="2003"/>
      <c r="R694" s="2003"/>
      <c r="T694" s="35"/>
      <c r="U694" s="12" t="s">
        <v>90</v>
      </c>
      <c r="Z694" s="2003"/>
      <c r="AA694" s="2003"/>
      <c r="AB694" s="2003"/>
      <c r="AC694" s="2003"/>
      <c r="AD694" s="2003"/>
      <c r="AE694" s="2003"/>
      <c r="AF694" s="2003"/>
      <c r="AG694" s="2003"/>
      <c r="AH694" s="2003"/>
      <c r="AI694" s="2003"/>
      <c r="AJ694" s="2003"/>
      <c r="AK694" s="2003"/>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613</v>
      </c>
      <c r="G695" s="2003"/>
      <c r="H695" s="2003"/>
      <c r="I695" s="2003"/>
      <c r="J695" s="2003"/>
      <c r="K695" s="2003"/>
      <c r="L695" s="2003"/>
      <c r="M695" s="2003"/>
      <c r="N695" s="2003"/>
      <c r="O695" s="2003"/>
      <c r="P695" s="2003"/>
      <c r="Q695" s="2003"/>
      <c r="R695" s="2003"/>
      <c r="U695" s="12" t="s">
        <v>613</v>
      </c>
      <c r="Z695" s="2005"/>
      <c r="AA695" s="2005"/>
      <c r="AB695" s="2005"/>
      <c r="AC695" s="2005"/>
      <c r="AD695" s="2005"/>
      <c r="AE695" s="2005"/>
      <c r="AF695" s="2005"/>
      <c r="AG695" s="2005"/>
      <c r="AH695" s="2005"/>
      <c r="AI695" s="2005"/>
      <c r="AJ695" s="2005"/>
      <c r="AK695" s="2005"/>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03"/>
      <c r="H696" s="2003"/>
      <c r="I696" s="2003"/>
      <c r="J696" s="2003"/>
      <c r="K696" s="2003"/>
      <c r="L696" s="2003"/>
      <c r="M696" s="2003"/>
      <c r="N696" s="2003"/>
      <c r="O696" s="2003"/>
      <c r="P696" s="2003"/>
      <c r="Q696" s="2003"/>
      <c r="R696" s="2003"/>
      <c r="U696" s="12" t="s">
        <v>17</v>
      </c>
      <c r="Z696" s="2005"/>
      <c r="AA696" s="2005"/>
      <c r="AB696" s="2005"/>
      <c r="AC696" s="2005"/>
      <c r="AD696" s="2005"/>
      <c r="AE696" s="2005"/>
      <c r="AF696" s="2005"/>
      <c r="AG696" s="2005"/>
      <c r="AH696" s="2005"/>
      <c r="AI696" s="2005"/>
      <c r="AJ696" s="2005"/>
      <c r="AK696" s="2005"/>
      <c r="AZ696" s="58"/>
      <c r="BA696" s="58"/>
      <c r="BB696" s="58"/>
      <c r="BC696" s="58"/>
      <c r="BD696" s="58"/>
      <c r="BF696" s="453" t="s">
        <v>966</v>
      </c>
      <c r="BG696" s="462">
        <f>SUM(BG671:BG695)</f>
        <v>110</v>
      </c>
      <c r="BH696" s="463">
        <f>SUM(BH671:BH695)</f>
        <v>0.99999999999999989</v>
      </c>
      <c r="BI696" s="463">
        <f>SUM(BI671:BI695)</f>
        <v>0.4845454545454545</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324</v>
      </c>
      <c r="G697" s="2007"/>
      <c r="H697" s="2007"/>
      <c r="I697" s="2007"/>
      <c r="J697" s="2007"/>
      <c r="K697" s="2007"/>
      <c r="L697" s="2007"/>
      <c r="O697" s="137" t="s">
        <v>211</v>
      </c>
      <c r="P697" s="1992"/>
      <c r="Q697" s="1992"/>
      <c r="R697" s="1992"/>
      <c r="U697" s="12" t="s">
        <v>324</v>
      </c>
      <c r="Z697" s="2007"/>
      <c r="AA697" s="2007"/>
      <c r="AB697" s="2007"/>
      <c r="AC697" s="2007"/>
      <c r="AD697" s="2007"/>
      <c r="AE697" s="2007"/>
      <c r="AH697" s="137" t="s">
        <v>211</v>
      </c>
      <c r="AI697" s="1992"/>
      <c r="AJ697" s="1992"/>
      <c r="AK697" s="1992"/>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03"/>
      <c r="I698" s="2003"/>
      <c r="J698" s="2003"/>
      <c r="K698" s="2003"/>
      <c r="L698" s="2003"/>
      <c r="M698" s="2003"/>
      <c r="N698" s="2003"/>
      <c r="O698" s="2003"/>
      <c r="P698" s="2003"/>
      <c r="Q698" s="2003"/>
      <c r="R698" s="2003"/>
      <c r="U698" s="12" t="s">
        <v>18</v>
      </c>
      <c r="AA698" s="2003"/>
      <c r="AB698" s="2003"/>
      <c r="AC698" s="2003"/>
      <c r="AD698" s="2003"/>
      <c r="AE698" s="2003"/>
      <c r="AF698" s="2003"/>
      <c r="AG698" s="2003"/>
      <c r="AH698" s="2003"/>
      <c r="AI698" s="2003"/>
      <c r="AJ698" s="2003"/>
      <c r="AK698" s="2003"/>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1991" t="s">
        <v>704</v>
      </c>
      <c r="O699" s="1991"/>
      <c r="U699" s="12" t="s">
        <v>20</v>
      </c>
      <c r="AG699" s="1991" t="s">
        <v>704</v>
      </c>
      <c r="AH699" s="1991"/>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1927</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1" t="s">
        <v>576</v>
      </c>
      <c r="AF703" s="199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24</v>
      </c>
      <c r="BH703" s="460">
        <f>BG703/$BG$728</f>
        <v>0.21818181818181817</v>
      </c>
      <c r="BI703" s="461">
        <f t="shared" ref="BI703:BI727" si="45">IF(BH703=0," ",BH703*AM728)</f>
        <v>3.181249288883832E-2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1" t="s">
        <v>704</v>
      </c>
      <c r="AF704" s="199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v>
      </c>
      <c r="BH704" s="460">
        <f t="shared" ref="BH704:BH727" si="46">BG704/$BG$728</f>
        <v>1.8181818181818181E-2</v>
      </c>
      <c r="BI704" s="461">
        <f t="shared" si="45"/>
        <v>3.9822505404482874E-3</v>
      </c>
      <c r="BJ704" s="58"/>
      <c r="BK704" s="61"/>
      <c r="BL704" s="61"/>
      <c r="BM704" s="61"/>
      <c r="BN704" s="61"/>
      <c r="BO704" s="61"/>
      <c r="BP704" s="540" t="s">
        <v>766</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55">
        <v>44636</v>
      </c>
      <c r="AF705" s="2255"/>
      <c r="AG705" s="2255"/>
      <c r="AH705" s="2255"/>
      <c r="AI705" s="225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4</v>
      </c>
      <c r="BH705" s="460">
        <f t="shared" si="46"/>
        <v>3.6363636363636362E-2</v>
      </c>
      <c r="BI705" s="461">
        <f t="shared" si="45"/>
        <v>7.9501238061549344E-3</v>
      </c>
      <c r="BJ705" s="58"/>
      <c r="BK705" s="58"/>
      <c r="BL705" s="58"/>
      <c r="BM705" s="58"/>
      <c r="BN705" s="61"/>
      <c r="BO705" s="61"/>
      <c r="BP705" s="540" t="s">
        <v>767</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7" t="s">
        <v>1060</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56">
        <v>44727</v>
      </c>
      <c r="AF706" s="2256"/>
      <c r="AG706" s="2256"/>
      <c r="AH706" s="2256"/>
      <c r="AI706" s="225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4</v>
      </c>
      <c r="BH706" s="460">
        <f t="shared" si="46"/>
        <v>3.6363636363636362E-2</v>
      </c>
      <c r="BI706" s="461">
        <f t="shared" si="45"/>
        <v>1.3256101874778917E-2</v>
      </c>
      <c r="BJ706" s="58"/>
      <c r="BK706" s="58"/>
      <c r="BL706" s="58"/>
      <c r="BM706" s="58"/>
      <c r="BN706" s="61"/>
      <c r="BO706" s="61"/>
      <c r="BP706" s="540" t="s">
        <v>768</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11</v>
      </c>
      <c r="BH707" s="460">
        <f t="shared" si="46"/>
        <v>0.1</v>
      </c>
      <c r="BI707" s="461">
        <f t="shared" si="45"/>
        <v>4.3773466833541934E-2</v>
      </c>
      <c r="BJ707" s="58"/>
      <c r="BK707" s="58"/>
      <c r="BL707" s="58"/>
      <c r="BM707" s="58"/>
      <c r="BN707" s="61"/>
      <c r="BO707" s="61"/>
      <c r="BP707" s="540" t="s">
        <v>769</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55">
        <v>44849</v>
      </c>
      <c r="AF708" s="2255"/>
      <c r="AG708" s="2255"/>
      <c r="AH708" s="2255"/>
      <c r="AI708" s="225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9</v>
      </c>
      <c r="BH708" s="460">
        <f t="shared" si="46"/>
        <v>8.1818181818181818E-2</v>
      </c>
      <c r="BI708" s="461">
        <f t="shared" si="45"/>
        <v>3.5795454545454547E-2</v>
      </c>
      <c r="BJ708" s="58"/>
      <c r="BK708" s="58"/>
      <c r="BL708" s="58"/>
      <c r="BM708" s="58"/>
      <c r="BN708" s="58"/>
      <c r="BO708" s="58"/>
      <c r="BP708" s="540" t="s">
        <v>770</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25">
        <v>0.54</v>
      </c>
      <c r="AF709" s="2325"/>
      <c r="AG709" s="2325"/>
      <c r="AH709" s="2325"/>
      <c r="AI709" s="232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10</v>
      </c>
      <c r="BH709" s="460">
        <f t="shared" si="46"/>
        <v>9.0909090909090912E-2</v>
      </c>
      <c r="BI709" s="461">
        <f t="shared" si="45"/>
        <v>4.6450108089657528E-2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1984" t="str">
        <f>H334</f>
        <v xml:space="preserve">City and County of San Francisco </v>
      </c>
      <c r="X710" s="1984"/>
      <c r="Y710" s="1984"/>
      <c r="Z710" s="1984"/>
      <c r="AA710" s="1984"/>
      <c r="AB710" s="1984"/>
      <c r="AC710" s="1984"/>
      <c r="AD710" s="1984"/>
      <c r="AE710" s="1984"/>
      <c r="AF710" s="1984"/>
      <c r="AG710" s="1984"/>
      <c r="AH710" s="1984"/>
      <c r="AI710" s="1984"/>
      <c r="AJ710" s="1984"/>
      <c r="AK710" s="198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14</v>
      </c>
      <c r="BH710" s="460">
        <f t="shared" si="46"/>
        <v>0.12727272727272726</v>
      </c>
      <c r="BI710" s="461">
        <f t="shared" si="45"/>
        <v>6.4967279801910138E-2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32</v>
      </c>
      <c r="BH711" s="460">
        <f t="shared" si="46"/>
        <v>0.29090909090909089</v>
      </c>
      <c r="BI711" s="461">
        <f t="shared" si="45"/>
        <v>0.15564910683809308</v>
      </c>
      <c r="BJ711" s="58"/>
      <c r="BK711" s="58"/>
      <c r="BL711" s="58"/>
      <c r="BM711" s="58"/>
      <c r="BN711" s="58"/>
      <c r="BO711" s="58"/>
      <c r="BP711" s="540" t="s">
        <v>196</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1" t="s">
        <v>704</v>
      </c>
      <c r="AF712" s="199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197</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03" t="s">
        <v>624</v>
      </c>
      <c r="X713" s="2003"/>
      <c r="Y713" s="2003"/>
      <c r="Z713" s="2003"/>
      <c r="AA713" s="2003"/>
      <c r="AB713" s="2003"/>
      <c r="AC713" s="2003"/>
      <c r="AD713" s="2003"/>
      <c r="AE713" s="2003"/>
      <c r="AF713" s="2003"/>
      <c r="AG713" s="2003"/>
      <c r="AH713" s="2003"/>
      <c r="AI713" s="2003"/>
      <c r="AJ713" s="2003"/>
      <c r="AK713" s="200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198</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03" t="s">
        <v>624</v>
      </c>
      <c r="K714" s="2003"/>
      <c r="L714" s="2003"/>
      <c r="M714" s="2003"/>
      <c r="N714" s="2003"/>
      <c r="O714" s="2003"/>
      <c r="P714" s="2003"/>
      <c r="Q714" s="2003"/>
      <c r="R714" s="2003"/>
      <c r="S714" s="2003"/>
      <c r="T714" s="2003"/>
      <c r="U714" s="2003"/>
      <c r="V714" s="2003"/>
      <c r="W714" s="2003"/>
      <c r="X714" s="200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199</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08" t="s">
        <v>624</v>
      </c>
      <c r="K715" s="2007"/>
      <c r="L715" s="2007"/>
      <c r="M715" s="2007"/>
      <c r="N715" s="2007"/>
      <c r="O715" s="2007"/>
      <c r="P715" s="7" t="s">
        <v>211</v>
      </c>
      <c r="Q715" s="7"/>
      <c r="R715" s="1993" t="s">
        <v>624</v>
      </c>
      <c r="S715" s="1992"/>
      <c r="T715" s="199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200</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465</v>
      </c>
      <c r="W716" s="2003" t="s">
        <v>315</v>
      </c>
      <c r="X716" s="2003"/>
      <c r="Y716" s="2003"/>
      <c r="Z716" s="2003"/>
      <c r="AA716" s="2003"/>
      <c r="AB716" s="2003"/>
      <c r="AC716" s="2003"/>
      <c r="AD716" s="2003"/>
      <c r="AE716" s="2003"/>
      <c r="AF716" s="2003"/>
      <c r="AG716" s="2003"/>
      <c r="AH716" s="2003"/>
      <c r="AI716" s="2003"/>
      <c r="AJ716" s="2003"/>
      <c r="AK716" s="200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201</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03" t="s">
        <v>342</v>
      </c>
      <c r="F717" s="2003"/>
      <c r="G717" s="2003"/>
      <c r="H717" s="2003"/>
      <c r="I717" s="2003"/>
      <c r="J717" s="2003"/>
      <c r="K717" s="2003"/>
      <c r="L717" s="2003"/>
      <c r="M717" s="2003"/>
      <c r="N717" s="2003"/>
      <c r="O717" s="2003"/>
      <c r="P717" s="2003"/>
      <c r="Q717" s="2003"/>
      <c r="R717" s="2003"/>
      <c r="S717" s="2003"/>
      <c r="T717" s="2003"/>
      <c r="U717" s="2003"/>
      <c r="V717" s="2003"/>
      <c r="W717" s="2003"/>
      <c r="X717" s="2003"/>
      <c r="Y717" s="2003"/>
      <c r="Z717" s="2003"/>
      <c r="AA717" s="2003"/>
      <c r="AB717" s="2003"/>
      <c r="AC717" s="2003"/>
      <c r="AD717" s="2003"/>
      <c r="AE717" s="2003"/>
      <c r="AF717" s="2003"/>
      <c r="AG717" s="2003"/>
      <c r="AH717" s="2003"/>
      <c r="AI717" s="2003"/>
      <c r="AJ717" s="2003"/>
      <c r="AK717" s="200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202</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178</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1" t="s">
        <v>100</v>
      </c>
      <c r="B719" s="1811"/>
      <c r="C719" s="1811"/>
      <c r="D719" s="1811"/>
      <c r="E719" s="1811"/>
      <c r="F719" s="1811"/>
      <c r="G719" s="1811"/>
      <c r="H719" s="1811"/>
      <c r="I719" s="1811"/>
      <c r="J719" s="1811"/>
      <c r="K719" s="1811"/>
      <c r="L719" s="1811"/>
      <c r="M719" s="1811"/>
      <c r="N719" s="1811"/>
      <c r="O719" s="1811"/>
      <c r="P719" s="1811"/>
      <c r="Q719" s="1811"/>
      <c r="R719" s="1811"/>
      <c r="S719" s="1811"/>
      <c r="T719" s="1811"/>
      <c r="U719" s="1811"/>
      <c r="V719" s="1811"/>
      <c r="W719" s="1811"/>
      <c r="X719" s="1811"/>
      <c r="Y719" s="1811"/>
      <c r="Z719" s="1811"/>
      <c r="AA719" s="1811"/>
      <c r="AB719" s="1811"/>
      <c r="AC719" s="1811"/>
      <c r="AD719" s="1811"/>
      <c r="AE719" s="1811"/>
      <c r="AF719" s="1811"/>
      <c r="AG719" s="1811"/>
      <c r="AH719" s="1811"/>
      <c r="AI719" s="1811"/>
      <c r="AJ719" s="1811"/>
      <c r="AK719" s="1811"/>
      <c r="AL719" s="1811"/>
      <c r="AM719" s="1811"/>
      <c r="AN719" s="1811"/>
      <c r="AO719" s="1811"/>
      <c r="AP719" s="1477"/>
      <c r="AQ719" s="1477"/>
      <c r="AR719" s="1477"/>
      <c r="AS719" s="1477"/>
      <c r="AT719" s="1477"/>
      <c r="AU719" s="1477"/>
      <c r="AV719" s="1477"/>
      <c r="AW719" s="1477"/>
      <c r="AX719" s="1477"/>
      <c r="AY719" s="1477"/>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203</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11"/>
      <c r="B720" s="1811"/>
      <c r="C720" s="1811"/>
      <c r="D720" s="1811"/>
      <c r="E720" s="1811"/>
      <c r="F720" s="1811"/>
      <c r="G720" s="1811"/>
      <c r="H720" s="1811"/>
      <c r="I720" s="1811"/>
      <c r="J720" s="1811"/>
      <c r="K720" s="1811"/>
      <c r="L720" s="1811"/>
      <c r="M720" s="1811"/>
      <c r="N720" s="1811"/>
      <c r="O720" s="1811"/>
      <c r="P720" s="1811"/>
      <c r="Q720" s="1811"/>
      <c r="R720" s="1811"/>
      <c r="S720" s="1811"/>
      <c r="T720" s="1811"/>
      <c r="U720" s="1811"/>
      <c r="V720" s="1811"/>
      <c r="W720" s="1811"/>
      <c r="X720" s="1811"/>
      <c r="Y720" s="1811"/>
      <c r="Z720" s="1811"/>
      <c r="AA720" s="1811"/>
      <c r="AB720" s="1811"/>
      <c r="AC720" s="1811"/>
      <c r="AD720" s="1811"/>
      <c r="AE720" s="1811"/>
      <c r="AF720" s="1811"/>
      <c r="AG720" s="1811"/>
      <c r="AH720" s="1811"/>
      <c r="AI720" s="1811"/>
      <c r="AJ720" s="1811"/>
      <c r="AK720" s="1811"/>
      <c r="AL720" s="1811"/>
      <c r="AM720" s="1811"/>
      <c r="AN720" s="1811"/>
      <c r="AO720" s="1811"/>
      <c r="AP720" s="1477"/>
      <c r="AQ720" s="1477"/>
      <c r="AR720" s="1477"/>
      <c r="AS720" s="1477"/>
      <c r="AT720" s="1477"/>
      <c r="AU720" s="1477"/>
      <c r="AV720" s="1477"/>
      <c r="AW720" s="1477"/>
      <c r="AX720" s="1477"/>
      <c r="AY720" s="1477"/>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204</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11"/>
      <c r="B721" s="1811"/>
      <c r="C721" s="1811"/>
      <c r="D721" s="1811"/>
      <c r="E721" s="1811"/>
      <c r="F721" s="1811"/>
      <c r="G721" s="1811"/>
      <c r="H721" s="1811"/>
      <c r="I721" s="1811"/>
      <c r="J721" s="1811"/>
      <c r="K721" s="1811"/>
      <c r="L721" s="1811"/>
      <c r="M721" s="1811"/>
      <c r="N721" s="1811"/>
      <c r="O721" s="1811"/>
      <c r="P721" s="1811"/>
      <c r="Q721" s="1811"/>
      <c r="R721" s="1811"/>
      <c r="S721" s="1811"/>
      <c r="T721" s="1811"/>
      <c r="U721" s="1811"/>
      <c r="V721" s="1811"/>
      <c r="W721" s="1811"/>
      <c r="X721" s="1811"/>
      <c r="Y721" s="1811"/>
      <c r="Z721" s="1811"/>
      <c r="AA721" s="1811"/>
      <c r="AB721" s="1811"/>
      <c r="AC721" s="1811"/>
      <c r="AD721" s="1811"/>
      <c r="AE721" s="1811"/>
      <c r="AF721" s="1811"/>
      <c r="AG721" s="1811"/>
      <c r="AH721" s="1811"/>
      <c r="AI721" s="1811"/>
      <c r="AJ721" s="1811"/>
      <c r="AK721" s="1811"/>
      <c r="AL721" s="1811"/>
      <c r="AM721" s="1811"/>
      <c r="AN721" s="1811"/>
      <c r="AO721" s="1811"/>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205</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206</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1"/>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207</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09" t="s">
        <v>406</v>
      </c>
      <c r="C724" s="2210"/>
      <c r="D724" s="2210"/>
      <c r="E724" s="2210"/>
      <c r="F724" s="2211"/>
      <c r="G724" s="2209" t="s">
        <v>290</v>
      </c>
      <c r="H724" s="2210"/>
      <c r="I724" s="2210"/>
      <c r="J724" s="2211"/>
      <c r="K724" s="2218" t="s">
        <v>2083</v>
      </c>
      <c r="L724" s="2219"/>
      <c r="M724" s="2219"/>
      <c r="N724" s="2220"/>
      <c r="O724" s="2209" t="s">
        <v>476</v>
      </c>
      <c r="P724" s="2210"/>
      <c r="Q724" s="2210"/>
      <c r="R724" s="2210"/>
      <c r="S724" s="2211"/>
      <c r="T724" s="2209" t="s">
        <v>291</v>
      </c>
      <c r="U724" s="2210"/>
      <c r="V724" s="2210"/>
      <c r="W724" s="2210"/>
      <c r="X724" s="2211"/>
      <c r="Y724" s="2209" t="s">
        <v>292</v>
      </c>
      <c r="Z724" s="2210"/>
      <c r="AA724" s="2210"/>
      <c r="AB724" s="2211"/>
      <c r="AC724" s="2209" t="s">
        <v>293</v>
      </c>
      <c r="AD724" s="2210"/>
      <c r="AE724" s="2210"/>
      <c r="AF724" s="2210"/>
      <c r="AG724" s="2211"/>
      <c r="AH724" s="2209" t="s">
        <v>407</v>
      </c>
      <c r="AI724" s="2210"/>
      <c r="AJ724" s="2210"/>
      <c r="AK724" s="2210"/>
      <c r="AL724" s="2211"/>
      <c r="AM724" s="2209" t="s">
        <v>680</v>
      </c>
      <c r="AN724" s="2210"/>
      <c r="AO724" s="2211"/>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12"/>
      <c r="C725" s="2213"/>
      <c r="D725" s="2213"/>
      <c r="E725" s="2213"/>
      <c r="F725" s="2214"/>
      <c r="G725" s="2212"/>
      <c r="H725" s="2213"/>
      <c r="I725" s="2213"/>
      <c r="J725" s="2214"/>
      <c r="K725" s="2221"/>
      <c r="L725" s="2222"/>
      <c r="M725" s="2222"/>
      <c r="N725" s="2223"/>
      <c r="O725" s="2212"/>
      <c r="P725" s="2213"/>
      <c r="Q725" s="2213"/>
      <c r="R725" s="2213"/>
      <c r="S725" s="2214"/>
      <c r="T725" s="2212"/>
      <c r="U725" s="2213"/>
      <c r="V725" s="2213"/>
      <c r="W725" s="2213"/>
      <c r="X725" s="2214"/>
      <c r="Y725" s="2212"/>
      <c r="Z725" s="2213"/>
      <c r="AA725" s="2213"/>
      <c r="AB725" s="2214"/>
      <c r="AC725" s="2212"/>
      <c r="AD725" s="2213"/>
      <c r="AE725" s="2213"/>
      <c r="AF725" s="2213"/>
      <c r="AG725" s="2214"/>
      <c r="AH725" s="2212"/>
      <c r="AI725" s="2213"/>
      <c r="AJ725" s="2213"/>
      <c r="AK725" s="2213"/>
      <c r="AL725" s="2214"/>
      <c r="AM725" s="2212"/>
      <c r="AN725" s="2213"/>
      <c r="AO725" s="2214"/>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208</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12"/>
      <c r="C726" s="2213"/>
      <c r="D726" s="2213"/>
      <c r="E726" s="2213"/>
      <c r="F726" s="2214"/>
      <c r="G726" s="2212"/>
      <c r="H726" s="2213"/>
      <c r="I726" s="2213"/>
      <c r="J726" s="2214"/>
      <c r="K726" s="2221"/>
      <c r="L726" s="2222"/>
      <c r="M726" s="2222"/>
      <c r="N726" s="2223"/>
      <c r="O726" s="2212"/>
      <c r="P726" s="2213"/>
      <c r="Q726" s="2213"/>
      <c r="R726" s="2213"/>
      <c r="S726" s="2214"/>
      <c r="T726" s="2212"/>
      <c r="U726" s="2213"/>
      <c r="V726" s="2213"/>
      <c r="W726" s="2213"/>
      <c r="X726" s="2214"/>
      <c r="Y726" s="2212"/>
      <c r="Z726" s="2213"/>
      <c r="AA726" s="2213"/>
      <c r="AB726" s="2214"/>
      <c r="AC726" s="2212"/>
      <c r="AD726" s="2213"/>
      <c r="AE726" s="2213"/>
      <c r="AF726" s="2213"/>
      <c r="AG726" s="2214"/>
      <c r="AH726" s="2212"/>
      <c r="AI726" s="2213"/>
      <c r="AJ726" s="2213"/>
      <c r="AK726" s="2213"/>
      <c r="AL726" s="2214"/>
      <c r="AM726" s="2212"/>
      <c r="AN726" s="2213"/>
      <c r="AO726" s="2214"/>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209</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15"/>
      <c r="C727" s="2216"/>
      <c r="D727" s="2216"/>
      <c r="E727" s="2216"/>
      <c r="F727" s="2217"/>
      <c r="G727" s="2215"/>
      <c r="H727" s="2216"/>
      <c r="I727" s="2216"/>
      <c r="J727" s="2217"/>
      <c r="K727" s="2221"/>
      <c r="L727" s="2222"/>
      <c r="M727" s="2222"/>
      <c r="N727" s="2223"/>
      <c r="O727" s="2215"/>
      <c r="P727" s="2216"/>
      <c r="Q727" s="2216"/>
      <c r="R727" s="2216"/>
      <c r="S727" s="2217"/>
      <c r="T727" s="2215"/>
      <c r="U727" s="2216"/>
      <c r="V727" s="2216"/>
      <c r="W727" s="2216"/>
      <c r="X727" s="2217"/>
      <c r="Y727" s="2215"/>
      <c r="Z727" s="2216"/>
      <c r="AA727" s="2216"/>
      <c r="AB727" s="2217"/>
      <c r="AC727" s="2215"/>
      <c r="AD727" s="2216"/>
      <c r="AE727" s="2216"/>
      <c r="AF727" s="2216"/>
      <c r="AG727" s="2217"/>
      <c r="AH727" s="2215"/>
      <c r="AI727" s="2216"/>
      <c r="AJ727" s="2216"/>
      <c r="AK727" s="2216"/>
      <c r="AL727" s="2217"/>
      <c r="AM727" s="2215"/>
      <c r="AN727" s="2216"/>
      <c r="AO727" s="2217"/>
      <c r="AP727" s="239"/>
      <c r="AQ727" s="239"/>
      <c r="AR727" s="239"/>
      <c r="AS727" s="239"/>
      <c r="AT727" s="239"/>
      <c r="AU727" s="239"/>
      <c r="AV727" s="239"/>
      <c r="AW727" s="239"/>
      <c r="AX727" s="239"/>
      <c r="AY727" s="239"/>
      <c r="AZ727" s="58"/>
      <c r="BA727" s="58"/>
      <c r="BB727" s="58"/>
      <c r="BC727" s="58"/>
      <c r="BD727" s="58"/>
      <c r="BE727" s="58"/>
      <c r="BF727" s="58"/>
      <c r="BG727" s="1418">
        <f t="shared" si="44"/>
        <v>0</v>
      </c>
      <c r="BH727" s="460">
        <f t="shared" si="46"/>
        <v>0</v>
      </c>
      <c r="BI727" s="461" t="str">
        <f t="shared" si="45"/>
        <v xml:space="preserve"> </v>
      </c>
      <c r="BJ727" s="717"/>
      <c r="BK727" s="58"/>
      <c r="BL727" s="58"/>
      <c r="BM727" s="58"/>
      <c r="BN727" s="58"/>
      <c r="BO727" s="58"/>
      <c r="BP727" s="540" t="s">
        <v>210</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1963" t="s">
        <v>332</v>
      </c>
      <c r="C728" s="1964"/>
      <c r="D728" s="1964"/>
      <c r="E728" s="1964"/>
      <c r="F728" s="1965"/>
      <c r="G728" s="1966">
        <v>24</v>
      </c>
      <c r="H728" s="1967"/>
      <c r="I728" s="1967"/>
      <c r="J728" s="1968"/>
      <c r="K728" s="1960">
        <v>356</v>
      </c>
      <c r="L728" s="1961"/>
      <c r="M728" s="1961"/>
      <c r="N728" s="1962"/>
      <c r="O728" s="2191">
        <v>424</v>
      </c>
      <c r="P728" s="2192"/>
      <c r="Q728" s="2192"/>
      <c r="R728" s="2192"/>
      <c r="S728" s="2193"/>
      <c r="T728" s="1988">
        <f t="shared" ref="T728:T752" si="47">G728*O728</f>
        <v>10176</v>
      </c>
      <c r="U728" s="1989"/>
      <c r="V728" s="1989"/>
      <c r="W728" s="1989"/>
      <c r="X728" s="1990"/>
      <c r="Y728" s="2191">
        <v>42</v>
      </c>
      <c r="Z728" s="2192"/>
      <c r="AA728" s="2192"/>
      <c r="AB728" s="2193"/>
      <c r="AC728" s="1988">
        <f t="shared" ref="AC728:AC752" si="48">O728+Y728</f>
        <v>466</v>
      </c>
      <c r="AD728" s="1989"/>
      <c r="AE728" s="1989"/>
      <c r="AF728" s="1989"/>
      <c r="AG728" s="1990"/>
      <c r="AH728" s="2051">
        <v>0.2</v>
      </c>
      <c r="AI728" s="2052"/>
      <c r="AJ728" s="2052"/>
      <c r="AK728" s="2052"/>
      <c r="AL728" s="2053"/>
      <c r="AM728" s="1969">
        <f t="shared" ref="AM728:AM752" si="49">IF($AH728&gt;0,($AC728/$BA670), " ")</f>
        <v>0.14580725907384232</v>
      </c>
      <c r="AN728" s="1970"/>
      <c r="AO728" s="1971"/>
      <c r="AP728" s="239"/>
      <c r="AQ728" s="239"/>
      <c r="AR728" s="239"/>
      <c r="AS728" s="239"/>
      <c r="AT728" s="239"/>
      <c r="AU728" s="239"/>
      <c r="AV728" s="239"/>
      <c r="AW728" s="239"/>
      <c r="AX728" s="239"/>
      <c r="AY728" s="239"/>
      <c r="AZ728" s="58"/>
      <c r="BA728" s="58"/>
      <c r="BB728" s="58"/>
      <c r="BC728" s="58"/>
      <c r="BD728" s="58"/>
      <c r="BE728" s="58"/>
      <c r="BF728" s="58"/>
      <c r="BG728" s="1417">
        <f>SUM(BG703:BG727)</f>
        <v>110</v>
      </c>
      <c r="BH728" s="463">
        <f>SUM(BH703:BH727)</f>
        <v>0.99999999999999989</v>
      </c>
      <c r="BI728" s="463">
        <f>SUM(BI703:BI727)</f>
        <v>0.40363638521887768</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1963" t="s">
        <v>332</v>
      </c>
      <c r="C729" s="1964"/>
      <c r="D729" s="1964"/>
      <c r="E729" s="1964"/>
      <c r="F729" s="1965"/>
      <c r="G729" s="1966">
        <v>2</v>
      </c>
      <c r="H729" s="1967"/>
      <c r="I729" s="1967"/>
      <c r="J729" s="1968"/>
      <c r="K729" s="1960">
        <v>356</v>
      </c>
      <c r="L729" s="1961"/>
      <c r="M729" s="1961"/>
      <c r="N729" s="1962"/>
      <c r="O729" s="2191">
        <v>658</v>
      </c>
      <c r="P729" s="2192"/>
      <c r="Q729" s="2192"/>
      <c r="R729" s="2192"/>
      <c r="S729" s="2193"/>
      <c r="T729" s="1988">
        <f t="shared" si="47"/>
        <v>1316</v>
      </c>
      <c r="U729" s="1989"/>
      <c r="V729" s="1989"/>
      <c r="W729" s="1989"/>
      <c r="X729" s="1990"/>
      <c r="Y729" s="2191">
        <v>42</v>
      </c>
      <c r="Z729" s="2192"/>
      <c r="AA729" s="2192"/>
      <c r="AB729" s="2193"/>
      <c r="AC729" s="1988">
        <f t="shared" si="48"/>
        <v>700</v>
      </c>
      <c r="AD729" s="1989"/>
      <c r="AE729" s="1989"/>
      <c r="AF729" s="1989"/>
      <c r="AG729" s="1990"/>
      <c r="AH729" s="2051">
        <v>0.3</v>
      </c>
      <c r="AI729" s="2052"/>
      <c r="AJ729" s="2052"/>
      <c r="AK729" s="2052"/>
      <c r="AL729" s="2053"/>
      <c r="AM729" s="1969">
        <f t="shared" si="49"/>
        <v>0.21902377972465581</v>
      </c>
      <c r="AN729" s="1970"/>
      <c r="AO729" s="197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1963" t="s">
        <v>168</v>
      </c>
      <c r="C730" s="1964"/>
      <c r="D730" s="1964"/>
      <c r="E730" s="1964"/>
      <c r="F730" s="1965"/>
      <c r="G730" s="1966">
        <v>4</v>
      </c>
      <c r="H730" s="1967"/>
      <c r="I730" s="1967"/>
      <c r="J730" s="1968"/>
      <c r="K730" s="1960">
        <v>726</v>
      </c>
      <c r="L730" s="1961"/>
      <c r="M730" s="1961"/>
      <c r="N730" s="1962"/>
      <c r="O730" s="2191">
        <v>837</v>
      </c>
      <c r="P730" s="2192"/>
      <c r="Q730" s="2192"/>
      <c r="R730" s="2192"/>
      <c r="S730" s="2193"/>
      <c r="T730" s="1988">
        <f t="shared" si="47"/>
        <v>3348</v>
      </c>
      <c r="U730" s="1989"/>
      <c r="V730" s="1989"/>
      <c r="W730" s="1989"/>
      <c r="X730" s="1990"/>
      <c r="Y730" s="2191">
        <v>62</v>
      </c>
      <c r="Z730" s="2192"/>
      <c r="AA730" s="2192"/>
      <c r="AB730" s="2193"/>
      <c r="AC730" s="1988">
        <f t="shared" si="48"/>
        <v>899</v>
      </c>
      <c r="AD730" s="1989"/>
      <c r="AE730" s="1989"/>
      <c r="AF730" s="1989"/>
      <c r="AG730" s="1990"/>
      <c r="AH730" s="2051">
        <v>0.3</v>
      </c>
      <c r="AI730" s="2052"/>
      <c r="AJ730" s="2052"/>
      <c r="AK730" s="2052"/>
      <c r="AL730" s="2053"/>
      <c r="AM730" s="1969">
        <f t="shared" si="49"/>
        <v>0.2186284046692607</v>
      </c>
      <c r="AN730" s="1970"/>
      <c r="AO730" s="197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1963" t="s">
        <v>168</v>
      </c>
      <c r="C731" s="1964"/>
      <c r="D731" s="1964"/>
      <c r="E731" s="1964"/>
      <c r="F731" s="1965"/>
      <c r="G731" s="1966">
        <v>4</v>
      </c>
      <c r="H731" s="1967"/>
      <c r="I731" s="1967"/>
      <c r="J731" s="1968"/>
      <c r="K731" s="1960">
        <v>726</v>
      </c>
      <c r="L731" s="1961"/>
      <c r="M731" s="1961"/>
      <c r="N731" s="1962"/>
      <c r="O731" s="2191">
        <v>1437</v>
      </c>
      <c r="P731" s="2192"/>
      <c r="Q731" s="2192"/>
      <c r="R731" s="2192"/>
      <c r="S731" s="2193"/>
      <c r="T731" s="1988">
        <f t="shared" si="47"/>
        <v>5748</v>
      </c>
      <c r="U731" s="1989"/>
      <c r="V731" s="1989"/>
      <c r="W731" s="1989"/>
      <c r="X731" s="1990"/>
      <c r="Y731" s="2191">
        <v>62</v>
      </c>
      <c r="Z731" s="2192"/>
      <c r="AA731" s="2192"/>
      <c r="AB731" s="2193"/>
      <c r="AC731" s="1988">
        <f t="shared" si="48"/>
        <v>1499</v>
      </c>
      <c r="AD731" s="1989"/>
      <c r="AE731" s="1989"/>
      <c r="AF731" s="1989"/>
      <c r="AG731" s="1990"/>
      <c r="AH731" s="2051">
        <v>0.5</v>
      </c>
      <c r="AI731" s="2052"/>
      <c r="AJ731" s="2052"/>
      <c r="AK731" s="2052"/>
      <c r="AL731" s="2053"/>
      <c r="AM731" s="1969">
        <f t="shared" si="49"/>
        <v>0.36454280155642022</v>
      </c>
      <c r="AN731" s="1970"/>
      <c r="AO731" s="197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1963" t="s">
        <v>332</v>
      </c>
      <c r="C732" s="1964"/>
      <c r="D732" s="1964"/>
      <c r="E732" s="1964"/>
      <c r="F732" s="1965"/>
      <c r="G732" s="1966">
        <v>11</v>
      </c>
      <c r="H732" s="1967"/>
      <c r="I732" s="1967"/>
      <c r="J732" s="1968"/>
      <c r="K732" s="1960">
        <v>356</v>
      </c>
      <c r="L732" s="1961"/>
      <c r="M732" s="1961"/>
      <c r="N732" s="1962"/>
      <c r="O732" s="2191">
        <v>1357</v>
      </c>
      <c r="P732" s="2192"/>
      <c r="Q732" s="2192"/>
      <c r="R732" s="2192"/>
      <c r="S732" s="2193"/>
      <c r="T732" s="1988">
        <f t="shared" si="47"/>
        <v>14927</v>
      </c>
      <c r="U732" s="1989"/>
      <c r="V732" s="1989"/>
      <c r="W732" s="1989"/>
      <c r="X732" s="1990"/>
      <c r="Y732" s="2191">
        <v>42</v>
      </c>
      <c r="Z732" s="2192"/>
      <c r="AA732" s="2192"/>
      <c r="AB732" s="2193"/>
      <c r="AC732" s="1988">
        <f t="shared" si="48"/>
        <v>1399</v>
      </c>
      <c r="AD732" s="1989"/>
      <c r="AE732" s="1989"/>
      <c r="AF732" s="1989"/>
      <c r="AG732" s="1990"/>
      <c r="AH732" s="2051">
        <v>0.6</v>
      </c>
      <c r="AI732" s="2052"/>
      <c r="AJ732" s="2052"/>
      <c r="AK732" s="2052"/>
      <c r="AL732" s="2053"/>
      <c r="AM732" s="1969">
        <f t="shared" si="49"/>
        <v>0.4377346683354193</v>
      </c>
      <c r="AN732" s="1970"/>
      <c r="AO732" s="197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1963" t="s">
        <v>168</v>
      </c>
      <c r="C733" s="1964"/>
      <c r="D733" s="1964"/>
      <c r="E733" s="1964"/>
      <c r="F733" s="1965"/>
      <c r="G733" s="1966">
        <v>9</v>
      </c>
      <c r="H733" s="1967"/>
      <c r="I733" s="1967"/>
      <c r="J733" s="1968"/>
      <c r="K733" s="1960">
        <v>726</v>
      </c>
      <c r="L733" s="1961"/>
      <c r="M733" s="1961"/>
      <c r="N733" s="1962"/>
      <c r="O733" s="2191">
        <v>1737</v>
      </c>
      <c r="P733" s="2192"/>
      <c r="Q733" s="2192"/>
      <c r="R733" s="2192"/>
      <c r="S733" s="2193"/>
      <c r="T733" s="1988">
        <f t="shared" si="47"/>
        <v>15633</v>
      </c>
      <c r="U733" s="1989"/>
      <c r="V733" s="1989"/>
      <c r="W733" s="1989"/>
      <c r="X733" s="1990"/>
      <c r="Y733" s="2191">
        <v>62</v>
      </c>
      <c r="Z733" s="2192"/>
      <c r="AA733" s="2192"/>
      <c r="AB733" s="2193"/>
      <c r="AC733" s="1988">
        <f t="shared" si="48"/>
        <v>1799</v>
      </c>
      <c r="AD733" s="1989"/>
      <c r="AE733" s="1989"/>
      <c r="AF733" s="1989"/>
      <c r="AG733" s="1990"/>
      <c r="AH733" s="2051">
        <v>0.5</v>
      </c>
      <c r="AI733" s="2052"/>
      <c r="AJ733" s="2052"/>
      <c r="AK733" s="2052"/>
      <c r="AL733" s="2053"/>
      <c r="AM733" s="1969">
        <f t="shared" si="49"/>
        <v>0.4375</v>
      </c>
      <c r="AN733" s="1970"/>
      <c r="AO733" s="197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1963" t="s">
        <v>332</v>
      </c>
      <c r="C734" s="1964"/>
      <c r="D734" s="1964"/>
      <c r="E734" s="1964"/>
      <c r="F734" s="1965"/>
      <c r="G734" s="1966">
        <v>10</v>
      </c>
      <c r="H734" s="1967"/>
      <c r="I734" s="1967"/>
      <c r="J734" s="1968"/>
      <c r="K734" s="1960">
        <v>356</v>
      </c>
      <c r="L734" s="1961"/>
      <c r="M734" s="1961"/>
      <c r="N734" s="1962"/>
      <c r="O734" s="2191">
        <v>1591</v>
      </c>
      <c r="P734" s="2192"/>
      <c r="Q734" s="2192"/>
      <c r="R734" s="2192"/>
      <c r="S734" s="2193"/>
      <c r="T734" s="1988">
        <f t="shared" si="47"/>
        <v>15910</v>
      </c>
      <c r="U734" s="1989"/>
      <c r="V734" s="1989"/>
      <c r="W734" s="1989"/>
      <c r="X734" s="1990"/>
      <c r="Y734" s="2191">
        <v>42</v>
      </c>
      <c r="Z734" s="2192"/>
      <c r="AA734" s="2192"/>
      <c r="AB734" s="2193"/>
      <c r="AC734" s="1988">
        <f t="shared" si="48"/>
        <v>1633</v>
      </c>
      <c r="AD734" s="1989"/>
      <c r="AE734" s="1989"/>
      <c r="AF734" s="1989"/>
      <c r="AG734" s="1990"/>
      <c r="AH734" s="2051">
        <v>0.6</v>
      </c>
      <c r="AI734" s="2052"/>
      <c r="AJ734" s="2052"/>
      <c r="AK734" s="2052"/>
      <c r="AL734" s="2053"/>
      <c r="AM734" s="1969">
        <f t="shared" si="49"/>
        <v>0.51095118898623282</v>
      </c>
      <c r="AN734" s="1970"/>
      <c r="AO734" s="197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1963" t="s">
        <v>168</v>
      </c>
      <c r="C735" s="1964"/>
      <c r="D735" s="1964"/>
      <c r="E735" s="1964"/>
      <c r="F735" s="1965"/>
      <c r="G735" s="1966">
        <v>14</v>
      </c>
      <c r="H735" s="1967"/>
      <c r="I735" s="1967"/>
      <c r="J735" s="1968"/>
      <c r="K735" s="1960">
        <v>726</v>
      </c>
      <c r="L735" s="1961"/>
      <c r="M735" s="1961"/>
      <c r="N735" s="1962"/>
      <c r="O735" s="2191">
        <v>2037</v>
      </c>
      <c r="P735" s="2192"/>
      <c r="Q735" s="2192"/>
      <c r="R735" s="2192"/>
      <c r="S735" s="2193"/>
      <c r="T735" s="1988">
        <f t="shared" si="47"/>
        <v>28518</v>
      </c>
      <c r="U735" s="1989"/>
      <c r="V735" s="1989"/>
      <c r="W735" s="1989"/>
      <c r="X735" s="1990"/>
      <c r="Y735" s="2191">
        <v>62</v>
      </c>
      <c r="Z735" s="2192"/>
      <c r="AA735" s="2192"/>
      <c r="AB735" s="2193"/>
      <c r="AC735" s="1988">
        <f t="shared" si="48"/>
        <v>2099</v>
      </c>
      <c r="AD735" s="1989"/>
      <c r="AE735" s="1989"/>
      <c r="AF735" s="1989"/>
      <c r="AG735" s="1990"/>
      <c r="AH735" s="2051">
        <v>0.6</v>
      </c>
      <c r="AI735" s="2052"/>
      <c r="AJ735" s="2052"/>
      <c r="AK735" s="2052"/>
      <c r="AL735" s="2053"/>
      <c r="AM735" s="1969">
        <f t="shared" si="49"/>
        <v>0.51045719844357973</v>
      </c>
      <c r="AN735" s="1970"/>
      <c r="AO735" s="197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1963" t="s">
        <v>332</v>
      </c>
      <c r="C736" s="1964"/>
      <c r="D736" s="1964"/>
      <c r="E736" s="1964"/>
      <c r="F736" s="1965"/>
      <c r="G736" s="1966">
        <v>32</v>
      </c>
      <c r="H736" s="1967"/>
      <c r="I736" s="1967"/>
      <c r="J736" s="1968"/>
      <c r="K736" s="1960">
        <v>356</v>
      </c>
      <c r="L736" s="1961"/>
      <c r="M736" s="1961"/>
      <c r="N736" s="1962"/>
      <c r="O736" s="2191">
        <v>1668</v>
      </c>
      <c r="P736" s="2192"/>
      <c r="Q736" s="2192"/>
      <c r="R736" s="2192"/>
      <c r="S736" s="2193"/>
      <c r="T736" s="1988">
        <f t="shared" si="47"/>
        <v>53376</v>
      </c>
      <c r="U736" s="1989"/>
      <c r="V736" s="1989"/>
      <c r="W736" s="1989"/>
      <c r="X736" s="1990"/>
      <c r="Y736" s="2191">
        <v>42</v>
      </c>
      <c r="Z736" s="2192"/>
      <c r="AA736" s="2192"/>
      <c r="AB736" s="2193"/>
      <c r="AC736" s="1988">
        <f t="shared" si="48"/>
        <v>1710</v>
      </c>
      <c r="AD736" s="1989"/>
      <c r="AE736" s="1989"/>
      <c r="AF736" s="1989"/>
      <c r="AG736" s="1990"/>
      <c r="AH736" s="2051">
        <v>0.6</v>
      </c>
      <c r="AI736" s="2052"/>
      <c r="AJ736" s="2052"/>
      <c r="AK736" s="2052"/>
      <c r="AL736" s="2053"/>
      <c r="AM736" s="1969">
        <f t="shared" si="49"/>
        <v>0.53504380475594493</v>
      </c>
      <c r="AN736" s="1970"/>
      <c r="AO736" s="197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188"/>
      <c r="C737" s="2189"/>
      <c r="D737" s="2189"/>
      <c r="E737" s="2189"/>
      <c r="F737" s="2190"/>
      <c r="G737" s="1966"/>
      <c r="H737" s="1967"/>
      <c r="I737" s="1967"/>
      <c r="J737" s="1968"/>
      <c r="K737" s="1960"/>
      <c r="L737" s="1961"/>
      <c r="M737" s="1961"/>
      <c r="N737" s="1962"/>
      <c r="O737" s="2191"/>
      <c r="P737" s="2192"/>
      <c r="Q737" s="2192"/>
      <c r="R737" s="2192"/>
      <c r="S737" s="2193"/>
      <c r="T737" s="1988">
        <f t="shared" si="47"/>
        <v>0</v>
      </c>
      <c r="U737" s="1989"/>
      <c r="V737" s="1989"/>
      <c r="W737" s="1989"/>
      <c r="X737" s="1990"/>
      <c r="Y737" s="2191"/>
      <c r="Z737" s="2192"/>
      <c r="AA737" s="2192"/>
      <c r="AB737" s="2193"/>
      <c r="AC737" s="1988">
        <f t="shared" si="48"/>
        <v>0</v>
      </c>
      <c r="AD737" s="1989"/>
      <c r="AE737" s="1989"/>
      <c r="AF737" s="1989"/>
      <c r="AG737" s="1990"/>
      <c r="AH737" s="2194"/>
      <c r="AI737" s="2195"/>
      <c r="AJ737" s="2195"/>
      <c r="AK737" s="2195"/>
      <c r="AL737" s="2196"/>
      <c r="AM737" s="1969" t="str">
        <f t="shared" si="49"/>
        <v xml:space="preserve"> </v>
      </c>
      <c r="AN737" s="1970"/>
      <c r="AO737" s="197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188"/>
      <c r="C738" s="2189"/>
      <c r="D738" s="2189"/>
      <c r="E738" s="2189"/>
      <c r="F738" s="2190"/>
      <c r="G738" s="2197"/>
      <c r="H738" s="2198"/>
      <c r="I738" s="2198"/>
      <c r="J738" s="2199"/>
      <c r="K738" s="1960"/>
      <c r="L738" s="1961"/>
      <c r="M738" s="1961"/>
      <c r="N738" s="1962"/>
      <c r="O738" s="2191"/>
      <c r="P738" s="2192"/>
      <c r="Q738" s="2192"/>
      <c r="R738" s="2192"/>
      <c r="S738" s="2193"/>
      <c r="T738" s="1988">
        <f t="shared" si="47"/>
        <v>0</v>
      </c>
      <c r="U738" s="1989"/>
      <c r="V738" s="1989"/>
      <c r="W738" s="1989"/>
      <c r="X738" s="1990"/>
      <c r="Y738" s="2191"/>
      <c r="Z738" s="2192"/>
      <c r="AA738" s="2192"/>
      <c r="AB738" s="2193"/>
      <c r="AC738" s="1988">
        <f t="shared" si="48"/>
        <v>0</v>
      </c>
      <c r="AD738" s="1989"/>
      <c r="AE738" s="1989"/>
      <c r="AF738" s="1989"/>
      <c r="AG738" s="1990"/>
      <c r="AH738" s="2194"/>
      <c r="AI738" s="2195"/>
      <c r="AJ738" s="2195"/>
      <c r="AK738" s="2195"/>
      <c r="AL738" s="2196"/>
      <c r="AM738" s="1969" t="str">
        <f t="shared" si="49"/>
        <v xml:space="preserve"> </v>
      </c>
      <c r="AN738" s="1970"/>
      <c r="AO738" s="197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188"/>
      <c r="C739" s="2189"/>
      <c r="D739" s="2189"/>
      <c r="E739" s="2189"/>
      <c r="F739" s="2190"/>
      <c r="G739" s="2197"/>
      <c r="H739" s="2198"/>
      <c r="I739" s="2198"/>
      <c r="J739" s="2199"/>
      <c r="K739" s="1960"/>
      <c r="L739" s="1961"/>
      <c r="M739" s="1961"/>
      <c r="N739" s="1962"/>
      <c r="O739" s="2191"/>
      <c r="P739" s="2192"/>
      <c r="Q739" s="2192"/>
      <c r="R739" s="2192"/>
      <c r="S739" s="2193"/>
      <c r="T739" s="1988">
        <f t="shared" si="47"/>
        <v>0</v>
      </c>
      <c r="U739" s="1989"/>
      <c r="V739" s="1989"/>
      <c r="W739" s="1989"/>
      <c r="X739" s="1990"/>
      <c r="Y739" s="2191"/>
      <c r="Z739" s="2192"/>
      <c r="AA739" s="2192"/>
      <c r="AB739" s="2193"/>
      <c r="AC739" s="1988">
        <f t="shared" si="48"/>
        <v>0</v>
      </c>
      <c r="AD739" s="1989"/>
      <c r="AE739" s="1989"/>
      <c r="AF739" s="1989"/>
      <c r="AG739" s="1990"/>
      <c r="AH739" s="2194">
        <v>0</v>
      </c>
      <c r="AI739" s="2195"/>
      <c r="AJ739" s="2195"/>
      <c r="AK739" s="2195"/>
      <c r="AL739" s="2196"/>
      <c r="AM739" s="1969" t="str">
        <f t="shared" si="49"/>
        <v xml:space="preserve"> </v>
      </c>
      <c r="AN739" s="1970"/>
      <c r="AO739" s="197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188"/>
      <c r="C740" s="2189"/>
      <c r="D740" s="2189"/>
      <c r="E740" s="2189"/>
      <c r="F740" s="2190"/>
      <c r="G740" s="2197"/>
      <c r="H740" s="2198"/>
      <c r="I740" s="2198"/>
      <c r="J740" s="2199"/>
      <c r="K740" s="1960"/>
      <c r="L740" s="1961"/>
      <c r="M740" s="1961"/>
      <c r="N740" s="1962"/>
      <c r="O740" s="2191"/>
      <c r="P740" s="2192"/>
      <c r="Q740" s="2192"/>
      <c r="R740" s="2192"/>
      <c r="S740" s="2193"/>
      <c r="T740" s="1988">
        <f t="shared" si="47"/>
        <v>0</v>
      </c>
      <c r="U740" s="1989"/>
      <c r="V740" s="1989"/>
      <c r="W740" s="1989"/>
      <c r="X740" s="1990"/>
      <c r="Y740" s="2191"/>
      <c r="Z740" s="2192"/>
      <c r="AA740" s="2192"/>
      <c r="AB740" s="2193"/>
      <c r="AC740" s="1988">
        <f t="shared" si="48"/>
        <v>0</v>
      </c>
      <c r="AD740" s="1989"/>
      <c r="AE740" s="1989"/>
      <c r="AF740" s="1989"/>
      <c r="AG740" s="1990"/>
      <c r="AH740" s="2194">
        <v>0</v>
      </c>
      <c r="AI740" s="2195"/>
      <c r="AJ740" s="2195"/>
      <c r="AK740" s="2195"/>
      <c r="AL740" s="2196"/>
      <c r="AM740" s="1969" t="str">
        <f t="shared" si="49"/>
        <v xml:space="preserve"> </v>
      </c>
      <c r="AN740" s="1970"/>
      <c r="AO740" s="197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188"/>
      <c r="C741" s="2189"/>
      <c r="D741" s="2189"/>
      <c r="E741" s="2189"/>
      <c r="F741" s="2190"/>
      <c r="G741" s="2197"/>
      <c r="H741" s="2198"/>
      <c r="I741" s="2198"/>
      <c r="J741" s="2199"/>
      <c r="K741" s="1960"/>
      <c r="L741" s="1961"/>
      <c r="M741" s="1961"/>
      <c r="N741" s="1962"/>
      <c r="O741" s="2191"/>
      <c r="P741" s="2192"/>
      <c r="Q741" s="2192"/>
      <c r="R741" s="2192"/>
      <c r="S741" s="2193"/>
      <c r="T741" s="1988">
        <f t="shared" si="47"/>
        <v>0</v>
      </c>
      <c r="U741" s="1989"/>
      <c r="V741" s="1989"/>
      <c r="W741" s="1989"/>
      <c r="X741" s="1990"/>
      <c r="Y741" s="2191"/>
      <c r="Z741" s="2192"/>
      <c r="AA741" s="2192"/>
      <c r="AB741" s="2193"/>
      <c r="AC741" s="1988">
        <f t="shared" si="48"/>
        <v>0</v>
      </c>
      <c r="AD741" s="1989"/>
      <c r="AE741" s="1989"/>
      <c r="AF741" s="1989"/>
      <c r="AG741" s="1990"/>
      <c r="AH741" s="2194">
        <v>0</v>
      </c>
      <c r="AI741" s="2195"/>
      <c r="AJ741" s="2195"/>
      <c r="AK741" s="2195"/>
      <c r="AL741" s="2196"/>
      <c r="AM741" s="1969" t="str">
        <f t="shared" si="49"/>
        <v xml:space="preserve"> </v>
      </c>
      <c r="AN741" s="1970"/>
      <c r="AO741" s="197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188"/>
      <c r="C742" s="2189"/>
      <c r="D742" s="2189"/>
      <c r="E742" s="2189"/>
      <c r="F742" s="2190"/>
      <c r="G742" s="2197"/>
      <c r="H742" s="2198"/>
      <c r="I742" s="2198"/>
      <c r="J742" s="2199"/>
      <c r="K742" s="1960"/>
      <c r="L742" s="1961"/>
      <c r="M742" s="1961"/>
      <c r="N742" s="1962"/>
      <c r="O742" s="2191"/>
      <c r="P742" s="2192"/>
      <c r="Q742" s="2192"/>
      <c r="R742" s="2192"/>
      <c r="S742" s="2193"/>
      <c r="T742" s="1988">
        <f t="shared" si="47"/>
        <v>0</v>
      </c>
      <c r="U742" s="1989"/>
      <c r="V742" s="1989"/>
      <c r="W742" s="1989"/>
      <c r="X742" s="1990"/>
      <c r="Y742" s="2191"/>
      <c r="Z742" s="2192"/>
      <c r="AA742" s="2192"/>
      <c r="AB742" s="2193"/>
      <c r="AC742" s="1988">
        <f t="shared" si="48"/>
        <v>0</v>
      </c>
      <c r="AD742" s="1989"/>
      <c r="AE742" s="1989"/>
      <c r="AF742" s="1989"/>
      <c r="AG742" s="1990"/>
      <c r="AH742" s="2194">
        <v>0</v>
      </c>
      <c r="AI742" s="2195"/>
      <c r="AJ742" s="2195"/>
      <c r="AK742" s="2195"/>
      <c r="AL742" s="2196"/>
      <c r="AM742" s="1969" t="str">
        <f t="shared" si="49"/>
        <v xml:space="preserve"> </v>
      </c>
      <c r="AN742" s="1970"/>
      <c r="AO742" s="197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188"/>
      <c r="C743" s="2189"/>
      <c r="D743" s="2189"/>
      <c r="E743" s="2189"/>
      <c r="F743" s="2190"/>
      <c r="G743" s="2197"/>
      <c r="H743" s="2198"/>
      <c r="I743" s="2198"/>
      <c r="J743" s="2199"/>
      <c r="K743" s="1960"/>
      <c r="L743" s="1961"/>
      <c r="M743" s="1961"/>
      <c r="N743" s="1962"/>
      <c r="O743" s="2191"/>
      <c r="P743" s="2192"/>
      <c r="Q743" s="2192"/>
      <c r="R743" s="2192"/>
      <c r="S743" s="2193"/>
      <c r="T743" s="1988">
        <f t="shared" si="47"/>
        <v>0</v>
      </c>
      <c r="U743" s="1989"/>
      <c r="V743" s="1989"/>
      <c r="W743" s="1989"/>
      <c r="X743" s="1990"/>
      <c r="Y743" s="2191"/>
      <c r="Z743" s="2192"/>
      <c r="AA743" s="2192"/>
      <c r="AB743" s="2193"/>
      <c r="AC743" s="1988">
        <f t="shared" si="48"/>
        <v>0</v>
      </c>
      <c r="AD743" s="1989"/>
      <c r="AE743" s="1989"/>
      <c r="AF743" s="1989"/>
      <c r="AG743" s="1990"/>
      <c r="AH743" s="2194">
        <v>0</v>
      </c>
      <c r="AI743" s="2195"/>
      <c r="AJ743" s="2195"/>
      <c r="AK743" s="2195"/>
      <c r="AL743" s="2196"/>
      <c r="AM743" s="1969" t="str">
        <f t="shared" si="49"/>
        <v xml:space="preserve"> </v>
      </c>
      <c r="AN743" s="1970"/>
      <c r="AO743" s="197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188"/>
      <c r="C744" s="2189"/>
      <c r="D744" s="2189"/>
      <c r="E744" s="2189"/>
      <c r="F744" s="2190"/>
      <c r="G744" s="2197"/>
      <c r="H744" s="2198"/>
      <c r="I744" s="2198"/>
      <c r="J744" s="2199"/>
      <c r="K744" s="1960"/>
      <c r="L744" s="1961"/>
      <c r="M744" s="1961"/>
      <c r="N744" s="1962"/>
      <c r="O744" s="2191"/>
      <c r="P744" s="2192"/>
      <c r="Q744" s="2192"/>
      <c r="R744" s="2192"/>
      <c r="S744" s="2193"/>
      <c r="T744" s="1988">
        <f t="shared" si="47"/>
        <v>0</v>
      </c>
      <c r="U744" s="1989"/>
      <c r="V744" s="1989"/>
      <c r="W744" s="1989"/>
      <c r="X744" s="1990"/>
      <c r="Y744" s="2191"/>
      <c r="Z744" s="2192"/>
      <c r="AA744" s="2192"/>
      <c r="AB744" s="2193"/>
      <c r="AC744" s="1988">
        <f t="shared" si="48"/>
        <v>0</v>
      </c>
      <c r="AD744" s="1989"/>
      <c r="AE744" s="1989"/>
      <c r="AF744" s="1989"/>
      <c r="AG744" s="1990"/>
      <c r="AH744" s="2194">
        <v>0</v>
      </c>
      <c r="AI744" s="2195"/>
      <c r="AJ744" s="2195"/>
      <c r="AK744" s="2195"/>
      <c r="AL744" s="2196"/>
      <c r="AM744" s="1969" t="str">
        <f t="shared" si="49"/>
        <v xml:space="preserve"> </v>
      </c>
      <c r="AN744" s="1970"/>
      <c r="AO744" s="197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188"/>
      <c r="C745" s="2189"/>
      <c r="D745" s="2189"/>
      <c r="E745" s="2189"/>
      <c r="F745" s="2190"/>
      <c r="G745" s="2197"/>
      <c r="H745" s="2198"/>
      <c r="I745" s="2198"/>
      <c r="J745" s="2199"/>
      <c r="K745" s="1960"/>
      <c r="L745" s="1961"/>
      <c r="M745" s="1961"/>
      <c r="N745" s="1962"/>
      <c r="O745" s="2191"/>
      <c r="P745" s="2192"/>
      <c r="Q745" s="2192"/>
      <c r="R745" s="2192"/>
      <c r="S745" s="2193"/>
      <c r="T745" s="1988">
        <f t="shared" si="47"/>
        <v>0</v>
      </c>
      <c r="U745" s="1989"/>
      <c r="V745" s="1989"/>
      <c r="W745" s="1989"/>
      <c r="X745" s="1990"/>
      <c r="Y745" s="2191"/>
      <c r="Z745" s="2192"/>
      <c r="AA745" s="2192"/>
      <c r="AB745" s="2193"/>
      <c r="AC745" s="1988">
        <f t="shared" si="48"/>
        <v>0</v>
      </c>
      <c r="AD745" s="1989"/>
      <c r="AE745" s="1989"/>
      <c r="AF745" s="1989"/>
      <c r="AG745" s="1990"/>
      <c r="AH745" s="2194">
        <v>0</v>
      </c>
      <c r="AI745" s="2195"/>
      <c r="AJ745" s="2195"/>
      <c r="AK745" s="2195"/>
      <c r="AL745" s="2196"/>
      <c r="AM745" s="1969" t="str">
        <f t="shared" si="49"/>
        <v xml:space="preserve"> </v>
      </c>
      <c r="AN745" s="1970"/>
      <c r="AO745" s="197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188"/>
      <c r="C746" s="2189"/>
      <c r="D746" s="2189"/>
      <c r="E746" s="2189"/>
      <c r="F746" s="2190"/>
      <c r="G746" s="2197"/>
      <c r="H746" s="2198"/>
      <c r="I746" s="2198"/>
      <c r="J746" s="2199"/>
      <c r="K746" s="1960"/>
      <c r="L746" s="1961"/>
      <c r="M746" s="1961"/>
      <c r="N746" s="1962"/>
      <c r="O746" s="2191"/>
      <c r="P746" s="2192"/>
      <c r="Q746" s="2192"/>
      <c r="R746" s="2192"/>
      <c r="S746" s="2193"/>
      <c r="T746" s="1988">
        <f t="shared" si="47"/>
        <v>0</v>
      </c>
      <c r="U746" s="1989"/>
      <c r="V746" s="1989"/>
      <c r="W746" s="1989"/>
      <c r="X746" s="1990"/>
      <c r="Y746" s="2191"/>
      <c r="Z746" s="2192"/>
      <c r="AA746" s="2192"/>
      <c r="AB746" s="2193"/>
      <c r="AC746" s="1988">
        <f t="shared" si="48"/>
        <v>0</v>
      </c>
      <c r="AD746" s="1989"/>
      <c r="AE746" s="1989"/>
      <c r="AF746" s="1989"/>
      <c r="AG746" s="1990"/>
      <c r="AH746" s="2194">
        <v>0</v>
      </c>
      <c r="AI746" s="2195"/>
      <c r="AJ746" s="2195"/>
      <c r="AK746" s="2195"/>
      <c r="AL746" s="2196"/>
      <c r="AM746" s="1969" t="str">
        <f t="shared" si="49"/>
        <v xml:space="preserve"> </v>
      </c>
      <c r="AN746" s="1970"/>
      <c r="AO746" s="197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188"/>
      <c r="C747" s="2189"/>
      <c r="D747" s="2189"/>
      <c r="E747" s="2189"/>
      <c r="F747" s="2190"/>
      <c r="G747" s="2197"/>
      <c r="H747" s="2198"/>
      <c r="I747" s="2198"/>
      <c r="J747" s="2199"/>
      <c r="K747" s="1960"/>
      <c r="L747" s="1961"/>
      <c r="M747" s="1961"/>
      <c r="N747" s="1962"/>
      <c r="O747" s="2191"/>
      <c r="P747" s="2192"/>
      <c r="Q747" s="2192"/>
      <c r="R747" s="2192"/>
      <c r="S747" s="2193"/>
      <c r="T747" s="1988">
        <f t="shared" si="47"/>
        <v>0</v>
      </c>
      <c r="U747" s="1989"/>
      <c r="V747" s="1989"/>
      <c r="W747" s="1989"/>
      <c r="X747" s="1990"/>
      <c r="Y747" s="2191"/>
      <c r="Z747" s="2192"/>
      <c r="AA747" s="2192"/>
      <c r="AB747" s="2193"/>
      <c r="AC747" s="1988">
        <f t="shared" si="48"/>
        <v>0</v>
      </c>
      <c r="AD747" s="1989"/>
      <c r="AE747" s="1989"/>
      <c r="AF747" s="1989"/>
      <c r="AG747" s="1990"/>
      <c r="AH747" s="2194">
        <v>0</v>
      </c>
      <c r="AI747" s="2195"/>
      <c r="AJ747" s="2195"/>
      <c r="AK747" s="2195"/>
      <c r="AL747" s="2196"/>
      <c r="AM747" s="1969" t="str">
        <f t="shared" si="49"/>
        <v xml:space="preserve"> </v>
      </c>
      <c r="AN747" s="1970"/>
      <c r="AO747" s="197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188"/>
      <c r="C748" s="2189"/>
      <c r="D748" s="2189"/>
      <c r="E748" s="2189"/>
      <c r="F748" s="2190"/>
      <c r="G748" s="2197"/>
      <c r="H748" s="2198"/>
      <c r="I748" s="2198"/>
      <c r="J748" s="2199"/>
      <c r="K748" s="1960"/>
      <c r="L748" s="1961"/>
      <c r="M748" s="1961"/>
      <c r="N748" s="1962"/>
      <c r="O748" s="2191"/>
      <c r="P748" s="2192"/>
      <c r="Q748" s="2192"/>
      <c r="R748" s="2192"/>
      <c r="S748" s="2193"/>
      <c r="T748" s="1988">
        <f t="shared" si="47"/>
        <v>0</v>
      </c>
      <c r="U748" s="1989"/>
      <c r="V748" s="1989"/>
      <c r="W748" s="1989"/>
      <c r="X748" s="1990"/>
      <c r="Y748" s="2191"/>
      <c r="Z748" s="2192"/>
      <c r="AA748" s="2192"/>
      <c r="AB748" s="2193"/>
      <c r="AC748" s="1988">
        <f t="shared" si="48"/>
        <v>0</v>
      </c>
      <c r="AD748" s="1989"/>
      <c r="AE748" s="1989"/>
      <c r="AF748" s="1989"/>
      <c r="AG748" s="1990"/>
      <c r="AH748" s="2194">
        <v>0</v>
      </c>
      <c r="AI748" s="2195"/>
      <c r="AJ748" s="2195"/>
      <c r="AK748" s="2195"/>
      <c r="AL748" s="2196"/>
      <c r="AM748" s="1969" t="str">
        <f t="shared" si="49"/>
        <v xml:space="preserve"> </v>
      </c>
      <c r="AN748" s="1970"/>
      <c r="AO748" s="197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188"/>
      <c r="C749" s="2189"/>
      <c r="D749" s="2189"/>
      <c r="E749" s="2189"/>
      <c r="F749" s="2190"/>
      <c r="G749" s="2197"/>
      <c r="H749" s="2198"/>
      <c r="I749" s="2198"/>
      <c r="J749" s="2199"/>
      <c r="K749" s="1960"/>
      <c r="L749" s="1961"/>
      <c r="M749" s="1961"/>
      <c r="N749" s="1962"/>
      <c r="O749" s="2191"/>
      <c r="P749" s="2192"/>
      <c r="Q749" s="2192"/>
      <c r="R749" s="2192"/>
      <c r="S749" s="2193"/>
      <c r="T749" s="1988">
        <f t="shared" si="47"/>
        <v>0</v>
      </c>
      <c r="U749" s="1989"/>
      <c r="V749" s="1989"/>
      <c r="W749" s="1989"/>
      <c r="X749" s="1990"/>
      <c r="Y749" s="2191"/>
      <c r="Z749" s="2192"/>
      <c r="AA749" s="2192"/>
      <c r="AB749" s="2193"/>
      <c r="AC749" s="1988">
        <f t="shared" si="48"/>
        <v>0</v>
      </c>
      <c r="AD749" s="1989"/>
      <c r="AE749" s="1989"/>
      <c r="AF749" s="1989"/>
      <c r="AG749" s="1990"/>
      <c r="AH749" s="2194">
        <v>0</v>
      </c>
      <c r="AI749" s="2195"/>
      <c r="AJ749" s="2195"/>
      <c r="AK749" s="2195"/>
      <c r="AL749" s="2196"/>
      <c r="AM749" s="1969" t="str">
        <f t="shared" si="49"/>
        <v xml:space="preserve"> </v>
      </c>
      <c r="AN749" s="1970"/>
      <c r="AO749" s="197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88"/>
      <c r="C750" s="2189"/>
      <c r="D750" s="2189"/>
      <c r="E750" s="2189"/>
      <c r="F750" s="2190"/>
      <c r="G750" s="2197"/>
      <c r="H750" s="2198"/>
      <c r="I750" s="2198"/>
      <c r="J750" s="2199"/>
      <c r="K750" s="1960"/>
      <c r="L750" s="1961"/>
      <c r="M750" s="1961"/>
      <c r="N750" s="1962"/>
      <c r="O750" s="2191"/>
      <c r="P750" s="2192"/>
      <c r="Q750" s="2192"/>
      <c r="R750" s="2192"/>
      <c r="S750" s="2193"/>
      <c r="T750" s="1988">
        <f t="shared" si="47"/>
        <v>0</v>
      </c>
      <c r="U750" s="1989"/>
      <c r="V750" s="1989"/>
      <c r="W750" s="1989"/>
      <c r="X750" s="1990"/>
      <c r="Y750" s="2191"/>
      <c r="Z750" s="2192"/>
      <c r="AA750" s="2192"/>
      <c r="AB750" s="2193"/>
      <c r="AC750" s="1988">
        <f t="shared" si="48"/>
        <v>0</v>
      </c>
      <c r="AD750" s="1989"/>
      <c r="AE750" s="1989"/>
      <c r="AF750" s="1989"/>
      <c r="AG750" s="1990"/>
      <c r="AH750" s="2194">
        <v>0</v>
      </c>
      <c r="AI750" s="2195"/>
      <c r="AJ750" s="2195"/>
      <c r="AK750" s="2195"/>
      <c r="AL750" s="2196"/>
      <c r="AM750" s="1969" t="str">
        <f t="shared" si="49"/>
        <v xml:space="preserve"> </v>
      </c>
      <c r="AN750" s="1970"/>
      <c r="AO750" s="197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88"/>
      <c r="C751" s="2189"/>
      <c r="D751" s="2189"/>
      <c r="E751" s="2189"/>
      <c r="F751" s="2190"/>
      <c r="G751" s="2197"/>
      <c r="H751" s="2198"/>
      <c r="I751" s="2198"/>
      <c r="J751" s="2199"/>
      <c r="K751" s="1960"/>
      <c r="L751" s="1961"/>
      <c r="M751" s="1961"/>
      <c r="N751" s="1962"/>
      <c r="O751" s="2191"/>
      <c r="P751" s="2192"/>
      <c r="Q751" s="2192"/>
      <c r="R751" s="2192"/>
      <c r="S751" s="2193"/>
      <c r="T751" s="1988">
        <f t="shared" si="47"/>
        <v>0</v>
      </c>
      <c r="U751" s="1989"/>
      <c r="V751" s="1989"/>
      <c r="W751" s="1989"/>
      <c r="X751" s="1990"/>
      <c r="Y751" s="2191"/>
      <c r="Z751" s="2192"/>
      <c r="AA751" s="2192"/>
      <c r="AB751" s="2193"/>
      <c r="AC751" s="1988">
        <f t="shared" si="48"/>
        <v>0</v>
      </c>
      <c r="AD751" s="1989"/>
      <c r="AE751" s="1989"/>
      <c r="AF751" s="1989"/>
      <c r="AG751" s="1990"/>
      <c r="AH751" s="2194">
        <v>0</v>
      </c>
      <c r="AI751" s="2195"/>
      <c r="AJ751" s="2195"/>
      <c r="AK751" s="2195"/>
      <c r="AL751" s="2196"/>
      <c r="AM751" s="1969" t="str">
        <f t="shared" si="49"/>
        <v xml:space="preserve"> </v>
      </c>
      <c r="AN751" s="1970"/>
      <c r="AO751" s="197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188"/>
      <c r="C752" s="2189"/>
      <c r="D752" s="2189"/>
      <c r="E752" s="2189"/>
      <c r="F752" s="2190"/>
      <c r="G752" s="2197"/>
      <c r="H752" s="2198"/>
      <c r="I752" s="2198"/>
      <c r="J752" s="2199"/>
      <c r="K752" s="1960"/>
      <c r="L752" s="1961"/>
      <c r="M752" s="1961"/>
      <c r="N752" s="1962"/>
      <c r="O752" s="2191"/>
      <c r="P752" s="2192"/>
      <c r="Q752" s="2192"/>
      <c r="R752" s="2192"/>
      <c r="S752" s="2193"/>
      <c r="T752" s="1988">
        <f t="shared" si="47"/>
        <v>0</v>
      </c>
      <c r="U752" s="1989"/>
      <c r="V752" s="1989"/>
      <c r="W752" s="1989"/>
      <c r="X752" s="1990"/>
      <c r="Y752" s="2191"/>
      <c r="Z752" s="2192"/>
      <c r="AA752" s="2192"/>
      <c r="AB752" s="2193"/>
      <c r="AC752" s="1988">
        <f t="shared" si="48"/>
        <v>0</v>
      </c>
      <c r="AD752" s="1989"/>
      <c r="AE752" s="1989"/>
      <c r="AF752" s="1989"/>
      <c r="AG752" s="1990"/>
      <c r="AH752" s="2194">
        <v>0</v>
      </c>
      <c r="AI752" s="2195"/>
      <c r="AJ752" s="2195"/>
      <c r="AK752" s="2195"/>
      <c r="AL752" s="2196"/>
      <c r="AM752" s="1969" t="str">
        <f t="shared" si="49"/>
        <v xml:space="preserve"> </v>
      </c>
      <c r="AN752" s="1970"/>
      <c r="AO752" s="197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52" t="s">
        <v>130</v>
      </c>
      <c r="C753" s="2253"/>
      <c r="D753" s="2253"/>
      <c r="E753" s="2253"/>
      <c r="F753" s="2254"/>
      <c r="G753" s="2384">
        <f>SUM(G728:J752)</f>
        <v>110</v>
      </c>
      <c r="H753" s="2385"/>
      <c r="I753" s="2385"/>
      <c r="J753" s="2386"/>
      <c r="O753" s="1490" t="s">
        <v>129</v>
      </c>
      <c r="P753" s="1491"/>
      <c r="Q753" s="1491"/>
      <c r="R753" s="1491"/>
      <c r="S753" s="1492"/>
      <c r="T753" s="1988">
        <f>SUM(T728:X752)</f>
        <v>148952</v>
      </c>
      <c r="U753" s="1989"/>
      <c r="V753" s="1989"/>
      <c r="W753" s="1989"/>
      <c r="X753" s="1990"/>
      <c r="AC753" s="1494" t="s">
        <v>967</v>
      </c>
      <c r="AD753" s="1493"/>
      <c r="AE753" s="1493"/>
      <c r="AF753" s="1493"/>
      <c r="AG753" s="1495"/>
      <c r="AH753" s="2262">
        <f>BI696</f>
        <v>0.4845454545454545</v>
      </c>
      <c r="AI753" s="2263"/>
      <c r="AJ753" s="2263"/>
      <c r="AK753" s="2263"/>
      <c r="AL753" s="2264"/>
      <c r="AM753" s="2262">
        <f>BI728</f>
        <v>0.40363638521887768</v>
      </c>
      <c r="AN753" s="2263"/>
      <c r="AO753" s="2264"/>
      <c r="AP753" s="1485"/>
      <c r="AQ753" s="1485"/>
      <c r="AR753" s="1485"/>
      <c r="AS753" s="1485"/>
      <c r="AT753" s="1485"/>
      <c r="AU753" s="1485"/>
      <c r="AV753" s="1485"/>
      <c r="AW753" s="1485"/>
      <c r="AX753" s="1485"/>
      <c r="AY753" s="1485"/>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383" t="s">
        <v>2452</v>
      </c>
      <c r="C754" s="2383"/>
      <c r="D754" s="2383"/>
      <c r="E754" s="2383"/>
      <c r="F754" s="2383"/>
      <c r="G754" s="2383"/>
      <c r="H754" s="2383"/>
      <c r="I754" s="2383"/>
      <c r="J754" s="2383"/>
      <c r="K754" s="2383"/>
      <c r="L754" s="2383"/>
      <c r="M754" s="2383"/>
      <c r="N754" s="2383"/>
      <c r="O754" s="2383"/>
      <c r="P754" s="2383"/>
      <c r="Q754" s="2383"/>
      <c r="R754" s="2383"/>
      <c r="S754" s="2383"/>
      <c r="T754" s="2383"/>
      <c r="U754" s="2383"/>
      <c r="V754" s="2383"/>
      <c r="W754" s="2383"/>
      <c r="X754" s="2383"/>
      <c r="Y754" s="2383"/>
      <c r="Z754" s="2383"/>
      <c r="AA754" s="2383"/>
      <c r="AB754" s="2383"/>
      <c r="AC754" s="2383"/>
      <c r="AD754" s="2383"/>
      <c r="AE754" s="2383"/>
      <c r="AF754" s="2383"/>
      <c r="AG754" s="2383"/>
      <c r="AH754" s="2383"/>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2383"/>
      <c r="C755" s="2383"/>
      <c r="D755" s="2383"/>
      <c r="E755" s="2383"/>
      <c r="F755" s="2383"/>
      <c r="G755" s="2383"/>
      <c r="H755" s="2383"/>
      <c r="I755" s="2383"/>
      <c r="J755" s="2383"/>
      <c r="K755" s="2383"/>
      <c r="L755" s="2383"/>
      <c r="M755" s="2383"/>
      <c r="N755" s="2383"/>
      <c r="O755" s="2383"/>
      <c r="P755" s="2383"/>
      <c r="Q755" s="2383"/>
      <c r="R755" s="2383"/>
      <c r="S755" s="2383"/>
      <c r="T755" s="2383"/>
      <c r="U755" s="2383"/>
      <c r="V755" s="2383"/>
      <c r="W755" s="2383"/>
      <c r="X755" s="2383"/>
      <c r="Y755" s="2383"/>
      <c r="Z755" s="2383"/>
      <c r="AA755" s="2383"/>
      <c r="AB755" s="2383"/>
      <c r="AC755" s="2383"/>
      <c r="AD755" s="2383"/>
      <c r="AE755" s="2383"/>
      <c r="AF755" s="2383"/>
      <c r="AG755" s="2383"/>
      <c r="AH755" s="2383"/>
      <c r="AL755" s="58"/>
      <c r="AM755" s="239"/>
      <c r="AN755" s="239"/>
      <c r="AO755" s="239"/>
      <c r="AP755" s="239"/>
      <c r="AQ755" s="239"/>
      <c r="AR755" s="239"/>
      <c r="AS755" s="239"/>
      <c r="AT755" s="239"/>
      <c r="AU755" s="239"/>
      <c r="AV755" s="239"/>
      <c r="AW755" s="239"/>
      <c r="AX755" s="239"/>
      <c r="AY755" s="239"/>
      <c r="AZ755" s="1419"/>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2450</v>
      </c>
      <c r="D756" s="1757"/>
      <c r="E756" s="1757"/>
      <c r="F756" s="1757"/>
      <c r="G756" s="1758"/>
      <c r="H756" s="1758"/>
      <c r="I756" s="1758"/>
      <c r="J756" s="1758"/>
      <c r="K756" s="1757"/>
      <c r="L756" s="1757"/>
      <c r="M756" s="1757"/>
      <c r="N756" s="1757"/>
      <c r="O756" s="1998">
        <f>CS637</f>
        <v>141</v>
      </c>
      <c r="P756" s="1998"/>
      <c r="Q756" s="1998"/>
      <c r="R756" s="1998"/>
      <c r="S756" s="1759"/>
      <c r="T756" s="1759"/>
      <c r="U756" s="179" t="s">
        <v>2451</v>
      </c>
      <c r="V756" s="1757"/>
      <c r="W756" s="1757"/>
      <c r="X756" s="1757"/>
      <c r="Y756" s="1758"/>
      <c r="Z756" s="1758"/>
      <c r="AA756" s="1758"/>
      <c r="AB756" s="1758"/>
      <c r="AC756" s="1757"/>
      <c r="AD756" s="1757"/>
      <c r="AE756" s="1757"/>
      <c r="AF756" s="1757"/>
      <c r="AG756" s="2377">
        <v>0</v>
      </c>
      <c r="AH756" s="2377"/>
      <c r="AI756" s="2377"/>
      <c r="AJ756" s="2377"/>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6"/>
      <c r="AQ757" s="1486"/>
      <c r="AR757" s="1486"/>
      <c r="AS757" s="1486"/>
      <c r="AT757" s="1486"/>
      <c r="AU757" s="1486"/>
      <c r="AV757" s="1486"/>
      <c r="AW757" s="1486"/>
      <c r="AX757" s="1486"/>
      <c r="AY757" s="1486"/>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2448</v>
      </c>
      <c r="D758" s="1761"/>
      <c r="E758" s="1761"/>
      <c r="F758" s="1761"/>
      <c r="G758" s="1761"/>
      <c r="H758" s="1761"/>
      <c r="I758" s="1761"/>
      <c r="J758" s="1761"/>
      <c r="K758" s="1761"/>
      <c r="L758" s="1761"/>
      <c r="M758" s="1761"/>
      <c r="N758" s="1761"/>
      <c r="O758" s="1761"/>
      <c r="P758" s="1761"/>
      <c r="Q758" s="1761"/>
      <c r="R758" s="1761"/>
      <c r="S758" s="1761"/>
      <c r="T758" s="1761"/>
      <c r="U758" s="1761"/>
      <c r="V758" s="1761"/>
      <c r="W758" s="1761"/>
      <c r="X758" s="1761"/>
      <c r="Y758" s="1761"/>
      <c r="Z758" s="1761"/>
      <c r="AA758" s="1761"/>
      <c r="AB758" s="1761"/>
      <c r="AC758" s="1761"/>
      <c r="AD758" s="2389" t="s">
        <v>624</v>
      </c>
      <c r="AE758" s="2389"/>
      <c r="AF758" s="2389"/>
      <c r="AG758" s="1761"/>
      <c r="AH758" s="1761"/>
      <c r="AI758" s="1761"/>
      <c r="AJ758" s="1761"/>
      <c r="AK758" s="1761"/>
      <c r="AL758" s="1761"/>
      <c r="AM758" s="1761"/>
      <c r="AN758" s="1761"/>
      <c r="AO758" s="1761"/>
      <c r="AP758" s="1761"/>
      <c r="AQ758" s="1761"/>
      <c r="AR758" s="1761"/>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62" t="s">
        <v>2449</v>
      </c>
      <c r="D759" s="1761"/>
      <c r="E759" s="1761"/>
      <c r="F759" s="1761"/>
      <c r="G759" s="1761"/>
      <c r="H759" s="1761"/>
      <c r="I759" s="1761"/>
      <c r="J759" s="1761"/>
      <c r="K759" s="1761"/>
      <c r="L759" s="1761"/>
      <c r="M759" s="1761"/>
      <c r="N759" s="1761"/>
      <c r="O759" s="1761"/>
      <c r="P759" s="1761"/>
      <c r="Q759" s="1761"/>
      <c r="R759" s="1761"/>
      <c r="S759" s="1761"/>
      <c r="T759" s="1761"/>
      <c r="U759" s="1761"/>
      <c r="V759" s="1761"/>
      <c r="W759" s="1761"/>
      <c r="X759" s="1761"/>
      <c r="Y759" s="1761"/>
      <c r="Z759" s="1761"/>
      <c r="AA759" s="1761"/>
      <c r="AB759" s="1761"/>
      <c r="AC759" s="1761"/>
      <c r="AD759" s="1761"/>
      <c r="AE759" s="1761"/>
      <c r="AF759" s="1761"/>
      <c r="AG759" s="1761"/>
      <c r="AH759" s="1761"/>
      <c r="AI759" s="1761"/>
      <c r="AJ759" s="1761"/>
      <c r="AK759" s="1761"/>
      <c r="AL759" s="1761"/>
      <c r="AM759" s="1761"/>
      <c r="AN759" s="1761"/>
      <c r="AO759" s="1761"/>
      <c r="AP759" s="1761"/>
      <c r="AQ759" s="1761"/>
      <c r="AR759" s="1761"/>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609</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60"/>
      <c r="C761" s="254" t="s">
        <v>181</v>
      </c>
      <c r="D761" s="1760"/>
      <c r="E761" s="1760"/>
      <c r="F761" s="1760"/>
      <c r="G761" s="1484"/>
      <c r="H761" s="1484"/>
      <c r="I761" s="1484"/>
      <c r="J761" s="1484"/>
      <c r="K761" s="1484"/>
      <c r="L761" s="1760"/>
      <c r="M761" s="1760"/>
      <c r="N761" s="1760"/>
      <c r="O761" s="1760"/>
      <c r="P761" s="1760"/>
      <c r="Q761" s="1484"/>
      <c r="R761" s="1484"/>
      <c r="S761" s="1484"/>
      <c r="T761" s="1484"/>
      <c r="U761" s="1484"/>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60"/>
      <c r="C762" s="2382" t="s">
        <v>2453</v>
      </c>
      <c r="D762" s="2382"/>
      <c r="E762" s="2382"/>
      <c r="F762" s="2382"/>
      <c r="G762" s="2382"/>
      <c r="H762" s="2382"/>
      <c r="I762" s="2382"/>
      <c r="J762" s="2382"/>
      <c r="K762" s="2382"/>
      <c r="L762" s="2382"/>
      <c r="M762" s="2382"/>
      <c r="N762" s="2382"/>
      <c r="O762" s="2382"/>
      <c r="P762" s="2382"/>
      <c r="Q762" s="2382"/>
      <c r="R762" s="2382"/>
      <c r="S762" s="2382"/>
      <c r="T762" s="2382"/>
      <c r="U762" s="2382"/>
      <c r="V762" s="2382"/>
      <c r="W762" s="2382"/>
      <c r="X762" s="2382"/>
      <c r="Y762" s="2382"/>
      <c r="Z762" s="2382"/>
      <c r="AA762" s="2382"/>
      <c r="AB762" s="2382"/>
      <c r="AC762" s="2382"/>
      <c r="AD762" s="2382"/>
      <c r="AE762" s="2382"/>
      <c r="AF762" s="2382"/>
      <c r="AG762" s="2382"/>
      <c r="AH762" s="2382"/>
      <c r="AI762" s="2382"/>
      <c r="AJ762" s="2382"/>
      <c r="AK762" s="2382"/>
      <c r="AL762" s="2382"/>
      <c r="AM762" s="2382"/>
      <c r="AN762" s="2382"/>
      <c r="AO762" s="2382"/>
      <c r="AP762" s="2382"/>
      <c r="AQ762" s="2382"/>
      <c r="AR762" s="2382"/>
      <c r="AS762" s="239"/>
      <c r="AT762" s="239"/>
      <c r="AU762" s="239"/>
      <c r="AV762" s="239"/>
      <c r="AW762" s="239"/>
      <c r="AX762" s="239"/>
      <c r="AY762" s="239"/>
      <c r="CR762" s="177"/>
    </row>
    <row r="763" spans="1:16383" s="58" customFormat="1" ht="12.75" customHeight="1">
      <c r="A763" s="239"/>
      <c r="B763" s="1760"/>
      <c r="C763" s="2382"/>
      <c r="D763" s="2382"/>
      <c r="E763" s="2382"/>
      <c r="F763" s="2382"/>
      <c r="G763" s="2382"/>
      <c r="H763" s="2382"/>
      <c r="I763" s="2382"/>
      <c r="J763" s="2382"/>
      <c r="K763" s="2382"/>
      <c r="L763" s="2382"/>
      <c r="M763" s="2382"/>
      <c r="N763" s="2382"/>
      <c r="O763" s="2382"/>
      <c r="P763" s="2382"/>
      <c r="Q763" s="2382"/>
      <c r="R763" s="2382"/>
      <c r="S763" s="2382"/>
      <c r="T763" s="2382"/>
      <c r="U763" s="2382"/>
      <c r="V763" s="2382"/>
      <c r="W763" s="2382"/>
      <c r="X763" s="2382"/>
      <c r="Y763" s="2382"/>
      <c r="Z763" s="2382"/>
      <c r="AA763" s="2382"/>
      <c r="AB763" s="2382"/>
      <c r="AC763" s="2382"/>
      <c r="AD763" s="2382"/>
      <c r="AE763" s="2382"/>
      <c r="AF763" s="2382"/>
      <c r="AG763" s="2382"/>
      <c r="AH763" s="2382"/>
      <c r="AI763" s="2382"/>
      <c r="AJ763" s="2382"/>
      <c r="AK763" s="2382"/>
      <c r="AL763" s="2382"/>
      <c r="AM763" s="2382"/>
      <c r="AN763" s="2382"/>
      <c r="AO763" s="2382"/>
      <c r="AP763" s="2382"/>
      <c r="AQ763" s="2382"/>
      <c r="AR763" s="2382"/>
      <c r="AS763" s="239"/>
      <c r="AT763" s="239"/>
      <c r="AU763" s="239"/>
      <c r="AV763" s="239"/>
      <c r="AW763" s="239"/>
      <c r="AX763" s="239"/>
      <c r="AY763" s="239"/>
      <c r="CR763" s="177"/>
    </row>
    <row r="764" spans="1:16383" s="58" customFormat="1" ht="12.75" customHeight="1">
      <c r="B764" s="1760"/>
      <c r="C764" s="2382"/>
      <c r="D764" s="2382"/>
      <c r="E764" s="2382"/>
      <c r="F764" s="2382"/>
      <c r="G764" s="2382"/>
      <c r="H764" s="2382"/>
      <c r="I764" s="2382"/>
      <c r="J764" s="2382"/>
      <c r="K764" s="2382"/>
      <c r="L764" s="2382"/>
      <c r="M764" s="2382"/>
      <c r="N764" s="2382"/>
      <c r="O764" s="2382"/>
      <c r="P764" s="2382"/>
      <c r="Q764" s="2382"/>
      <c r="R764" s="2382"/>
      <c r="S764" s="2382"/>
      <c r="T764" s="2382"/>
      <c r="U764" s="2382"/>
      <c r="V764" s="2382"/>
      <c r="W764" s="2382"/>
      <c r="X764" s="2382"/>
      <c r="Y764" s="2382"/>
      <c r="Z764" s="2382"/>
      <c r="AA764" s="2382"/>
      <c r="AB764" s="2382"/>
      <c r="AC764" s="2382"/>
      <c r="AD764" s="2382"/>
      <c r="AE764" s="2382"/>
      <c r="AF764" s="2382"/>
      <c r="AG764" s="2382"/>
      <c r="AH764" s="2382"/>
      <c r="AI764" s="2382"/>
      <c r="AJ764" s="2382"/>
      <c r="AK764" s="2382"/>
      <c r="AL764" s="2382"/>
      <c r="AM764" s="2382"/>
      <c r="AN764" s="2382"/>
      <c r="AO764" s="2382"/>
      <c r="AP764" s="2382"/>
      <c r="AQ764" s="2382"/>
      <c r="AR764" s="2382"/>
      <c r="AS764" s="239"/>
      <c r="AT764" s="239"/>
      <c r="AU764" s="239"/>
      <c r="AV764" s="239"/>
      <c r="AW764" s="239"/>
      <c r="AX764" s="239"/>
      <c r="AY764" s="239"/>
      <c r="CR764" s="177"/>
    </row>
    <row r="765" spans="1:16383" s="58" customFormat="1" ht="12.75" customHeight="1">
      <c r="B765" s="1760"/>
      <c r="C765" s="2382" t="s">
        <v>2454</v>
      </c>
      <c r="D765" s="2382"/>
      <c r="E765" s="2382"/>
      <c r="F765" s="2382"/>
      <c r="G765" s="2382"/>
      <c r="H765" s="2382"/>
      <c r="I765" s="2382"/>
      <c r="J765" s="2382"/>
      <c r="K765" s="2382"/>
      <c r="L765" s="2382"/>
      <c r="M765" s="2382"/>
      <c r="N765" s="2382"/>
      <c r="O765" s="2382"/>
      <c r="P765" s="2382"/>
      <c r="Q765" s="2382"/>
      <c r="R765" s="2382"/>
      <c r="S765" s="2382"/>
      <c r="T765" s="2382"/>
      <c r="U765" s="2382"/>
      <c r="V765" s="2382"/>
      <c r="W765" s="2382"/>
      <c r="X765" s="2382"/>
      <c r="Y765" s="2382"/>
      <c r="Z765" s="2382"/>
      <c r="AA765" s="2382"/>
      <c r="AB765" s="2382"/>
      <c r="AC765" s="2382"/>
      <c r="AD765" s="2382"/>
      <c r="AE765" s="2382"/>
      <c r="AF765" s="2382"/>
      <c r="AG765" s="2382"/>
      <c r="AH765" s="2382"/>
      <c r="AI765" s="2382"/>
      <c r="AJ765" s="2382"/>
      <c r="AK765" s="2382"/>
      <c r="AL765" s="2382"/>
      <c r="AM765" s="2382"/>
      <c r="AN765" s="2382"/>
      <c r="AO765" s="2382"/>
      <c r="AP765" s="2382"/>
      <c r="AQ765" s="2382"/>
      <c r="AR765" s="2382"/>
      <c r="AS765" s="239"/>
      <c r="AT765" s="239"/>
      <c r="AU765" s="239"/>
      <c r="AV765" s="239"/>
      <c r="AW765" s="239"/>
      <c r="AX765" s="239"/>
      <c r="AY765" s="239"/>
      <c r="CR765" s="177"/>
    </row>
    <row r="766" spans="1:16383" s="58" customFormat="1" ht="12.75" customHeight="1">
      <c r="B766" s="1760"/>
      <c r="C766" s="2382"/>
      <c r="D766" s="2382"/>
      <c r="E766" s="2382"/>
      <c r="F766" s="2382"/>
      <c r="G766" s="2382"/>
      <c r="H766" s="2382"/>
      <c r="I766" s="2382"/>
      <c r="J766" s="2382"/>
      <c r="K766" s="2382"/>
      <c r="L766" s="2382"/>
      <c r="M766" s="2382"/>
      <c r="N766" s="2382"/>
      <c r="O766" s="2382"/>
      <c r="P766" s="2382"/>
      <c r="Q766" s="2382"/>
      <c r="R766" s="2382"/>
      <c r="S766" s="2382"/>
      <c r="T766" s="2382"/>
      <c r="U766" s="2382"/>
      <c r="V766" s="2382"/>
      <c r="W766" s="2382"/>
      <c r="X766" s="2382"/>
      <c r="Y766" s="2382"/>
      <c r="Z766" s="2382"/>
      <c r="AA766" s="2382"/>
      <c r="AB766" s="2382"/>
      <c r="AC766" s="2382"/>
      <c r="AD766" s="2382"/>
      <c r="AE766" s="2382"/>
      <c r="AF766" s="2382"/>
      <c r="AG766" s="2382"/>
      <c r="AH766" s="2382"/>
      <c r="AI766" s="2382"/>
      <c r="AJ766" s="2382"/>
      <c r="AK766" s="2382"/>
      <c r="AL766" s="2382"/>
      <c r="AM766" s="2382"/>
      <c r="AN766" s="2382"/>
      <c r="AO766" s="2382"/>
      <c r="AP766" s="2382"/>
      <c r="AQ766" s="2382"/>
      <c r="AR766" s="2382"/>
      <c r="AS766" s="239"/>
      <c r="AT766" s="239"/>
      <c r="AU766" s="239"/>
      <c r="AV766" s="239"/>
      <c r="AW766" s="239"/>
      <c r="AX766" s="239"/>
      <c r="AY766" s="239"/>
      <c r="CR766" s="177"/>
    </row>
    <row r="767" spans="1:16383" s="58" customFormat="1" ht="12.75" customHeight="1">
      <c r="B767" s="1760"/>
      <c r="C767" s="2382"/>
      <c r="D767" s="2382"/>
      <c r="E767" s="2382"/>
      <c r="F767" s="2382"/>
      <c r="G767" s="2382"/>
      <c r="H767" s="2382"/>
      <c r="I767" s="2382"/>
      <c r="J767" s="2382"/>
      <c r="K767" s="2382"/>
      <c r="L767" s="2382"/>
      <c r="M767" s="2382"/>
      <c r="N767" s="2382"/>
      <c r="O767" s="2382"/>
      <c r="P767" s="2382"/>
      <c r="Q767" s="2382"/>
      <c r="R767" s="2382"/>
      <c r="S767" s="2382"/>
      <c r="T767" s="2382"/>
      <c r="U767" s="2382"/>
      <c r="V767" s="2382"/>
      <c r="W767" s="2382"/>
      <c r="X767" s="2382"/>
      <c r="Y767" s="2382"/>
      <c r="Z767" s="2382"/>
      <c r="AA767" s="2382"/>
      <c r="AB767" s="2382"/>
      <c r="AC767" s="2382"/>
      <c r="AD767" s="2382"/>
      <c r="AE767" s="2382"/>
      <c r="AF767" s="2382"/>
      <c r="AG767" s="2382"/>
      <c r="AH767" s="2382"/>
      <c r="AI767" s="2382"/>
      <c r="AJ767" s="2382"/>
      <c r="AK767" s="2382"/>
      <c r="AL767" s="2382"/>
      <c r="AM767" s="2382"/>
      <c r="AN767" s="2382"/>
      <c r="AO767" s="2382"/>
      <c r="AP767" s="2382"/>
      <c r="AQ767" s="2382"/>
      <c r="AR767" s="2382"/>
      <c r="AS767" s="239"/>
      <c r="AT767" s="239"/>
      <c r="AU767" s="239"/>
      <c r="AV767" s="239"/>
      <c r="AW767" s="239"/>
      <c r="AX767" s="239"/>
      <c r="AY767" s="239"/>
      <c r="CR767" s="177"/>
    </row>
    <row r="768" spans="1:16383" ht="12.75" customHeight="1">
      <c r="J768" s="2209" t="s">
        <v>406</v>
      </c>
      <c r="K768" s="2210"/>
      <c r="L768" s="2210"/>
      <c r="M768" s="2210"/>
      <c r="N768" s="2211"/>
      <c r="O768" s="2323" t="s">
        <v>290</v>
      </c>
      <c r="P768" s="2323"/>
      <c r="Q768" s="2323"/>
      <c r="R768" s="2323"/>
      <c r="S768" s="2323"/>
      <c r="T768" s="2218" t="s">
        <v>2083</v>
      </c>
      <c r="U768" s="2219"/>
      <c r="V768" s="2219"/>
      <c r="W768" s="2220"/>
      <c r="X768" s="2209" t="s">
        <v>476</v>
      </c>
      <c r="Y768" s="2210"/>
      <c r="Z768" s="2210"/>
      <c r="AA768" s="2210"/>
      <c r="AB768" s="2211"/>
      <c r="AC768" s="2209" t="s">
        <v>291</v>
      </c>
      <c r="AD768" s="2210"/>
      <c r="AE768" s="2210"/>
      <c r="AF768" s="2210"/>
      <c r="AG768" s="2211"/>
      <c r="AH768" s="1660"/>
      <c r="AI768" s="1723"/>
      <c r="AJ768" s="1723"/>
      <c r="AK768" s="1723"/>
      <c r="AL768" s="17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12"/>
      <c r="K769" s="2213"/>
      <c r="L769" s="2213"/>
      <c r="M769" s="2213"/>
      <c r="N769" s="2214"/>
      <c r="O769" s="2323"/>
      <c r="P769" s="2323"/>
      <c r="Q769" s="2323"/>
      <c r="R769" s="2323"/>
      <c r="S769" s="2323"/>
      <c r="T769" s="2221"/>
      <c r="U769" s="2222"/>
      <c r="V769" s="2222"/>
      <c r="W769" s="2223"/>
      <c r="X769" s="2212"/>
      <c r="Y769" s="2213"/>
      <c r="Z769" s="2213"/>
      <c r="AA769" s="2213"/>
      <c r="AB769" s="2214"/>
      <c r="AC769" s="2212"/>
      <c r="AD769" s="2213"/>
      <c r="AE769" s="2213"/>
      <c r="AF769" s="2213"/>
      <c r="AG769" s="2214"/>
      <c r="AH769" s="1723"/>
      <c r="AI769" s="1723"/>
      <c r="AJ769" s="1723"/>
      <c r="AK769" s="1723"/>
      <c r="AL769" s="17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12"/>
      <c r="K770" s="2213"/>
      <c r="L770" s="2213"/>
      <c r="M770" s="2213"/>
      <c r="N770" s="2214"/>
      <c r="O770" s="2323"/>
      <c r="P770" s="2323"/>
      <c r="Q770" s="2323"/>
      <c r="R770" s="2323"/>
      <c r="S770" s="2323"/>
      <c r="T770" s="2221"/>
      <c r="U770" s="2222"/>
      <c r="V770" s="2222"/>
      <c r="W770" s="2223"/>
      <c r="X770" s="2212"/>
      <c r="Y770" s="2213"/>
      <c r="Z770" s="2213"/>
      <c r="AA770" s="2213"/>
      <c r="AB770" s="2214"/>
      <c r="AC770" s="2212"/>
      <c r="AD770" s="2213"/>
      <c r="AE770" s="2213"/>
      <c r="AF770" s="2213"/>
      <c r="AG770" s="2214"/>
      <c r="AH770" s="1723"/>
      <c r="AI770" s="39"/>
      <c r="AJ770" s="39"/>
      <c r="AK770" s="1723"/>
      <c r="AL770" s="17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15"/>
      <c r="K771" s="2216"/>
      <c r="L771" s="2216"/>
      <c r="M771" s="2216"/>
      <c r="N771" s="2217"/>
      <c r="O771" s="2323"/>
      <c r="P771" s="2323"/>
      <c r="Q771" s="2323"/>
      <c r="R771" s="2323"/>
      <c r="S771" s="2323"/>
      <c r="T771" s="2224"/>
      <c r="U771" s="2225"/>
      <c r="V771" s="2225"/>
      <c r="W771" s="2226"/>
      <c r="X771" s="2215"/>
      <c r="Y771" s="2216"/>
      <c r="Z771" s="2216"/>
      <c r="AA771" s="2216"/>
      <c r="AB771" s="2217"/>
      <c r="AC771" s="2215"/>
      <c r="AD771" s="2216"/>
      <c r="AE771" s="2216"/>
      <c r="AF771" s="2216"/>
      <c r="AG771" s="2217"/>
      <c r="AH771" s="1723"/>
      <c r="AI771" s="1723"/>
      <c r="AJ771" s="1723"/>
      <c r="AK771" s="1723"/>
      <c r="AL771" s="17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88" t="s">
        <v>332</v>
      </c>
      <c r="K772" s="2189"/>
      <c r="L772" s="2189"/>
      <c r="M772" s="2189"/>
      <c r="N772" s="2190"/>
      <c r="O772" s="2265">
        <v>1</v>
      </c>
      <c r="P772" s="2265"/>
      <c r="Q772" s="2265"/>
      <c r="R772" s="2265"/>
      <c r="S772" s="2265"/>
      <c r="T772" s="1960">
        <v>356</v>
      </c>
      <c r="U772" s="1961"/>
      <c r="V772" s="1961"/>
      <c r="W772" s="1962"/>
      <c r="X772" s="2191">
        <v>0</v>
      </c>
      <c r="Y772" s="2192"/>
      <c r="Z772" s="2192"/>
      <c r="AA772" s="2192"/>
      <c r="AB772" s="2193"/>
      <c r="AC772" s="1988">
        <f>X772*O772</f>
        <v>0</v>
      </c>
      <c r="AD772" s="1989"/>
      <c r="AE772" s="1989"/>
      <c r="AF772" s="1989"/>
      <c r="AG772" s="1990"/>
      <c r="AH772" s="1724"/>
      <c r="AI772" s="1723"/>
      <c r="AJ772" s="1723"/>
      <c r="AK772" s="1724"/>
      <c r="AL772" s="17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88" t="s">
        <v>168</v>
      </c>
      <c r="K773" s="2189"/>
      <c r="L773" s="2189"/>
      <c r="M773" s="2189"/>
      <c r="N773" s="2190"/>
      <c r="O773" s="2265">
        <v>1</v>
      </c>
      <c r="P773" s="2265"/>
      <c r="Q773" s="2265"/>
      <c r="R773" s="2265"/>
      <c r="S773" s="2265"/>
      <c r="T773" s="1960">
        <v>726</v>
      </c>
      <c r="U773" s="1961"/>
      <c r="V773" s="1961"/>
      <c r="W773" s="1962"/>
      <c r="X773" s="2191">
        <v>0</v>
      </c>
      <c r="Y773" s="2192"/>
      <c r="Z773" s="2192"/>
      <c r="AA773" s="2192"/>
      <c r="AB773" s="2193"/>
      <c r="AC773" s="1988">
        <f>X773*O773</f>
        <v>0</v>
      </c>
      <c r="AD773" s="1989"/>
      <c r="AE773" s="1989"/>
      <c r="AF773" s="1989"/>
      <c r="AG773" s="1990"/>
      <c r="AH773" s="1724"/>
      <c r="AI773" s="1724"/>
      <c r="AJ773" s="1724"/>
      <c r="AK773" s="1724"/>
      <c r="AL773" s="17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88"/>
      <c r="K774" s="2189"/>
      <c r="L774" s="2189"/>
      <c r="M774" s="2189"/>
      <c r="N774" s="2190"/>
      <c r="O774" s="2265"/>
      <c r="P774" s="2265"/>
      <c r="Q774" s="2265"/>
      <c r="R774" s="2265"/>
      <c r="S774" s="2265"/>
      <c r="T774" s="1960"/>
      <c r="U774" s="1961"/>
      <c r="V774" s="1961"/>
      <c r="W774" s="1962"/>
      <c r="X774" s="2191"/>
      <c r="Y774" s="2192"/>
      <c r="Z774" s="2192"/>
      <c r="AA774" s="2192"/>
      <c r="AB774" s="2193"/>
      <c r="AC774" s="1988">
        <f>X774*O774</f>
        <v>0</v>
      </c>
      <c r="AD774" s="1989"/>
      <c r="AE774" s="1989"/>
      <c r="AF774" s="1989"/>
      <c r="AG774" s="1990"/>
      <c r="AH774" s="1724"/>
      <c r="AI774" s="1724"/>
      <c r="AJ774" s="1724"/>
      <c r="AK774" s="1724"/>
      <c r="AL774" s="17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88"/>
      <c r="K775" s="2189"/>
      <c r="L775" s="2189"/>
      <c r="M775" s="2189"/>
      <c r="N775" s="2190"/>
      <c r="O775" s="2265"/>
      <c r="P775" s="2265"/>
      <c r="Q775" s="2265"/>
      <c r="R775" s="2265"/>
      <c r="S775" s="2265"/>
      <c r="T775" s="1960"/>
      <c r="U775" s="1961"/>
      <c r="V775" s="1961"/>
      <c r="W775" s="1962"/>
      <c r="X775" s="2191"/>
      <c r="Y775" s="2192"/>
      <c r="Z775" s="2192"/>
      <c r="AA775" s="2192"/>
      <c r="AB775" s="2193"/>
      <c r="AC775" s="1988">
        <f>X775*O775</f>
        <v>0</v>
      </c>
      <c r="AD775" s="1989"/>
      <c r="AE775" s="1989"/>
      <c r="AF775" s="1989"/>
      <c r="AG775" s="1990"/>
      <c r="AH775" s="1724"/>
      <c r="AI775" s="1724"/>
      <c r="AJ775" s="1724"/>
      <c r="AK775" s="1724"/>
      <c r="AL775" s="17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52" t="s">
        <v>130</v>
      </c>
      <c r="K776" s="2253"/>
      <c r="L776" s="2253"/>
      <c r="M776" s="2253"/>
      <c r="N776" s="2254"/>
      <c r="O776" s="2269">
        <f>SUM(O772:S775)</f>
        <v>2</v>
      </c>
      <c r="P776" s="2270"/>
      <c r="Q776" s="2270"/>
      <c r="R776" s="2270"/>
      <c r="S776" s="2271"/>
      <c r="X776" s="2206" t="s">
        <v>129</v>
      </c>
      <c r="Y776" s="2207"/>
      <c r="Z776" s="2207"/>
      <c r="AA776" s="2207"/>
      <c r="AB776" s="2208"/>
      <c r="AC776" s="1988">
        <f>SUM(AC772:AG775)</f>
        <v>0</v>
      </c>
      <c r="AD776" s="1989"/>
      <c r="AE776" s="1989"/>
      <c r="AF776" s="1989"/>
      <c r="AG776" s="1990"/>
      <c r="AH776" s="39"/>
      <c r="AI776" s="1724"/>
      <c r="AJ776" s="17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73" t="s">
        <v>704</v>
      </c>
      <c r="K778" s="2273"/>
      <c r="L778" s="91"/>
      <c r="M778" s="62" t="s">
        <v>1053</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1054</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1"/>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09" t="s">
        <v>406</v>
      </c>
      <c r="K782" s="2210"/>
      <c r="L782" s="2210"/>
      <c r="M782" s="2210"/>
      <c r="N782" s="2211"/>
      <c r="O782" s="2323" t="s">
        <v>290</v>
      </c>
      <c r="P782" s="2323"/>
      <c r="Q782" s="2323"/>
      <c r="R782" s="2323"/>
      <c r="S782" s="2323"/>
      <c r="T782" s="2218" t="s">
        <v>2083</v>
      </c>
      <c r="U782" s="2219"/>
      <c r="V782" s="2219"/>
      <c r="W782" s="2220"/>
      <c r="X782" s="2209" t="s">
        <v>476</v>
      </c>
      <c r="Y782" s="2210"/>
      <c r="Z782" s="2210"/>
      <c r="AA782" s="2210"/>
      <c r="AB782" s="2211"/>
      <c r="AC782" s="2209" t="s">
        <v>291</v>
      </c>
      <c r="AD782" s="2210"/>
      <c r="AE782" s="2210"/>
      <c r="AF782" s="2210"/>
      <c r="AG782" s="2211"/>
      <c r="AH782" s="2329" t="s">
        <v>2312</v>
      </c>
      <c r="AI782" s="2210"/>
      <c r="AJ782" s="2210"/>
      <c r="AK782" s="2210"/>
      <c r="AL782" s="221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12"/>
      <c r="K783" s="2213"/>
      <c r="L783" s="2213"/>
      <c r="M783" s="2213"/>
      <c r="N783" s="2214"/>
      <c r="O783" s="2323"/>
      <c r="P783" s="2323"/>
      <c r="Q783" s="2323"/>
      <c r="R783" s="2323"/>
      <c r="S783" s="2323"/>
      <c r="T783" s="2221"/>
      <c r="U783" s="2222"/>
      <c r="V783" s="2222"/>
      <c r="W783" s="2223"/>
      <c r="X783" s="2212"/>
      <c r="Y783" s="2213"/>
      <c r="Z783" s="2213"/>
      <c r="AA783" s="2213"/>
      <c r="AB783" s="2214"/>
      <c r="AC783" s="2212"/>
      <c r="AD783" s="2213"/>
      <c r="AE783" s="2213"/>
      <c r="AF783" s="2213"/>
      <c r="AG783" s="2214"/>
      <c r="AH783" s="2212"/>
      <c r="AI783" s="2213"/>
      <c r="AJ783" s="2213"/>
      <c r="AK783" s="2213"/>
      <c r="AL783" s="221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12"/>
      <c r="K784" s="2213"/>
      <c r="L784" s="2213"/>
      <c r="M784" s="2213"/>
      <c r="N784" s="2214"/>
      <c r="O784" s="2323"/>
      <c r="P784" s="2323"/>
      <c r="Q784" s="2323"/>
      <c r="R784" s="2323"/>
      <c r="S784" s="2323"/>
      <c r="T784" s="2221"/>
      <c r="U784" s="2222"/>
      <c r="V784" s="2222"/>
      <c r="W784" s="2223"/>
      <c r="X784" s="2212"/>
      <c r="Y784" s="2213"/>
      <c r="Z784" s="2213"/>
      <c r="AA784" s="2213"/>
      <c r="AB784" s="2214"/>
      <c r="AC784" s="2212"/>
      <c r="AD784" s="2213"/>
      <c r="AE784" s="2213"/>
      <c r="AF784" s="2213"/>
      <c r="AG784" s="2214"/>
      <c r="AH784" s="2212"/>
      <c r="AI784" s="2213"/>
      <c r="AJ784" s="2213"/>
      <c r="AK784" s="2213"/>
      <c r="AL784" s="221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15"/>
      <c r="K785" s="2216"/>
      <c r="L785" s="2216"/>
      <c r="M785" s="2216"/>
      <c r="N785" s="2217"/>
      <c r="O785" s="2323"/>
      <c r="P785" s="2323"/>
      <c r="Q785" s="2323"/>
      <c r="R785" s="2323"/>
      <c r="S785" s="2323"/>
      <c r="T785" s="2224"/>
      <c r="U785" s="2225"/>
      <c r="V785" s="2225"/>
      <c r="W785" s="2226"/>
      <c r="X785" s="2215"/>
      <c r="Y785" s="2216"/>
      <c r="Z785" s="2216"/>
      <c r="AA785" s="2216"/>
      <c r="AB785" s="2217"/>
      <c r="AC785" s="2215"/>
      <c r="AD785" s="2216"/>
      <c r="AE785" s="2216"/>
      <c r="AF785" s="2216"/>
      <c r="AG785" s="2217"/>
      <c r="AH785" s="2215"/>
      <c r="AI785" s="2216"/>
      <c r="AJ785" s="2216"/>
      <c r="AK785" s="2216"/>
      <c r="AL785" s="221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88"/>
      <c r="K786" s="2189"/>
      <c r="L786" s="2189"/>
      <c r="M786" s="2189"/>
      <c r="N786" s="2190"/>
      <c r="O786" s="2265"/>
      <c r="P786" s="2265"/>
      <c r="Q786" s="2265"/>
      <c r="R786" s="2265"/>
      <c r="S786" s="2265"/>
      <c r="T786" s="1960"/>
      <c r="U786" s="1961"/>
      <c r="V786" s="1961"/>
      <c r="W786" s="1962"/>
      <c r="X786" s="2191"/>
      <c r="Y786" s="2192"/>
      <c r="Z786" s="2192"/>
      <c r="AA786" s="2192"/>
      <c r="AB786" s="2193"/>
      <c r="AC786" s="1988">
        <f t="shared" ref="AC786:AC795" si="50">X786*O786</f>
        <v>0</v>
      </c>
      <c r="AD786" s="1989"/>
      <c r="AE786" s="1989"/>
      <c r="AF786" s="1989"/>
      <c r="AG786" s="1990"/>
      <c r="AH786" s="2194"/>
      <c r="AI786" s="2195"/>
      <c r="AJ786" s="2195"/>
      <c r="AK786" s="2195"/>
      <c r="AL786" s="219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88"/>
      <c r="K787" s="2189"/>
      <c r="L787" s="2189"/>
      <c r="M787" s="2189"/>
      <c r="N787" s="2190"/>
      <c r="O787" s="2265"/>
      <c r="P787" s="2265"/>
      <c r="Q787" s="2265"/>
      <c r="R787" s="2265"/>
      <c r="S787" s="2265"/>
      <c r="T787" s="1960"/>
      <c r="U787" s="1961"/>
      <c r="V787" s="1961"/>
      <c r="W787" s="1962"/>
      <c r="X787" s="2191"/>
      <c r="Y787" s="2192"/>
      <c r="Z787" s="2192"/>
      <c r="AA787" s="2192"/>
      <c r="AB787" s="2193"/>
      <c r="AC787" s="1988">
        <f t="shared" si="50"/>
        <v>0</v>
      </c>
      <c r="AD787" s="1989"/>
      <c r="AE787" s="1989"/>
      <c r="AF787" s="1989"/>
      <c r="AG787" s="1990"/>
      <c r="AH787" s="2194"/>
      <c r="AI787" s="2195"/>
      <c r="AJ787" s="2195"/>
      <c r="AK787" s="2195"/>
      <c r="AL787" s="219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88"/>
      <c r="K788" s="2189"/>
      <c r="L788" s="2189"/>
      <c r="M788" s="2189"/>
      <c r="N788" s="2190"/>
      <c r="O788" s="2265"/>
      <c r="P788" s="2265"/>
      <c r="Q788" s="2265"/>
      <c r="R788" s="2265"/>
      <c r="S788" s="2265"/>
      <c r="T788" s="1960"/>
      <c r="U788" s="1961"/>
      <c r="V788" s="1961"/>
      <c r="W788" s="1962"/>
      <c r="X788" s="2191"/>
      <c r="Y788" s="2192"/>
      <c r="Z788" s="2192"/>
      <c r="AA788" s="2192"/>
      <c r="AB788" s="2193"/>
      <c r="AC788" s="1988">
        <f t="shared" si="50"/>
        <v>0</v>
      </c>
      <c r="AD788" s="1989"/>
      <c r="AE788" s="1989"/>
      <c r="AF788" s="1989"/>
      <c r="AG788" s="1990"/>
      <c r="AH788" s="2194"/>
      <c r="AI788" s="2195"/>
      <c r="AJ788" s="2195"/>
      <c r="AK788" s="2195"/>
      <c r="AL788" s="219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88"/>
      <c r="K789" s="2189"/>
      <c r="L789" s="2189"/>
      <c r="M789" s="2189"/>
      <c r="N789" s="2190"/>
      <c r="O789" s="2265"/>
      <c r="P789" s="2265"/>
      <c r="Q789" s="2265"/>
      <c r="R789" s="2265"/>
      <c r="S789" s="2265"/>
      <c r="T789" s="1960"/>
      <c r="U789" s="1961"/>
      <c r="V789" s="1961"/>
      <c r="W789" s="1962"/>
      <c r="X789" s="2191"/>
      <c r="Y789" s="2192"/>
      <c r="Z789" s="2192"/>
      <c r="AA789" s="2192"/>
      <c r="AB789" s="2193"/>
      <c r="AC789" s="1988">
        <f t="shared" si="50"/>
        <v>0</v>
      </c>
      <c r="AD789" s="1989"/>
      <c r="AE789" s="1989"/>
      <c r="AF789" s="1989"/>
      <c r="AG789" s="1990"/>
      <c r="AH789" s="2194"/>
      <c r="AI789" s="2195"/>
      <c r="AJ789" s="2195"/>
      <c r="AK789" s="2195"/>
      <c r="AL789" s="219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88"/>
      <c r="K790" s="2189"/>
      <c r="L790" s="2189"/>
      <c r="M790" s="2189"/>
      <c r="N790" s="2190"/>
      <c r="O790" s="2265"/>
      <c r="P790" s="2265"/>
      <c r="Q790" s="2265"/>
      <c r="R790" s="2265"/>
      <c r="S790" s="2265"/>
      <c r="T790" s="1960"/>
      <c r="U790" s="1961"/>
      <c r="V790" s="1961"/>
      <c r="W790" s="1962"/>
      <c r="X790" s="2191"/>
      <c r="Y790" s="2192"/>
      <c r="Z790" s="2192"/>
      <c r="AA790" s="2192"/>
      <c r="AB790" s="2193"/>
      <c r="AC790" s="1988">
        <f t="shared" si="50"/>
        <v>0</v>
      </c>
      <c r="AD790" s="1989"/>
      <c r="AE790" s="1989"/>
      <c r="AF790" s="1989"/>
      <c r="AG790" s="1990"/>
      <c r="AH790" s="2194"/>
      <c r="AI790" s="2195"/>
      <c r="AJ790" s="2195"/>
      <c r="AK790" s="2195"/>
      <c r="AL790" s="219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88"/>
      <c r="K791" s="2189"/>
      <c r="L791" s="2189"/>
      <c r="M791" s="2189"/>
      <c r="N791" s="2190"/>
      <c r="O791" s="2265"/>
      <c r="P791" s="2265"/>
      <c r="Q791" s="2265"/>
      <c r="R791" s="2265"/>
      <c r="S791" s="2265"/>
      <c r="T791" s="1960"/>
      <c r="U791" s="1961"/>
      <c r="V791" s="1961"/>
      <c r="W791" s="1962"/>
      <c r="X791" s="2191"/>
      <c r="Y791" s="2192"/>
      <c r="Z791" s="2192"/>
      <c r="AA791" s="2192"/>
      <c r="AB791" s="2193"/>
      <c r="AC791" s="1988">
        <f t="shared" si="50"/>
        <v>0</v>
      </c>
      <c r="AD791" s="1989"/>
      <c r="AE791" s="1989"/>
      <c r="AF791" s="1989"/>
      <c r="AG791" s="1990"/>
      <c r="AH791" s="2194"/>
      <c r="AI791" s="2195"/>
      <c r="AJ791" s="2195"/>
      <c r="AK791" s="2195"/>
      <c r="AL791" s="219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88"/>
      <c r="K792" s="2189"/>
      <c r="L792" s="2189"/>
      <c r="M792" s="2189"/>
      <c r="N792" s="2190"/>
      <c r="O792" s="2265"/>
      <c r="P792" s="2265"/>
      <c r="Q792" s="2265"/>
      <c r="R792" s="2265"/>
      <c r="S792" s="2265"/>
      <c r="T792" s="1960"/>
      <c r="U792" s="1961"/>
      <c r="V792" s="1961"/>
      <c r="W792" s="1962"/>
      <c r="X792" s="2191"/>
      <c r="Y792" s="2192"/>
      <c r="Z792" s="2192"/>
      <c r="AA792" s="2192"/>
      <c r="AB792" s="2193"/>
      <c r="AC792" s="1988">
        <f t="shared" si="50"/>
        <v>0</v>
      </c>
      <c r="AD792" s="1989"/>
      <c r="AE792" s="1989"/>
      <c r="AF792" s="1989"/>
      <c r="AG792" s="1990"/>
      <c r="AH792" s="2194"/>
      <c r="AI792" s="2195"/>
      <c r="AJ792" s="2195"/>
      <c r="AK792" s="2195"/>
      <c r="AL792" s="219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88"/>
      <c r="K793" s="2189"/>
      <c r="L793" s="2189"/>
      <c r="M793" s="2189"/>
      <c r="N793" s="2190"/>
      <c r="O793" s="2265"/>
      <c r="P793" s="2265"/>
      <c r="Q793" s="2265"/>
      <c r="R793" s="2265"/>
      <c r="S793" s="2265"/>
      <c r="T793" s="1960"/>
      <c r="U793" s="1961"/>
      <c r="V793" s="1961"/>
      <c r="W793" s="1962"/>
      <c r="X793" s="2191"/>
      <c r="Y793" s="2192"/>
      <c r="Z793" s="2192"/>
      <c r="AA793" s="2192"/>
      <c r="AB793" s="2193"/>
      <c r="AC793" s="1988">
        <f t="shared" si="50"/>
        <v>0</v>
      </c>
      <c r="AD793" s="1989"/>
      <c r="AE793" s="1989"/>
      <c r="AF793" s="1989"/>
      <c r="AG793" s="1990"/>
      <c r="AH793" s="2194"/>
      <c r="AI793" s="2195"/>
      <c r="AJ793" s="2195"/>
      <c r="AK793" s="2195"/>
      <c r="AL793" s="219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88"/>
      <c r="K794" s="2189"/>
      <c r="L794" s="2189"/>
      <c r="M794" s="2189"/>
      <c r="N794" s="2190"/>
      <c r="O794" s="2265"/>
      <c r="P794" s="2265"/>
      <c r="Q794" s="2265"/>
      <c r="R794" s="2265"/>
      <c r="S794" s="2265"/>
      <c r="T794" s="1960"/>
      <c r="U794" s="1961"/>
      <c r="V794" s="1961"/>
      <c r="W794" s="1962"/>
      <c r="X794" s="2191"/>
      <c r="Y794" s="2192"/>
      <c r="Z794" s="2192"/>
      <c r="AA794" s="2192"/>
      <c r="AB794" s="2193"/>
      <c r="AC794" s="1988">
        <f t="shared" si="50"/>
        <v>0</v>
      </c>
      <c r="AD794" s="1989"/>
      <c r="AE794" s="1989"/>
      <c r="AF794" s="1989"/>
      <c r="AG794" s="1990"/>
      <c r="AH794" s="2194"/>
      <c r="AI794" s="2195"/>
      <c r="AJ794" s="2195"/>
      <c r="AK794" s="2195"/>
      <c r="AL794" s="219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88"/>
      <c r="K795" s="2189"/>
      <c r="L795" s="2189"/>
      <c r="M795" s="2189"/>
      <c r="N795" s="2190"/>
      <c r="O795" s="2265"/>
      <c r="P795" s="2265"/>
      <c r="Q795" s="2265"/>
      <c r="R795" s="2265"/>
      <c r="S795" s="2265"/>
      <c r="T795" s="1960"/>
      <c r="U795" s="1961"/>
      <c r="V795" s="1961"/>
      <c r="W795" s="1962"/>
      <c r="X795" s="2191"/>
      <c r="Y795" s="2192"/>
      <c r="Z795" s="2192"/>
      <c r="AA795" s="2192"/>
      <c r="AB795" s="2193"/>
      <c r="AC795" s="1988">
        <f t="shared" si="50"/>
        <v>0</v>
      </c>
      <c r="AD795" s="1989"/>
      <c r="AE795" s="1989"/>
      <c r="AF795" s="1989"/>
      <c r="AG795" s="1990"/>
      <c r="AH795" s="2194"/>
      <c r="AI795" s="2195"/>
      <c r="AJ795" s="2195"/>
      <c r="AK795" s="2195"/>
      <c r="AL795" s="219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52" t="s">
        <v>130</v>
      </c>
      <c r="K796" s="2253"/>
      <c r="L796" s="2253"/>
      <c r="M796" s="2253"/>
      <c r="N796" s="2254"/>
      <c r="O796" s="2381">
        <f>SUM(O786:S795)</f>
        <v>0</v>
      </c>
      <c r="P796" s="2381"/>
      <c r="Q796" s="2381"/>
      <c r="R796" s="2381"/>
      <c r="S796" s="2381"/>
      <c r="X796" s="1507" t="s">
        <v>129</v>
      </c>
      <c r="Y796" s="1508"/>
      <c r="Z796" s="1508"/>
      <c r="AA796" s="1508"/>
      <c r="AB796" s="1509"/>
      <c r="AC796" s="1988">
        <f>SUM(AC786:AG795)</f>
        <v>0</v>
      </c>
      <c r="AD796" s="1989"/>
      <c r="AE796" s="1989"/>
      <c r="AF796" s="1989"/>
      <c r="AG796" s="199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4">
        <f>T753+AC776+AC796</f>
        <v>148952</v>
      </c>
      <c r="Z798" s="2324"/>
      <c r="AA798" s="2324"/>
      <c r="AB798" s="2324"/>
      <c r="AC798" s="232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4">
        <f>(T753+AC776+AC796)*12</f>
        <v>1787424</v>
      </c>
      <c r="Z799" s="2324"/>
      <c r="AA799" s="2324"/>
      <c r="AB799" s="2324"/>
      <c r="AC799" s="2324"/>
      <c r="AZ799" s="58"/>
      <c r="BA799" s="51" t="s">
        <v>665</v>
      </c>
      <c r="BB799" s="51"/>
      <c r="BC799" s="51"/>
      <c r="BD799" s="51"/>
      <c r="BE799" s="51"/>
      <c r="BF799" s="51"/>
      <c r="BG799" s="51"/>
      <c r="BH799" s="51"/>
      <c r="BI799" s="51"/>
      <c r="BJ799" s="51"/>
      <c r="BK799" s="51"/>
      <c r="BL799" s="51"/>
      <c r="BM799" s="51"/>
      <c r="BN799" s="2321" t="s">
        <v>500</v>
      </c>
      <c r="BO799" s="2322"/>
      <c r="BP799" s="58"/>
      <c r="BQ799" s="58"/>
      <c r="BR799" s="58"/>
      <c r="BS799" s="51" t="s">
        <v>667</v>
      </c>
      <c r="BT799" s="51"/>
      <c r="BU799" s="51"/>
      <c r="BV799" s="51"/>
      <c r="BW799" s="51"/>
      <c r="BX799" s="51"/>
      <c r="BY799" s="51"/>
      <c r="BZ799" s="51"/>
      <c r="CA799" s="51"/>
      <c r="CB799" s="2318" t="str">
        <f>T189</f>
        <v>San Francisco</v>
      </c>
      <c r="CC799" s="2319"/>
      <c r="CD799" s="2319"/>
      <c r="CE799" s="2319"/>
      <c r="CF799" s="2319"/>
      <c r="CG799" s="2319"/>
      <c r="CH799" s="232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3">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2475</v>
      </c>
      <c r="BP802" s="54"/>
      <c r="BQ802" s="54"/>
      <c r="BR802" s="54"/>
      <c r="BS802" s="54"/>
      <c r="BT802" s="54"/>
      <c r="BV802" s="53" t="s">
        <v>2476</v>
      </c>
      <c r="CB802" s="107"/>
      <c r="CC802" s="107"/>
      <c r="CD802" s="107"/>
      <c r="CE802" s="107"/>
      <c r="CF802" s="107"/>
      <c r="CG802" s="107"/>
      <c r="CH802" s="107"/>
      <c r="CI802" s="107"/>
      <c r="CJ802" s="107"/>
      <c r="CK802" s="107"/>
      <c r="CL802" s="107"/>
      <c r="CM802" s="107"/>
      <c r="CN802" s="107"/>
      <c r="CO802" s="107"/>
      <c r="CP802" s="107"/>
      <c r="CQ802" s="107"/>
      <c r="CR802" s="170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37">
        <v>14</v>
      </c>
      <c r="AA804" s="2338"/>
      <c r="AB804" s="2338"/>
      <c r="AC804" s="2338"/>
      <c r="AD804" s="2338"/>
      <c r="AE804" s="233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387">
        <v>20</v>
      </c>
      <c r="AA805" s="2338"/>
      <c r="AB805" s="2338"/>
      <c r="AC805" s="2338"/>
      <c r="AD805" s="2338"/>
      <c r="AE805" s="233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9"/>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76">
        <v>0</v>
      </c>
      <c r="AA806" s="2307"/>
      <c r="AB806" s="2307"/>
      <c r="AC806" s="2307"/>
      <c r="AD806" s="2307"/>
      <c r="AE806" s="233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9"/>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66">
        <f>'Subsidy Contract Calculation'!I30</f>
        <v>312864</v>
      </c>
      <c r="AA807" s="2267"/>
      <c r="AB807" s="2267"/>
      <c r="AC807" s="2267"/>
      <c r="AD807" s="2267"/>
      <c r="AE807" s="226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9"/>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709"/>
      <c r="CS808" s="107"/>
      <c r="CT808" s="107"/>
      <c r="CU808" s="107"/>
      <c r="CV808" s="107"/>
      <c r="CW808" s="107"/>
      <c r="CX808" s="107"/>
      <c r="CY808" s="107"/>
      <c r="CZ808" s="107"/>
      <c r="DA808" s="107"/>
      <c r="DB808" s="107"/>
      <c r="DC808" s="107"/>
      <c r="DD808" s="107"/>
      <c r="DE808" s="107"/>
      <c r="DF808" s="107"/>
    </row>
    <row r="809" spans="1:110" s="7" customFormat="1" ht="14">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0">
        <v>384234</v>
      </c>
      <c r="BQ809" s="510">
        <v>443018</v>
      </c>
      <c r="BR809" s="510">
        <v>534400</v>
      </c>
      <c r="BS809" s="510">
        <v>684032</v>
      </c>
      <c r="BT809" s="510">
        <v>762054</v>
      </c>
      <c r="BU809" s="56"/>
      <c r="BV809" s="36" t="s">
        <v>669</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1"/>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08">
        <v>278972</v>
      </c>
      <c r="BQ810" s="508">
        <v>321652</v>
      </c>
      <c r="BR810" s="508">
        <v>388000</v>
      </c>
      <c r="BS810" s="508">
        <v>496640</v>
      </c>
      <c r="BT810" s="508">
        <v>553288</v>
      </c>
      <c r="BU810" s="56"/>
      <c r="BV810" s="36" t="s">
        <v>670</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5">
        <v>6240</v>
      </c>
      <c r="AA811" s="1986"/>
      <c r="AB811" s="1986"/>
      <c r="AC811" s="1986"/>
      <c r="AD811" s="1986"/>
      <c r="AE811" s="198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0">
        <v>278972</v>
      </c>
      <c r="BQ811" s="510">
        <v>321652</v>
      </c>
      <c r="BR811" s="510">
        <v>388000</v>
      </c>
      <c r="BS811" s="510">
        <v>496640</v>
      </c>
      <c r="BT811" s="510">
        <v>553288</v>
      </c>
      <c r="BU811" s="56"/>
      <c r="BV811" s="36" t="s">
        <v>348</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5"/>
      <c r="AA812" s="1986"/>
      <c r="AB812" s="1986"/>
      <c r="AC812" s="1986"/>
      <c r="AD812" s="1986"/>
      <c r="AE812" s="198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08">
        <v>246186</v>
      </c>
      <c r="BQ812" s="508">
        <v>283850</v>
      </c>
      <c r="BR812" s="508">
        <v>342400</v>
      </c>
      <c r="BS812" s="508">
        <v>438272</v>
      </c>
      <c r="BT812" s="508">
        <v>488262</v>
      </c>
      <c r="BU812" s="56"/>
      <c r="BV812" s="36" t="s">
        <v>695</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1"/>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5"/>
      <c r="AA813" s="1986"/>
      <c r="AB813" s="1986"/>
      <c r="AC813" s="1986"/>
      <c r="AD813" s="1986"/>
      <c r="AE813" s="198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0">
        <v>278972</v>
      </c>
      <c r="BQ813" s="510">
        <v>321652</v>
      </c>
      <c r="BR813" s="510">
        <v>388000</v>
      </c>
      <c r="BS813" s="510">
        <v>496640</v>
      </c>
      <c r="BT813" s="510">
        <v>553288</v>
      </c>
      <c r="BU813" s="56"/>
      <c r="BV813" s="36" t="s">
        <v>696</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78" t="s">
        <v>342</v>
      </c>
      <c r="Q814" s="2279"/>
      <c r="R814" s="2279"/>
      <c r="S814" s="2279"/>
      <c r="T814" s="2279"/>
      <c r="U814" s="2279"/>
      <c r="V814" s="2279"/>
      <c r="W814" s="2279"/>
      <c r="X814" s="2279"/>
      <c r="Y814" s="2280"/>
      <c r="Z814" s="1985"/>
      <c r="AA814" s="1986"/>
      <c r="AB814" s="1986"/>
      <c r="AC814" s="1986"/>
      <c r="AD814" s="1986"/>
      <c r="AE814" s="198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08">
        <v>278972</v>
      </c>
      <c r="BQ814" s="508">
        <v>321652</v>
      </c>
      <c r="BR814" s="508">
        <v>388000</v>
      </c>
      <c r="BS814" s="508">
        <v>496640</v>
      </c>
      <c r="BT814" s="508">
        <v>553288</v>
      </c>
      <c r="BU814" s="56"/>
      <c r="BV814" s="36" t="s">
        <v>697</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66">
        <f>SUM(Z811:AE814)</f>
        <v>6240</v>
      </c>
      <c r="AA815" s="2267"/>
      <c r="AB815" s="2267"/>
      <c r="AC815" s="2267"/>
      <c r="AD815" s="2267"/>
      <c r="AE815" s="226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0">
        <v>384234</v>
      </c>
      <c r="BQ815" s="510">
        <v>443018</v>
      </c>
      <c r="BR815" s="510">
        <v>534400</v>
      </c>
      <c r="BS815" s="510">
        <v>684032</v>
      </c>
      <c r="BT815" s="510">
        <v>762054</v>
      </c>
      <c r="BU815" s="56"/>
      <c r="BV815" s="36" t="s">
        <v>698</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266">
        <f>Z815+Y799+Z807</f>
        <v>2106528</v>
      </c>
      <c r="AA816" s="2267"/>
      <c r="AB816" s="2267"/>
      <c r="AC816" s="2267"/>
      <c r="AD816" s="2267"/>
      <c r="AE816" s="226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08">
        <v>278972</v>
      </c>
      <c r="BQ816" s="508">
        <v>321652</v>
      </c>
      <c r="BR816" s="508">
        <v>388000</v>
      </c>
      <c r="BS816" s="508">
        <v>496640</v>
      </c>
      <c r="BT816" s="508">
        <v>553288</v>
      </c>
      <c r="BU816" s="56"/>
      <c r="BV816" s="36" t="s">
        <v>699</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0">
        <v>278397</v>
      </c>
      <c r="BQ817" s="510">
        <v>320989</v>
      </c>
      <c r="BR817" s="510">
        <v>387200</v>
      </c>
      <c r="BS817" s="510">
        <v>495616</v>
      </c>
      <c r="BT817" s="510">
        <v>552147</v>
      </c>
      <c r="BU817" s="56"/>
      <c r="BV817" s="36" t="s">
        <v>700</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1"/>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08">
        <v>238133</v>
      </c>
      <c r="BQ818" s="508">
        <v>274565</v>
      </c>
      <c r="BR818" s="508">
        <v>331200</v>
      </c>
      <c r="BS818" s="508">
        <v>423936</v>
      </c>
      <c r="BT818" s="508">
        <v>472291</v>
      </c>
      <c r="BU818" s="56"/>
      <c r="BV818" s="36" t="s">
        <v>702</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0">
        <v>278972</v>
      </c>
      <c r="BQ819" s="510">
        <v>321652</v>
      </c>
      <c r="BR819" s="510">
        <v>388000</v>
      </c>
      <c r="BS819" s="510">
        <v>496640</v>
      </c>
      <c r="BT819" s="510">
        <v>553288</v>
      </c>
      <c r="BU819" s="56"/>
      <c r="BV819" s="36" t="s">
        <v>705</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08">
        <v>278972</v>
      </c>
      <c r="BQ820" s="508">
        <v>321652</v>
      </c>
      <c r="BR820" s="508">
        <v>388000</v>
      </c>
      <c r="BS820" s="508">
        <v>496640</v>
      </c>
      <c r="BT820" s="508">
        <v>553288</v>
      </c>
      <c r="BU820" s="56"/>
      <c r="BV820" s="36" t="s">
        <v>706</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72" t="s">
        <v>131</v>
      </c>
      <c r="N821" s="2372"/>
      <c r="O821" s="2372"/>
      <c r="P821" s="2373"/>
      <c r="Q821" s="2258" t="s">
        <v>297</v>
      </c>
      <c r="R821" s="2258"/>
      <c r="S821" s="2258"/>
      <c r="T821" s="2258"/>
      <c r="U821" s="2258" t="s">
        <v>298</v>
      </c>
      <c r="V821" s="2258"/>
      <c r="W821" s="2258"/>
      <c r="X821" s="2258"/>
      <c r="Y821" s="2258" t="s">
        <v>299</v>
      </c>
      <c r="Z821" s="2258"/>
      <c r="AA821" s="2258"/>
      <c r="AB821" s="2258"/>
      <c r="AC821" s="2258" t="s">
        <v>370</v>
      </c>
      <c r="AD821" s="2258"/>
      <c r="AE821" s="2258"/>
      <c r="AF821" s="2258"/>
      <c r="AG821" s="2200" t="s">
        <v>343</v>
      </c>
      <c r="AH821" s="2200"/>
      <c r="AI821" s="2200"/>
      <c r="AJ821" s="220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0">
        <v>240434</v>
      </c>
      <c r="BQ821" s="510">
        <v>277218</v>
      </c>
      <c r="BR821" s="510">
        <v>334400</v>
      </c>
      <c r="BS821" s="510">
        <v>428032</v>
      </c>
      <c r="BT821" s="510">
        <v>476854</v>
      </c>
      <c r="BU821" s="56"/>
      <c r="BV821" s="36" t="s">
        <v>708</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74"/>
      <c r="N822" s="2374"/>
      <c r="O822" s="2374"/>
      <c r="P822" s="2375"/>
      <c r="Q822" s="2258"/>
      <c r="R822" s="2258"/>
      <c r="S822" s="2258"/>
      <c r="T822" s="2258"/>
      <c r="U822" s="2258"/>
      <c r="V822" s="2258"/>
      <c r="W822" s="2258"/>
      <c r="X822" s="2258"/>
      <c r="Y822" s="2258"/>
      <c r="Z822" s="2258"/>
      <c r="AA822" s="2258"/>
      <c r="AB822" s="2258"/>
      <c r="AC822" s="2258"/>
      <c r="AD822" s="2258"/>
      <c r="AE822" s="2258"/>
      <c r="AF822" s="2258"/>
      <c r="AG822" s="2200"/>
      <c r="AH822" s="2200"/>
      <c r="AI822" s="2200"/>
      <c r="AJ822" s="220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08">
        <v>278972</v>
      </c>
      <c r="BQ822" s="508">
        <v>321652</v>
      </c>
      <c r="BR822" s="508">
        <v>388000</v>
      </c>
      <c r="BS822" s="508">
        <v>496640</v>
      </c>
      <c r="BT822" s="508">
        <v>553288</v>
      </c>
      <c r="BU822" s="56"/>
      <c r="BV822" s="36" t="s">
        <v>709</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1"/>
      <c r="CS822" s="61"/>
      <c r="CT822" s="61"/>
      <c r="CU822" s="61"/>
      <c r="CV822" s="61"/>
      <c r="CW822" s="61"/>
      <c r="CX822" s="61"/>
      <c r="CY822" s="61"/>
      <c r="CZ822" s="61"/>
      <c r="DA822" s="61"/>
      <c r="DB822" s="61"/>
      <c r="DC822" s="61"/>
      <c r="DD822" s="61"/>
      <c r="DE822" s="61"/>
      <c r="DF822" s="61"/>
    </row>
    <row r="823" spans="1:110" s="7" customFormat="1" ht="12.75" customHeight="1">
      <c r="A823" s="12"/>
      <c r="B823" s="12"/>
      <c r="C823" s="2184" t="s">
        <v>43</v>
      </c>
      <c r="D823" s="2185"/>
      <c r="E823" s="2185"/>
      <c r="F823" s="2185"/>
      <c r="G823" s="2185"/>
      <c r="H823" s="2185"/>
      <c r="I823" s="80"/>
      <c r="J823" s="80"/>
      <c r="K823" s="80"/>
      <c r="L823" s="81"/>
      <c r="M823" s="2260">
        <v>6.05</v>
      </c>
      <c r="N823" s="2260"/>
      <c r="O823" s="2260"/>
      <c r="P823" s="2260"/>
      <c r="Q823" s="2260"/>
      <c r="R823" s="2260"/>
      <c r="S823" s="2260"/>
      <c r="T823" s="2260"/>
      <c r="U823" s="2260">
        <v>10.5</v>
      </c>
      <c r="V823" s="2260"/>
      <c r="W823" s="2260"/>
      <c r="X823" s="2260"/>
      <c r="Y823" s="2260"/>
      <c r="Z823" s="2260"/>
      <c r="AA823" s="2260"/>
      <c r="AB823" s="2260"/>
      <c r="AC823" s="2018"/>
      <c r="AD823" s="2019"/>
      <c r="AE823" s="2019"/>
      <c r="AF823" s="2020"/>
      <c r="AG823" s="2018"/>
      <c r="AH823" s="2019"/>
      <c r="AI823" s="2019"/>
      <c r="AJ823" s="202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0">
        <v>238133</v>
      </c>
      <c r="BQ823" s="510">
        <v>274565</v>
      </c>
      <c r="BR823" s="510">
        <v>331200</v>
      </c>
      <c r="BS823" s="510">
        <v>423936</v>
      </c>
      <c r="BT823" s="510">
        <v>472291</v>
      </c>
      <c r="BU823" s="56"/>
      <c r="BV823" s="36" t="s">
        <v>216</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1"/>
      <c r="CS823" s="61"/>
      <c r="CT823" s="61"/>
      <c r="CU823" s="61"/>
      <c r="CV823" s="61"/>
      <c r="CW823" s="61"/>
      <c r="CX823" s="61"/>
      <c r="CY823" s="61"/>
      <c r="CZ823" s="61"/>
      <c r="DA823" s="61"/>
      <c r="DB823" s="61"/>
      <c r="DC823" s="61"/>
      <c r="DD823" s="61"/>
      <c r="DE823" s="61"/>
      <c r="DF823" s="61"/>
    </row>
    <row r="824" spans="1:110" s="7" customFormat="1" ht="12.75" customHeight="1">
      <c r="A824" s="12"/>
      <c r="B824" s="12"/>
      <c r="C824" s="2186" t="s">
        <v>44</v>
      </c>
      <c r="D824" s="2187"/>
      <c r="E824" s="2187"/>
      <c r="F824" s="2187"/>
      <c r="G824" s="2187"/>
      <c r="H824" s="2187"/>
      <c r="I824" s="77"/>
      <c r="J824" s="77"/>
      <c r="K824" s="77"/>
      <c r="L824" s="78"/>
      <c r="M824" s="2260"/>
      <c r="N824" s="2260"/>
      <c r="O824" s="2260"/>
      <c r="P824" s="2260"/>
      <c r="Q824" s="2260"/>
      <c r="R824" s="2260"/>
      <c r="S824" s="2260"/>
      <c r="T824" s="2260"/>
      <c r="U824" s="2260"/>
      <c r="V824" s="2260"/>
      <c r="W824" s="2260"/>
      <c r="X824" s="2260"/>
      <c r="Y824" s="2260"/>
      <c r="Z824" s="2260"/>
      <c r="AA824" s="2260"/>
      <c r="AB824" s="2260"/>
      <c r="AC824" s="2018"/>
      <c r="AD824" s="2019"/>
      <c r="AE824" s="2019"/>
      <c r="AF824" s="2020"/>
      <c r="AG824" s="2018"/>
      <c r="AH824" s="2019"/>
      <c r="AI824" s="2019"/>
      <c r="AJ824" s="202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8">
        <v>238133</v>
      </c>
      <c r="BQ824" s="508">
        <v>274565</v>
      </c>
      <c r="BR824" s="508">
        <v>331200</v>
      </c>
      <c r="BS824" s="508">
        <v>423936</v>
      </c>
      <c r="BT824" s="508">
        <v>472291</v>
      </c>
      <c r="BU824" s="56"/>
      <c r="BV824" s="36" t="s">
        <v>218</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1"/>
      <c r="CS824" s="61"/>
      <c r="CT824" s="61"/>
      <c r="CU824" s="61"/>
      <c r="CV824" s="61"/>
      <c r="CW824" s="61"/>
      <c r="CX824" s="61"/>
      <c r="CY824" s="61"/>
      <c r="CZ824" s="61"/>
      <c r="DA824" s="61"/>
      <c r="DB824" s="61"/>
      <c r="DC824" s="61"/>
      <c r="DD824" s="61"/>
      <c r="DE824" s="61"/>
      <c r="DF824" s="61"/>
    </row>
    <row r="825" spans="1:110" s="7" customFormat="1" ht="12.75" customHeight="1">
      <c r="A825" s="12"/>
      <c r="B825" s="12"/>
      <c r="C825" s="2186" t="s">
        <v>45</v>
      </c>
      <c r="D825" s="2187"/>
      <c r="E825" s="2187"/>
      <c r="F825" s="2187"/>
      <c r="G825" s="2187"/>
      <c r="H825" s="2187"/>
      <c r="I825" s="96"/>
      <c r="J825" s="96"/>
      <c r="K825" s="96"/>
      <c r="L825" s="97"/>
      <c r="M825" s="2018">
        <v>9.39</v>
      </c>
      <c r="N825" s="2019"/>
      <c r="O825" s="2019"/>
      <c r="P825" s="2020"/>
      <c r="Q825" s="2260"/>
      <c r="R825" s="2260"/>
      <c r="S825" s="2260"/>
      <c r="T825" s="2260"/>
      <c r="U825" s="2260">
        <v>12.45</v>
      </c>
      <c r="V825" s="2260"/>
      <c r="W825" s="2260"/>
      <c r="X825" s="2260"/>
      <c r="Y825" s="2260"/>
      <c r="Z825" s="2260"/>
      <c r="AA825" s="2260"/>
      <c r="AB825" s="2260"/>
      <c r="AC825" s="2018"/>
      <c r="AD825" s="2019"/>
      <c r="AE825" s="2019"/>
      <c r="AF825" s="2020"/>
      <c r="AG825" s="2018"/>
      <c r="AH825" s="2019"/>
      <c r="AI825" s="2019"/>
      <c r="AJ825" s="202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0">
        <v>278972</v>
      </c>
      <c r="BQ825" s="510">
        <v>321652</v>
      </c>
      <c r="BR825" s="510">
        <v>388000</v>
      </c>
      <c r="BS825" s="510">
        <v>496640</v>
      </c>
      <c r="BT825" s="510">
        <v>553288</v>
      </c>
      <c r="BU825" s="56"/>
      <c r="BV825" s="36" t="s">
        <v>219</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1"/>
      <c r="CS825" s="61"/>
      <c r="CT825" s="61"/>
      <c r="CU825" s="61"/>
      <c r="CV825" s="61"/>
      <c r="CW825" s="61"/>
      <c r="CX825" s="61"/>
      <c r="CY825" s="61"/>
      <c r="CZ825" s="61"/>
      <c r="DA825" s="61"/>
      <c r="DB825" s="61"/>
      <c r="DC825" s="61"/>
      <c r="DD825" s="61"/>
      <c r="DE825" s="61"/>
      <c r="DF825" s="61"/>
    </row>
    <row r="826" spans="1:110" s="7" customFormat="1" ht="12.75" customHeight="1">
      <c r="A826" s="12"/>
      <c r="B826" s="12"/>
      <c r="C826" s="2186" t="s">
        <v>818</v>
      </c>
      <c r="D826" s="2187"/>
      <c r="E826" s="2187"/>
      <c r="F826" s="2187"/>
      <c r="G826" s="2187"/>
      <c r="H826" s="2187"/>
      <c r="I826" s="96"/>
      <c r="J826" s="96"/>
      <c r="K826" s="96"/>
      <c r="L826" s="97"/>
      <c r="M826" s="2260">
        <v>5.03</v>
      </c>
      <c r="N826" s="2260"/>
      <c r="O826" s="2260"/>
      <c r="P826" s="2260"/>
      <c r="Q826" s="2260"/>
      <c r="R826" s="2260"/>
      <c r="S826" s="2260"/>
      <c r="T826" s="2260"/>
      <c r="U826" s="2260">
        <v>8.1999999999999993</v>
      </c>
      <c r="V826" s="2260"/>
      <c r="W826" s="2260"/>
      <c r="X826" s="2260"/>
      <c r="Y826" s="2260"/>
      <c r="Z826" s="2260"/>
      <c r="AA826" s="2260"/>
      <c r="AB826" s="2260"/>
      <c r="AC826" s="2018"/>
      <c r="AD826" s="2019"/>
      <c r="AE826" s="2019"/>
      <c r="AF826" s="2020"/>
      <c r="AG826" s="2018"/>
      <c r="AH826" s="2019"/>
      <c r="AI826" s="2019"/>
      <c r="AJ826" s="202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8">
        <v>278972</v>
      </c>
      <c r="BQ826" s="508">
        <v>321652</v>
      </c>
      <c r="BR826" s="508">
        <v>388000</v>
      </c>
      <c r="BS826" s="508">
        <v>496640</v>
      </c>
      <c r="BT826" s="508">
        <v>553288</v>
      </c>
      <c r="BU826" s="56"/>
      <c r="BV826" s="36" t="s">
        <v>221</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1"/>
      <c r="CS826" s="61"/>
      <c r="CT826" s="61"/>
      <c r="CU826" s="61"/>
      <c r="CV826" s="61"/>
      <c r="CW826" s="61"/>
      <c r="CX826" s="61"/>
      <c r="CY826" s="61"/>
      <c r="CZ826" s="61"/>
      <c r="DA826" s="61"/>
      <c r="DB826" s="61"/>
      <c r="DC826" s="61"/>
      <c r="DD826" s="61"/>
      <c r="DE826" s="61"/>
      <c r="DF826" s="61"/>
    </row>
    <row r="827" spans="1:110" s="7" customFormat="1" ht="12.75" customHeight="1">
      <c r="A827" s="12"/>
      <c r="B827" s="12"/>
      <c r="C827" s="2186" t="s">
        <v>490</v>
      </c>
      <c r="D827" s="2187"/>
      <c r="E827" s="2187"/>
      <c r="F827" s="2187"/>
      <c r="G827" s="2187"/>
      <c r="H827" s="2187"/>
      <c r="I827" s="96"/>
      <c r="J827" s="96"/>
      <c r="K827" s="96"/>
      <c r="L827" s="97"/>
      <c r="M827" s="2260">
        <v>21.59</v>
      </c>
      <c r="N827" s="2260"/>
      <c r="O827" s="2260"/>
      <c r="P827" s="2260"/>
      <c r="Q827" s="2260"/>
      <c r="R827" s="2260"/>
      <c r="S827" s="2260"/>
      <c r="T827" s="2260"/>
      <c r="U827" s="2260">
        <v>30.91</v>
      </c>
      <c r="V827" s="2260"/>
      <c r="W827" s="2260"/>
      <c r="X827" s="2260"/>
      <c r="Y827" s="2260"/>
      <c r="Z827" s="2260"/>
      <c r="AA827" s="2260"/>
      <c r="AB827" s="2260"/>
      <c r="AC827" s="2018"/>
      <c r="AD827" s="2019"/>
      <c r="AE827" s="2019"/>
      <c r="AF827" s="2020"/>
      <c r="AG827" s="2018"/>
      <c r="AH827" s="2019"/>
      <c r="AI827" s="2019"/>
      <c r="AJ827" s="202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0">
        <v>341094</v>
      </c>
      <c r="BQ827" s="510">
        <v>393278</v>
      </c>
      <c r="BR827" s="510">
        <v>474400</v>
      </c>
      <c r="BS827" s="510">
        <v>607232</v>
      </c>
      <c r="BT827" s="510">
        <v>676494</v>
      </c>
      <c r="BU827" s="56"/>
      <c r="BV827" s="36" t="s">
        <v>222</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1"/>
      <c r="CS827" s="61"/>
      <c r="CT827" s="61"/>
      <c r="CU827" s="61"/>
      <c r="CV827" s="61"/>
      <c r="CW827" s="61"/>
      <c r="CX827" s="61"/>
      <c r="CY827" s="61"/>
      <c r="CZ827" s="61"/>
      <c r="DA827" s="61"/>
      <c r="DB827" s="61"/>
      <c r="DC827" s="61"/>
      <c r="DD827" s="61"/>
      <c r="DE827" s="61"/>
      <c r="DF827" s="61"/>
    </row>
    <row r="828" spans="1:110" s="7" customFormat="1" ht="12.75" customHeight="1">
      <c r="A828" s="12"/>
      <c r="B828" s="12"/>
      <c r="C828" s="2368" t="s">
        <v>839</v>
      </c>
      <c r="D828" s="2187"/>
      <c r="E828" s="2187"/>
      <c r="F828" s="2187"/>
      <c r="G828" s="2187"/>
      <c r="H828" s="2187"/>
      <c r="I828" s="96"/>
      <c r="J828" s="96"/>
      <c r="K828" s="96"/>
      <c r="L828" s="97"/>
      <c r="M828" s="2260"/>
      <c r="N828" s="2260"/>
      <c r="O828" s="2260"/>
      <c r="P828" s="2260"/>
      <c r="Q828" s="2260"/>
      <c r="R828" s="2260"/>
      <c r="S828" s="2260"/>
      <c r="T828" s="2260"/>
      <c r="U828" s="2260"/>
      <c r="V828" s="2260"/>
      <c r="W828" s="2260"/>
      <c r="X828" s="2260"/>
      <c r="Y828" s="2260"/>
      <c r="Z828" s="2260"/>
      <c r="AA828" s="2260"/>
      <c r="AB828" s="2260"/>
      <c r="AC828" s="2018"/>
      <c r="AD828" s="2019"/>
      <c r="AE828" s="2019"/>
      <c r="AF828" s="2020"/>
      <c r="AG828" s="2018"/>
      <c r="AH828" s="2019"/>
      <c r="AI828" s="2019"/>
      <c r="AJ828" s="202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8">
        <v>238133</v>
      </c>
      <c r="BQ828" s="508">
        <v>274565</v>
      </c>
      <c r="BR828" s="508">
        <v>331200</v>
      </c>
      <c r="BS828" s="508">
        <v>423936</v>
      </c>
      <c r="BT828" s="508">
        <v>472291</v>
      </c>
      <c r="BU828" s="56"/>
      <c r="BV828" s="36" t="s">
        <v>224</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32" t="s">
        <v>342</v>
      </c>
      <c r="G829" s="2227"/>
      <c r="H829" s="2227"/>
      <c r="I829" s="2227"/>
      <c r="J829" s="2227"/>
      <c r="K829" s="2227"/>
      <c r="L829" s="2228"/>
      <c r="M829" s="2260"/>
      <c r="N829" s="2260"/>
      <c r="O829" s="2260"/>
      <c r="P829" s="2260"/>
      <c r="Q829" s="2260"/>
      <c r="R829" s="2260"/>
      <c r="S829" s="2260"/>
      <c r="T829" s="2260"/>
      <c r="U829" s="2260"/>
      <c r="V829" s="2260"/>
      <c r="W829" s="2260"/>
      <c r="X829" s="2260"/>
      <c r="Y829" s="2260"/>
      <c r="Z829" s="2260"/>
      <c r="AA829" s="2260"/>
      <c r="AB829" s="2260"/>
      <c r="AC829" s="2018"/>
      <c r="AD829" s="2019"/>
      <c r="AE829" s="2019"/>
      <c r="AF829" s="2020"/>
      <c r="AG829" s="2018"/>
      <c r="AH829" s="2019"/>
      <c r="AI829" s="2019"/>
      <c r="AJ829" s="202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0">
        <v>307732</v>
      </c>
      <c r="BQ829" s="510">
        <v>354812</v>
      </c>
      <c r="BR829" s="510">
        <v>428000</v>
      </c>
      <c r="BS829" s="510">
        <v>547840</v>
      </c>
      <c r="BT829" s="510">
        <v>610328</v>
      </c>
      <c r="BU829" s="56"/>
      <c r="BV829" s="36" t="s">
        <v>225</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1"/>
      <c r="CS829" s="61"/>
      <c r="CT829" s="61"/>
      <c r="CU829" s="61"/>
      <c r="CV829" s="61"/>
      <c r="CW829" s="61"/>
      <c r="CX829" s="61"/>
      <c r="CY829" s="61"/>
      <c r="CZ829" s="61"/>
      <c r="DA829" s="61"/>
      <c r="DB829" s="61"/>
      <c r="DC829" s="61"/>
      <c r="DD829" s="61"/>
      <c r="DE829" s="61"/>
      <c r="DF829" s="61"/>
    </row>
    <row r="830" spans="1:110" s="7" customFormat="1" ht="12.75" customHeight="1">
      <c r="A830" s="12"/>
      <c r="B830" s="12"/>
      <c r="C830" s="2252" t="s">
        <v>129</v>
      </c>
      <c r="D830" s="2253"/>
      <c r="E830" s="2253"/>
      <c r="F830" s="2253"/>
      <c r="G830" s="2253"/>
      <c r="H830" s="2253"/>
      <c r="I830" s="2253"/>
      <c r="J830" s="2253"/>
      <c r="K830" s="2253"/>
      <c r="L830" s="2254"/>
      <c r="M830" s="2261">
        <f>SUM(M823:P829)</f>
        <v>42.06</v>
      </c>
      <c r="N830" s="2261"/>
      <c r="O830" s="2261"/>
      <c r="P830" s="2261"/>
      <c r="Q830" s="2261">
        <f>SUM(Q823:T829)</f>
        <v>0</v>
      </c>
      <c r="R830" s="2261"/>
      <c r="S830" s="2261"/>
      <c r="T830" s="2261"/>
      <c r="U830" s="2261">
        <f>SUM(U823:X829)</f>
        <v>62.06</v>
      </c>
      <c r="V830" s="2261"/>
      <c r="W830" s="2261"/>
      <c r="X830" s="2261"/>
      <c r="Y830" s="2261">
        <f>SUM(Y823:AB829)</f>
        <v>0</v>
      </c>
      <c r="Z830" s="2261"/>
      <c r="AA830" s="2261"/>
      <c r="AB830" s="2261"/>
      <c r="AC830" s="2261">
        <f>SUM(AC823:AF829)</f>
        <v>0</v>
      </c>
      <c r="AD830" s="2261"/>
      <c r="AE830" s="2261"/>
      <c r="AF830" s="2261"/>
      <c r="AG830" s="2261">
        <f>SUM(AG823:AJ829)</f>
        <v>0</v>
      </c>
      <c r="AH830" s="2261"/>
      <c r="AI830" s="2261"/>
      <c r="AJ830" s="226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8">
        <v>278972</v>
      </c>
      <c r="BQ830" s="508">
        <v>321652</v>
      </c>
      <c r="BR830" s="508">
        <v>388000</v>
      </c>
      <c r="BS830" s="508">
        <v>496640</v>
      </c>
      <c r="BT830" s="508">
        <v>553288</v>
      </c>
      <c r="BU830" s="56"/>
      <c r="BV830" s="36" t="s">
        <v>226</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0">
        <v>278972</v>
      </c>
      <c r="BQ831" s="510">
        <v>321652</v>
      </c>
      <c r="BR831" s="510">
        <v>388000</v>
      </c>
      <c r="BS831" s="510">
        <v>496640</v>
      </c>
      <c r="BT831" s="510">
        <v>553288</v>
      </c>
      <c r="BU831" s="56"/>
      <c r="BV831" s="36" t="s">
        <v>227</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8">
        <v>238133</v>
      </c>
      <c r="BQ832" s="508">
        <v>274565</v>
      </c>
      <c r="BR832" s="508">
        <v>331200</v>
      </c>
      <c r="BS832" s="508">
        <v>423936</v>
      </c>
      <c r="BT832" s="508">
        <v>472291</v>
      </c>
      <c r="BU832" s="56"/>
      <c r="BV832" s="36" t="s">
        <v>229</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0">
        <v>278972</v>
      </c>
      <c r="BQ833" s="510">
        <v>321652</v>
      </c>
      <c r="BR833" s="510">
        <v>388000</v>
      </c>
      <c r="BS833" s="510">
        <v>496640</v>
      </c>
      <c r="BT833" s="510">
        <v>553288</v>
      </c>
      <c r="BU833" s="56"/>
      <c r="BV833" s="36" t="s">
        <v>230</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8">
        <v>278972</v>
      </c>
      <c r="BQ834" s="508">
        <v>321652</v>
      </c>
      <c r="BR834" s="508">
        <v>388000</v>
      </c>
      <c r="BS834" s="508">
        <v>496640</v>
      </c>
      <c r="BT834" s="508">
        <v>553288</v>
      </c>
      <c r="BU834" s="56"/>
      <c r="BV834" s="36" t="s">
        <v>231</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1"/>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1" t="s">
        <v>2572</v>
      </c>
      <c r="D835" s="2352"/>
      <c r="E835" s="2352"/>
      <c r="F835" s="2352"/>
      <c r="G835" s="2352"/>
      <c r="H835" s="2352"/>
      <c r="I835" s="2352"/>
      <c r="J835" s="2352"/>
      <c r="K835" s="2352"/>
      <c r="L835" s="2352"/>
      <c r="M835" s="2352"/>
      <c r="N835" s="2352"/>
      <c r="O835" s="2352"/>
      <c r="P835" s="2352"/>
      <c r="Q835" s="2352"/>
      <c r="R835" s="2352"/>
      <c r="S835" s="2352"/>
      <c r="T835" s="2352"/>
      <c r="U835" s="2352"/>
      <c r="V835" s="2352"/>
      <c r="W835" s="2352"/>
      <c r="X835" s="2352"/>
      <c r="Y835" s="2352"/>
      <c r="Z835" s="2352"/>
      <c r="AA835" s="2352"/>
      <c r="AB835" s="2352"/>
      <c r="AC835" s="2352"/>
      <c r="AD835" s="2352"/>
      <c r="AE835" s="2352"/>
      <c r="AF835" s="2352"/>
      <c r="AG835" s="2352"/>
      <c r="AH835" s="2352"/>
      <c r="AI835" s="2352"/>
      <c r="AJ835" s="235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0">
        <v>311183</v>
      </c>
      <c r="BQ835" s="510">
        <v>358791</v>
      </c>
      <c r="BR835" s="510">
        <v>432800</v>
      </c>
      <c r="BS835" s="510">
        <v>553984</v>
      </c>
      <c r="BT835" s="510">
        <v>617173</v>
      </c>
      <c r="BU835" s="56"/>
      <c r="BV835" s="36" t="s">
        <v>233</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1"/>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1344</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8">
        <v>307732</v>
      </c>
      <c r="BQ836" s="508">
        <v>354812</v>
      </c>
      <c r="BR836" s="508">
        <v>428000</v>
      </c>
      <c r="BS836" s="508">
        <v>547840</v>
      </c>
      <c r="BT836" s="508">
        <v>610328</v>
      </c>
      <c r="BU836" s="56"/>
      <c r="BV836" s="36" t="s">
        <v>235</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0">
        <v>278972</v>
      </c>
      <c r="BQ837" s="510">
        <v>321652</v>
      </c>
      <c r="BR837" s="510">
        <v>388000</v>
      </c>
      <c r="BS837" s="510">
        <v>496640</v>
      </c>
      <c r="BT837" s="510">
        <v>553288</v>
      </c>
      <c r="BU837" s="56"/>
      <c r="BV837" s="36" t="s">
        <v>236</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9"/>
      <c r="CS837" s="107"/>
      <c r="CT837" s="107"/>
      <c r="CU837" s="107"/>
      <c r="CV837" s="107"/>
      <c r="CW837" s="107"/>
      <c r="CX837" s="107"/>
      <c r="CY837" s="107"/>
      <c r="CZ837" s="107"/>
      <c r="DA837" s="107"/>
      <c r="DB837" s="107"/>
      <c r="DC837" s="107"/>
      <c r="DD837" s="107"/>
      <c r="DE837" s="107"/>
      <c r="DF837" s="107"/>
    </row>
    <row r="838" spans="1:110" s="51" customFormat="1" ht="14">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8">
        <v>308882</v>
      </c>
      <c r="BQ838" s="508">
        <v>356138</v>
      </c>
      <c r="BR838" s="508">
        <v>429600</v>
      </c>
      <c r="BS838" s="508">
        <v>549888</v>
      </c>
      <c r="BT838" s="508">
        <v>612610</v>
      </c>
      <c r="BU838" s="56"/>
      <c r="BV838" s="36" t="s">
        <v>237</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0">
        <v>278397</v>
      </c>
      <c r="BQ839" s="510">
        <v>320989</v>
      </c>
      <c r="BR839" s="510">
        <v>387200</v>
      </c>
      <c r="BS839" s="510">
        <v>495616</v>
      </c>
      <c r="BT839" s="510">
        <v>552147</v>
      </c>
      <c r="BU839" s="56"/>
      <c r="BV839" s="36" t="s">
        <v>238</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9"/>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1999">
        <v>3120</v>
      </c>
      <c r="X840" s="1999"/>
      <c r="Y840" s="1999"/>
      <c r="Z840" s="1999"/>
      <c r="AA840" s="1999"/>
      <c r="AB840" s="1999"/>
      <c r="AC840" s="199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8">
        <v>278972</v>
      </c>
      <c r="BQ840" s="508">
        <v>321652</v>
      </c>
      <c r="BR840" s="508">
        <v>388000</v>
      </c>
      <c r="BS840" s="508">
        <v>496640</v>
      </c>
      <c r="BT840" s="508">
        <v>553288</v>
      </c>
      <c r="BU840" s="56"/>
      <c r="BV840" s="36" t="s">
        <v>240</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1999">
        <v>6000</v>
      </c>
      <c r="X841" s="1999"/>
      <c r="Y841" s="1999"/>
      <c r="Z841" s="1999"/>
      <c r="AA841" s="1999"/>
      <c r="AB841" s="1999"/>
      <c r="AC841" s="199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0">
        <v>240434</v>
      </c>
      <c r="BQ841" s="510">
        <v>277218</v>
      </c>
      <c r="BR841" s="510">
        <v>334400</v>
      </c>
      <c r="BS841" s="510">
        <v>428032</v>
      </c>
      <c r="BT841" s="510">
        <v>476854</v>
      </c>
      <c r="BU841" s="56"/>
      <c r="BV841" s="36" t="s">
        <v>241</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1999">
        <v>27800</v>
      </c>
      <c r="X842" s="1999"/>
      <c r="Y842" s="1999"/>
      <c r="Z842" s="1999"/>
      <c r="AA842" s="1999"/>
      <c r="AB842" s="1999"/>
      <c r="AC842" s="199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08">
        <v>278397</v>
      </c>
      <c r="BQ842" s="508">
        <v>320989</v>
      </c>
      <c r="BR842" s="508">
        <v>387200</v>
      </c>
      <c r="BS842" s="508">
        <v>495616</v>
      </c>
      <c r="BT842" s="508">
        <v>552147</v>
      </c>
      <c r="BU842" s="56"/>
      <c r="BV842" s="36" t="s">
        <v>668</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1999">
        <v>116000</v>
      </c>
      <c r="X843" s="1999"/>
      <c r="Y843" s="1999"/>
      <c r="Z843" s="1999"/>
      <c r="AA843" s="1999"/>
      <c r="AB843" s="1999"/>
      <c r="AC843" s="199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0">
        <v>278972</v>
      </c>
      <c r="BQ843" s="510">
        <v>321652</v>
      </c>
      <c r="BR843" s="510">
        <v>388000</v>
      </c>
      <c r="BS843" s="510">
        <v>496640</v>
      </c>
      <c r="BT843" s="510">
        <v>553288</v>
      </c>
      <c r="BU843" s="56"/>
      <c r="BV843" s="36" t="s">
        <v>724</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09" t="s">
        <v>2581</v>
      </c>
      <c r="N844" s="2227"/>
      <c r="O844" s="2227"/>
      <c r="P844" s="2227"/>
      <c r="Q844" s="2227"/>
      <c r="R844" s="2227"/>
      <c r="S844" s="2227"/>
      <c r="T844" s="2227"/>
      <c r="U844" s="2227"/>
      <c r="V844" s="2228"/>
      <c r="W844" s="1999">
        <v>70916</v>
      </c>
      <c r="X844" s="1999"/>
      <c r="Y844" s="1999"/>
      <c r="Z844" s="1999"/>
      <c r="AA844" s="1999"/>
      <c r="AB844" s="1999"/>
      <c r="AC844" s="199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57">
        <f>ROUNDDOWN(BC932*2,2)</f>
        <v>0</v>
      </c>
      <c r="BJ844" s="2257"/>
      <c r="BK844" s="2257"/>
      <c r="BL844" s="2257"/>
      <c r="BM844" s="56"/>
      <c r="BN844" s="56"/>
      <c r="BO844" s="36" t="s">
        <v>725</v>
      </c>
      <c r="BP844" s="508">
        <v>240434</v>
      </c>
      <c r="BQ844" s="508">
        <v>277218</v>
      </c>
      <c r="BR844" s="508">
        <v>334400</v>
      </c>
      <c r="BS844" s="508">
        <v>428032</v>
      </c>
      <c r="BT844" s="508">
        <v>476854</v>
      </c>
      <c r="BU844" s="56"/>
      <c r="BV844" s="36" t="s">
        <v>725</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266">
        <f>SUM(W840:AC844)</f>
        <v>223836</v>
      </c>
      <c r="X845" s="2267"/>
      <c r="Y845" s="2267"/>
      <c r="Z845" s="2267"/>
      <c r="AA845" s="2267"/>
      <c r="AB845" s="2267"/>
      <c r="AC845" s="226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0">
        <v>268043</v>
      </c>
      <c r="BQ845" s="510">
        <v>309051</v>
      </c>
      <c r="BR845" s="510">
        <v>372800</v>
      </c>
      <c r="BS845" s="510">
        <v>477184</v>
      </c>
      <c r="BT845" s="510">
        <v>531613</v>
      </c>
      <c r="BU845" s="56"/>
      <c r="BV845" s="36" t="s">
        <v>726</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9"/>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08">
        <v>530910</v>
      </c>
      <c r="BQ846" s="508">
        <v>612134</v>
      </c>
      <c r="BR846" s="508">
        <v>738400</v>
      </c>
      <c r="BS846" s="508">
        <v>945152</v>
      </c>
      <c r="BT846" s="508">
        <v>1052958</v>
      </c>
      <c r="BU846" s="56"/>
      <c r="BV846" s="36" t="s">
        <v>727</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252" t="s">
        <v>354</v>
      </c>
      <c r="K847" s="2253"/>
      <c r="L847" s="2253"/>
      <c r="M847" s="2253"/>
      <c r="N847" s="2253"/>
      <c r="O847" s="2253"/>
      <c r="P847" s="2253"/>
      <c r="Q847" s="2253"/>
      <c r="R847" s="2253"/>
      <c r="S847" s="2253"/>
      <c r="T847" s="2253"/>
      <c r="U847" s="2253"/>
      <c r="V847" s="2254"/>
      <c r="W847" s="1985">
        <v>87360</v>
      </c>
      <c r="X847" s="1986"/>
      <c r="Y847" s="1986"/>
      <c r="Z847" s="1986"/>
      <c r="AA847" s="1986"/>
      <c r="AB847" s="1986"/>
      <c r="AC847" s="1987"/>
      <c r="AD847" s="917"/>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0">
        <v>238133</v>
      </c>
      <c r="BQ847" s="510">
        <v>274565</v>
      </c>
      <c r="BR847" s="510">
        <v>331200</v>
      </c>
      <c r="BS847" s="510">
        <v>423936</v>
      </c>
      <c r="BT847" s="510">
        <v>472291</v>
      </c>
      <c r="BU847" s="56"/>
      <c r="BV847" s="36" t="s">
        <v>247</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7"/>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8">
        <v>311183</v>
      </c>
      <c r="BQ848" s="508">
        <v>358791</v>
      </c>
      <c r="BR848" s="508">
        <v>432800</v>
      </c>
      <c r="BS848" s="508">
        <v>553984</v>
      </c>
      <c r="BT848" s="508">
        <v>617173</v>
      </c>
      <c r="BU848" s="56"/>
      <c r="BV848" s="36" t="s">
        <v>248</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201"/>
      <c r="X849" s="2201"/>
      <c r="Y849" s="2201"/>
      <c r="Z849" s="2201"/>
      <c r="AA849" s="2201"/>
      <c r="AB849" s="2201"/>
      <c r="AC849" s="220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9">
        <v>440028</v>
      </c>
      <c r="BQ849" s="509">
        <v>507348</v>
      </c>
      <c r="BR849" s="510">
        <v>612000</v>
      </c>
      <c r="BS849" s="509">
        <v>783360</v>
      </c>
      <c r="BT849" s="509">
        <v>872712</v>
      </c>
      <c r="BU849" s="56"/>
      <c r="BV849" s="36" t="s">
        <v>249</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9"/>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01"/>
      <c r="X850" s="2201"/>
      <c r="Y850" s="2201"/>
      <c r="Z850" s="2201"/>
      <c r="AA850" s="2201"/>
      <c r="AB850" s="2201"/>
      <c r="AC850" s="220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08">
        <v>311183</v>
      </c>
      <c r="BQ850" s="508">
        <v>358791</v>
      </c>
      <c r="BR850" s="508">
        <v>432800</v>
      </c>
      <c r="BS850" s="508">
        <v>553984</v>
      </c>
      <c r="BT850" s="508">
        <v>617173</v>
      </c>
      <c r="BU850" s="56"/>
      <c r="BV850" s="36" t="s">
        <v>734</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9"/>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01">
        <v>48272</v>
      </c>
      <c r="X851" s="2201"/>
      <c r="Y851" s="2201"/>
      <c r="Z851" s="2201"/>
      <c r="AA851" s="2201"/>
      <c r="AB851" s="2201"/>
      <c r="AC851" s="220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1"/>
      <c r="BH851" s="2281"/>
      <c r="BI851" s="2281"/>
      <c r="BJ851" s="2281"/>
      <c r="BK851" s="2281"/>
      <c r="BL851" s="2281"/>
      <c r="BM851" s="56"/>
      <c r="BN851" s="56"/>
      <c r="BO851" s="36" t="s">
        <v>735</v>
      </c>
      <c r="BP851" s="509">
        <v>440028</v>
      </c>
      <c r="BQ851" s="509">
        <v>507348</v>
      </c>
      <c r="BR851" s="509">
        <v>612000</v>
      </c>
      <c r="BS851" s="509">
        <v>783360</v>
      </c>
      <c r="BT851" s="509">
        <v>872712</v>
      </c>
      <c r="BU851" s="56"/>
      <c r="BV851" s="36" t="s">
        <v>735</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9"/>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01">
        <v>174688</v>
      </c>
      <c r="X852" s="2201"/>
      <c r="Y852" s="2201"/>
      <c r="Z852" s="2201"/>
      <c r="AA852" s="2201"/>
      <c r="AB852" s="2201"/>
      <c r="AC852" s="220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08">
        <v>311183</v>
      </c>
      <c r="BQ852" s="508">
        <v>358791</v>
      </c>
      <c r="BR852" s="508">
        <v>432800</v>
      </c>
      <c r="BS852" s="508">
        <v>553984</v>
      </c>
      <c r="BT852" s="508">
        <v>617173</v>
      </c>
      <c r="BU852" s="56"/>
      <c r="BV852" s="36" t="s">
        <v>736</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9"/>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69">
        <f>SUM(W849:AC852)</f>
        <v>222960</v>
      </c>
      <c r="X853" s="2369"/>
      <c r="Y853" s="2369"/>
      <c r="Z853" s="2369"/>
      <c r="AA853" s="2369"/>
      <c r="AB853" s="2369"/>
      <c r="AC853" s="236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0">
        <v>246186</v>
      </c>
      <c r="BQ853" s="510">
        <v>283850</v>
      </c>
      <c r="BR853" s="510">
        <v>342400</v>
      </c>
      <c r="BS853" s="510">
        <v>438272</v>
      </c>
      <c r="BT853" s="510">
        <v>488262</v>
      </c>
      <c r="BU853" s="56"/>
      <c r="BV853" s="36" t="s">
        <v>737</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67">
        <f>SUM(AZ821:AZ849)</f>
        <v>7.5000000000000011E-2</v>
      </c>
      <c r="BA854" s="2367"/>
      <c r="BB854" s="21"/>
      <c r="BC854" s="21"/>
      <c r="BD854" s="21"/>
      <c r="BO854" s="36" t="s">
        <v>738</v>
      </c>
      <c r="BP854" s="508">
        <v>278972</v>
      </c>
      <c r="BQ854" s="508">
        <v>321652</v>
      </c>
      <c r="BR854" s="508">
        <v>388000</v>
      </c>
      <c r="BS854" s="508">
        <v>496640</v>
      </c>
      <c r="BT854" s="508">
        <v>553288</v>
      </c>
      <c r="BU854" s="56"/>
      <c r="BV854" s="36" t="s">
        <v>738</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9"/>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334">
        <v>140756</v>
      </c>
      <c r="X855" s="2335"/>
      <c r="Y855" s="2335"/>
      <c r="Z855" s="2335"/>
      <c r="AA855" s="2335"/>
      <c r="AB855" s="2335"/>
      <c r="AC855" s="2336"/>
      <c r="AD855" s="920"/>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0">
        <v>278972</v>
      </c>
      <c r="BQ855" s="510">
        <v>321652</v>
      </c>
      <c r="BR855" s="510">
        <v>388000</v>
      </c>
      <c r="BS855" s="510">
        <v>496640</v>
      </c>
      <c r="BT855" s="510">
        <v>553288</v>
      </c>
      <c r="BU855" s="56"/>
      <c r="BV855" s="36" t="s">
        <v>739</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9"/>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356</v>
      </c>
      <c r="D856" s="717"/>
      <c r="E856" s="717"/>
      <c r="F856" s="717"/>
      <c r="G856" s="717"/>
      <c r="H856" s="717"/>
      <c r="I856" s="717"/>
      <c r="J856" s="185" t="s">
        <v>1960</v>
      </c>
      <c r="K856" s="77"/>
      <c r="L856" s="77"/>
      <c r="M856" s="77"/>
      <c r="N856" s="77"/>
      <c r="O856" s="77"/>
      <c r="P856" s="77"/>
      <c r="Q856" s="77"/>
      <c r="R856" s="77"/>
      <c r="S856" s="77"/>
      <c r="T856" s="2358">
        <v>4</v>
      </c>
      <c r="U856" s="2006"/>
      <c r="V856" s="2359"/>
      <c r="W856" s="1442"/>
      <c r="X856" s="1443"/>
      <c r="Y856" s="1443"/>
      <c r="Z856" s="1443"/>
      <c r="AA856" s="1443"/>
      <c r="AB856" s="1443"/>
      <c r="AC856" s="1444"/>
      <c r="AD856" s="920"/>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08">
        <v>307732</v>
      </c>
      <c r="BQ856" s="508">
        <v>354812</v>
      </c>
      <c r="BR856" s="508">
        <v>428000</v>
      </c>
      <c r="BS856" s="508">
        <v>547840</v>
      </c>
      <c r="BT856" s="508">
        <v>610328</v>
      </c>
      <c r="BU856" s="56"/>
      <c r="BV856" s="36" t="s">
        <v>740</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9"/>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334">
        <v>104824</v>
      </c>
      <c r="X857" s="2335"/>
      <c r="Y857" s="2335"/>
      <c r="Z857" s="2335"/>
      <c r="AA857" s="2335"/>
      <c r="AB857" s="2335"/>
      <c r="AC857" s="2336"/>
      <c r="AD857" s="917"/>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1"/>
      <c r="CS857" s="61"/>
      <c r="CT857" s="61"/>
      <c r="CU857" s="61"/>
      <c r="CV857" s="61"/>
      <c r="CW857" s="61"/>
      <c r="CX857" s="61"/>
      <c r="CY857" s="61"/>
      <c r="CZ857" s="61"/>
      <c r="DA857" s="61"/>
      <c r="DB857" s="61"/>
      <c r="DC857" s="61"/>
      <c r="DD857" s="61"/>
      <c r="DE857" s="61"/>
      <c r="DF857" s="61"/>
    </row>
    <row r="858" spans="1:110" s="717" customFormat="1" ht="12.75" customHeight="1">
      <c r="C858" s="50"/>
      <c r="J858" s="185" t="s">
        <v>1961</v>
      </c>
      <c r="K858" s="77"/>
      <c r="L858" s="77"/>
      <c r="M858" s="77"/>
      <c r="N858" s="77"/>
      <c r="O858" s="77"/>
      <c r="P858" s="77"/>
      <c r="Q858" s="77"/>
      <c r="R858" s="77"/>
      <c r="S858" s="77"/>
      <c r="T858" s="2358">
        <v>2</v>
      </c>
      <c r="U858" s="2006"/>
      <c r="V858" s="2359"/>
      <c r="W858" s="1442"/>
      <c r="X858" s="1443"/>
      <c r="Y858" s="1443"/>
      <c r="Z858" s="1443"/>
      <c r="AA858" s="1443"/>
      <c r="AB858" s="1443"/>
      <c r="AC858" s="1444"/>
      <c r="AD858" s="917"/>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1"/>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09" t="s">
        <v>2582</v>
      </c>
      <c r="N859" s="2227"/>
      <c r="O859" s="2227"/>
      <c r="P859" s="2227"/>
      <c r="Q859" s="2227"/>
      <c r="R859" s="2227"/>
      <c r="S859" s="2227"/>
      <c r="T859" s="2227"/>
      <c r="U859" s="2227"/>
      <c r="V859" s="2228"/>
      <c r="W859" s="2334">
        <v>120225</v>
      </c>
      <c r="X859" s="2335"/>
      <c r="Y859" s="2335"/>
      <c r="Z859" s="2335"/>
      <c r="AA859" s="2335"/>
      <c r="AB859" s="2335"/>
      <c r="AC859" s="2336"/>
      <c r="AD859" s="920"/>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1"/>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02">
        <f>SUM(W855:AC859)</f>
        <v>365805</v>
      </c>
      <c r="X860" s="2203"/>
      <c r="Y860" s="2203"/>
      <c r="Z860" s="2203"/>
      <c r="AA860" s="2203"/>
      <c r="AB860" s="2203"/>
      <c r="AC860" s="2204"/>
      <c r="AD860" s="917"/>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334">
        <v>140000</v>
      </c>
      <c r="X861" s="2335"/>
      <c r="Y861" s="2335"/>
      <c r="Z861" s="2335"/>
      <c r="AA861" s="2335"/>
      <c r="AB861" s="2335"/>
      <c r="AC861" s="2336"/>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1"/>
      <c r="CS861" s="61"/>
      <c r="CT861" s="61"/>
      <c r="CU861" s="61"/>
      <c r="CV861" s="61"/>
      <c r="CW861" s="61"/>
      <c r="CX861" s="61"/>
      <c r="CY861" s="61"/>
      <c r="CZ861" s="61"/>
      <c r="DA861" s="61"/>
      <c r="DB861" s="61"/>
      <c r="DC861" s="61"/>
      <c r="DD861" s="61"/>
      <c r="DE861" s="61"/>
      <c r="DF861" s="61"/>
    </row>
    <row r="862" spans="1:110" ht="12.75" customHeight="1">
      <c r="J862" s="915"/>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1"/>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1999"/>
      <c r="X863" s="1999"/>
      <c r="Y863" s="1999"/>
      <c r="Z863" s="1999"/>
      <c r="AA863" s="1999"/>
      <c r="AB863" s="1999"/>
      <c r="AC863" s="1999"/>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1"/>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1999">
        <v>103160</v>
      </c>
      <c r="X864" s="1999"/>
      <c r="Y864" s="1999"/>
      <c r="Z864" s="1999"/>
      <c r="AA864" s="1999"/>
      <c r="AB864" s="1999"/>
      <c r="AC864" s="1999"/>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1"/>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1999">
        <v>48257</v>
      </c>
      <c r="X865" s="1999"/>
      <c r="Y865" s="1999"/>
      <c r="Z865" s="1999"/>
      <c r="AA865" s="1999"/>
      <c r="AB865" s="1999"/>
      <c r="AC865" s="1999"/>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1"/>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1985"/>
      <c r="X866" s="1986"/>
      <c r="Y866" s="1986"/>
      <c r="Z866" s="1986"/>
      <c r="AA866" s="1986"/>
      <c r="AB866" s="1986"/>
      <c r="AC866" s="1987"/>
      <c r="AZ866" s="61"/>
      <c r="BA866" s="61"/>
      <c r="BB866" s="61"/>
      <c r="BC866" s="61"/>
      <c r="BD866" s="61"/>
      <c r="BE866" s="61"/>
      <c r="BF866" s="61"/>
      <c r="BG866" s="61"/>
      <c r="BH866" s="61"/>
      <c r="BI866" s="61"/>
      <c r="BJ866" s="61"/>
      <c r="BK866" s="61"/>
      <c r="BL866" s="61"/>
      <c r="BM866" s="61"/>
      <c r="BN866" s="61"/>
      <c r="BO866" s="36" t="s">
        <v>334</v>
      </c>
      <c r="BP866" s="508">
        <v>278397</v>
      </c>
      <c r="BQ866" s="508">
        <v>320989</v>
      </c>
      <c r="BR866" s="508">
        <v>387200</v>
      </c>
      <c r="BS866" s="508">
        <v>495616</v>
      </c>
      <c r="BT866" s="508">
        <v>552147</v>
      </c>
      <c r="BU866" s="56"/>
      <c r="BV866" s="36" t="s">
        <v>334</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1"/>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1999"/>
      <c r="X867" s="1999"/>
      <c r="Y867" s="1999"/>
      <c r="Z867" s="1999"/>
      <c r="AA867" s="1999"/>
      <c r="AB867" s="1999"/>
      <c r="AC867" s="199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1"/>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1999"/>
      <c r="X868" s="1999"/>
      <c r="Y868" s="1999"/>
      <c r="Z868" s="1999"/>
      <c r="AA868" s="1999"/>
      <c r="AB868" s="1999"/>
      <c r="AC868" s="199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1"/>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09" t="s">
        <v>2583</v>
      </c>
      <c r="N869" s="2227"/>
      <c r="O869" s="2227"/>
      <c r="P869" s="2227"/>
      <c r="Q869" s="2227"/>
      <c r="R869" s="2227"/>
      <c r="S869" s="2227"/>
      <c r="T869" s="2227"/>
      <c r="U869" s="2227"/>
      <c r="V869" s="2228"/>
      <c r="W869" s="1999">
        <v>19136</v>
      </c>
      <c r="X869" s="1999"/>
      <c r="Y869" s="1999"/>
      <c r="Z869" s="1999"/>
      <c r="AA869" s="1999"/>
      <c r="AB869" s="1999"/>
      <c r="AC869" s="1999"/>
      <c r="AD869" s="917"/>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24">
        <f>SUM(W863:AC869)</f>
        <v>170553</v>
      </c>
      <c r="X870" s="2324"/>
      <c r="Y870" s="2324"/>
      <c r="Z870" s="2324"/>
      <c r="AA870" s="2324"/>
      <c r="AB870" s="2324"/>
      <c r="AC870" s="232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1"/>
      <c r="CS871" s="61"/>
      <c r="CT871" s="61"/>
      <c r="CU871" s="61"/>
      <c r="CV871" s="61"/>
      <c r="CW871" s="61"/>
      <c r="CX871" s="61"/>
      <c r="CY871" s="61"/>
      <c r="CZ871" s="61"/>
      <c r="DA871" s="61"/>
      <c r="DB871" s="61"/>
      <c r="DC871" s="61"/>
      <c r="DD871" s="61"/>
      <c r="DE871" s="61"/>
      <c r="DF871" s="61"/>
    </row>
    <row r="872" spans="3:110" ht="12.75" customHeight="1">
      <c r="C872" s="50" t="s">
        <v>1454</v>
      </c>
      <c r="J872" s="76" t="s">
        <v>174</v>
      </c>
      <c r="K872" s="77"/>
      <c r="L872" s="77"/>
      <c r="M872" s="2009" t="s">
        <v>2584</v>
      </c>
      <c r="N872" s="2227"/>
      <c r="O872" s="2227"/>
      <c r="P872" s="2227"/>
      <c r="Q872" s="2227"/>
      <c r="R872" s="2227"/>
      <c r="S872" s="2227"/>
      <c r="T872" s="2227"/>
      <c r="U872" s="2227"/>
      <c r="V872" s="2228"/>
      <c r="W872" s="1985">
        <v>2500</v>
      </c>
      <c r="X872" s="1986"/>
      <c r="Y872" s="1986"/>
      <c r="Z872" s="1986"/>
      <c r="AA872" s="1986"/>
      <c r="AB872" s="1986"/>
      <c r="AC872" s="1987"/>
      <c r="AD872" s="917"/>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1"/>
      <c r="CS872" s="61"/>
      <c r="CT872" s="61"/>
      <c r="CU872" s="61"/>
      <c r="CV872" s="61"/>
      <c r="CW872" s="61"/>
      <c r="CX872" s="61"/>
      <c r="CY872" s="61"/>
      <c r="CZ872" s="61"/>
      <c r="DA872" s="61"/>
      <c r="DB872" s="61"/>
      <c r="DC872" s="61"/>
      <c r="DD872" s="61"/>
      <c r="DE872" s="61"/>
      <c r="DF872" s="61"/>
    </row>
    <row r="873" spans="3:110" ht="12.75" customHeight="1">
      <c r="C873" s="50" t="s">
        <v>1455</v>
      </c>
      <c r="J873" s="76" t="s">
        <v>174</v>
      </c>
      <c r="K873" s="77"/>
      <c r="L873" s="77"/>
      <c r="M873" s="2232" t="s">
        <v>342</v>
      </c>
      <c r="N873" s="2227"/>
      <c r="O873" s="2227"/>
      <c r="P873" s="2227"/>
      <c r="Q873" s="2227"/>
      <c r="R873" s="2227"/>
      <c r="S873" s="2227"/>
      <c r="T873" s="2227"/>
      <c r="U873" s="2227"/>
      <c r="V873" s="2228"/>
      <c r="W873" s="1985"/>
      <c r="X873" s="1986"/>
      <c r="Y873" s="1986"/>
      <c r="Z873" s="1986"/>
      <c r="AA873" s="1986"/>
      <c r="AB873" s="1986"/>
      <c r="AC873" s="1987"/>
      <c r="AD873" s="917"/>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1"/>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32" t="s">
        <v>342</v>
      </c>
      <c r="N874" s="2227"/>
      <c r="O874" s="2227"/>
      <c r="P874" s="2227"/>
      <c r="Q874" s="2227"/>
      <c r="R874" s="2227"/>
      <c r="S874" s="2227"/>
      <c r="T874" s="2227"/>
      <c r="U874" s="2227"/>
      <c r="V874" s="2228"/>
      <c r="W874" s="1985"/>
      <c r="X874" s="1986"/>
      <c r="Y874" s="1986"/>
      <c r="Z874" s="1986"/>
      <c r="AA874" s="1986"/>
      <c r="AB874" s="1986"/>
      <c r="AC874" s="198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1"/>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32" t="s">
        <v>342</v>
      </c>
      <c r="N875" s="2227"/>
      <c r="O875" s="2227"/>
      <c r="P875" s="2227"/>
      <c r="Q875" s="2227"/>
      <c r="R875" s="2227"/>
      <c r="S875" s="2227"/>
      <c r="T875" s="2227"/>
      <c r="U875" s="2227"/>
      <c r="V875" s="2228"/>
      <c r="W875" s="1985"/>
      <c r="X875" s="1986"/>
      <c r="Y875" s="1986"/>
      <c r="Z875" s="1986"/>
      <c r="AA875" s="1986"/>
      <c r="AB875" s="1986"/>
      <c r="AC875" s="198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1"/>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32" t="s">
        <v>342</v>
      </c>
      <c r="N876" s="2227"/>
      <c r="O876" s="2227"/>
      <c r="P876" s="2227"/>
      <c r="Q876" s="2227"/>
      <c r="R876" s="2227"/>
      <c r="S876" s="2227"/>
      <c r="T876" s="2227"/>
      <c r="U876" s="2227"/>
      <c r="V876" s="2228"/>
      <c r="W876" s="1985"/>
      <c r="X876" s="1986"/>
      <c r="Y876" s="1986"/>
      <c r="Z876" s="1986"/>
      <c r="AA876" s="1986"/>
      <c r="AB876" s="1986"/>
      <c r="AC876" s="198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266">
        <f>SUM(W872:AC876)</f>
        <v>2500</v>
      </c>
      <c r="X877" s="2267"/>
      <c r="Y877" s="2267"/>
      <c r="Z877" s="2267"/>
      <c r="AA877" s="2267"/>
      <c r="AB877" s="2267"/>
      <c r="AC877" s="226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1"/>
      <c r="CS877" s="61"/>
      <c r="CT877" s="61"/>
      <c r="CU877" s="61"/>
      <c r="CV877" s="61"/>
      <c r="CW877" s="61"/>
      <c r="CX877" s="61"/>
      <c r="CY877" s="61"/>
      <c r="CZ877" s="61"/>
      <c r="DA877" s="61"/>
      <c r="DB877" s="61"/>
      <c r="DC877" s="61"/>
      <c r="DD877" s="61"/>
      <c r="DE877" s="61"/>
      <c r="DF877" s="61"/>
    </row>
    <row r="878" spans="3:110" ht="12.75" customHeight="1">
      <c r="E878" s="911"/>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1"/>
      <c r="CS878" s="61"/>
      <c r="CT878" s="61"/>
      <c r="CU878" s="61"/>
      <c r="CV878" s="61"/>
      <c r="CW878" s="61"/>
      <c r="CX878" s="61"/>
      <c r="CY878" s="61"/>
      <c r="CZ878" s="61"/>
      <c r="DA878" s="61"/>
      <c r="DB878" s="61"/>
      <c r="DC878" s="61"/>
      <c r="DD878" s="61"/>
      <c r="DE878" s="61"/>
      <c r="DF878" s="61"/>
    </row>
    <row r="879" spans="3:110" ht="12.75" customHeight="1">
      <c r="C879" s="50" t="s">
        <v>182</v>
      </c>
      <c r="I879" s="917"/>
      <c r="J879" s="918"/>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1"/>
      <c r="CS879" s="61"/>
      <c r="CT879" s="61"/>
      <c r="CU879" s="61"/>
      <c r="CV879" s="61"/>
      <c r="CW879" s="61"/>
      <c r="CX879" s="61"/>
      <c r="CY879" s="61"/>
      <c r="CZ879" s="61"/>
      <c r="DA879" s="61"/>
      <c r="DB879" s="61"/>
      <c r="DC879" s="61"/>
      <c r="DD879" s="61"/>
      <c r="DE879" s="61"/>
      <c r="DF879" s="61"/>
    </row>
    <row r="880" spans="3:110" ht="12.75" customHeight="1">
      <c r="E880" s="911"/>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7" t="s">
        <v>282</v>
      </c>
      <c r="AC881" s="2267">
        <f>W845+W853+W860+W861+W870+W877+W847</f>
        <v>1213014</v>
      </c>
      <c r="AD881" s="2267"/>
      <c r="AE881" s="2267"/>
      <c r="AF881" s="2267"/>
      <c r="AG881" s="2267"/>
      <c r="AH881" s="226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7" t="s">
        <v>542</v>
      </c>
      <c r="AC882" s="2356">
        <f>O796+O776+G753</f>
        <v>112</v>
      </c>
      <c r="AD882" s="2356"/>
      <c r="AE882" s="2356"/>
      <c r="AF882" s="2356"/>
      <c r="AG882" s="2356"/>
      <c r="AH882" s="235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1"/>
      <c r="CS882" s="61"/>
      <c r="CT882" s="61"/>
      <c r="CU882" s="61"/>
      <c r="CV882" s="61"/>
      <c r="CW882" s="61"/>
      <c r="CX882" s="61"/>
      <c r="CY882" s="61"/>
      <c r="CZ882" s="61"/>
      <c r="DA882" s="61"/>
      <c r="DB882" s="61"/>
      <c r="DC882" s="61"/>
      <c r="DD882" s="61"/>
      <c r="DE882" s="61"/>
      <c r="DF882" s="61"/>
    </row>
    <row r="883" spans="1:110" ht="12.75" customHeight="1">
      <c r="C883" s="71"/>
      <c r="D883" s="72"/>
      <c r="E883" s="2354" t="s">
        <v>33</v>
      </c>
      <c r="F883" s="2354"/>
      <c r="G883" s="2354"/>
      <c r="H883" s="2354"/>
      <c r="I883" s="2354"/>
      <c r="J883" s="2354"/>
      <c r="K883" s="2354"/>
      <c r="L883" s="2354"/>
      <c r="M883" s="2354"/>
      <c r="N883" s="2354"/>
      <c r="O883" s="2354"/>
      <c r="P883" s="2354"/>
      <c r="Q883" s="2354"/>
      <c r="R883" s="2354"/>
      <c r="S883" s="2354"/>
      <c r="T883" s="2354"/>
      <c r="U883" s="2354"/>
      <c r="V883" s="2354"/>
      <c r="W883" s="2354"/>
      <c r="X883" s="2354"/>
      <c r="Y883" s="2354"/>
      <c r="Z883" s="2354"/>
      <c r="AA883" s="2354"/>
      <c r="AB883" s="2355"/>
      <c r="AC883" s="2324">
        <f>IF(ISERROR((ROUNDDOWN(AC881/AC882,0))),0,(ROUNDDOWN(AC881/AC882,0)))</f>
        <v>10830</v>
      </c>
      <c r="AD883" s="2324"/>
      <c r="AE883" s="2324"/>
      <c r="AF883" s="2324"/>
      <c r="AG883" s="2324"/>
      <c r="AH883" s="232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9" t="s">
        <v>817</v>
      </c>
      <c r="AC884" s="1986">
        <f>SUM('15 Year Pro Forma'!E34,'15 Year Pro Forma'!E42)/12*3</f>
        <v>480435.74714785838</v>
      </c>
      <c r="AD884" s="1986"/>
      <c r="AE884" s="1986"/>
      <c r="AF884" s="1986"/>
      <c r="AG884" s="1986"/>
      <c r="AH884" s="198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9" t="s">
        <v>1348</v>
      </c>
      <c r="AC885" s="1987"/>
      <c r="AD885" s="1999"/>
      <c r="AE885" s="1999"/>
      <c r="AF885" s="1999"/>
      <c r="AG885" s="1999"/>
      <c r="AH885" s="199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9" t="s">
        <v>541</v>
      </c>
      <c r="AC886" s="1986">
        <v>106800</v>
      </c>
      <c r="AD886" s="1986"/>
      <c r="AE886" s="1986"/>
      <c r="AF886" s="1986"/>
      <c r="AG886" s="1986"/>
      <c r="AH886" s="198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9" t="s">
        <v>84</v>
      </c>
      <c r="AC887" s="1986">
        <v>56000</v>
      </c>
      <c r="AD887" s="1986"/>
      <c r="AE887" s="1986"/>
      <c r="AF887" s="1986"/>
      <c r="AG887" s="1986"/>
      <c r="AH887" s="198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1"/>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2" t="s">
        <v>2082</v>
      </c>
      <c r="AC888" s="2018"/>
      <c r="AD888" s="2019"/>
      <c r="AE888" s="2019"/>
      <c r="AF888" s="2019"/>
      <c r="AG888" s="2019"/>
      <c r="AH888" s="202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1"/>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9" t="s">
        <v>85</v>
      </c>
      <c r="AC889" s="1986">
        <v>2500</v>
      </c>
      <c r="AD889" s="1986"/>
      <c r="AE889" s="1986"/>
      <c r="AF889" s="1986"/>
      <c r="AG889" s="1986"/>
      <c r="AH889" s="1987"/>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9" t="s">
        <v>1962</v>
      </c>
      <c r="AC890" s="1986"/>
      <c r="AD890" s="1986"/>
      <c r="AE890" s="1986"/>
      <c r="AF890" s="1986"/>
      <c r="AG890" s="1986"/>
      <c r="AH890" s="198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1"/>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08" t="s">
        <v>2651</v>
      </c>
      <c r="D891" s="2509"/>
      <c r="E891" s="2509"/>
      <c r="F891" s="2509"/>
      <c r="G891" s="2509"/>
      <c r="H891" s="2509"/>
      <c r="I891" s="2509"/>
      <c r="J891" s="2509"/>
      <c r="K891" s="2509"/>
      <c r="L891" s="2509"/>
      <c r="M891" s="2509"/>
      <c r="N891" s="2509"/>
      <c r="O891" s="2509"/>
      <c r="P891" s="2509"/>
      <c r="Q891" s="2509"/>
      <c r="R891" s="2509"/>
      <c r="S891" s="2509"/>
      <c r="T891" s="2509"/>
      <c r="U891" s="2509"/>
      <c r="V891" s="2509"/>
      <c r="W891" s="2509"/>
      <c r="X891" s="2509"/>
      <c r="Y891" s="2509"/>
      <c r="Z891" s="2509"/>
      <c r="AA891" s="2509"/>
      <c r="AB891" s="2510"/>
      <c r="AC891" s="1999">
        <f>0.125%*AO637</f>
        <v>8583.75</v>
      </c>
      <c r="AD891" s="1999"/>
      <c r="AE891" s="1999"/>
      <c r="AF891" s="1999"/>
      <c r="AG891" s="1999"/>
      <c r="AH891" s="199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1"/>
      <c r="CS891" s="61"/>
      <c r="CT891" s="61"/>
      <c r="CU891" s="61"/>
      <c r="CV891" s="61"/>
      <c r="CW891" s="61"/>
      <c r="CX891" s="61"/>
      <c r="CY891" s="61"/>
      <c r="CZ891" s="61"/>
      <c r="DA891" s="61"/>
      <c r="DB891" s="61"/>
      <c r="DC891" s="61"/>
      <c r="DD891" s="61"/>
      <c r="DE891" s="61"/>
      <c r="DF891" s="61"/>
    </row>
    <row r="892" spans="1:110" ht="12.75" customHeight="1">
      <c r="C892" s="2508" t="s">
        <v>2652</v>
      </c>
      <c r="D892" s="2509"/>
      <c r="E892" s="2509"/>
      <c r="F892" s="2509"/>
      <c r="G892" s="2509"/>
      <c r="H892" s="2509"/>
      <c r="I892" s="2509"/>
      <c r="J892" s="2509"/>
      <c r="K892" s="2509"/>
      <c r="L892" s="2509"/>
      <c r="M892" s="2509"/>
      <c r="N892" s="2509"/>
      <c r="O892" s="2509"/>
      <c r="P892" s="2509"/>
      <c r="Q892" s="2509"/>
      <c r="R892" s="2509"/>
      <c r="S892" s="2509"/>
      <c r="T892" s="2509"/>
      <c r="U892" s="2509"/>
      <c r="V892" s="2509"/>
      <c r="W892" s="2509"/>
      <c r="X892" s="2509"/>
      <c r="Y892" s="2509"/>
      <c r="Z892" s="2509"/>
      <c r="AA892" s="2509"/>
      <c r="AB892" s="2510"/>
      <c r="AC892" s="1999">
        <v>3500</v>
      </c>
      <c r="AD892" s="1999"/>
      <c r="AE892" s="1999"/>
      <c r="AF892" s="1999"/>
      <c r="AG892" s="1999"/>
      <c r="AH892" s="199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5"/>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1"/>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7"/>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1"/>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85">
        <v>1</v>
      </c>
      <c r="AA896" s="1986"/>
      <c r="AB896" s="1986"/>
      <c r="AC896" s="1986"/>
      <c r="AD896" s="1986"/>
      <c r="AE896" s="1987"/>
      <c r="AF896" s="917"/>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1"/>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85">
        <v>0</v>
      </c>
      <c r="AA897" s="1986"/>
      <c r="AB897" s="1986"/>
      <c r="AC897" s="1986"/>
      <c r="AD897" s="1986"/>
      <c r="AE897" s="198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1"/>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85">
        <v>0</v>
      </c>
      <c r="AA898" s="1986"/>
      <c r="AB898" s="1986"/>
      <c r="AC898" s="1986"/>
      <c r="AD898" s="1986"/>
      <c r="AE898" s="198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266">
        <f>Z896-(Z897+Z898)</f>
        <v>1</v>
      </c>
      <c r="AA899" s="2267"/>
      <c r="AB899" s="2267"/>
      <c r="AC899" s="2267"/>
      <c r="AD899" s="2267"/>
      <c r="AE899" s="2268"/>
      <c r="AZ899" s="61"/>
      <c r="BA899" s="25"/>
      <c r="BB899" s="127"/>
      <c r="BC899" s="127"/>
      <c r="BD899" s="1283"/>
      <c r="BE899" s="1283"/>
      <c r="BF899" s="1283"/>
      <c r="BG899" s="151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1"/>
      <c r="CS899" s="61"/>
      <c r="CT899" s="61"/>
      <c r="CU899" s="61"/>
      <c r="CV899" s="61"/>
      <c r="CW899" s="61"/>
      <c r="CX899" s="61"/>
      <c r="CY899" s="61"/>
      <c r="CZ899" s="61"/>
      <c r="DA899" s="61"/>
      <c r="DB899" s="61"/>
      <c r="DC899" s="61"/>
      <c r="DD899" s="61"/>
      <c r="DE899" s="61"/>
      <c r="DF899" s="61"/>
    </row>
    <row r="900" spans="1:110" ht="12.75" customHeight="1">
      <c r="A900" s="39"/>
      <c r="C900" s="911"/>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3"/>
      <c r="BE900" s="1283"/>
      <c r="BF900" s="1283"/>
      <c r="BG900" s="151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1"/>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2"/>
      <c r="BD901" s="2365"/>
      <c r="BE901" s="2365"/>
      <c r="BF901" s="1283"/>
      <c r="BG901" s="151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1"/>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2"/>
      <c r="BD902" s="2371"/>
      <c r="BE902" s="2371"/>
      <c r="BF902" s="1283"/>
      <c r="BG902" s="151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1"/>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2"/>
      <c r="BD903" s="2259"/>
      <c r="BE903" s="2259"/>
      <c r="BF903" s="1283"/>
      <c r="BG903" s="151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1"/>
      <c r="CS903" s="61"/>
      <c r="CT903" s="61"/>
      <c r="CU903" s="61"/>
      <c r="CV903" s="61"/>
      <c r="CW903" s="61"/>
      <c r="CX903" s="61"/>
      <c r="CY903" s="61"/>
      <c r="CZ903" s="61"/>
      <c r="DA903" s="61"/>
      <c r="DB903" s="61"/>
      <c r="DC903" s="61"/>
      <c r="DD903" s="61"/>
      <c r="DE903" s="61"/>
      <c r="DF903" s="61"/>
    </row>
    <row r="904" spans="1:110" ht="12.75" customHeight="1">
      <c r="A904" s="39"/>
      <c r="C904" s="530" t="s">
        <v>1114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2"/>
      <c r="BD904" s="2259"/>
      <c r="BE904" s="2259"/>
      <c r="BF904" s="1283"/>
      <c r="BG904" s="151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2"/>
      <c r="BD905" s="2259"/>
      <c r="BE905" s="2259"/>
      <c r="BF905" s="1283"/>
      <c r="BG905" s="151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2"/>
      <c r="BD906" s="2365"/>
      <c r="BE906" s="2259"/>
      <c r="BF906" s="1283"/>
      <c r="BG906" s="151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1"/>
      <c r="CS906" s="61"/>
      <c r="CT906" s="61"/>
      <c r="CU906" s="61"/>
      <c r="CV906" s="61"/>
      <c r="CW906" s="61"/>
      <c r="CX906" s="61"/>
      <c r="CY906" s="61"/>
      <c r="CZ906" s="61"/>
      <c r="DA906" s="61"/>
      <c r="DB906" s="61"/>
      <c r="DC906" s="61"/>
      <c r="DD906" s="61"/>
      <c r="DE906" s="61"/>
      <c r="DF906" s="61"/>
    </row>
    <row r="907" spans="1:110" ht="12.75" customHeight="1">
      <c r="A907" s="2343" t="s">
        <v>101</v>
      </c>
      <c r="B907" s="2343"/>
      <c r="C907" s="2343"/>
      <c r="D907" s="2343"/>
      <c r="E907" s="2343"/>
      <c r="F907" s="2343"/>
      <c r="G907" s="2343"/>
      <c r="H907" s="2343"/>
      <c r="I907" s="2343"/>
      <c r="J907" s="2343"/>
      <c r="K907" s="2343"/>
      <c r="L907" s="2343"/>
      <c r="M907" s="2343"/>
      <c r="N907" s="2343"/>
      <c r="O907" s="2343"/>
      <c r="P907" s="2343"/>
      <c r="Q907" s="2343"/>
      <c r="R907" s="2343"/>
      <c r="S907" s="2343"/>
      <c r="T907" s="2343"/>
      <c r="U907" s="2343"/>
      <c r="V907" s="2343"/>
      <c r="W907" s="2343"/>
      <c r="X907" s="2343"/>
      <c r="Y907" s="2343"/>
      <c r="Z907" s="2343"/>
      <c r="AA907" s="2343"/>
      <c r="AB907" s="2343"/>
      <c r="AC907" s="2343"/>
      <c r="AD907" s="2343"/>
      <c r="AE907" s="2343"/>
      <c r="AF907" s="2343"/>
      <c r="AG907" s="2343"/>
      <c r="AH907" s="2343"/>
      <c r="AI907" s="2343"/>
      <c r="AJ907" s="2343"/>
      <c r="AK907" s="2343"/>
      <c r="AL907" s="2343"/>
      <c r="AM907" s="144"/>
      <c r="AN907" s="144"/>
      <c r="AO907" s="144"/>
      <c r="AP907" s="144"/>
      <c r="AQ907" s="144"/>
      <c r="AR907" s="144"/>
      <c r="AS907" s="144"/>
      <c r="AT907" s="144"/>
      <c r="AU907" s="144"/>
      <c r="AV907" s="144"/>
      <c r="AW907" s="144"/>
      <c r="AX907" s="144"/>
      <c r="AY907" s="144"/>
      <c r="AZ907" s="61"/>
      <c r="BA907" s="25"/>
      <c r="BB907" s="127"/>
      <c r="BC907" s="1512"/>
      <c r="BD907" s="2370"/>
      <c r="BE907" s="2370"/>
      <c r="BF907" s="2370"/>
      <c r="BG907" s="151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1"/>
      <c r="CS907" s="61"/>
      <c r="CT907" s="61"/>
      <c r="CU907" s="61"/>
      <c r="CV907" s="61"/>
      <c r="CW907" s="61"/>
      <c r="CX907" s="61"/>
      <c r="CY907" s="61"/>
      <c r="CZ907" s="61"/>
      <c r="DA907" s="61"/>
      <c r="DB907" s="61"/>
      <c r="DC907" s="61"/>
      <c r="DD907" s="61"/>
      <c r="DE907" s="61"/>
      <c r="DF907" s="61"/>
    </row>
    <row r="908" spans="1:110" ht="12.75" customHeight="1" thickBot="1">
      <c r="A908" s="2344"/>
      <c r="B908" s="2344"/>
      <c r="C908" s="2344"/>
      <c r="D908" s="2344"/>
      <c r="E908" s="2344"/>
      <c r="F908" s="2344"/>
      <c r="G908" s="2344"/>
      <c r="H908" s="2344"/>
      <c r="I908" s="2344"/>
      <c r="J908" s="2344"/>
      <c r="K908" s="2344"/>
      <c r="L908" s="2344"/>
      <c r="M908" s="2344"/>
      <c r="N908" s="2344"/>
      <c r="O908" s="2344"/>
      <c r="P908" s="2344"/>
      <c r="Q908" s="2344"/>
      <c r="R908" s="2344"/>
      <c r="S908" s="2344"/>
      <c r="T908" s="2344"/>
      <c r="U908" s="2344"/>
      <c r="V908" s="2344"/>
      <c r="W908" s="2344"/>
      <c r="X908" s="2344"/>
      <c r="Y908" s="2344"/>
      <c r="Z908" s="2344"/>
      <c r="AA908" s="2344"/>
      <c r="AB908" s="2344"/>
      <c r="AC908" s="2344"/>
      <c r="AD908" s="2344"/>
      <c r="AE908" s="2344"/>
      <c r="AF908" s="2344"/>
      <c r="AG908" s="2344"/>
      <c r="AH908" s="2344"/>
      <c r="AI908" s="2344"/>
      <c r="AJ908" s="2344"/>
      <c r="AK908" s="2344"/>
      <c r="AL908" s="2344"/>
      <c r="AM908" s="144"/>
      <c r="AN908" s="144"/>
      <c r="AO908" s="144"/>
      <c r="AP908" s="144"/>
      <c r="AQ908" s="144"/>
      <c r="AR908" s="144"/>
      <c r="AS908" s="144"/>
      <c r="AT908" s="144"/>
      <c r="AU908" s="144"/>
      <c r="AV908" s="144"/>
      <c r="AW908" s="144"/>
      <c r="AX908" s="144"/>
      <c r="AY908" s="144"/>
      <c r="AZ908" s="61"/>
      <c r="BA908" s="25"/>
      <c r="BB908" s="127"/>
      <c r="BC908" s="1512"/>
      <c r="BD908" s="2366"/>
      <c r="BE908" s="2366"/>
      <c r="BF908" s="2366"/>
      <c r="BG908" s="151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2"/>
      <c r="BD909" s="2259"/>
      <c r="BE909" s="2259"/>
      <c r="BF909" s="1283"/>
      <c r="BG909" s="151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1"/>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2"/>
      <c r="BD910" s="2365"/>
      <c r="BE910" s="2259"/>
      <c r="BF910" s="1283"/>
      <c r="BG910" s="151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1"/>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2"/>
      <c r="BD911" s="25"/>
      <c r="BE911" s="25"/>
      <c r="BF911" s="25"/>
      <c r="BG911" s="151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29" t="s">
        <v>848</v>
      </c>
      <c r="G912" s="2230"/>
      <c r="H912" s="2230"/>
      <c r="I912" s="2230"/>
      <c r="J912" s="2230"/>
      <c r="K912" s="2230"/>
      <c r="L912" s="2230"/>
      <c r="M912" s="2230"/>
      <c r="N912" s="2230"/>
      <c r="O912" s="2230"/>
      <c r="P912" s="2230"/>
      <c r="Q912" s="2230"/>
      <c r="R912" s="2230"/>
      <c r="S912" s="2230"/>
      <c r="T912" s="2231"/>
      <c r="U912" s="2138" t="s">
        <v>32</v>
      </c>
      <c r="V912" s="2139"/>
      <c r="W912" s="2139"/>
      <c r="X912" s="2139"/>
      <c r="Y912" s="2139"/>
      <c r="Z912" s="2139"/>
      <c r="AA912" s="73"/>
      <c r="AB912" s="161"/>
      <c r="AC912" s="161"/>
      <c r="AD912" s="161"/>
      <c r="AE912" s="161"/>
      <c r="AF912" s="162"/>
      <c r="AZ912" s="61"/>
      <c r="BA912" s="1511"/>
      <c r="BB912" s="127"/>
      <c r="BC912" s="127"/>
      <c r="BD912" s="2365"/>
      <c r="BE912" s="2259"/>
      <c r="BF912" s="1514"/>
      <c r="BG912" s="151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1"/>
      <c r="CS912" s="61"/>
      <c r="CT912" s="61"/>
      <c r="CU912" s="61"/>
      <c r="CV912" s="61"/>
      <c r="CW912" s="61"/>
      <c r="CX912" s="61"/>
      <c r="CY912" s="61"/>
      <c r="CZ912" s="61"/>
      <c r="DA912" s="61"/>
      <c r="DB912" s="61"/>
      <c r="DC912" s="61"/>
      <c r="DD912" s="61"/>
      <c r="DE912" s="61"/>
      <c r="DF912" s="61"/>
    </row>
    <row r="913" spans="2:110" ht="12.75" customHeight="1">
      <c r="B913" s="50"/>
      <c r="F913" s="2140" t="s">
        <v>877</v>
      </c>
      <c r="G913" s="2141"/>
      <c r="H913" s="2141"/>
      <c r="I913" s="2141"/>
      <c r="J913" s="2141"/>
      <c r="K913" s="2141"/>
      <c r="L913" s="2141"/>
      <c r="M913" s="2141"/>
      <c r="N913" s="2141"/>
      <c r="O913" s="2141"/>
      <c r="P913" s="2141"/>
      <c r="Q913" s="2141"/>
      <c r="R913" s="2141"/>
      <c r="S913" s="2141"/>
      <c r="T913" s="2293"/>
      <c r="U913" s="2140"/>
      <c r="V913" s="2141"/>
      <c r="W913" s="2141"/>
      <c r="X913" s="2141"/>
      <c r="Y913" s="2141"/>
      <c r="Z913" s="2141"/>
      <c r="AA913" s="74"/>
      <c r="AB913" s="57"/>
      <c r="AC913" s="57"/>
      <c r="AD913" s="57"/>
      <c r="AE913" s="57"/>
      <c r="AF913" s="163"/>
      <c r="AZ913" s="61"/>
      <c r="BA913" s="1511"/>
      <c r="BB913" s="1511"/>
      <c r="BC913" s="1511"/>
      <c r="BD913" s="1511"/>
      <c r="BE913" s="1511"/>
      <c r="BF913" s="1511"/>
      <c r="BG913" s="151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1"/>
      <c r="CS913" s="61"/>
      <c r="CT913" s="61"/>
      <c r="CU913" s="61"/>
      <c r="CV913" s="61"/>
      <c r="CW913" s="61"/>
      <c r="CX913" s="61"/>
      <c r="CY913" s="61"/>
      <c r="CZ913" s="61"/>
      <c r="DA913" s="61"/>
      <c r="DB913" s="61"/>
      <c r="DC913" s="61"/>
      <c r="DD913" s="61"/>
      <c r="DE913" s="61"/>
      <c r="DF913" s="61"/>
    </row>
    <row r="914" spans="2:110" ht="12.75" customHeight="1">
      <c r="B914" s="50"/>
      <c r="F914" s="2142"/>
      <c r="G914" s="2143"/>
      <c r="H914" s="2143"/>
      <c r="I914" s="2143"/>
      <c r="J914" s="2143"/>
      <c r="K914" s="2143"/>
      <c r="L914" s="2143"/>
      <c r="M914" s="2143"/>
      <c r="N914" s="2143"/>
      <c r="O914" s="2143"/>
      <c r="P914" s="2143"/>
      <c r="Q914" s="2143"/>
      <c r="R914" s="2143"/>
      <c r="S914" s="2143"/>
      <c r="T914" s="2294"/>
      <c r="U914" s="2142"/>
      <c r="V914" s="2143"/>
      <c r="W914" s="2143"/>
      <c r="X914" s="2143"/>
      <c r="Y914" s="2143"/>
      <c r="Z914" s="2143"/>
      <c r="AA914" s="164"/>
      <c r="AB914" s="2360" t="s">
        <v>409</v>
      </c>
      <c r="AC914" s="2360"/>
      <c r="AD914" s="2360"/>
      <c r="AE914" s="2360"/>
      <c r="AF914" s="165"/>
      <c r="AZ914" s="61"/>
      <c r="BA914" s="1511"/>
      <c r="BB914" s="1511"/>
      <c r="BC914" s="1511"/>
      <c r="BD914" s="1511"/>
      <c r="BE914" s="1511"/>
      <c r="BF914" s="1511"/>
      <c r="BG914" s="151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1"/>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135" t="s">
        <v>576</v>
      </c>
      <c r="V915" s="2136"/>
      <c r="W915" s="2136"/>
      <c r="X915" s="2136"/>
      <c r="Y915" s="2136"/>
      <c r="Z915" s="2137"/>
      <c r="AA915" s="2147">
        <f>AM564</f>
        <v>40465765</v>
      </c>
      <c r="AB915" s="2148"/>
      <c r="AC915" s="2148"/>
      <c r="AD915" s="2148"/>
      <c r="AE915" s="2148"/>
      <c r="AF915" s="214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1"/>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135" t="s">
        <v>624</v>
      </c>
      <c r="V916" s="2136"/>
      <c r="W916" s="2136"/>
      <c r="X916" s="2136"/>
      <c r="Y916" s="2136"/>
      <c r="Z916" s="2137"/>
      <c r="AA916" s="2147"/>
      <c r="AB916" s="2148"/>
      <c r="AC916" s="2148"/>
      <c r="AD916" s="2148"/>
      <c r="AE916" s="2148"/>
      <c r="AF916" s="214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1"/>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135" t="s">
        <v>624</v>
      </c>
      <c r="V917" s="2136"/>
      <c r="W917" s="2136"/>
      <c r="X917" s="2136"/>
      <c r="Y917" s="2136"/>
      <c r="Z917" s="2137"/>
      <c r="AA917" s="2147"/>
      <c r="AB917" s="2148"/>
      <c r="AC917" s="2148"/>
      <c r="AD917" s="2148"/>
      <c r="AE917" s="2148"/>
      <c r="AF917" s="214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1"/>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135" t="s">
        <v>624</v>
      </c>
      <c r="V918" s="2136"/>
      <c r="W918" s="2136"/>
      <c r="X918" s="2136"/>
      <c r="Y918" s="2136"/>
      <c r="Z918" s="2137"/>
      <c r="AA918" s="2147"/>
      <c r="AB918" s="2148"/>
      <c r="AC918" s="2148"/>
      <c r="AD918" s="2148"/>
      <c r="AE918" s="2148"/>
      <c r="AF918" s="214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1"/>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135" t="s">
        <v>624</v>
      </c>
      <c r="V919" s="2136"/>
      <c r="W919" s="2136"/>
      <c r="X919" s="2136"/>
      <c r="Y919" s="2136"/>
      <c r="Z919" s="2137"/>
      <c r="AA919" s="2147"/>
      <c r="AB919" s="2148"/>
      <c r="AC919" s="2148"/>
      <c r="AD919" s="2148"/>
      <c r="AE919" s="2148"/>
      <c r="AF919" s="214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1"/>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135" t="s">
        <v>624</v>
      </c>
      <c r="V920" s="2136"/>
      <c r="W920" s="2136"/>
      <c r="X920" s="2136"/>
      <c r="Y920" s="2136"/>
      <c r="Z920" s="2137"/>
      <c r="AA920" s="2147"/>
      <c r="AB920" s="2148"/>
      <c r="AC920" s="2148"/>
      <c r="AD920" s="2148"/>
      <c r="AE920" s="2148"/>
      <c r="AF920" s="214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1"/>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135" t="s">
        <v>624</v>
      </c>
      <c r="V921" s="2136"/>
      <c r="W921" s="2136"/>
      <c r="X921" s="2136"/>
      <c r="Y921" s="2136"/>
      <c r="Z921" s="2137"/>
      <c r="AA921" s="2147"/>
      <c r="AB921" s="2148"/>
      <c r="AC921" s="2148"/>
      <c r="AD921" s="2148"/>
      <c r="AE921" s="2148"/>
      <c r="AF921" s="214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1"/>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135" t="s">
        <v>624</v>
      </c>
      <c r="V922" s="2136"/>
      <c r="W922" s="2136"/>
      <c r="X922" s="2136"/>
      <c r="Y922" s="2136"/>
      <c r="Z922" s="2137"/>
      <c r="AA922" s="2147"/>
      <c r="AB922" s="2148"/>
      <c r="AC922" s="2148"/>
      <c r="AD922" s="2148"/>
      <c r="AE922" s="2148"/>
      <c r="AF922" s="214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1"/>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135" t="s">
        <v>624</v>
      </c>
      <c r="V923" s="2136"/>
      <c r="W923" s="2136"/>
      <c r="X923" s="2136"/>
      <c r="Y923" s="2136"/>
      <c r="Z923" s="2137"/>
      <c r="AA923" s="2147"/>
      <c r="AB923" s="2148"/>
      <c r="AC923" s="2148"/>
      <c r="AD923" s="2148"/>
      <c r="AE923" s="2148"/>
      <c r="AF923" s="214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1"/>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135" t="s">
        <v>624</v>
      </c>
      <c r="V924" s="2136"/>
      <c r="W924" s="2136"/>
      <c r="X924" s="2136"/>
      <c r="Y924" s="2136"/>
      <c r="Z924" s="2137"/>
      <c r="AA924" s="2147"/>
      <c r="AB924" s="2148"/>
      <c r="AC924" s="2148"/>
      <c r="AD924" s="2148"/>
      <c r="AE924" s="2148"/>
      <c r="AF924" s="214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1"/>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135" t="s">
        <v>624</v>
      </c>
      <c r="V925" s="2136"/>
      <c r="W925" s="2136"/>
      <c r="X925" s="2136"/>
      <c r="Y925" s="2136"/>
      <c r="Z925" s="2137"/>
      <c r="AA925" s="2147"/>
      <c r="AB925" s="2148"/>
      <c r="AC925" s="2148"/>
      <c r="AD925" s="2148"/>
      <c r="AE925" s="2148"/>
      <c r="AF925" s="214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1"/>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135" t="s">
        <v>624</v>
      </c>
      <c r="V926" s="2136"/>
      <c r="W926" s="2136"/>
      <c r="X926" s="2136"/>
      <c r="Y926" s="2136"/>
      <c r="Z926" s="2137"/>
      <c r="AA926" s="2147"/>
      <c r="AB926" s="2148"/>
      <c r="AC926" s="2148"/>
      <c r="AD926" s="2148"/>
      <c r="AE926" s="2148"/>
      <c r="AF926" s="214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1"/>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135" t="s">
        <v>624</v>
      </c>
      <c r="V927" s="2136"/>
      <c r="W927" s="2136"/>
      <c r="X927" s="2136"/>
      <c r="Y927" s="2136"/>
      <c r="Z927" s="2137"/>
      <c r="AA927" s="2147"/>
      <c r="AB927" s="2148"/>
      <c r="AC927" s="2148"/>
      <c r="AD927" s="2148"/>
      <c r="AE927" s="2148"/>
      <c r="AF927" s="214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1"/>
      <c r="CS927" s="61"/>
      <c r="CT927" s="61"/>
      <c r="CU927" s="61"/>
      <c r="CV927" s="61"/>
      <c r="CW927" s="61"/>
      <c r="CX927" s="61"/>
      <c r="CY927" s="61"/>
      <c r="CZ927" s="61"/>
      <c r="DA927" s="61"/>
      <c r="DB927" s="61"/>
      <c r="DC927" s="61"/>
      <c r="DD927" s="61"/>
      <c r="DE927" s="61"/>
      <c r="DF927" s="61"/>
    </row>
    <row r="928" spans="2:110" ht="12.75" customHeight="1">
      <c r="F928" s="883" t="s">
        <v>1486</v>
      </c>
      <c r="G928" s="148"/>
      <c r="H928" s="148"/>
      <c r="I928" s="148"/>
      <c r="J928" s="148"/>
      <c r="K928" s="148"/>
      <c r="L928" s="148"/>
      <c r="M928" s="148"/>
      <c r="N928" s="148"/>
      <c r="O928" s="148"/>
      <c r="P928" s="148"/>
      <c r="Q928" s="148"/>
      <c r="R928" s="148"/>
      <c r="S928" s="148"/>
      <c r="T928" s="336"/>
      <c r="U928" s="2135" t="s">
        <v>624</v>
      </c>
      <c r="V928" s="2136"/>
      <c r="W928" s="2136"/>
      <c r="X928" s="2136"/>
      <c r="Y928" s="2136"/>
      <c r="Z928" s="2137"/>
      <c r="AA928" s="2147"/>
      <c r="AB928" s="2148"/>
      <c r="AC928" s="2148"/>
      <c r="AD928" s="2148"/>
      <c r="AE928" s="2148"/>
      <c r="AF928" s="214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1"/>
      <c r="CS928" s="61"/>
      <c r="CT928" s="61"/>
      <c r="CU928" s="61"/>
      <c r="CV928" s="61"/>
      <c r="CW928" s="61"/>
      <c r="CX928" s="61"/>
      <c r="CY928" s="61"/>
      <c r="CZ928" s="61"/>
      <c r="DA928" s="61"/>
      <c r="DB928" s="61"/>
      <c r="DC928" s="61"/>
      <c r="DD928" s="61"/>
      <c r="DE928" s="61"/>
      <c r="DF928" s="61"/>
    </row>
    <row r="929" spans="1:110" ht="12.75" customHeight="1">
      <c r="F929" s="883" t="s">
        <v>1487</v>
      </c>
      <c r="G929" s="77"/>
      <c r="H929" s="77"/>
      <c r="I929" s="77"/>
      <c r="J929" s="77"/>
      <c r="K929" s="77"/>
      <c r="L929" s="77"/>
      <c r="M929" s="77"/>
      <c r="N929" s="77"/>
      <c r="O929" s="77"/>
      <c r="P929" s="148"/>
      <c r="Q929" s="148"/>
      <c r="R929" s="148"/>
      <c r="S929" s="148"/>
      <c r="T929" s="336"/>
      <c r="U929" s="2135" t="s">
        <v>624</v>
      </c>
      <c r="V929" s="2136"/>
      <c r="W929" s="2136"/>
      <c r="X929" s="2136"/>
      <c r="Y929" s="2136"/>
      <c r="Z929" s="2137"/>
      <c r="AA929" s="2147"/>
      <c r="AB929" s="2148"/>
      <c r="AC929" s="2148"/>
      <c r="AD929" s="2148"/>
      <c r="AE929" s="2148"/>
      <c r="AF929" s="214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1"/>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135" t="s">
        <v>704</v>
      </c>
      <c r="Q930" s="2136"/>
      <c r="R930" s="2136"/>
      <c r="S930" s="2136"/>
      <c r="T930" s="2137"/>
      <c r="U930" s="2135" t="s">
        <v>624</v>
      </c>
      <c r="V930" s="2136"/>
      <c r="W930" s="2136"/>
      <c r="X930" s="2136"/>
      <c r="Y930" s="2136"/>
      <c r="Z930" s="2137"/>
      <c r="AA930" s="2147"/>
      <c r="AB930" s="2148"/>
      <c r="AC930" s="2148"/>
      <c r="AD930" s="2148"/>
      <c r="AE930" s="2148"/>
      <c r="AF930" s="214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53" t="str">
        <f>C638</f>
        <v>HCD AHSC</v>
      </c>
      <c r="J931" s="2154"/>
      <c r="K931" s="2154"/>
      <c r="L931" s="2154"/>
      <c r="M931" s="2154"/>
      <c r="N931" s="2154"/>
      <c r="O931" s="2154"/>
      <c r="P931" s="2154"/>
      <c r="Q931" s="2154"/>
      <c r="R931" s="2154"/>
      <c r="S931" s="2154"/>
      <c r="T931" s="2155"/>
      <c r="U931" s="2135" t="s">
        <v>576</v>
      </c>
      <c r="V931" s="2136"/>
      <c r="W931" s="2136"/>
      <c r="X931" s="2136"/>
      <c r="Y931" s="2136"/>
      <c r="Z931" s="2137"/>
      <c r="AA931" s="2147">
        <f>AO638</f>
        <v>20000000</v>
      </c>
      <c r="AB931" s="2148"/>
      <c r="AC931" s="2148"/>
      <c r="AD931" s="2148"/>
      <c r="AE931" s="2148"/>
      <c r="AF931" s="214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53" t="str">
        <f>C639</f>
        <v>SF MOHCD</v>
      </c>
      <c r="J932" s="2154"/>
      <c r="K932" s="2154"/>
      <c r="L932" s="2154"/>
      <c r="M932" s="2154"/>
      <c r="N932" s="2154"/>
      <c r="O932" s="2154"/>
      <c r="P932" s="2154"/>
      <c r="Q932" s="2154"/>
      <c r="R932" s="2154"/>
      <c r="S932" s="2154"/>
      <c r="T932" s="2155"/>
      <c r="U932" s="2135" t="s">
        <v>576</v>
      </c>
      <c r="V932" s="2136"/>
      <c r="W932" s="2136"/>
      <c r="X932" s="2136"/>
      <c r="Y932" s="2136"/>
      <c r="Z932" s="2137"/>
      <c r="AA932" s="2147">
        <f>AO639</f>
        <v>12150000</v>
      </c>
      <c r="AB932" s="2148"/>
      <c r="AC932" s="2148"/>
      <c r="AD932" s="2148"/>
      <c r="AE932" s="2148"/>
      <c r="AF932" s="214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1"/>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153" t="str">
        <f>C640</f>
        <v>FHLB AHP</v>
      </c>
      <c r="J933" s="2154"/>
      <c r="K933" s="2154"/>
      <c r="L933" s="2154"/>
      <c r="M933" s="2154"/>
      <c r="N933" s="2154"/>
      <c r="O933" s="2154"/>
      <c r="P933" s="2154"/>
      <c r="Q933" s="2154"/>
      <c r="R933" s="2154"/>
      <c r="S933" s="2154"/>
      <c r="T933" s="2155"/>
      <c r="U933" s="2135" t="s">
        <v>576</v>
      </c>
      <c r="V933" s="2136"/>
      <c r="W933" s="2136"/>
      <c r="X933" s="2136"/>
      <c r="Y933" s="2136"/>
      <c r="Z933" s="2137"/>
      <c r="AA933" s="2147">
        <f>AO640</f>
        <v>1000000</v>
      </c>
      <c r="AB933" s="2148"/>
      <c r="AC933" s="2148"/>
      <c r="AD933" s="2148"/>
      <c r="AE933" s="2148"/>
      <c r="AF933" s="214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1"/>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153"/>
      <c r="J934" s="2154"/>
      <c r="K934" s="2154"/>
      <c r="L934" s="2154"/>
      <c r="M934" s="2154"/>
      <c r="N934" s="2154"/>
      <c r="O934" s="2154"/>
      <c r="P934" s="2154"/>
      <c r="Q934" s="2154"/>
      <c r="R934" s="2154"/>
      <c r="S934" s="2154"/>
      <c r="T934" s="2155"/>
      <c r="U934" s="2135" t="s">
        <v>624</v>
      </c>
      <c r="V934" s="2136"/>
      <c r="W934" s="2136"/>
      <c r="X934" s="2136"/>
      <c r="Y934" s="2136"/>
      <c r="Z934" s="2137"/>
      <c r="AA934" s="2147"/>
      <c r="AB934" s="2148"/>
      <c r="AC934" s="2148"/>
      <c r="AD934" s="2148"/>
      <c r="AE934" s="2148"/>
      <c r="AF934" s="214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1"/>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1"/>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7"/>
      <c r="AN937" s="1487"/>
      <c r="AO937" s="1487"/>
      <c r="AP937" s="1487"/>
      <c r="AQ937" s="1487"/>
      <c r="AR937" s="1487"/>
      <c r="AS937" s="1487"/>
      <c r="AT937" s="1487"/>
      <c r="AU937" s="1487"/>
      <c r="AV937" s="1487"/>
      <c r="AW937" s="1487"/>
      <c r="AX937" s="1487"/>
      <c r="AY937" s="1487"/>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0">
        <v>44333</v>
      </c>
      <c r="N939" s="2307"/>
      <c r="O939" s="2307"/>
      <c r="P939" s="2307"/>
      <c r="Q939" s="2307"/>
      <c r="R939" s="2307"/>
      <c r="S939" s="2331"/>
      <c r="U939" s="103" t="s">
        <v>11</v>
      </c>
      <c r="V939" s="77"/>
      <c r="W939" s="77"/>
      <c r="X939" s="77"/>
      <c r="Y939" s="77"/>
      <c r="Z939" s="77"/>
      <c r="AA939" s="77"/>
      <c r="AB939" s="77"/>
      <c r="AC939" s="77"/>
      <c r="AD939" s="78"/>
      <c r="AE939" s="2330" t="s">
        <v>624</v>
      </c>
      <c r="AF939" s="2307"/>
      <c r="AG939" s="2307"/>
      <c r="AH939" s="2307"/>
      <c r="AI939" s="2307"/>
      <c r="AJ939" s="2307"/>
      <c r="AK939" s="233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6" t="s">
        <v>2580</v>
      </c>
      <c r="N940" s="2327"/>
      <c r="O940" s="2327"/>
      <c r="P940" s="2327"/>
      <c r="Q940" s="2327"/>
      <c r="R940" s="2327"/>
      <c r="S940" s="2328"/>
      <c r="U940" s="103" t="s">
        <v>12</v>
      </c>
      <c r="V940" s="77"/>
      <c r="W940" s="77"/>
      <c r="X940" s="77"/>
      <c r="Y940" s="77"/>
      <c r="Z940" s="77"/>
      <c r="AA940" s="77"/>
      <c r="AB940" s="77"/>
      <c r="AC940" s="77"/>
      <c r="AD940" s="78"/>
      <c r="AE940" s="2362" t="s">
        <v>624</v>
      </c>
      <c r="AF940" s="2363"/>
      <c r="AG940" s="2363"/>
      <c r="AH940" s="2363"/>
      <c r="AI940" s="2363"/>
      <c r="AJ940" s="2363"/>
      <c r="AK940" s="236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1"/>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40" t="s">
        <v>315</v>
      </c>
      <c r="K941" s="2341"/>
      <c r="L941" s="2341"/>
      <c r="M941" s="2341"/>
      <c r="N941" s="2341"/>
      <c r="O941" s="2341"/>
      <c r="P941" s="2341"/>
      <c r="Q941" s="2341"/>
      <c r="R941" s="2341"/>
      <c r="S941" s="2342"/>
      <c r="U941" s="103" t="s">
        <v>943</v>
      </c>
      <c r="V941" s="77"/>
      <c r="W941" s="77"/>
      <c r="AB941" s="2340" t="s">
        <v>315</v>
      </c>
      <c r="AC941" s="2341"/>
      <c r="AD941" s="2341"/>
      <c r="AE941" s="2341"/>
      <c r="AF941" s="2341"/>
      <c r="AG941" s="2341"/>
      <c r="AH941" s="2341"/>
      <c r="AI941" s="2341"/>
      <c r="AJ941" s="2341"/>
      <c r="AK941" s="234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31">
        <f>M943/G753</f>
        <v>0.12727272727272726</v>
      </c>
      <c r="N942" s="2132"/>
      <c r="O942" s="2132"/>
      <c r="P942" s="2132"/>
      <c r="Q942" s="2132"/>
      <c r="R942" s="2132"/>
      <c r="S942" s="2133"/>
      <c r="U942" s="103" t="s">
        <v>13</v>
      </c>
      <c r="V942" s="77"/>
      <c r="W942" s="77"/>
      <c r="X942" s="77"/>
      <c r="Y942" s="77"/>
      <c r="Z942" s="77"/>
      <c r="AA942" s="77"/>
      <c r="AB942" s="77"/>
      <c r="AC942" s="77"/>
      <c r="AD942" s="78"/>
      <c r="AE942" s="2361" t="s">
        <v>624</v>
      </c>
      <c r="AF942" s="2132"/>
      <c r="AG942" s="2132"/>
      <c r="AH942" s="2132"/>
      <c r="AI942" s="2132"/>
      <c r="AJ942" s="2132"/>
      <c r="AK942" s="213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7">
        <v>14</v>
      </c>
      <c r="N943" s="2338"/>
      <c r="O943" s="2338"/>
      <c r="P943" s="2338"/>
      <c r="Q943" s="2338"/>
      <c r="R943" s="2338"/>
      <c r="S943" s="2339"/>
      <c r="U943" s="103" t="s">
        <v>14</v>
      </c>
      <c r="V943" s="77"/>
      <c r="W943" s="77"/>
      <c r="X943" s="77"/>
      <c r="Y943" s="77"/>
      <c r="Z943" s="77"/>
      <c r="AA943" s="77"/>
      <c r="AB943" s="77"/>
      <c r="AC943" s="77"/>
      <c r="AD943" s="78"/>
      <c r="AE943" s="2337" t="s">
        <v>624</v>
      </c>
      <c r="AF943" s="2338"/>
      <c r="AG943" s="2338"/>
      <c r="AH943" s="2338"/>
      <c r="AI943" s="2338"/>
      <c r="AJ943" s="2338"/>
      <c r="AK943" s="233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47">
        <f>Z807</f>
        <v>312864</v>
      </c>
      <c r="N944" s="2148"/>
      <c r="O944" s="2148"/>
      <c r="P944" s="2148"/>
      <c r="Q944" s="2148"/>
      <c r="R944" s="2148"/>
      <c r="S944" s="2149"/>
      <c r="U944" s="103" t="s">
        <v>15</v>
      </c>
      <c r="V944" s="77"/>
      <c r="W944" s="77"/>
      <c r="X944" s="77"/>
      <c r="Y944" s="77"/>
      <c r="Z944" s="77"/>
      <c r="AA944" s="77"/>
      <c r="AB944" s="77"/>
      <c r="AC944" s="77"/>
      <c r="AD944" s="78"/>
      <c r="AE944" s="2147" t="s">
        <v>624</v>
      </c>
      <c r="AF944" s="2148"/>
      <c r="AG944" s="2148"/>
      <c r="AH944" s="2148"/>
      <c r="AI944" s="2148"/>
      <c r="AJ944" s="2148"/>
      <c r="AK944" s="214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47">
        <f>M944*M946</f>
        <v>6257280</v>
      </c>
      <c r="N945" s="2148"/>
      <c r="O945" s="2148"/>
      <c r="P945" s="2148"/>
      <c r="Q945" s="2148"/>
      <c r="R945" s="2148"/>
      <c r="S945" s="2149"/>
      <c r="U945" s="103" t="s">
        <v>16</v>
      </c>
      <c r="V945" s="77"/>
      <c r="W945" s="77"/>
      <c r="X945" s="77"/>
      <c r="Y945" s="77"/>
      <c r="Z945" s="77"/>
      <c r="AA945" s="77"/>
      <c r="AB945" s="77"/>
      <c r="AC945" s="77"/>
      <c r="AD945" s="78"/>
      <c r="AE945" s="2147" t="s">
        <v>624</v>
      </c>
      <c r="AF945" s="2148"/>
      <c r="AG945" s="2148"/>
      <c r="AH945" s="2148"/>
      <c r="AI945" s="2148"/>
      <c r="AJ945" s="2148"/>
      <c r="AK945" s="214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1"/>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048">
        <v>20</v>
      </c>
      <c r="N946" s="2049"/>
      <c r="O946" s="2049"/>
      <c r="P946" s="2049"/>
      <c r="Q946" s="2049"/>
      <c r="R946" s="2049"/>
      <c r="S946" s="2050"/>
      <c r="U946" s="103" t="s">
        <v>603</v>
      </c>
      <c r="V946" s="77"/>
      <c r="W946" s="77"/>
      <c r="X946" s="77"/>
      <c r="Y946" s="77"/>
      <c r="Z946" s="77"/>
      <c r="AA946" s="77"/>
      <c r="AB946" s="77"/>
      <c r="AC946" s="77"/>
      <c r="AD946" s="78"/>
      <c r="AE946" s="2048" t="s">
        <v>624</v>
      </c>
      <c r="AF946" s="2049"/>
      <c r="AG946" s="2049"/>
      <c r="AH946" s="2049"/>
      <c r="AI946" s="2049"/>
      <c r="AJ946" s="2049"/>
      <c r="AK946" s="205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1"/>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7"/>
      <c r="AN948" s="1487"/>
      <c r="AO948" s="1487"/>
      <c r="AP948" s="1487"/>
      <c r="AQ948" s="1487"/>
      <c r="AR948" s="1487"/>
      <c r="AS948" s="1487"/>
      <c r="AT948" s="1487"/>
      <c r="AU948" s="1487"/>
      <c r="AV948" s="1487"/>
      <c r="AW948" s="1487"/>
      <c r="AX948" s="1487"/>
      <c r="AY948" s="1487"/>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1"/>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7"/>
      <c r="AN949" s="1487"/>
      <c r="AO949" s="1487"/>
      <c r="AP949" s="1487"/>
      <c r="AQ949" s="1487"/>
      <c r="AR949" s="1487"/>
      <c r="AS949" s="1487"/>
      <c r="AT949" s="1487"/>
      <c r="AU949" s="1487"/>
      <c r="AV949" s="1487"/>
      <c r="AW949" s="1487"/>
      <c r="AX949" s="1487"/>
      <c r="AY949" s="1487"/>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7"/>
      <c r="AN950" s="1487"/>
      <c r="AO950" s="1487"/>
      <c r="AP950" s="1487"/>
      <c r="AQ950" s="1487"/>
      <c r="AR950" s="1487"/>
      <c r="AS950" s="1487"/>
      <c r="AT950" s="1487"/>
      <c r="AU950" s="1487"/>
      <c r="AV950" s="1487"/>
      <c r="AW950" s="1487"/>
      <c r="AX950" s="1487"/>
      <c r="AY950" s="1487"/>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1"/>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125" t="s">
        <v>624</v>
      </c>
      <c r="N951" s="2126"/>
      <c r="O951" s="2126"/>
      <c r="P951" s="2126"/>
      <c r="Q951" s="2126"/>
      <c r="R951" s="2126"/>
      <c r="S951" s="2127"/>
      <c r="T951" s="103" t="s">
        <v>846</v>
      </c>
      <c r="U951" s="77"/>
      <c r="V951" s="77"/>
      <c r="W951" s="77"/>
      <c r="X951" s="77"/>
      <c r="Y951" s="77"/>
      <c r="Z951" s="78"/>
      <c r="AA951" s="2125" t="s">
        <v>624</v>
      </c>
      <c r="AB951" s="2126"/>
      <c r="AC951" s="2126"/>
      <c r="AD951" s="2126"/>
      <c r="AE951" s="2126"/>
      <c r="AF951" s="2126"/>
      <c r="AG951" s="212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1"/>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125" t="s">
        <v>624</v>
      </c>
      <c r="N952" s="2126"/>
      <c r="O952" s="2126"/>
      <c r="P952" s="2126"/>
      <c r="Q952" s="2126"/>
      <c r="R952" s="2126"/>
      <c r="S952" s="2127"/>
      <c r="T952" s="103" t="s">
        <v>845</v>
      </c>
      <c r="U952" s="77"/>
      <c r="V952" s="77"/>
      <c r="W952" s="77"/>
      <c r="X952" s="77"/>
      <c r="Y952" s="77"/>
      <c r="Z952" s="78"/>
      <c r="AA952" s="2125" t="s">
        <v>624</v>
      </c>
      <c r="AB952" s="2126"/>
      <c r="AC952" s="2126"/>
      <c r="AD952" s="2126"/>
      <c r="AE952" s="2126"/>
      <c r="AF952" s="2126"/>
      <c r="AG952" s="212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1"/>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45" t="s">
        <v>624</v>
      </c>
      <c r="N953" s="2346"/>
      <c r="O953" s="2346"/>
      <c r="P953" s="2346"/>
      <c r="Q953" s="2346"/>
      <c r="R953" s="2346"/>
      <c r="S953" s="2347"/>
      <c r="T953" s="76" t="s">
        <v>345</v>
      </c>
      <c r="U953" s="77"/>
      <c r="V953" s="77"/>
      <c r="W953" s="77"/>
      <c r="X953" s="77"/>
      <c r="Y953" s="77"/>
      <c r="Z953" s="78"/>
      <c r="AA953" s="2125" t="s">
        <v>624</v>
      </c>
      <c r="AB953" s="2126"/>
      <c r="AC953" s="2126"/>
      <c r="AD953" s="2126"/>
      <c r="AE953" s="2126"/>
      <c r="AF953" s="2126"/>
      <c r="AG953" s="212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1"/>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125" t="s">
        <v>624</v>
      </c>
      <c r="N954" s="2126"/>
      <c r="O954" s="2126"/>
      <c r="P954" s="2126"/>
      <c r="Q954" s="2126"/>
      <c r="R954" s="2126"/>
      <c r="S954" s="2127"/>
      <c r="T954" s="76" t="s">
        <v>346</v>
      </c>
      <c r="U954" s="77"/>
      <c r="V954" s="77"/>
      <c r="W954" s="77"/>
      <c r="X954" s="77"/>
      <c r="Y954" s="77"/>
      <c r="Z954" s="78"/>
      <c r="AA954" s="2125" t="s">
        <v>624</v>
      </c>
      <c r="AB954" s="2126"/>
      <c r="AC954" s="2126"/>
      <c r="AD954" s="2126"/>
      <c r="AE954" s="2126"/>
      <c r="AF954" s="2126"/>
      <c r="AG954" s="212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1"/>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125" t="s">
        <v>624</v>
      </c>
      <c r="N955" s="2126"/>
      <c r="O955" s="2126"/>
      <c r="P955" s="2126"/>
      <c r="Q955" s="2126"/>
      <c r="R955" s="2126"/>
      <c r="S955" s="2127"/>
      <c r="T955" s="76" t="s">
        <v>393</v>
      </c>
      <c r="U955" s="77"/>
      <c r="V955" s="77"/>
      <c r="W955" s="77"/>
      <c r="X955" s="77"/>
      <c r="Y955" s="77"/>
      <c r="Z955" s="78"/>
      <c r="AA955" s="2125" t="s">
        <v>624</v>
      </c>
      <c r="AB955" s="2126"/>
      <c r="AC955" s="2126"/>
      <c r="AD955" s="2126"/>
      <c r="AE955" s="2126"/>
      <c r="AF955" s="2126"/>
      <c r="AG955" s="212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1"/>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48" t="s">
        <v>315</v>
      </c>
      <c r="N956" s="2349"/>
      <c r="O956" s="2349"/>
      <c r="P956" s="2349"/>
      <c r="Q956" s="2349"/>
      <c r="R956" s="2349"/>
      <c r="S956" s="2350"/>
      <c r="T956" s="2150"/>
      <c r="U956" s="2151"/>
      <c r="V956" s="2151"/>
      <c r="W956" s="2151"/>
      <c r="X956" s="2151"/>
      <c r="Y956" s="2151"/>
      <c r="Z956" s="2152"/>
      <c r="AA956" s="2125" t="s">
        <v>624</v>
      </c>
      <c r="AB956" s="2126"/>
      <c r="AC956" s="2126"/>
      <c r="AD956" s="2126"/>
      <c r="AE956" s="2126"/>
      <c r="AF956" s="2126"/>
      <c r="AG956" s="212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1"/>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125" t="s">
        <v>624</v>
      </c>
      <c r="N957" s="2126"/>
      <c r="O957" s="2126"/>
      <c r="P957" s="2126"/>
      <c r="Q957" s="2126"/>
      <c r="R957" s="2126"/>
      <c r="S957" s="2127"/>
      <c r="T957" s="2150"/>
      <c r="U957" s="2151"/>
      <c r="V957" s="2151"/>
      <c r="W957" s="2151"/>
      <c r="X957" s="2151"/>
      <c r="Y957" s="2151"/>
      <c r="Z957" s="2152"/>
      <c r="AA957" s="2125" t="s">
        <v>624</v>
      </c>
      <c r="AB957" s="2126"/>
      <c r="AC957" s="2126"/>
      <c r="AD957" s="2126"/>
      <c r="AE957" s="2126"/>
      <c r="AF957" s="2126"/>
      <c r="AG957" s="212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1"/>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32" t="s">
        <v>704</v>
      </c>
      <c r="P958" s="2333"/>
      <c r="Q958" s="139"/>
      <c r="R958" s="139"/>
      <c r="S958" s="140"/>
      <c r="T958" s="71" t="s">
        <v>174</v>
      </c>
      <c r="U958" s="72"/>
      <c r="V958" s="72"/>
      <c r="W958" s="2232" t="s">
        <v>342</v>
      </c>
      <c r="X958" s="2227"/>
      <c r="Y958" s="2227"/>
      <c r="Z958" s="2227"/>
      <c r="AA958" s="2227"/>
      <c r="AB958" s="2227"/>
      <c r="AC958" s="2227"/>
      <c r="AD958" s="2227"/>
      <c r="AE958" s="2227"/>
      <c r="AF958" s="2227"/>
      <c r="AG958" s="222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1"/>
      <c r="CS958" s="61"/>
      <c r="CT958" s="61"/>
      <c r="CU958" s="61"/>
      <c r="CV958" s="61"/>
      <c r="CW958" s="61"/>
      <c r="CX958" s="61"/>
      <c r="CY958" s="61"/>
      <c r="CZ958" s="61"/>
      <c r="DA958" s="61"/>
      <c r="DB958" s="61"/>
      <c r="DC958" s="61"/>
      <c r="DD958" s="61"/>
      <c r="DE958" s="61"/>
      <c r="DF958" s="61"/>
    </row>
    <row r="959" spans="1:110" ht="12.75" customHeight="1">
      <c r="F959" s="2184" t="s">
        <v>34</v>
      </c>
      <c r="G959" s="2185"/>
      <c r="H959" s="2185"/>
      <c r="I959" s="2185"/>
      <c r="J959" s="2185"/>
      <c r="K959" s="2185"/>
      <c r="L959" s="2185"/>
      <c r="M959" s="2125" t="s">
        <v>624</v>
      </c>
      <c r="N959" s="2126"/>
      <c r="O959" s="2126"/>
      <c r="P959" s="2126"/>
      <c r="Q959" s="2126"/>
      <c r="R959" s="2126"/>
      <c r="S959" s="2127"/>
      <c r="T959" s="79"/>
      <c r="U959" s="80"/>
      <c r="V959" s="80"/>
      <c r="W959" s="80"/>
      <c r="X959" s="80"/>
      <c r="Y959" s="80"/>
      <c r="Z959" s="188" t="s">
        <v>139</v>
      </c>
      <c r="AA959" s="2144" t="s">
        <v>624</v>
      </c>
      <c r="AB959" s="2145"/>
      <c r="AC959" s="2145"/>
      <c r="AD959" s="2145"/>
      <c r="AE959" s="2145"/>
      <c r="AF959" s="2145"/>
      <c r="AG959" s="214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1"/>
      <c r="CS962" s="61"/>
      <c r="CT962" s="61"/>
      <c r="CU962" s="61"/>
      <c r="CV962" s="61"/>
      <c r="CW962" s="61"/>
      <c r="CX962" s="61"/>
      <c r="CY962" s="61"/>
      <c r="CZ962" s="61"/>
      <c r="DA962" s="61"/>
      <c r="DB962" s="61"/>
      <c r="DC962" s="61"/>
      <c r="DD962" s="61"/>
      <c r="DE962" s="61"/>
      <c r="DF962" s="61"/>
    </row>
    <row r="963" spans="1:110" ht="12.75" customHeight="1">
      <c r="A963" s="2205" t="s">
        <v>579</v>
      </c>
      <c r="B963" s="2205"/>
      <c r="C963" s="2205"/>
      <c r="D963" s="2205"/>
      <c r="E963" s="2205"/>
      <c r="F963" s="2205"/>
      <c r="G963" s="2205"/>
      <c r="H963" s="2205"/>
      <c r="I963" s="2205"/>
      <c r="J963" s="2205"/>
      <c r="K963" s="2205"/>
      <c r="L963" s="2205"/>
      <c r="M963" s="2205"/>
      <c r="N963" s="2205"/>
      <c r="O963" s="2205"/>
      <c r="P963" s="2205"/>
      <c r="Q963" s="2205"/>
      <c r="R963" s="2205"/>
      <c r="S963" s="2205"/>
      <c r="T963" s="2205"/>
      <c r="U963" s="2205"/>
      <c r="V963" s="2205"/>
      <c r="W963" s="2205"/>
      <c r="X963" s="2205"/>
      <c r="Y963" s="2205"/>
      <c r="Z963" s="2205"/>
      <c r="AA963" s="2205"/>
      <c r="AB963" s="2205"/>
      <c r="AC963" s="2205"/>
      <c r="AD963" s="2205"/>
      <c r="AE963" s="2205"/>
      <c r="AF963" s="2205"/>
      <c r="AG963" s="2205"/>
      <c r="AH963" s="2205"/>
      <c r="AI963" s="2205"/>
      <c r="AJ963" s="2205"/>
      <c r="AK963" s="2205"/>
      <c r="AL963" s="2205"/>
      <c r="AM963" s="2205"/>
      <c r="AN963" s="2205"/>
      <c r="AO963" s="2205"/>
      <c r="AP963" s="2205"/>
      <c r="AQ963" s="2205"/>
      <c r="AR963" s="2205"/>
      <c r="AS963" s="220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1"/>
      <c r="CS963" s="61"/>
      <c r="CT963" s="61"/>
      <c r="CU963" s="61"/>
      <c r="CV963" s="61"/>
      <c r="CW963" s="61"/>
      <c r="CX963" s="61"/>
      <c r="CY963" s="61"/>
      <c r="CZ963" s="61"/>
      <c r="DA963" s="61"/>
      <c r="DB963" s="61"/>
      <c r="DC963" s="61"/>
      <c r="DD963" s="61"/>
      <c r="DE963" s="61"/>
      <c r="DF963" s="61"/>
    </row>
    <row r="964" spans="1:110" s="51" customFormat="1" ht="12.75" customHeight="1">
      <c r="A964" s="2205"/>
      <c r="B964" s="2205"/>
      <c r="C964" s="2205"/>
      <c r="D964" s="2205"/>
      <c r="E964" s="2205"/>
      <c r="F964" s="2205"/>
      <c r="G964" s="2205"/>
      <c r="H964" s="2205"/>
      <c r="I964" s="2205"/>
      <c r="J964" s="2205"/>
      <c r="K964" s="2205"/>
      <c r="L964" s="2205"/>
      <c r="M964" s="2205"/>
      <c r="N964" s="2205"/>
      <c r="O964" s="2205"/>
      <c r="P964" s="2205"/>
      <c r="Q964" s="2205"/>
      <c r="R964" s="2205"/>
      <c r="S964" s="2205"/>
      <c r="T964" s="2205"/>
      <c r="U964" s="2205"/>
      <c r="V964" s="2205"/>
      <c r="W964" s="2205"/>
      <c r="X964" s="2205"/>
      <c r="Y964" s="2205"/>
      <c r="Z964" s="2205"/>
      <c r="AA964" s="2205"/>
      <c r="AB964" s="2205"/>
      <c r="AC964" s="2205"/>
      <c r="AD964" s="2205"/>
      <c r="AE964" s="2205"/>
      <c r="AF964" s="2205"/>
      <c r="AG964" s="2205"/>
      <c r="AH964" s="2205"/>
      <c r="AI964" s="2205"/>
      <c r="AJ964" s="2205"/>
      <c r="AK964" s="2205"/>
      <c r="AL964" s="2205"/>
      <c r="AM964" s="2205"/>
      <c r="AN964" s="2205"/>
      <c r="AO964" s="2205"/>
      <c r="AP964" s="2205"/>
      <c r="AQ964" s="2205"/>
      <c r="AR964" s="2205"/>
      <c r="AS964" s="220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9"/>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488"/>
      <c r="AN965" s="1488"/>
      <c r="AO965" s="1488"/>
      <c r="AP965" s="1488"/>
      <c r="AQ965" s="1488"/>
      <c r="AR965" s="1488"/>
      <c r="AS965" s="1488"/>
      <c r="AT965" s="1488"/>
      <c r="AU965" s="1488"/>
      <c r="AV965" s="1488"/>
      <c r="AW965" s="1488"/>
      <c r="AX965" s="1488"/>
      <c r="AY965" s="1488"/>
      <c r="AZ965" s="21"/>
      <c r="BB965" s="21"/>
      <c r="BC965" s="21"/>
      <c r="BD965" s="21"/>
      <c r="BE965" s="21"/>
      <c r="BF965" s="21"/>
      <c r="BG965" s="2281"/>
      <c r="BH965" s="2281"/>
      <c r="BI965" s="2281"/>
      <c r="BJ965" s="2281"/>
      <c r="BK965" s="2281"/>
      <c r="BL965" s="2281"/>
      <c r="BM965" s="56"/>
      <c r="BN965" s="56"/>
      <c r="CB965" s="107"/>
      <c r="CC965" s="107"/>
      <c r="CD965" s="107"/>
      <c r="CE965" s="107"/>
      <c r="CF965" s="107"/>
      <c r="CG965" s="107"/>
      <c r="CH965" s="107"/>
      <c r="CI965" s="107"/>
      <c r="CJ965" s="107"/>
      <c r="CK965" s="107"/>
      <c r="CL965" s="107"/>
      <c r="CM965" s="107"/>
      <c r="CN965" s="107"/>
      <c r="CO965" s="107"/>
      <c r="CP965" s="107"/>
      <c r="CQ965" s="107"/>
      <c r="CR965" s="1709"/>
      <c r="CS965" s="107"/>
      <c r="CT965" s="107"/>
      <c r="CU965" s="107"/>
      <c r="CV965" s="107"/>
      <c r="CW965" s="107"/>
      <c r="CX965" s="107"/>
      <c r="CY965" s="107"/>
      <c r="CZ965" s="107"/>
      <c r="DA965" s="107"/>
      <c r="DB965" s="107"/>
      <c r="DC965" s="107"/>
      <c r="DD965" s="107"/>
      <c r="DE965" s="107"/>
      <c r="DF965" s="107"/>
    </row>
    <row r="966" spans="1:110" s="51" customFormat="1" ht="13">
      <c r="A966" s="49" t="s">
        <v>327</v>
      </c>
      <c r="B966" s="25"/>
      <c r="C966" s="49" t="s">
        <v>648</v>
      </c>
      <c r="D966" s="25"/>
      <c r="E966" s="25"/>
      <c r="F966" s="25"/>
      <c r="G966" s="3"/>
      <c r="H966" s="25"/>
      <c r="AL966" s="105"/>
      <c r="AM966" s="1488"/>
      <c r="AN966" s="1488"/>
      <c r="AO966" s="1488"/>
      <c r="AP966" s="1488"/>
      <c r="AQ966" s="1488"/>
      <c r="AR966" s="1488"/>
      <c r="AS966" s="1488"/>
      <c r="AT966" s="1488"/>
      <c r="AU966" s="1488"/>
      <c r="AV966" s="1488"/>
      <c r="AW966" s="1488"/>
      <c r="AX966" s="1488"/>
      <c r="AY966" s="1488"/>
      <c r="BB966" s="1515"/>
      <c r="BC966" s="151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9"/>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88"/>
      <c r="AN967" s="1488"/>
      <c r="AO967" s="1488"/>
      <c r="AP967" s="1488"/>
      <c r="AQ967" s="1488"/>
      <c r="AR967" s="1488"/>
      <c r="AS967" s="1488"/>
      <c r="AT967" s="1488"/>
      <c r="AU967" s="1488"/>
      <c r="AV967" s="1488"/>
      <c r="AW967" s="1488"/>
      <c r="AX967" s="1488"/>
      <c r="AY967" s="1488"/>
      <c r="BB967" s="1515"/>
      <c r="BC967" s="151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9"/>
      <c r="CS967" s="107"/>
      <c r="CT967" s="107"/>
      <c r="CU967" s="107"/>
      <c r="CV967" s="107"/>
      <c r="CW967" s="107"/>
      <c r="CX967" s="107"/>
      <c r="CY967" s="107"/>
      <c r="CZ967" s="107"/>
      <c r="DA967" s="107"/>
      <c r="DB967" s="107"/>
      <c r="DC967" s="107"/>
      <c r="DD967" s="107"/>
      <c r="DE967" s="107"/>
      <c r="DF967" s="107"/>
    </row>
    <row r="968" spans="1:110" s="51" customFormat="1" ht="13">
      <c r="A968" s="104"/>
      <c r="B968" s="117"/>
      <c r="C968" s="1531"/>
      <c r="D968" s="2072" t="s">
        <v>671</v>
      </c>
      <c r="E968" s="2073"/>
      <c r="F968" s="2073"/>
      <c r="G968" s="2073"/>
      <c r="H968" s="2073"/>
      <c r="I968" s="2073"/>
      <c r="J968" s="2073"/>
      <c r="K968" s="2073"/>
      <c r="L968" s="2073"/>
      <c r="M968" s="2073"/>
      <c r="N968" s="2073"/>
      <c r="O968" s="2073"/>
      <c r="P968" s="2073"/>
      <c r="Q968" s="2074"/>
      <c r="R968" s="2072" t="s">
        <v>672</v>
      </c>
      <c r="S968" s="2073"/>
      <c r="T968" s="2073"/>
      <c r="U968" s="2073"/>
      <c r="V968" s="2073"/>
      <c r="W968" s="2073"/>
      <c r="X968" s="2073"/>
      <c r="Y968" s="2073"/>
      <c r="Z968" s="2073"/>
      <c r="AA968" s="2074"/>
      <c r="AB968" s="2072" t="s">
        <v>673</v>
      </c>
      <c r="AC968" s="2073"/>
      <c r="AD968" s="2073"/>
      <c r="AE968" s="2073"/>
      <c r="AF968" s="2073"/>
      <c r="AG968" s="2073"/>
      <c r="AH968" s="2073"/>
      <c r="AI968" s="2074"/>
      <c r="AJ968" s="2072" t="s">
        <v>674</v>
      </c>
      <c r="AK968" s="2073"/>
      <c r="AL968" s="2073"/>
      <c r="AM968" s="2073"/>
      <c r="AN968" s="2073"/>
      <c r="AO968" s="2073"/>
      <c r="AP968" s="2073"/>
      <c r="AQ968" s="2074"/>
      <c r="AR968" s="1488"/>
      <c r="AS968" s="1488"/>
      <c r="AT968" s="1488"/>
      <c r="AU968" s="1488"/>
      <c r="AV968" s="1488"/>
      <c r="AW968" s="1488"/>
      <c r="AX968" s="1488"/>
      <c r="AY968" s="1488"/>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9"/>
      <c r="CS968" s="107"/>
      <c r="CT968" s="107"/>
      <c r="CU968" s="107"/>
      <c r="CV968" s="107"/>
      <c r="CW968" s="107"/>
      <c r="CX968" s="107"/>
      <c r="CY968" s="107"/>
      <c r="CZ968" s="107"/>
      <c r="DA968" s="107"/>
      <c r="DB968" s="107"/>
      <c r="DC968" s="107"/>
      <c r="DD968" s="107"/>
      <c r="DE968" s="107"/>
      <c r="DF968" s="107"/>
    </row>
    <row r="969" spans="1:110" s="51" customFormat="1" ht="12.5">
      <c r="B969" s="110"/>
      <c r="C969" s="1532"/>
      <c r="D969" s="2128" t="s">
        <v>666</v>
      </c>
      <c r="E969" s="2129"/>
      <c r="F969" s="2129"/>
      <c r="G969" s="2129"/>
      <c r="H969" s="2129"/>
      <c r="I969" s="2129"/>
      <c r="J969" s="2129"/>
      <c r="K969" s="2129"/>
      <c r="L969" s="2129"/>
      <c r="M969" s="2129"/>
      <c r="N969" s="2129"/>
      <c r="O969" s="2129"/>
      <c r="P969" s="2129"/>
      <c r="Q969" s="2130"/>
      <c r="R969" s="2134">
        <f>IF(ISNA(IF($BN$799="4%",(INDEX($BP$809:$BT$866,MATCH($CB$799,$BO$809:$BO$866,0),MATCH(D969,$BP$808:$BT$808,0))),(INDEX($BW$809:$CA$866,MATCH($CB$799,$BV$809:$BV$866,0),MATCH(D969,$BW$808:$CA$808,0))))),0,IF($BN$799="4%",(INDEX($BP$809:$BT$866,MATCH($CB$799,$BO$809:$BO$866,0),MATCH(D969,$BP$808:$BT$808,0))),(INDEX($BW$809:$CA$866,MATCH($CB$799,$BV$809:$BV$866,0),MATCH(D969,$BW$808:$CA$808,0)))))</f>
        <v>530910</v>
      </c>
      <c r="S969" s="2134"/>
      <c r="T969" s="2134"/>
      <c r="U969" s="2134"/>
      <c r="V969" s="2134"/>
      <c r="W969" s="2134"/>
      <c r="X969" s="2134"/>
      <c r="Y969" s="2134"/>
      <c r="Z969" s="2134"/>
      <c r="AA969" s="2134"/>
      <c r="AB969" s="2045">
        <f>BN663</f>
        <v>80</v>
      </c>
      <c r="AC969" s="2046"/>
      <c r="AD969" s="2046"/>
      <c r="AE969" s="2046"/>
      <c r="AF969" s="2046"/>
      <c r="AG969" s="2046"/>
      <c r="AH969" s="2046"/>
      <c r="AI969" s="2047"/>
      <c r="AJ969" s="2114">
        <f>IF(ISERROR((R969*AB969)),0,(R969*AB969))</f>
        <v>42472800</v>
      </c>
      <c r="AK969" s="2115"/>
      <c r="AL969" s="2115"/>
      <c r="AM969" s="2115"/>
      <c r="AN969" s="2115"/>
      <c r="AO969" s="2115"/>
      <c r="AP969" s="2115"/>
      <c r="AQ969" s="2116"/>
      <c r="AR969" s="1488"/>
      <c r="AS969" s="1488"/>
      <c r="AT969" s="1488"/>
      <c r="AU969" s="1488"/>
      <c r="AV969" s="1488"/>
      <c r="AW969" s="1488"/>
      <c r="AX969" s="1488"/>
      <c r="AY969" s="1488"/>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9"/>
      <c r="CS969" s="107"/>
      <c r="CT969" s="107"/>
      <c r="CU969" s="107"/>
      <c r="CV969" s="107"/>
      <c r="CW969" s="107"/>
      <c r="CX969" s="107"/>
      <c r="CY969" s="107"/>
      <c r="CZ969" s="107"/>
      <c r="DA969" s="107"/>
      <c r="DB969" s="107"/>
      <c r="DC969" s="107"/>
      <c r="DD969" s="107"/>
      <c r="DE969" s="107"/>
      <c r="DF969" s="107"/>
    </row>
    <row r="970" spans="1:110" s="51" customFormat="1" ht="12.5">
      <c r="B970" s="110"/>
      <c r="C970" s="1533"/>
      <c r="D970" s="2128" t="s">
        <v>333</v>
      </c>
      <c r="E970" s="2129"/>
      <c r="F970" s="2129"/>
      <c r="G970" s="2129"/>
      <c r="H970" s="2129"/>
      <c r="I970" s="2129"/>
      <c r="J970" s="2129"/>
      <c r="K970" s="2129"/>
      <c r="L970" s="2129"/>
      <c r="M970" s="2129"/>
      <c r="N970" s="2129"/>
      <c r="O970" s="2129"/>
      <c r="P970" s="2129"/>
      <c r="Q970" s="2130"/>
      <c r="R970" s="2134">
        <f>IF(ISNA(IF($BN$799="4%",(INDEX($BP$809:$BT$866,MATCH($CB$799,$BO$809:$BO$866,0),MATCH(D970,$BP$808:$BT$808,0))),(INDEX($BW$809:$CA$866,MATCH($CB$799,$BV$809:$BV$866,0),MATCH(D970,$BW$808:$CA$808,0))))),0,IF($BN$799="4%",(INDEX($BP$809:$BT$866,MATCH($CB$799,$BO$809:$BO$866,0),MATCH(D970,$BP$808:$BT$808,0))),(INDEX($BW$809:$CA$866,MATCH($CB$799,$BV$809:$BV$866,0),MATCH(D970,$BW$808:$CA$808,0)))))</f>
        <v>612134</v>
      </c>
      <c r="S970" s="2134"/>
      <c r="T970" s="2134"/>
      <c r="U970" s="2134"/>
      <c r="V970" s="2134"/>
      <c r="W970" s="2134"/>
      <c r="X970" s="2134"/>
      <c r="Y970" s="2134"/>
      <c r="Z970" s="2134"/>
      <c r="AA970" s="2134"/>
      <c r="AB970" s="2045">
        <f>BS663</f>
        <v>0</v>
      </c>
      <c r="AC970" s="2046"/>
      <c r="AD970" s="2046"/>
      <c r="AE970" s="2046"/>
      <c r="AF970" s="2046"/>
      <c r="AG970" s="2046"/>
      <c r="AH970" s="2046"/>
      <c r="AI970" s="2047"/>
      <c r="AJ970" s="2114">
        <f>IF(ISERROR((R970*AB970)),0,(R970*AB970))</f>
        <v>0</v>
      </c>
      <c r="AK970" s="2115"/>
      <c r="AL970" s="2115"/>
      <c r="AM970" s="2115"/>
      <c r="AN970" s="2115"/>
      <c r="AO970" s="2115"/>
      <c r="AP970" s="2115"/>
      <c r="AQ970" s="2116"/>
      <c r="AR970" s="1488"/>
      <c r="AS970" s="1488"/>
      <c r="AT970" s="1488"/>
      <c r="AU970" s="1488"/>
      <c r="AV970" s="1488"/>
      <c r="AW970" s="1488"/>
      <c r="AX970" s="1488"/>
      <c r="AY970" s="1488"/>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3"/>
      <c r="D971" s="2128" t="s">
        <v>168</v>
      </c>
      <c r="E971" s="2129"/>
      <c r="F971" s="2129"/>
      <c r="G971" s="2129"/>
      <c r="H971" s="2129"/>
      <c r="I971" s="2129"/>
      <c r="J971" s="2129"/>
      <c r="K971" s="2129"/>
      <c r="L971" s="2129"/>
      <c r="M971" s="2129"/>
      <c r="N971" s="2129"/>
      <c r="O971" s="2129"/>
      <c r="P971" s="2129"/>
      <c r="Q971" s="2130"/>
      <c r="R971" s="2134">
        <f>IF(ISNA(IF($BN$799="4%",(INDEX($BP$809:$BT$866,MATCH($CB$799,$BO$809:$BO$866,0),MATCH(D971,$BP$808:$BT$808,0))),(INDEX($BW$809:$CA$866,MATCH($CB$799,$BV$809:$BV$866,0),MATCH(D971,$BW$808:$CA$808,0))))),0,IF($BN$799="4%",(INDEX($BP$809:$BT$866,MATCH($CB$799,$BO$809:$BO$866,0),MATCH(D971,$BP$808:$BT$808,0))),(INDEX($BW$809:$CA$866,MATCH($CB$799,$BV$809:$BV$866,0),MATCH(D971,$BW$808:$CA$808,0)))))</f>
        <v>738400</v>
      </c>
      <c r="S971" s="2134"/>
      <c r="T971" s="2134"/>
      <c r="U971" s="2134"/>
      <c r="V971" s="2134"/>
      <c r="W971" s="2134"/>
      <c r="X971" s="2134"/>
      <c r="Y971" s="2134"/>
      <c r="Z971" s="2134"/>
      <c r="AA971" s="2134"/>
      <c r="AB971" s="2045">
        <f>BX663</f>
        <v>32</v>
      </c>
      <c r="AC971" s="2046"/>
      <c r="AD971" s="2046"/>
      <c r="AE971" s="2046"/>
      <c r="AF971" s="2046"/>
      <c r="AG971" s="2046"/>
      <c r="AH971" s="2046"/>
      <c r="AI971" s="2047"/>
      <c r="AJ971" s="2114">
        <f>IF(ISERROR((R971*AB971)),0,(R971*AB971))</f>
        <v>23628800</v>
      </c>
      <c r="AK971" s="2115"/>
      <c r="AL971" s="2115"/>
      <c r="AM971" s="2115"/>
      <c r="AN971" s="2115"/>
      <c r="AO971" s="2115"/>
      <c r="AP971" s="2115"/>
      <c r="AQ971" s="2116"/>
      <c r="AR971" s="1488"/>
      <c r="AS971" s="1488"/>
      <c r="AT971" s="1488"/>
      <c r="AU971" s="1488"/>
      <c r="AV971" s="1488"/>
      <c r="AW971" s="1488"/>
      <c r="AX971" s="1488"/>
      <c r="AY971" s="1488"/>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9"/>
      <c r="CS971" s="107"/>
      <c r="CT971" s="107"/>
      <c r="CU971" s="107"/>
      <c r="CV971" s="107"/>
      <c r="CW971" s="107"/>
      <c r="CX971" s="107"/>
      <c r="CY971" s="107"/>
      <c r="CZ971" s="107"/>
      <c r="DA971" s="107"/>
      <c r="DB971" s="107"/>
      <c r="DC971" s="107"/>
      <c r="DD971" s="107"/>
      <c r="DE971" s="107"/>
      <c r="DF971" s="107"/>
    </row>
    <row r="972" spans="1:110" s="51" customFormat="1" ht="12.5">
      <c r="B972" s="110"/>
      <c r="C972" s="1533"/>
      <c r="D972" s="2128" t="s">
        <v>169</v>
      </c>
      <c r="E972" s="2129"/>
      <c r="F972" s="2129"/>
      <c r="G972" s="2129"/>
      <c r="H972" s="2129"/>
      <c r="I972" s="2129"/>
      <c r="J972" s="2129"/>
      <c r="K972" s="2129"/>
      <c r="L972" s="2129"/>
      <c r="M972" s="2129"/>
      <c r="N972" s="2129"/>
      <c r="O972" s="2129"/>
      <c r="P972" s="2129"/>
      <c r="Q972" s="2130"/>
      <c r="R972" s="2134">
        <f>IF(ISNA(IF($BN$799="4%",(INDEX($BP$809:$BT$866,MATCH($CB$799,$BO$809:$BO$866,0),MATCH(D972,$BP$808:$BT$808,0))),(INDEX($BW$809:$CA$866,MATCH($CB$799,$BV$809:$BV$866,0),MATCH(D972,$BW$808:$CA$808,0))))),0,IF($BN$799="4%",(INDEX($BP$809:$BT$866,MATCH($CB$799,$BO$809:$BO$866,0),MATCH(D972,$BP$808:$BT$808,0))),(INDEX($BW$809:$CA$866,MATCH($CB$799,$BV$809:$BV$866,0),MATCH(D972,$BW$808:$CA$808,0)))))</f>
        <v>945152</v>
      </c>
      <c r="S972" s="2134"/>
      <c r="T972" s="2134"/>
      <c r="U972" s="2134"/>
      <c r="V972" s="2134"/>
      <c r="W972" s="2134"/>
      <c r="X972" s="2134"/>
      <c r="Y972" s="2134"/>
      <c r="Z972" s="2134"/>
      <c r="AA972" s="2134"/>
      <c r="AB972" s="2045">
        <f>CC663</f>
        <v>0</v>
      </c>
      <c r="AC972" s="2046"/>
      <c r="AD972" s="2046"/>
      <c r="AE972" s="2046"/>
      <c r="AF972" s="2046"/>
      <c r="AG972" s="2046"/>
      <c r="AH972" s="2046"/>
      <c r="AI972" s="2047"/>
      <c r="AJ972" s="2114">
        <f>IF(ISERROR((R972*AB972)),0,(R972*AB972))</f>
        <v>0</v>
      </c>
      <c r="AK972" s="2115"/>
      <c r="AL972" s="2115"/>
      <c r="AM972" s="2115"/>
      <c r="AN972" s="2115"/>
      <c r="AO972" s="2115"/>
      <c r="AP972" s="2115"/>
      <c r="AQ972" s="2116"/>
      <c r="AR972" s="1488"/>
      <c r="AS972" s="1488"/>
      <c r="AT972" s="1488"/>
      <c r="AU972" s="1488"/>
      <c r="AV972" s="1488"/>
      <c r="AW972" s="1488"/>
      <c r="AX972" s="1488"/>
      <c r="AY972" s="1488"/>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9"/>
      <c r="CS972" s="107"/>
      <c r="CT972" s="107"/>
      <c r="CU972" s="107"/>
      <c r="CV972" s="107"/>
      <c r="CW972" s="107"/>
      <c r="CX972" s="107"/>
      <c r="CY972" s="107"/>
      <c r="CZ972" s="107"/>
      <c r="DA972" s="107"/>
      <c r="DB972" s="107"/>
      <c r="DC972" s="107"/>
      <c r="DD972" s="107"/>
      <c r="DE972" s="107"/>
      <c r="DF972" s="107"/>
    </row>
    <row r="973" spans="1:110" ht="12.75" customHeight="1">
      <c r="A973" s="51"/>
      <c r="B973" s="79"/>
      <c r="C973" s="1534"/>
      <c r="D973" s="2128" t="s">
        <v>491</v>
      </c>
      <c r="E973" s="2129"/>
      <c r="F973" s="2129"/>
      <c r="G973" s="2129"/>
      <c r="H973" s="2129"/>
      <c r="I973" s="2129"/>
      <c r="J973" s="2129"/>
      <c r="K973" s="2129"/>
      <c r="L973" s="2129"/>
      <c r="M973" s="2129"/>
      <c r="N973" s="2129"/>
      <c r="O973" s="2129"/>
      <c r="P973" s="2129"/>
      <c r="Q973" s="2130"/>
      <c r="R973" s="2134">
        <f>IF(ISNA(IF($BN$799="4%",(INDEX($BP$809:$BT$866,MATCH($CB$799,$BO$809:$BO$866,0),MATCH(D973,$BP$808:$BT$808,0))),(INDEX($BW$809:$CA$866,MATCH($CB$799,$BV$809:$BV$866,0),MATCH(D973,$BW$808:$CA$808,0))))),0,IF($BN$799="4%",(INDEX($BP$809:$BT$866,MATCH($CB$799,$BO$809:$BO$866,0),MATCH(D973,$BP$808:$BT$808,0))),(INDEX($BW$809:$CA$866,MATCH($CB$799,$BV$809:$BV$866,0),MATCH(D973,$BW$808:$CA$808,0)))))</f>
        <v>1052958</v>
      </c>
      <c r="S973" s="2134"/>
      <c r="T973" s="2134"/>
      <c r="U973" s="2134"/>
      <c r="V973" s="2134"/>
      <c r="W973" s="2134"/>
      <c r="X973" s="2134"/>
      <c r="Y973" s="2134"/>
      <c r="Z973" s="2134"/>
      <c r="AA973" s="2134"/>
      <c r="AB973" s="2045">
        <f>CM663+CH663</f>
        <v>0</v>
      </c>
      <c r="AC973" s="2046"/>
      <c r="AD973" s="2046"/>
      <c r="AE973" s="2046"/>
      <c r="AF973" s="2046"/>
      <c r="AG973" s="2046"/>
      <c r="AH973" s="2046"/>
      <c r="AI973" s="2047"/>
      <c r="AJ973" s="2114">
        <f>IF(ISERROR((R973*AB973)),0,(R973*AB973))</f>
        <v>0</v>
      </c>
      <c r="AK973" s="2115"/>
      <c r="AL973" s="2115"/>
      <c r="AM973" s="2115"/>
      <c r="AN973" s="2115"/>
      <c r="AO973" s="2115"/>
      <c r="AP973" s="2115"/>
      <c r="AQ973" s="2116"/>
      <c r="AR973" s="1488"/>
      <c r="AS973" s="1488"/>
      <c r="AT973" s="1488"/>
      <c r="AU973" s="1488"/>
      <c r="AV973" s="1488"/>
      <c r="AW973" s="1488"/>
      <c r="AX973" s="1488"/>
      <c r="AY973" s="1488"/>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1"/>
      <c r="CS973" s="61"/>
      <c r="CT973" s="61"/>
      <c r="CU973" s="61"/>
      <c r="CV973" s="61"/>
      <c r="CW973" s="61"/>
      <c r="CX973" s="61"/>
      <c r="CY973" s="61"/>
      <c r="CZ973" s="61"/>
      <c r="DA973" s="61"/>
      <c r="DB973" s="61"/>
      <c r="DC973" s="61"/>
      <c r="DD973" s="61"/>
      <c r="DE973" s="61"/>
      <c r="DF973" s="61"/>
    </row>
    <row r="974" spans="1:110" ht="12.75" customHeight="1">
      <c r="A974" s="51"/>
      <c r="B974" s="2075" t="s">
        <v>847</v>
      </c>
      <c r="C974" s="2076"/>
      <c r="D974" s="2076"/>
      <c r="E974" s="2076"/>
      <c r="F974" s="2076"/>
      <c r="G974" s="2076"/>
      <c r="H974" s="2076"/>
      <c r="I974" s="2076"/>
      <c r="J974" s="2076"/>
      <c r="K974" s="2076"/>
      <c r="L974" s="2076"/>
      <c r="M974" s="2076"/>
      <c r="N974" s="2076"/>
      <c r="O974" s="2076"/>
      <c r="P974" s="2076"/>
      <c r="Q974" s="2076"/>
      <c r="R974" s="2076"/>
      <c r="S974" s="2076"/>
      <c r="T974" s="2076"/>
      <c r="U974" s="2076"/>
      <c r="V974" s="2076"/>
      <c r="W974" s="2076"/>
      <c r="X974" s="2076"/>
      <c r="Y974" s="2076"/>
      <c r="Z974" s="2076"/>
      <c r="AA974" s="2077"/>
      <c r="AB974" s="2045">
        <f>SUM(AB969:AI973)</f>
        <v>112</v>
      </c>
      <c r="AC974" s="2046"/>
      <c r="AD974" s="2046"/>
      <c r="AE974" s="2046"/>
      <c r="AF974" s="2046"/>
      <c r="AG974" s="2046"/>
      <c r="AH974" s="2046"/>
      <c r="AI974" s="2047"/>
      <c r="AJ974" s="2114"/>
      <c r="AK974" s="2115"/>
      <c r="AL974" s="2115"/>
      <c r="AM974" s="2115"/>
      <c r="AN974" s="2115"/>
      <c r="AO974" s="2115"/>
      <c r="AP974" s="2115"/>
      <c r="AQ974" s="2116"/>
      <c r="AR974" s="1488"/>
      <c r="AS974" s="1488"/>
      <c r="AT974" s="1488"/>
      <c r="AU974" s="1488"/>
      <c r="AV974" s="1488"/>
      <c r="AW974" s="1488"/>
      <c r="AX974" s="1488"/>
      <c r="AY974" s="1488"/>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1"/>
      <c r="CS974" s="61"/>
      <c r="CT974" s="61"/>
      <c r="CU974" s="61"/>
      <c r="CV974" s="61"/>
      <c r="CW974" s="61"/>
      <c r="CX974" s="61"/>
      <c r="CY974" s="61"/>
      <c r="CZ974" s="61"/>
      <c r="DA974" s="61"/>
      <c r="DB974" s="61"/>
      <c r="DC974" s="61"/>
      <c r="DD974" s="61"/>
      <c r="DE974" s="61"/>
      <c r="DF974" s="61"/>
    </row>
    <row r="975" spans="1:110" ht="12.75" customHeight="1">
      <c r="A975" s="51"/>
      <c r="B975" s="2111" t="s">
        <v>543</v>
      </c>
      <c r="C975" s="2112"/>
      <c r="D975" s="2112"/>
      <c r="E975" s="2112"/>
      <c r="F975" s="2112"/>
      <c r="G975" s="2112"/>
      <c r="H975" s="2112"/>
      <c r="I975" s="2112"/>
      <c r="J975" s="2112"/>
      <c r="K975" s="2112"/>
      <c r="L975" s="2112"/>
      <c r="M975" s="2112"/>
      <c r="N975" s="2112"/>
      <c r="O975" s="2112"/>
      <c r="P975" s="2112"/>
      <c r="Q975" s="2112"/>
      <c r="R975" s="2112"/>
      <c r="S975" s="2112"/>
      <c r="T975" s="2112"/>
      <c r="U975" s="2112"/>
      <c r="V975" s="2112"/>
      <c r="W975" s="2112"/>
      <c r="X975" s="2112"/>
      <c r="Y975" s="2112"/>
      <c r="Z975" s="2112"/>
      <c r="AA975" s="2112"/>
      <c r="AB975" s="2112"/>
      <c r="AC975" s="2112"/>
      <c r="AD975" s="2112"/>
      <c r="AE975" s="2112"/>
      <c r="AF975" s="2112"/>
      <c r="AG975" s="2112"/>
      <c r="AH975" s="2112"/>
      <c r="AI975" s="2113"/>
      <c r="AJ975" s="2114">
        <f>SUM(AJ969:AQ973)</f>
        <v>66101600</v>
      </c>
      <c r="AK975" s="2115"/>
      <c r="AL975" s="2115"/>
      <c r="AM975" s="2115"/>
      <c r="AN975" s="2115"/>
      <c r="AO975" s="2115"/>
      <c r="AP975" s="2115"/>
      <c r="AQ975" s="2116"/>
      <c r="AR975" s="1488"/>
      <c r="AS975" s="1488"/>
      <c r="AT975" s="1488"/>
      <c r="AU975" s="1488"/>
      <c r="AV975" s="1488"/>
      <c r="AW975" s="1488"/>
      <c r="AX975" s="1488"/>
      <c r="AY975" s="1488"/>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1"/>
      <c r="CS975" s="61"/>
      <c r="CT975" s="61"/>
      <c r="CU975" s="61"/>
      <c r="CV975" s="61"/>
      <c r="CW975" s="61"/>
      <c r="CX975" s="61"/>
      <c r="CY975" s="61"/>
      <c r="CZ975" s="61"/>
      <c r="DA975" s="61"/>
      <c r="DB975" s="61"/>
      <c r="DC975" s="61"/>
      <c r="DD975" s="61"/>
      <c r="DE975" s="61"/>
      <c r="DF975" s="61"/>
    </row>
    <row r="976" spans="1:110" ht="12.75" customHeight="1">
      <c r="A976" s="51"/>
      <c r="B976" s="2117"/>
      <c r="C976" s="2118"/>
      <c r="D976" s="2118"/>
      <c r="E976" s="2118"/>
      <c r="F976" s="2118"/>
      <c r="G976" s="2118"/>
      <c r="H976" s="2118"/>
      <c r="I976" s="2118"/>
      <c r="J976" s="2118"/>
      <c r="K976" s="2118"/>
      <c r="L976" s="2118"/>
      <c r="M976" s="2118"/>
      <c r="N976" s="2118"/>
      <c r="O976" s="2118"/>
      <c r="P976" s="2118"/>
      <c r="Q976" s="2118"/>
      <c r="R976" s="2118"/>
      <c r="S976" s="2118"/>
      <c r="T976" s="2118"/>
      <c r="U976" s="2118"/>
      <c r="V976" s="2118"/>
      <c r="W976" s="2118"/>
      <c r="X976" s="2118"/>
      <c r="Y976" s="2118"/>
      <c r="Z976" s="2118"/>
      <c r="AA976" s="2118"/>
      <c r="AB976" s="2118"/>
      <c r="AC976" s="2118"/>
      <c r="AD976" s="2118"/>
      <c r="AE976" s="2119"/>
      <c r="AF976" s="2120" t="s">
        <v>701</v>
      </c>
      <c r="AG976" s="2121"/>
      <c r="AH976" s="2121"/>
      <c r="AI976" s="2122"/>
      <c r="AJ976" s="2117"/>
      <c r="AK976" s="2118"/>
      <c r="AL976" s="2118"/>
      <c r="AM976" s="2118"/>
      <c r="AN976" s="2118"/>
      <c r="AO976" s="2118"/>
      <c r="AP976" s="2118"/>
      <c r="AQ976" s="2119"/>
      <c r="AR976" s="1488"/>
      <c r="AS976" s="1488"/>
      <c r="AT976" s="1488"/>
      <c r="AU976" s="1488"/>
      <c r="AV976" s="1488"/>
      <c r="AW976" s="1488"/>
      <c r="AX976" s="1488"/>
      <c r="AY976" s="1488"/>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1"/>
      <c r="CS976" s="61"/>
      <c r="CT976" s="61"/>
      <c r="CU976" s="61"/>
      <c r="CV976" s="61"/>
      <c r="CW976" s="61"/>
      <c r="CX976" s="61"/>
      <c r="CY976" s="61"/>
      <c r="CZ976" s="61"/>
      <c r="DA976" s="61"/>
      <c r="DB976" s="61"/>
      <c r="DC976" s="61"/>
      <c r="DD976" s="61"/>
      <c r="DE976" s="61"/>
      <c r="DF976" s="61"/>
    </row>
    <row r="977" spans="1:110" ht="12.75" customHeight="1">
      <c r="A977" s="51"/>
      <c r="B977" s="110"/>
      <c r="C977" s="1530" t="s">
        <v>703</v>
      </c>
      <c r="D977" s="2036" t="s">
        <v>1424</v>
      </c>
      <c r="E977" s="2037"/>
      <c r="F977" s="2037"/>
      <c r="G977" s="2037"/>
      <c r="H977" s="2037"/>
      <c r="I977" s="2037"/>
      <c r="J977" s="2037"/>
      <c r="K977" s="2037"/>
      <c r="L977" s="2037"/>
      <c r="M977" s="2037"/>
      <c r="N977" s="2037"/>
      <c r="O977" s="2037"/>
      <c r="P977" s="2037"/>
      <c r="Q977" s="2037"/>
      <c r="R977" s="2037"/>
      <c r="S977" s="2037"/>
      <c r="T977" s="2037"/>
      <c r="U977" s="2037"/>
      <c r="V977" s="2037"/>
      <c r="W977" s="2037"/>
      <c r="X977" s="2037"/>
      <c r="Y977" s="2037"/>
      <c r="Z977" s="2037"/>
      <c r="AA977" s="2037"/>
      <c r="AB977" s="2037"/>
      <c r="AC977" s="2037"/>
      <c r="AD977" s="2037"/>
      <c r="AE977" s="2038"/>
      <c r="AF977" s="117"/>
      <c r="AG977" s="2123" t="s">
        <v>576</v>
      </c>
      <c r="AH977" s="2124"/>
      <c r="AI977" s="125"/>
      <c r="AJ977" s="2054">
        <f>ROUND(IF(AND(AG977="yes",D979&gt;0),AJ975*0.2,0),0)</f>
        <v>13220320</v>
      </c>
      <c r="AK977" s="2055"/>
      <c r="AL977" s="2055"/>
      <c r="AM977" s="2055"/>
      <c r="AN977" s="2055"/>
      <c r="AO977" s="2055"/>
      <c r="AP977" s="2055"/>
      <c r="AQ977" s="2056"/>
      <c r="AR977" s="1488"/>
      <c r="AS977" s="1488"/>
      <c r="AT977" s="1488"/>
      <c r="AU977" s="1488"/>
      <c r="AV977" s="1488"/>
      <c r="AW977" s="1488"/>
      <c r="AX977" s="1488"/>
      <c r="AY977" s="1488"/>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1"/>
      <c r="CS977" s="61"/>
      <c r="CT977" s="61"/>
      <c r="CU977" s="61"/>
      <c r="CV977" s="61"/>
      <c r="CW977" s="61"/>
      <c r="CX977" s="61"/>
      <c r="CY977" s="61"/>
      <c r="CZ977" s="61"/>
      <c r="DA977" s="61"/>
      <c r="DB977" s="61"/>
      <c r="DC977" s="61"/>
      <c r="DD977" s="61"/>
      <c r="DE977" s="61"/>
      <c r="DF977" s="61"/>
    </row>
    <row r="978" spans="1:110" ht="66" customHeight="1">
      <c r="A978" s="51"/>
      <c r="B978" s="412"/>
      <c r="C978" s="411"/>
      <c r="D978" s="2078" t="s">
        <v>1425</v>
      </c>
      <c r="E978" s="2079"/>
      <c r="F978" s="2079"/>
      <c r="G978" s="2079"/>
      <c r="H978" s="2079"/>
      <c r="I978" s="2079"/>
      <c r="J978" s="2079"/>
      <c r="K978" s="2079"/>
      <c r="L978" s="2079"/>
      <c r="M978" s="2079"/>
      <c r="N978" s="2079"/>
      <c r="O978" s="2079"/>
      <c r="P978" s="2079"/>
      <c r="Q978" s="2079"/>
      <c r="R978" s="2079"/>
      <c r="S978" s="2079"/>
      <c r="T978" s="2079"/>
      <c r="U978" s="2079"/>
      <c r="V978" s="2079"/>
      <c r="W978" s="2079"/>
      <c r="X978" s="2079"/>
      <c r="Y978" s="2079"/>
      <c r="Z978" s="2079"/>
      <c r="AA978" s="2079"/>
      <c r="AB978" s="2079"/>
      <c r="AC978" s="2079"/>
      <c r="AD978" s="2079"/>
      <c r="AE978" s="2080"/>
      <c r="AF978" s="110"/>
      <c r="AG978" s="112"/>
      <c r="AH978" s="112"/>
      <c r="AI978" s="121"/>
      <c r="AJ978" s="2057"/>
      <c r="AK978" s="2058"/>
      <c r="AL978" s="2058"/>
      <c r="AM978" s="2058"/>
      <c r="AN978" s="2058"/>
      <c r="AO978" s="2058"/>
      <c r="AP978" s="2058"/>
      <c r="AQ978" s="2059"/>
      <c r="AR978" s="1488"/>
      <c r="AS978" s="1488"/>
      <c r="AT978" s="1488"/>
      <c r="AU978" s="1488"/>
      <c r="AV978" s="1488"/>
      <c r="AW978" s="1488"/>
      <c r="AX978" s="1488"/>
      <c r="AY978" s="1488"/>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1"/>
      <c r="CS978" s="61"/>
      <c r="CT978" s="61"/>
      <c r="CU978" s="61"/>
      <c r="CV978" s="61"/>
      <c r="CW978" s="61"/>
      <c r="CX978" s="61"/>
      <c r="CY978" s="61"/>
      <c r="CZ978" s="61"/>
      <c r="DA978" s="61"/>
      <c r="DB978" s="61"/>
      <c r="DC978" s="61"/>
      <c r="DD978" s="61"/>
      <c r="DE978" s="61"/>
      <c r="DF978" s="61"/>
    </row>
    <row r="979" spans="1:110" ht="12.75" customHeight="1">
      <c r="A979" s="51"/>
      <c r="B979" s="412"/>
      <c r="C979" s="411"/>
      <c r="D979" s="2081" t="s">
        <v>2654</v>
      </c>
      <c r="E979" s="2082"/>
      <c r="F979" s="2082"/>
      <c r="G979" s="2082"/>
      <c r="H979" s="2082"/>
      <c r="I979" s="2082"/>
      <c r="J979" s="2082"/>
      <c r="K979" s="2082"/>
      <c r="L979" s="2082"/>
      <c r="M979" s="2082"/>
      <c r="N979" s="2082"/>
      <c r="O979" s="2082"/>
      <c r="P979" s="2082"/>
      <c r="Q979" s="2082"/>
      <c r="R979" s="2082"/>
      <c r="S979" s="2082"/>
      <c r="T979" s="2082"/>
      <c r="U979" s="2082"/>
      <c r="V979" s="2082"/>
      <c r="W979" s="2082"/>
      <c r="X979" s="2082"/>
      <c r="Y979" s="2082"/>
      <c r="Z979" s="2082"/>
      <c r="AA979" s="2082"/>
      <c r="AB979" s="2082"/>
      <c r="AC979" s="2082"/>
      <c r="AD979" s="2082"/>
      <c r="AE979" s="2083"/>
      <c r="AF979" s="115"/>
      <c r="AG979" s="11"/>
      <c r="AH979" s="11"/>
      <c r="AI979" s="116"/>
      <c r="AJ979" s="2060"/>
      <c r="AK979" s="2061"/>
      <c r="AL979" s="2061"/>
      <c r="AM979" s="2061"/>
      <c r="AN979" s="2061"/>
      <c r="AO979" s="2061"/>
      <c r="AP979" s="2061"/>
      <c r="AQ979" s="2062"/>
      <c r="AR979" s="1488"/>
      <c r="AS979" s="1488"/>
      <c r="AT979" s="1488"/>
      <c r="AU979" s="1488"/>
      <c r="AV979" s="1488"/>
      <c r="AW979" s="1488"/>
      <c r="AX979" s="1488"/>
      <c r="AY979" s="1488"/>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1"/>
      <c r="CS979" s="61"/>
      <c r="CT979" s="61"/>
      <c r="CU979" s="61"/>
      <c r="CV979" s="61"/>
      <c r="CW979" s="61"/>
      <c r="CX979" s="61"/>
      <c r="CY979" s="61"/>
      <c r="CZ979" s="61"/>
      <c r="DA979" s="61"/>
      <c r="DB979" s="61"/>
      <c r="DC979" s="61"/>
      <c r="DD979" s="61"/>
      <c r="DE979" s="61"/>
      <c r="DF979" s="61"/>
    </row>
    <row r="980" spans="1:110" ht="12.75" customHeight="1">
      <c r="A980" s="51"/>
      <c r="B980" s="410"/>
      <c r="C980" s="499"/>
      <c r="D980" s="2084" t="s">
        <v>1523</v>
      </c>
      <c r="E980" s="2085"/>
      <c r="F980" s="2085"/>
      <c r="G980" s="2085"/>
      <c r="H980" s="2085"/>
      <c r="I980" s="2085"/>
      <c r="J980" s="2085"/>
      <c r="K980" s="2085"/>
      <c r="L980" s="2085"/>
      <c r="M980" s="2085"/>
      <c r="N980" s="2085"/>
      <c r="O980" s="2085"/>
      <c r="P980" s="2085"/>
      <c r="Q980" s="2085"/>
      <c r="R980" s="2085"/>
      <c r="S980" s="2085"/>
      <c r="T980" s="2085"/>
      <c r="U980" s="2085"/>
      <c r="V980" s="2085"/>
      <c r="W980" s="2085"/>
      <c r="X980" s="2085"/>
      <c r="Y980" s="2085"/>
      <c r="Z980" s="2085"/>
      <c r="AA980" s="2085"/>
      <c r="AB980" s="2085"/>
      <c r="AC980" s="2085"/>
      <c r="AD980" s="2085"/>
      <c r="AE980" s="2086"/>
      <c r="AF980" s="117"/>
      <c r="AG980" s="2034" t="s">
        <v>704</v>
      </c>
      <c r="AH980" s="2035"/>
      <c r="AI980" s="125"/>
      <c r="AJ980" s="2054">
        <f>ROUND(IF(AG980="yes",AJ975*0.05,0),0)</f>
        <v>0</v>
      </c>
      <c r="AK980" s="2055"/>
      <c r="AL980" s="2055"/>
      <c r="AM980" s="2055"/>
      <c r="AN980" s="2055"/>
      <c r="AO980" s="2055"/>
      <c r="AP980" s="2055"/>
      <c r="AQ980" s="2056"/>
      <c r="AR980" s="1488"/>
      <c r="AS980" s="1488"/>
      <c r="AT980" s="1488"/>
      <c r="AU980" s="1488"/>
      <c r="AV980" s="1488"/>
      <c r="AW980" s="1488"/>
      <c r="AX980" s="1488"/>
      <c r="AY980" s="1488"/>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1"/>
      <c r="CS980" s="61"/>
      <c r="CT980" s="61"/>
      <c r="CU980" s="61"/>
      <c r="CV980" s="61"/>
      <c r="CW980" s="61"/>
      <c r="CX980" s="61"/>
      <c r="CY980" s="61"/>
      <c r="CZ980" s="61"/>
      <c r="DA980" s="61"/>
      <c r="DB980" s="61"/>
      <c r="DC980" s="61"/>
      <c r="DD980" s="61"/>
      <c r="DE980" s="61"/>
      <c r="DF980" s="61"/>
    </row>
    <row r="981" spans="1:110" ht="12.75" customHeight="1">
      <c r="A981" s="51"/>
      <c r="B981" s="412"/>
      <c r="C981" s="120"/>
      <c r="D981" s="2078" t="s">
        <v>1521</v>
      </c>
      <c r="E981" s="2079"/>
      <c r="F981" s="2079"/>
      <c r="G981" s="2079"/>
      <c r="H981" s="2079"/>
      <c r="I981" s="2079"/>
      <c r="J981" s="2079"/>
      <c r="K981" s="2079"/>
      <c r="L981" s="2079"/>
      <c r="M981" s="2079"/>
      <c r="N981" s="2079"/>
      <c r="O981" s="2079"/>
      <c r="P981" s="2079"/>
      <c r="Q981" s="2079"/>
      <c r="R981" s="2079"/>
      <c r="S981" s="2079"/>
      <c r="T981" s="2079"/>
      <c r="U981" s="2079"/>
      <c r="V981" s="2079"/>
      <c r="W981" s="2079"/>
      <c r="X981" s="2079"/>
      <c r="Y981" s="2079"/>
      <c r="Z981" s="2079"/>
      <c r="AA981" s="2079"/>
      <c r="AB981" s="2079"/>
      <c r="AC981" s="2079"/>
      <c r="AD981" s="2079"/>
      <c r="AE981" s="2080"/>
      <c r="AF981" s="110"/>
      <c r="AG981" s="112"/>
      <c r="AH981" s="112"/>
      <c r="AI981" s="121"/>
      <c r="AJ981" s="2057"/>
      <c r="AK981" s="2058"/>
      <c r="AL981" s="2058"/>
      <c r="AM981" s="2058"/>
      <c r="AN981" s="2058"/>
      <c r="AO981" s="2058"/>
      <c r="AP981" s="2058"/>
      <c r="AQ981" s="2059"/>
      <c r="AR981" s="1488"/>
      <c r="AS981" s="1488"/>
      <c r="AT981" s="1488"/>
      <c r="AU981" s="1488"/>
      <c r="AV981" s="1488"/>
      <c r="AW981" s="1488"/>
      <c r="AX981" s="1488"/>
      <c r="AY981" s="1488"/>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1"/>
      <c r="CS981" s="61"/>
      <c r="CT981" s="61"/>
      <c r="CU981" s="61"/>
      <c r="CV981" s="61"/>
      <c r="CW981" s="61"/>
      <c r="CX981" s="61"/>
      <c r="CY981" s="61"/>
      <c r="CZ981" s="61"/>
      <c r="DA981" s="61"/>
      <c r="DB981" s="61"/>
      <c r="DC981" s="61"/>
      <c r="DD981" s="61"/>
      <c r="DE981" s="61"/>
      <c r="DF981" s="61"/>
    </row>
    <row r="982" spans="1:110" ht="12.75" customHeight="1">
      <c r="A982" s="51"/>
      <c r="B982" s="412"/>
      <c r="C982" s="120"/>
      <c r="D982" s="2078"/>
      <c r="E982" s="2079"/>
      <c r="F982" s="2079"/>
      <c r="G982" s="2079"/>
      <c r="H982" s="2079"/>
      <c r="I982" s="2079"/>
      <c r="J982" s="2079"/>
      <c r="K982" s="2079"/>
      <c r="L982" s="2079"/>
      <c r="M982" s="2079"/>
      <c r="N982" s="2079"/>
      <c r="O982" s="2079"/>
      <c r="P982" s="2079"/>
      <c r="Q982" s="2079"/>
      <c r="R982" s="2079"/>
      <c r="S982" s="2079"/>
      <c r="T982" s="2079"/>
      <c r="U982" s="2079"/>
      <c r="V982" s="2079"/>
      <c r="W982" s="2079"/>
      <c r="X982" s="2079"/>
      <c r="Y982" s="2079"/>
      <c r="Z982" s="2079"/>
      <c r="AA982" s="2079"/>
      <c r="AB982" s="2079"/>
      <c r="AC982" s="2079"/>
      <c r="AD982" s="2079"/>
      <c r="AE982" s="2080"/>
      <c r="AF982" s="110"/>
      <c r="AG982" s="112"/>
      <c r="AH982" s="112"/>
      <c r="AI982" s="121"/>
      <c r="AJ982" s="2057"/>
      <c r="AK982" s="2058"/>
      <c r="AL982" s="2058"/>
      <c r="AM982" s="2058"/>
      <c r="AN982" s="2058"/>
      <c r="AO982" s="2058"/>
      <c r="AP982" s="2058"/>
      <c r="AQ982" s="2059"/>
      <c r="AR982" s="1488"/>
      <c r="AS982" s="1488"/>
      <c r="AT982" s="1488"/>
      <c r="AU982" s="1488"/>
      <c r="AV982" s="1488"/>
      <c r="AW982" s="1488"/>
      <c r="AX982" s="1488"/>
      <c r="AY982" s="1488"/>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1"/>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078"/>
      <c r="E983" s="2079"/>
      <c r="F983" s="2079"/>
      <c r="G983" s="2079"/>
      <c r="H983" s="2079"/>
      <c r="I983" s="2079"/>
      <c r="J983" s="2079"/>
      <c r="K983" s="2079"/>
      <c r="L983" s="2079"/>
      <c r="M983" s="2079"/>
      <c r="N983" s="2079"/>
      <c r="O983" s="2079"/>
      <c r="P983" s="2079"/>
      <c r="Q983" s="2079"/>
      <c r="R983" s="2079"/>
      <c r="S983" s="2079"/>
      <c r="T983" s="2079"/>
      <c r="U983" s="2079"/>
      <c r="V983" s="2079"/>
      <c r="W983" s="2079"/>
      <c r="X983" s="2079"/>
      <c r="Y983" s="2079"/>
      <c r="Z983" s="2079"/>
      <c r="AA983" s="2079"/>
      <c r="AB983" s="2079"/>
      <c r="AC983" s="2079"/>
      <c r="AD983" s="2079"/>
      <c r="AE983" s="2080"/>
      <c r="AF983" s="110"/>
      <c r="AG983" s="112"/>
      <c r="AH983" s="112"/>
      <c r="AI983" s="121"/>
      <c r="AJ983" s="2057"/>
      <c r="AK983" s="2058"/>
      <c r="AL983" s="2058"/>
      <c r="AM983" s="2058"/>
      <c r="AN983" s="2058"/>
      <c r="AO983" s="2058"/>
      <c r="AP983" s="2058"/>
      <c r="AQ983" s="2059"/>
      <c r="AR983" s="1488"/>
      <c r="AS983" s="1488"/>
      <c r="AT983" s="1488"/>
      <c r="AU983" s="1488"/>
      <c r="AV983" s="1488"/>
      <c r="AW983" s="1488"/>
      <c r="AX983" s="1488"/>
      <c r="AY983" s="1488"/>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1"/>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078"/>
      <c r="E984" s="2079"/>
      <c r="F984" s="2079"/>
      <c r="G984" s="2079"/>
      <c r="H984" s="2079"/>
      <c r="I984" s="2079"/>
      <c r="J984" s="2079"/>
      <c r="K984" s="2079"/>
      <c r="L984" s="2079"/>
      <c r="M984" s="2079"/>
      <c r="N984" s="2079"/>
      <c r="O984" s="2079"/>
      <c r="P984" s="2079"/>
      <c r="Q984" s="2079"/>
      <c r="R984" s="2079"/>
      <c r="S984" s="2079"/>
      <c r="T984" s="2079"/>
      <c r="U984" s="2079"/>
      <c r="V984" s="2079"/>
      <c r="W984" s="2079"/>
      <c r="X984" s="2079"/>
      <c r="Y984" s="2079"/>
      <c r="Z984" s="2079"/>
      <c r="AA984" s="2079"/>
      <c r="AB984" s="2079"/>
      <c r="AC984" s="2079"/>
      <c r="AD984" s="2079"/>
      <c r="AE984" s="2080"/>
      <c r="AF984" s="110"/>
      <c r="AG984" s="112"/>
      <c r="AH984" s="112"/>
      <c r="AI984" s="121"/>
      <c r="AJ984" s="2057"/>
      <c r="AK984" s="2058"/>
      <c r="AL984" s="2058"/>
      <c r="AM984" s="2058"/>
      <c r="AN984" s="2058"/>
      <c r="AO984" s="2058"/>
      <c r="AP984" s="2058"/>
      <c r="AQ984" s="2059"/>
      <c r="AR984" s="1488"/>
      <c r="AS984" s="1488"/>
      <c r="AT984" s="1488"/>
      <c r="AU984" s="1488"/>
      <c r="AV984" s="1488"/>
      <c r="AW984" s="1488"/>
      <c r="AX984" s="1488"/>
      <c r="AY984" s="1488"/>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1"/>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087"/>
      <c r="E985" s="2088"/>
      <c r="F985" s="2088"/>
      <c r="G985" s="2088"/>
      <c r="H985" s="2088"/>
      <c r="I985" s="2088"/>
      <c r="J985" s="2088"/>
      <c r="K985" s="2088"/>
      <c r="L985" s="2088"/>
      <c r="M985" s="2088"/>
      <c r="N985" s="2088"/>
      <c r="O985" s="2088"/>
      <c r="P985" s="2088"/>
      <c r="Q985" s="2088"/>
      <c r="R985" s="2088"/>
      <c r="S985" s="2088"/>
      <c r="T985" s="2088"/>
      <c r="U985" s="2088"/>
      <c r="V985" s="2088"/>
      <c r="W985" s="2088"/>
      <c r="X985" s="2088"/>
      <c r="Y985" s="2088"/>
      <c r="Z985" s="2088"/>
      <c r="AA985" s="2088"/>
      <c r="AB985" s="2088"/>
      <c r="AC985" s="2088"/>
      <c r="AD985" s="2088"/>
      <c r="AE985" s="2089"/>
      <c r="AF985" s="115"/>
      <c r="AG985" s="11"/>
      <c r="AH985" s="11"/>
      <c r="AI985" s="116"/>
      <c r="AJ985" s="2060"/>
      <c r="AK985" s="2061"/>
      <c r="AL985" s="2061"/>
      <c r="AM985" s="2061"/>
      <c r="AN985" s="2061"/>
      <c r="AO985" s="2061"/>
      <c r="AP985" s="2061"/>
      <c r="AQ985" s="2062"/>
      <c r="AR985" s="1488"/>
      <c r="AS985" s="1488"/>
      <c r="AT985" s="1488"/>
      <c r="AU985" s="1488"/>
      <c r="AV985" s="1488"/>
      <c r="AW985" s="1488"/>
      <c r="AX985" s="1488"/>
      <c r="AY985" s="1488"/>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1"/>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084" t="s">
        <v>2090</v>
      </c>
      <c r="E986" s="2085"/>
      <c r="F986" s="2085"/>
      <c r="G986" s="2085"/>
      <c r="H986" s="2085"/>
      <c r="I986" s="2085"/>
      <c r="J986" s="2085"/>
      <c r="K986" s="2085"/>
      <c r="L986" s="2085"/>
      <c r="M986" s="2085"/>
      <c r="N986" s="2085"/>
      <c r="O986" s="2085"/>
      <c r="P986" s="2085"/>
      <c r="Q986" s="2085"/>
      <c r="R986" s="2085"/>
      <c r="S986" s="2085"/>
      <c r="T986" s="2085"/>
      <c r="U986" s="2085"/>
      <c r="V986" s="2085"/>
      <c r="W986" s="2085"/>
      <c r="X986" s="2085"/>
      <c r="Y986" s="2085"/>
      <c r="Z986" s="2085"/>
      <c r="AA986" s="2085"/>
      <c r="AB986" s="2085"/>
      <c r="AC986" s="2085"/>
      <c r="AD986" s="2085"/>
      <c r="AE986" s="2086"/>
      <c r="AF986" s="124"/>
      <c r="AG986" s="2034" t="s">
        <v>704</v>
      </c>
      <c r="AH986" s="2035"/>
      <c r="AI986" s="125"/>
      <c r="AJ986" s="2054">
        <f>ROUND(IF(AG986="yes",AJ975*0.1,0),0)</f>
        <v>0</v>
      </c>
      <c r="AK986" s="2055"/>
      <c r="AL986" s="2055"/>
      <c r="AM986" s="2055"/>
      <c r="AN986" s="2055"/>
      <c r="AO986" s="2055"/>
      <c r="AP986" s="2055"/>
      <c r="AQ986" s="2056"/>
      <c r="AR986" s="1488"/>
      <c r="AS986" s="1488"/>
      <c r="AT986" s="1488"/>
      <c r="AU986" s="1488"/>
      <c r="AV986" s="1488"/>
      <c r="AW986" s="1488"/>
      <c r="AX986" s="1488"/>
      <c r="AY986" s="1488"/>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1"/>
      <c r="CS986" s="61"/>
      <c r="CT986" s="61"/>
      <c r="CU986" s="61"/>
      <c r="CV986" s="61"/>
      <c r="CW986" s="61"/>
      <c r="CX986" s="61"/>
      <c r="CY986" s="61"/>
      <c r="CZ986" s="61"/>
      <c r="DA986" s="61"/>
      <c r="DB986" s="61"/>
      <c r="DC986" s="61"/>
      <c r="DD986" s="61"/>
      <c r="DE986" s="61"/>
      <c r="DF986" s="61"/>
    </row>
    <row r="987" spans="1:110" ht="12.75" customHeight="1">
      <c r="A987" s="51"/>
      <c r="B987" s="110"/>
      <c r="C987" s="111"/>
      <c r="D987" s="2039" t="s">
        <v>1522</v>
      </c>
      <c r="E987" s="2040"/>
      <c r="F987" s="2040"/>
      <c r="G987" s="2040"/>
      <c r="H987" s="2040"/>
      <c r="I987" s="2040"/>
      <c r="J987" s="2040"/>
      <c r="K987" s="2040"/>
      <c r="L987" s="2040"/>
      <c r="M987" s="2040"/>
      <c r="N987" s="2040"/>
      <c r="O987" s="2040"/>
      <c r="P987" s="2040"/>
      <c r="Q987" s="2040"/>
      <c r="R987" s="2040"/>
      <c r="S987" s="2040"/>
      <c r="T987" s="2040"/>
      <c r="U987" s="2040"/>
      <c r="V987" s="2040"/>
      <c r="W987" s="2040"/>
      <c r="X987" s="2040"/>
      <c r="Y987" s="2040"/>
      <c r="Z987" s="2040"/>
      <c r="AA987" s="2040"/>
      <c r="AB987" s="2040"/>
      <c r="AC987" s="2040"/>
      <c r="AD987" s="2040"/>
      <c r="AE987" s="2041"/>
      <c r="AF987" s="110"/>
      <c r="AG987" s="25"/>
      <c r="AH987" s="25"/>
      <c r="AI987" s="121"/>
      <c r="AJ987" s="2057"/>
      <c r="AK987" s="2058"/>
      <c r="AL987" s="2058"/>
      <c r="AM987" s="2058"/>
      <c r="AN987" s="2058"/>
      <c r="AO987" s="2058"/>
      <c r="AP987" s="2058"/>
      <c r="AQ987" s="2059"/>
      <c r="AR987" s="1488"/>
      <c r="AS987" s="1488"/>
      <c r="AT987" s="1488"/>
      <c r="AU987" s="1488"/>
      <c r="AV987" s="1488"/>
      <c r="AW987" s="1488"/>
      <c r="AX987" s="1488"/>
      <c r="AY987" s="1488"/>
      <c r="AZ987" s="61"/>
      <c r="BA987" s="1517">
        <f>G753+O796</f>
        <v>110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1"/>
      <c r="CS987" s="61"/>
      <c r="CT987" s="61"/>
      <c r="CU987" s="61"/>
      <c r="CV987" s="61"/>
      <c r="CW987" s="61"/>
      <c r="CX987" s="61"/>
      <c r="CY987" s="61"/>
      <c r="CZ987" s="61"/>
      <c r="DA987" s="61"/>
      <c r="DB987" s="61"/>
      <c r="DC987" s="61"/>
      <c r="DD987" s="61"/>
      <c r="DE987" s="61"/>
      <c r="DF987" s="61"/>
    </row>
    <row r="988" spans="1:110" ht="12.75" customHeight="1">
      <c r="A988" s="51"/>
      <c r="B988" s="110"/>
      <c r="C988" s="111"/>
      <c r="D988" s="2039"/>
      <c r="E988" s="2040"/>
      <c r="F988" s="2040"/>
      <c r="G988" s="2040"/>
      <c r="H988" s="2040"/>
      <c r="I988" s="2040"/>
      <c r="J988" s="2040"/>
      <c r="K988" s="2040"/>
      <c r="L988" s="2040"/>
      <c r="M988" s="2040"/>
      <c r="N988" s="2040"/>
      <c r="O988" s="2040"/>
      <c r="P988" s="2040"/>
      <c r="Q988" s="2040"/>
      <c r="R988" s="2040"/>
      <c r="S988" s="2040"/>
      <c r="T988" s="2040"/>
      <c r="U988" s="2040"/>
      <c r="V988" s="2040"/>
      <c r="W988" s="2040"/>
      <c r="X988" s="2040"/>
      <c r="Y988" s="2040"/>
      <c r="Z988" s="2040"/>
      <c r="AA988" s="2040"/>
      <c r="AB988" s="2040"/>
      <c r="AC988" s="2040"/>
      <c r="AD988" s="2040"/>
      <c r="AE988" s="2041"/>
      <c r="AF988" s="110"/>
      <c r="AG988" s="112"/>
      <c r="AH988" s="112"/>
      <c r="AI988" s="121"/>
      <c r="AJ988" s="2057"/>
      <c r="AK988" s="2058"/>
      <c r="AL988" s="2058"/>
      <c r="AM988" s="2058"/>
      <c r="AN988" s="2058"/>
      <c r="AO988" s="2058"/>
      <c r="AP988" s="2058"/>
      <c r="AQ988" s="2059"/>
      <c r="AR988" s="1488"/>
      <c r="AS988" s="1488"/>
      <c r="AT988" s="1488"/>
      <c r="AU988" s="1488"/>
      <c r="AV988" s="1488"/>
      <c r="AW988" s="1488"/>
      <c r="AX988" s="1488"/>
      <c r="AY988" s="1488"/>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1"/>
      <c r="CS988" s="61"/>
      <c r="CT988" s="61"/>
      <c r="CU988" s="61"/>
      <c r="CV988" s="61"/>
      <c r="CW988" s="61"/>
      <c r="CX988" s="61"/>
      <c r="CY988" s="61"/>
      <c r="CZ988" s="61"/>
      <c r="DA988" s="61"/>
      <c r="DB988" s="61"/>
      <c r="DC988" s="61"/>
      <c r="DD988" s="61"/>
      <c r="DE988" s="61"/>
      <c r="DF988" s="61"/>
    </row>
    <row r="989" spans="1:110" ht="12.75" customHeight="1">
      <c r="A989" s="51"/>
      <c r="B989" s="123"/>
      <c r="C989" s="114"/>
      <c r="D989" s="2042"/>
      <c r="E989" s="2043"/>
      <c r="F989" s="2043"/>
      <c r="G989" s="2043"/>
      <c r="H989" s="2043"/>
      <c r="I989" s="2043"/>
      <c r="J989" s="2043"/>
      <c r="K989" s="2043"/>
      <c r="L989" s="2043"/>
      <c r="M989" s="2043"/>
      <c r="N989" s="2043"/>
      <c r="O989" s="2043"/>
      <c r="P989" s="2043"/>
      <c r="Q989" s="2043"/>
      <c r="R989" s="2043"/>
      <c r="S989" s="2043"/>
      <c r="T989" s="2043"/>
      <c r="U989" s="2043"/>
      <c r="V989" s="2043"/>
      <c r="W989" s="2043"/>
      <c r="X989" s="2043"/>
      <c r="Y989" s="2043"/>
      <c r="Z989" s="2043"/>
      <c r="AA989" s="2043"/>
      <c r="AB989" s="2043"/>
      <c r="AC989" s="2043"/>
      <c r="AD989" s="2043"/>
      <c r="AE989" s="2044"/>
      <c r="AF989" s="115"/>
      <c r="AG989" s="11"/>
      <c r="AH989" s="11"/>
      <c r="AI989" s="116"/>
      <c r="AJ989" s="2060"/>
      <c r="AK989" s="2061"/>
      <c r="AL989" s="2061"/>
      <c r="AM989" s="2061"/>
      <c r="AN989" s="2061"/>
      <c r="AO989" s="2061"/>
      <c r="AP989" s="2061"/>
      <c r="AQ989" s="2062"/>
      <c r="AR989" s="1488"/>
      <c r="AS989" s="1488"/>
      <c r="AT989" s="1488"/>
      <c r="AU989" s="1488"/>
      <c r="AV989" s="1488"/>
      <c r="AW989" s="1488"/>
      <c r="AX989" s="1488"/>
      <c r="AY989" s="1488"/>
      <c r="AZ989" s="61"/>
      <c r="BA989" s="1516">
        <f>ROUNDDOWN(X1027/I1027,2)</f>
        <v>0.11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1"/>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084" t="s">
        <v>1524</v>
      </c>
      <c r="E990" s="2085"/>
      <c r="F990" s="2085"/>
      <c r="G990" s="2085"/>
      <c r="H990" s="2085"/>
      <c r="I990" s="2085"/>
      <c r="J990" s="2085"/>
      <c r="K990" s="2085"/>
      <c r="L990" s="2085"/>
      <c r="M990" s="2085"/>
      <c r="N990" s="2085"/>
      <c r="O990" s="2085"/>
      <c r="P990" s="2085"/>
      <c r="Q990" s="2085"/>
      <c r="R990" s="2085"/>
      <c r="S990" s="2085"/>
      <c r="T990" s="2085"/>
      <c r="U990" s="2085"/>
      <c r="V990" s="2085"/>
      <c r="W990" s="2085"/>
      <c r="X990" s="2085"/>
      <c r="Y990" s="2085"/>
      <c r="Z990" s="2085"/>
      <c r="AA990" s="2085"/>
      <c r="AB990" s="2085"/>
      <c r="AC990" s="2085"/>
      <c r="AD990" s="2085"/>
      <c r="AE990" s="2086"/>
      <c r="AF990" s="117"/>
      <c r="AG990" s="2034" t="s">
        <v>704</v>
      </c>
      <c r="AH990" s="2035"/>
      <c r="AI990" s="125"/>
      <c r="AJ990" s="2054">
        <f>ROUND(IF(AG990="yes",AJ975*0.02,0),0)</f>
        <v>0</v>
      </c>
      <c r="AK990" s="2055"/>
      <c r="AL990" s="2055"/>
      <c r="AM990" s="2055"/>
      <c r="AN990" s="2055"/>
      <c r="AO990" s="2055"/>
      <c r="AP990" s="2055"/>
      <c r="AQ990" s="2056"/>
      <c r="AR990" s="1488"/>
      <c r="AS990" s="1488"/>
      <c r="AT990" s="1488"/>
      <c r="AU990" s="1488"/>
      <c r="AV990" s="1488"/>
      <c r="AW990" s="1488"/>
      <c r="AX990" s="1488"/>
      <c r="AY990" s="1488"/>
      <c r="AZ990" s="61"/>
      <c r="BA990" s="1516">
        <f>ROUNDDOWN(X1031/I1031,2)</f>
        <v>0.27</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42" t="s">
        <v>1525</v>
      </c>
      <c r="E991" s="2043"/>
      <c r="F991" s="2043"/>
      <c r="G991" s="2043"/>
      <c r="H991" s="2043"/>
      <c r="I991" s="2043"/>
      <c r="J991" s="2043"/>
      <c r="K991" s="2043"/>
      <c r="L991" s="2043"/>
      <c r="M991" s="2043"/>
      <c r="N991" s="2043"/>
      <c r="O991" s="2043"/>
      <c r="P991" s="2043"/>
      <c r="Q991" s="2043"/>
      <c r="R991" s="2043"/>
      <c r="S991" s="2043"/>
      <c r="T991" s="2043"/>
      <c r="U991" s="2043"/>
      <c r="V991" s="2043"/>
      <c r="W991" s="2043"/>
      <c r="X991" s="2043"/>
      <c r="Y991" s="2043"/>
      <c r="Z991" s="2043"/>
      <c r="AA991" s="2043"/>
      <c r="AB991" s="2043"/>
      <c r="AC991" s="2043"/>
      <c r="AD991" s="2043"/>
      <c r="AE991" s="2044"/>
      <c r="AF991" s="115"/>
      <c r="AG991" s="11"/>
      <c r="AH991" s="11"/>
      <c r="AI991" s="116"/>
      <c r="AJ991" s="2060"/>
      <c r="AK991" s="2061"/>
      <c r="AL991" s="2061"/>
      <c r="AM991" s="2061"/>
      <c r="AN991" s="2061"/>
      <c r="AO991" s="2061"/>
      <c r="AP991" s="2061"/>
      <c r="AQ991" s="2062"/>
      <c r="AR991" s="1488"/>
      <c r="AS991" s="1488"/>
      <c r="AT991" s="1488"/>
      <c r="AU991" s="1488"/>
      <c r="AV991" s="1488"/>
      <c r="AW991" s="1488"/>
      <c r="AX991" s="1488"/>
      <c r="AY991" s="1488"/>
      <c r="BB991" s="61"/>
      <c r="BC991" s="61"/>
      <c r="BD991" s="61"/>
      <c r="BE991" s="61"/>
      <c r="BF991" s="61"/>
      <c r="CR991" s="204"/>
    </row>
    <row r="992" spans="1:110" ht="12.75" customHeight="1">
      <c r="A992" s="51"/>
      <c r="B992" s="117"/>
      <c r="C992" s="118" t="s">
        <v>220</v>
      </c>
      <c r="D992" s="2084" t="s">
        <v>1526</v>
      </c>
      <c r="E992" s="2085"/>
      <c r="F992" s="2085"/>
      <c r="G992" s="2085"/>
      <c r="H992" s="2085"/>
      <c r="I992" s="2085"/>
      <c r="J992" s="2085"/>
      <c r="K992" s="2085"/>
      <c r="L992" s="2085"/>
      <c r="M992" s="2085"/>
      <c r="N992" s="2085"/>
      <c r="O992" s="2085"/>
      <c r="P992" s="2085"/>
      <c r="Q992" s="2085"/>
      <c r="R992" s="2085"/>
      <c r="S992" s="2085"/>
      <c r="T992" s="2085"/>
      <c r="U992" s="2085"/>
      <c r="V992" s="2085"/>
      <c r="W992" s="2085"/>
      <c r="X992" s="2085"/>
      <c r="Y992" s="2085"/>
      <c r="Z992" s="2085"/>
      <c r="AA992" s="2085"/>
      <c r="AB992" s="2085"/>
      <c r="AC992" s="2085"/>
      <c r="AD992" s="2085"/>
      <c r="AE992" s="2086"/>
      <c r="AF992" s="117"/>
      <c r="AG992" s="2034" t="s">
        <v>704</v>
      </c>
      <c r="AH992" s="2035"/>
      <c r="AI992" s="117"/>
      <c r="AJ992" s="2054">
        <f>ROUND(IF(AG992="yes",AJ975*0.02,0),0)</f>
        <v>0</v>
      </c>
      <c r="AK992" s="2055"/>
      <c r="AL992" s="2055"/>
      <c r="AM992" s="2055"/>
      <c r="AN992" s="2055"/>
      <c r="AO992" s="2055"/>
      <c r="AP992" s="2055"/>
      <c r="AQ992" s="2056"/>
      <c r="AR992" s="1488"/>
      <c r="AS992" s="1488"/>
      <c r="AT992" s="1488"/>
      <c r="AU992" s="1488"/>
      <c r="AV992" s="1488"/>
      <c r="AW992" s="1488"/>
      <c r="AX992" s="1488"/>
      <c r="AY992" s="1488"/>
      <c r="BB992" s="32"/>
      <c r="BC992" s="32"/>
      <c r="BD992" s="32"/>
      <c r="BE992" s="32"/>
      <c r="BF992" s="32"/>
    </row>
    <row r="993" spans="1:96" s="717" customFormat="1" ht="12.75" customHeight="1">
      <c r="A993" s="51"/>
      <c r="B993" s="110"/>
      <c r="C993" s="111"/>
      <c r="D993" s="2039" t="s">
        <v>1527</v>
      </c>
      <c r="E993" s="2040"/>
      <c r="F993" s="2040"/>
      <c r="G993" s="2040"/>
      <c r="H993" s="2040"/>
      <c r="I993" s="2040"/>
      <c r="J993" s="2040"/>
      <c r="K993" s="2040"/>
      <c r="L993" s="2040"/>
      <c r="M993" s="2040"/>
      <c r="N993" s="2040"/>
      <c r="O993" s="2040"/>
      <c r="P993" s="2040"/>
      <c r="Q993" s="2040"/>
      <c r="R993" s="2040"/>
      <c r="S993" s="2040"/>
      <c r="T993" s="2040"/>
      <c r="U993" s="2040"/>
      <c r="V993" s="2040"/>
      <c r="W993" s="2040"/>
      <c r="X993" s="2040"/>
      <c r="Y993" s="2040"/>
      <c r="Z993" s="2040"/>
      <c r="AA993" s="2040"/>
      <c r="AB993" s="2040"/>
      <c r="AC993" s="2040"/>
      <c r="AD993" s="2040"/>
      <c r="AE993" s="2041"/>
      <c r="AF993" s="110"/>
      <c r="AG993" s="25"/>
      <c r="AH993" s="25"/>
      <c r="AI993" s="112"/>
      <c r="AJ993" s="2057"/>
      <c r="AK993" s="2058"/>
      <c r="AL993" s="2058"/>
      <c r="AM993" s="2058"/>
      <c r="AN993" s="2058"/>
      <c r="AO993" s="2058"/>
      <c r="AP993" s="2058"/>
      <c r="AQ993" s="2059"/>
      <c r="AR993" s="1488"/>
      <c r="AS993" s="1488"/>
      <c r="AT993" s="1488"/>
      <c r="AU993" s="1488"/>
      <c r="AV993" s="1488"/>
      <c r="AW993" s="1488"/>
      <c r="AX993" s="1488"/>
      <c r="AY993" s="1488"/>
      <c r="BB993" s="900"/>
      <c r="BC993" s="900"/>
      <c r="BD993" s="900"/>
      <c r="BE993" s="900"/>
      <c r="BF993" s="900"/>
      <c r="CR993" s="25"/>
    </row>
    <row r="994" spans="1:96" ht="12.75" customHeight="1">
      <c r="A994" s="51"/>
      <c r="B994" s="113"/>
      <c r="C994" s="114"/>
      <c r="D994" s="2042"/>
      <c r="E994" s="2043"/>
      <c r="F994" s="2043"/>
      <c r="G994" s="2043"/>
      <c r="H994" s="2043"/>
      <c r="I994" s="2043"/>
      <c r="J994" s="2043"/>
      <c r="K994" s="2043"/>
      <c r="L994" s="2043"/>
      <c r="M994" s="2043"/>
      <c r="N994" s="2043"/>
      <c r="O994" s="2043"/>
      <c r="P994" s="2043"/>
      <c r="Q994" s="2043"/>
      <c r="R994" s="2043"/>
      <c r="S994" s="2043"/>
      <c r="T994" s="2043"/>
      <c r="U994" s="2043"/>
      <c r="V994" s="2043"/>
      <c r="W994" s="2043"/>
      <c r="X994" s="2043"/>
      <c r="Y994" s="2043"/>
      <c r="Z994" s="2043"/>
      <c r="AA994" s="2043"/>
      <c r="AB994" s="2043"/>
      <c r="AC994" s="2043"/>
      <c r="AD994" s="2043"/>
      <c r="AE994" s="2044"/>
      <c r="AF994" s="115"/>
      <c r="AG994" s="11"/>
      <c r="AH994" s="11"/>
      <c r="AI994" s="116"/>
      <c r="AJ994" s="2060"/>
      <c r="AK994" s="2061"/>
      <c r="AL994" s="2061"/>
      <c r="AM994" s="2061"/>
      <c r="AN994" s="2061"/>
      <c r="AO994" s="2061"/>
      <c r="AP994" s="2061"/>
      <c r="AQ994" s="2062"/>
      <c r="AR994" s="1488"/>
      <c r="AS994" s="1488"/>
      <c r="AT994" s="1488"/>
      <c r="AU994" s="1488"/>
      <c r="AV994" s="1488"/>
      <c r="AW994" s="1488"/>
      <c r="AX994" s="1488"/>
      <c r="AY994" s="1488"/>
    </row>
    <row r="995" spans="1:96" s="717" customFormat="1" ht="12.75" customHeight="1">
      <c r="A995" s="51"/>
      <c r="B995" s="117"/>
      <c r="C995" s="118" t="s">
        <v>223</v>
      </c>
      <c r="D995" s="2036" t="s">
        <v>1528</v>
      </c>
      <c r="E995" s="2037"/>
      <c r="F995" s="2037"/>
      <c r="G995" s="2037"/>
      <c r="H995" s="2037"/>
      <c r="I995" s="2037"/>
      <c r="J995" s="2037"/>
      <c r="K995" s="2037"/>
      <c r="L995" s="2037"/>
      <c r="M995" s="2037"/>
      <c r="N995" s="2037"/>
      <c r="O995" s="2037"/>
      <c r="P995" s="2037"/>
      <c r="Q995" s="2037"/>
      <c r="R995" s="2037"/>
      <c r="S995" s="2037"/>
      <c r="T995" s="2037"/>
      <c r="U995" s="2037"/>
      <c r="V995" s="2037"/>
      <c r="W995" s="2037"/>
      <c r="X995" s="2037"/>
      <c r="Y995" s="2037"/>
      <c r="Z995" s="2037"/>
      <c r="AA995" s="2037"/>
      <c r="AB995" s="2037"/>
      <c r="AC995" s="2037"/>
      <c r="AD995" s="2037"/>
      <c r="AE995" s="2038"/>
      <c r="AF995" s="117"/>
      <c r="AG995" s="2034" t="s">
        <v>704</v>
      </c>
      <c r="AH995" s="2035"/>
      <c r="AI995" s="125"/>
      <c r="AJ995" s="2054">
        <f>IF(AG995="yes",AJ975*BA995,0)</f>
        <v>0</v>
      </c>
      <c r="AK995" s="2055"/>
      <c r="AL995" s="2055"/>
      <c r="AM995" s="2055"/>
      <c r="AN995" s="2055"/>
      <c r="AO995" s="2055"/>
      <c r="AP995" s="2055"/>
      <c r="AQ995" s="2056"/>
      <c r="AR995" s="1488"/>
      <c r="AS995" s="1488"/>
      <c r="AT995" s="1488"/>
      <c r="AU995" s="1488"/>
      <c r="AV995" s="1488"/>
      <c r="AW995" s="1488"/>
      <c r="AX995" s="1488"/>
      <c r="AY995" s="1488"/>
      <c r="BA995" s="322">
        <f>IF(SUM(BA997:BA1005)&lt;=0.1,SUM(BA997:BA1005),0.1)</f>
        <v>0</v>
      </c>
      <c r="CR995" s="25"/>
    </row>
    <row r="996" spans="1:96" ht="12.75" customHeight="1">
      <c r="A996" s="51"/>
      <c r="B996" s="110"/>
      <c r="C996" s="111"/>
      <c r="D996" s="2039" t="s">
        <v>1529</v>
      </c>
      <c r="E996" s="2040"/>
      <c r="F996" s="2040"/>
      <c r="G996" s="2040"/>
      <c r="H996" s="2040"/>
      <c r="I996" s="2040"/>
      <c r="J996" s="2040"/>
      <c r="K996" s="2040"/>
      <c r="L996" s="2040"/>
      <c r="M996" s="2040"/>
      <c r="N996" s="2040"/>
      <c r="O996" s="2040"/>
      <c r="P996" s="2040"/>
      <c r="Q996" s="2040"/>
      <c r="R996" s="2040"/>
      <c r="S996" s="2040"/>
      <c r="T996" s="2040"/>
      <c r="U996" s="2040"/>
      <c r="V996" s="2040"/>
      <c r="W996" s="2040"/>
      <c r="X996" s="2040"/>
      <c r="Y996" s="2040"/>
      <c r="Z996" s="2040"/>
      <c r="AA996" s="2040"/>
      <c r="AB996" s="2040"/>
      <c r="AC996" s="2040"/>
      <c r="AD996" s="2040"/>
      <c r="AE996" s="2041"/>
      <c r="AF996" s="110"/>
      <c r="AG996" s="112"/>
      <c r="AH996" s="112"/>
      <c r="AI996" s="121"/>
      <c r="AJ996" s="2057"/>
      <c r="AK996" s="2058"/>
      <c r="AL996" s="2058"/>
      <c r="AM996" s="2058"/>
      <c r="AN996" s="2058"/>
      <c r="AO996" s="2058"/>
      <c r="AP996" s="2058"/>
      <c r="AQ996" s="2059"/>
      <c r="AR996" s="1488"/>
      <c r="AS996" s="1488"/>
      <c r="AT996" s="1488"/>
      <c r="AU996" s="1488"/>
      <c r="AV996" s="1488"/>
      <c r="AW996" s="1488"/>
      <c r="AX996" s="1488"/>
      <c r="AY996" s="1488"/>
    </row>
    <row r="997" spans="1:96" ht="12.75" customHeight="1">
      <c r="A997" s="51"/>
      <c r="B997" s="110"/>
      <c r="C997" s="111"/>
      <c r="D997" s="2039"/>
      <c r="E997" s="2040"/>
      <c r="F997" s="2040"/>
      <c r="G997" s="2040"/>
      <c r="H997" s="2040"/>
      <c r="I997" s="2040"/>
      <c r="J997" s="2040"/>
      <c r="K997" s="2040"/>
      <c r="L997" s="2040"/>
      <c r="M997" s="2040"/>
      <c r="N997" s="2040"/>
      <c r="O997" s="2040"/>
      <c r="P997" s="2040"/>
      <c r="Q997" s="2040"/>
      <c r="R997" s="2040"/>
      <c r="S997" s="2040"/>
      <c r="T997" s="2040"/>
      <c r="U997" s="2040"/>
      <c r="V997" s="2040"/>
      <c r="W997" s="2040"/>
      <c r="X997" s="2040"/>
      <c r="Y997" s="2040"/>
      <c r="Z997" s="2040"/>
      <c r="AA997" s="2040"/>
      <c r="AB997" s="2040"/>
      <c r="AC997" s="2040"/>
      <c r="AD997" s="2040"/>
      <c r="AE997" s="2041"/>
      <c r="AF997" s="110"/>
      <c r="AG997" s="112"/>
      <c r="AH997" s="112"/>
      <c r="AI997" s="121"/>
      <c r="AJ997" s="2057"/>
      <c r="AK997" s="2058"/>
      <c r="AL997" s="2058"/>
      <c r="AM997" s="2058"/>
      <c r="AN997" s="2058"/>
      <c r="AO997" s="2058"/>
      <c r="AP997" s="2058"/>
      <c r="AQ997" s="2059"/>
      <c r="AR997" s="1488"/>
      <c r="AS997" s="1488"/>
      <c r="AT997" s="1488"/>
      <c r="AU997" s="1488"/>
      <c r="AV997" s="1488"/>
      <c r="AW997" s="1488"/>
      <c r="AX997" s="1488"/>
      <c r="AY997" s="1488"/>
      <c r="BA997" s="320">
        <f>IF(A1044="Yes",0.05,0)</f>
        <v>0</v>
      </c>
    </row>
    <row r="998" spans="1:96" ht="15" customHeight="1">
      <c r="A998" s="51"/>
      <c r="B998" s="119"/>
      <c r="C998" s="120"/>
      <c r="D998" s="2042"/>
      <c r="E998" s="2043"/>
      <c r="F998" s="2043"/>
      <c r="G998" s="2043"/>
      <c r="H998" s="2043"/>
      <c r="I998" s="2043"/>
      <c r="J998" s="2043"/>
      <c r="K998" s="2043"/>
      <c r="L998" s="2043"/>
      <c r="M998" s="2043"/>
      <c r="N998" s="2043"/>
      <c r="O998" s="2043"/>
      <c r="P998" s="2043"/>
      <c r="Q998" s="2043"/>
      <c r="R998" s="2043"/>
      <c r="S998" s="2043"/>
      <c r="T998" s="2043"/>
      <c r="U998" s="2043"/>
      <c r="V998" s="2043"/>
      <c r="W998" s="2043"/>
      <c r="X998" s="2043"/>
      <c r="Y998" s="2043"/>
      <c r="Z998" s="2043"/>
      <c r="AA998" s="2043"/>
      <c r="AB998" s="2043"/>
      <c r="AC998" s="2043"/>
      <c r="AD998" s="2043"/>
      <c r="AE998" s="2044"/>
      <c r="AF998" s="115"/>
      <c r="AG998" s="11"/>
      <c r="AH998" s="11"/>
      <c r="AI998" s="116"/>
      <c r="AJ998" s="2060"/>
      <c r="AK998" s="2061"/>
      <c r="AL998" s="2061"/>
      <c r="AM998" s="2061"/>
      <c r="AN998" s="2061"/>
      <c r="AO998" s="2061"/>
      <c r="AP998" s="2061"/>
      <c r="AQ998" s="2062"/>
      <c r="AR998" s="1488"/>
      <c r="AS998" s="1488"/>
      <c r="AT998" s="1488"/>
      <c r="AU998" s="1488"/>
      <c r="AV998" s="1488"/>
      <c r="AW998" s="1488"/>
      <c r="AX998" s="1488"/>
      <c r="AY998" s="1488"/>
      <c r="BA998" s="320">
        <f>IF(A1050="Yes",0.02,0)</f>
        <v>0</v>
      </c>
    </row>
    <row r="999" spans="1:96" s="717" customFormat="1" ht="15" customHeight="1">
      <c r="A999" s="51"/>
      <c r="B999" s="117"/>
      <c r="C999" s="118" t="s">
        <v>228</v>
      </c>
      <c r="D999" s="2102" t="s">
        <v>1530</v>
      </c>
      <c r="E999" s="2103"/>
      <c r="F999" s="2103"/>
      <c r="G999" s="2103"/>
      <c r="H999" s="2103"/>
      <c r="I999" s="2103"/>
      <c r="J999" s="2103"/>
      <c r="K999" s="2103"/>
      <c r="L999" s="2103"/>
      <c r="M999" s="2103"/>
      <c r="N999" s="2103"/>
      <c r="O999" s="2103"/>
      <c r="P999" s="2103"/>
      <c r="Q999" s="2103"/>
      <c r="R999" s="2103"/>
      <c r="S999" s="2103"/>
      <c r="T999" s="2103"/>
      <c r="U999" s="2103"/>
      <c r="V999" s="2103"/>
      <c r="W999" s="2103"/>
      <c r="X999" s="2103"/>
      <c r="Y999" s="2103"/>
      <c r="Z999" s="2103"/>
      <c r="AA999" s="2103"/>
      <c r="AB999" s="2103"/>
      <c r="AC999" s="2103"/>
      <c r="AD999" s="2103"/>
      <c r="AE999" s="2104"/>
      <c r="AF999" s="117"/>
      <c r="AG999" s="2034" t="s">
        <v>704</v>
      </c>
      <c r="AH999" s="2035"/>
      <c r="AI999" s="125"/>
      <c r="AJ999" s="2063" t="s">
        <v>624</v>
      </c>
      <c r="AK999" s="2064"/>
      <c r="AL999" s="2064"/>
      <c r="AM999" s="2064"/>
      <c r="AN999" s="2064"/>
      <c r="AO999" s="2064"/>
      <c r="AP999" s="2064"/>
      <c r="AQ999" s="2065"/>
      <c r="AR999" s="1488"/>
      <c r="AS999" s="1488"/>
      <c r="AT999" s="1488"/>
      <c r="AU999" s="1488"/>
      <c r="AV999" s="1488"/>
      <c r="AW999" s="1488"/>
      <c r="AX999" s="1488"/>
      <c r="AY999" s="1488"/>
      <c r="BA999" s="320">
        <f>IF(A1056="Yes",0.04,0)</f>
        <v>0</v>
      </c>
      <c r="CR999" s="25"/>
    </row>
    <row r="1000" spans="1:96" ht="12.5">
      <c r="A1000" s="51"/>
      <c r="B1000" s="119"/>
      <c r="C1000" s="122"/>
      <c r="D1000" s="2105"/>
      <c r="E1000" s="2106"/>
      <c r="F1000" s="2106"/>
      <c r="G1000" s="2106"/>
      <c r="H1000" s="2106"/>
      <c r="I1000" s="2106"/>
      <c r="J1000" s="2106"/>
      <c r="K1000" s="2106"/>
      <c r="L1000" s="2106"/>
      <c r="M1000" s="2106"/>
      <c r="N1000" s="2106"/>
      <c r="O1000" s="2106"/>
      <c r="P1000" s="2106"/>
      <c r="Q1000" s="2106"/>
      <c r="R1000" s="2106"/>
      <c r="S1000" s="2106"/>
      <c r="T1000" s="2106"/>
      <c r="U1000" s="2106"/>
      <c r="V1000" s="2106"/>
      <c r="W1000" s="2106"/>
      <c r="X1000" s="2106"/>
      <c r="Y1000" s="2106"/>
      <c r="Z1000" s="2106"/>
      <c r="AA1000" s="2106"/>
      <c r="AB1000" s="2106"/>
      <c r="AC1000" s="2106"/>
      <c r="AD1000" s="2106"/>
      <c r="AE1000" s="2107"/>
      <c r="AF1000" s="2090">
        <f>IF(AG999="yes","Please Select Type and Enter Amount:",0)</f>
        <v>0</v>
      </c>
      <c r="AG1000" s="2091"/>
      <c r="AH1000" s="2091"/>
      <c r="AI1000" s="2092"/>
      <c r="AJ1000" s="2066"/>
      <c r="AK1000" s="2067"/>
      <c r="AL1000" s="2067"/>
      <c r="AM1000" s="2067"/>
      <c r="AN1000" s="2067"/>
      <c r="AO1000" s="2067"/>
      <c r="AP1000" s="2067"/>
      <c r="AQ1000" s="2068"/>
      <c r="AR1000" s="1488"/>
      <c r="AS1000" s="1488"/>
      <c r="AT1000" s="1488"/>
      <c r="AU1000" s="1488"/>
      <c r="AV1000" s="1488"/>
      <c r="AW1000" s="1488"/>
      <c r="AX1000" s="1488"/>
      <c r="AY1000" s="1488"/>
      <c r="BA1000" s="320">
        <f>IF(A1063="Yes",0.04,0)</f>
        <v>0</v>
      </c>
    </row>
    <row r="1001" spans="1:96" ht="12.75" customHeight="1">
      <c r="A1001" s="51"/>
      <c r="B1001" s="119"/>
      <c r="C1001" s="122"/>
      <c r="D1001" s="2039" t="s">
        <v>1531</v>
      </c>
      <c r="E1001" s="2040"/>
      <c r="F1001" s="2040"/>
      <c r="G1001" s="2040"/>
      <c r="H1001" s="2040"/>
      <c r="I1001" s="2040"/>
      <c r="J1001" s="2040"/>
      <c r="K1001" s="2040"/>
      <c r="L1001" s="2040"/>
      <c r="M1001" s="2040"/>
      <c r="N1001" s="2040"/>
      <c r="O1001" s="2040"/>
      <c r="P1001" s="2040"/>
      <c r="Q1001" s="2040"/>
      <c r="R1001" s="2040"/>
      <c r="S1001" s="2040"/>
      <c r="T1001" s="2040"/>
      <c r="U1001" s="2040"/>
      <c r="V1001" s="2040"/>
      <c r="W1001" s="2040"/>
      <c r="X1001" s="2040"/>
      <c r="Y1001" s="2040"/>
      <c r="Z1001" s="2040"/>
      <c r="AA1001" s="2040"/>
      <c r="AB1001" s="2040"/>
      <c r="AC1001" s="2040"/>
      <c r="AD1001" s="2040"/>
      <c r="AE1001" s="2041"/>
      <c r="AF1001" s="2090"/>
      <c r="AG1001" s="2091"/>
      <c r="AH1001" s="2091"/>
      <c r="AI1001" s="2092"/>
      <c r="AJ1001" s="2066"/>
      <c r="AK1001" s="2067"/>
      <c r="AL1001" s="2067"/>
      <c r="AM1001" s="2067"/>
      <c r="AN1001" s="2067"/>
      <c r="AO1001" s="2067"/>
      <c r="AP1001" s="2067"/>
      <c r="AQ1001" s="2068"/>
      <c r="AR1001" s="1488"/>
      <c r="AS1001" s="1488"/>
      <c r="AT1001" s="1488"/>
      <c r="AU1001" s="1488"/>
      <c r="AV1001" s="1488"/>
      <c r="AW1001" s="1488"/>
      <c r="AX1001" s="1488"/>
      <c r="AY1001" s="1488"/>
      <c r="BA1001" s="320">
        <f>IF(A1066="Yes",0.01,0)</f>
        <v>0</v>
      </c>
    </row>
    <row r="1002" spans="1:96" ht="12.75" customHeight="1">
      <c r="A1002" s="51"/>
      <c r="B1002" s="119"/>
      <c r="C1002" s="122"/>
      <c r="D1002" s="2039"/>
      <c r="E1002" s="2040"/>
      <c r="F1002" s="2040"/>
      <c r="G1002" s="2040"/>
      <c r="H1002" s="2040"/>
      <c r="I1002" s="2040"/>
      <c r="J1002" s="2040"/>
      <c r="K1002" s="2040"/>
      <c r="L1002" s="2040"/>
      <c r="M1002" s="2040"/>
      <c r="N1002" s="2040"/>
      <c r="O1002" s="2040"/>
      <c r="P1002" s="2040"/>
      <c r="Q1002" s="2040"/>
      <c r="R1002" s="2040"/>
      <c r="S1002" s="2040"/>
      <c r="T1002" s="2040"/>
      <c r="U1002" s="2040"/>
      <c r="V1002" s="2040"/>
      <c r="W1002" s="2040"/>
      <c r="X1002" s="2040"/>
      <c r="Y1002" s="2040"/>
      <c r="Z1002" s="2040"/>
      <c r="AA1002" s="2040"/>
      <c r="AB1002" s="2040"/>
      <c r="AC1002" s="2040"/>
      <c r="AD1002" s="2040"/>
      <c r="AE1002" s="2041"/>
      <c r="AF1002" s="2090"/>
      <c r="AG1002" s="2091"/>
      <c r="AH1002" s="2091"/>
      <c r="AI1002" s="2092"/>
      <c r="AJ1002" s="2066"/>
      <c r="AK1002" s="2067"/>
      <c r="AL1002" s="2067"/>
      <c r="AM1002" s="2067"/>
      <c r="AN1002" s="2067"/>
      <c r="AO1002" s="2067"/>
      <c r="AP1002" s="2067"/>
      <c r="AQ1002" s="2068"/>
      <c r="AR1002" s="1488"/>
      <c r="AS1002" s="1488"/>
      <c r="AT1002" s="1488"/>
      <c r="AU1002" s="1488"/>
      <c r="AV1002" s="1488"/>
      <c r="AW1002" s="1488"/>
      <c r="AX1002" s="1488"/>
      <c r="AY1002" s="1488"/>
      <c r="BA1002" s="320">
        <f>IF(A1071="Yes",0.01,0)</f>
        <v>0</v>
      </c>
    </row>
    <row r="1003" spans="1:96" s="717" customFormat="1" ht="12.75" customHeight="1">
      <c r="A1003" s="51"/>
      <c r="B1003" s="119"/>
      <c r="C1003" s="122"/>
      <c r="D1003" s="904" t="s">
        <v>368</v>
      </c>
      <c r="E1003" s="133"/>
      <c r="F1003" s="133"/>
      <c r="G1003" s="160"/>
      <c r="H1003" s="160"/>
      <c r="I1003" s="81"/>
      <c r="J1003" s="2108" t="s">
        <v>624</v>
      </c>
      <c r="K1003" s="2109"/>
      <c r="L1003" s="2109"/>
      <c r="M1003" s="2109"/>
      <c r="N1003" s="2109"/>
      <c r="O1003" s="2109"/>
      <c r="P1003" s="2109"/>
      <c r="Q1003" s="2109"/>
      <c r="R1003" s="2109"/>
      <c r="S1003" s="2109"/>
      <c r="T1003" s="2109"/>
      <c r="U1003" s="2109"/>
      <c r="V1003" s="2109"/>
      <c r="W1003" s="2109"/>
      <c r="X1003" s="2109"/>
      <c r="Y1003" s="2109"/>
      <c r="Z1003" s="2109"/>
      <c r="AA1003" s="2109"/>
      <c r="AB1003" s="2109"/>
      <c r="AC1003" s="2109"/>
      <c r="AD1003" s="2109"/>
      <c r="AE1003" s="2110"/>
      <c r="AF1003" s="2093"/>
      <c r="AG1003" s="2094"/>
      <c r="AH1003" s="2094"/>
      <c r="AI1003" s="2095"/>
      <c r="AJ1003" s="2069"/>
      <c r="AK1003" s="2070"/>
      <c r="AL1003" s="2070"/>
      <c r="AM1003" s="2070"/>
      <c r="AN1003" s="2070"/>
      <c r="AO1003" s="2070"/>
      <c r="AP1003" s="2070"/>
      <c r="AQ1003" s="2071"/>
      <c r="AR1003" s="1488"/>
      <c r="AS1003" s="1488"/>
      <c r="AT1003" s="1488"/>
      <c r="AU1003" s="1488"/>
      <c r="AV1003" s="1488"/>
      <c r="AW1003" s="1488"/>
      <c r="AX1003" s="1488"/>
      <c r="AY1003" s="1488"/>
      <c r="BA1003" s="320">
        <f>IF(A1074="Yes",0.01,0)</f>
        <v>0</v>
      </c>
      <c r="CR1003" s="25"/>
    </row>
    <row r="1004" spans="1:96" ht="12.75" customHeight="1">
      <c r="A1004" s="51"/>
      <c r="B1004" s="117"/>
      <c r="C1004" s="118" t="s">
        <v>234</v>
      </c>
      <c r="D1004" s="2084" t="s">
        <v>1532</v>
      </c>
      <c r="E1004" s="2085"/>
      <c r="F1004" s="2085"/>
      <c r="G1004" s="2085"/>
      <c r="H1004" s="2085"/>
      <c r="I1004" s="2085"/>
      <c r="J1004" s="2085"/>
      <c r="K1004" s="2085"/>
      <c r="L1004" s="2085"/>
      <c r="M1004" s="2085"/>
      <c r="N1004" s="2085"/>
      <c r="O1004" s="2085"/>
      <c r="P1004" s="2085"/>
      <c r="Q1004" s="2085"/>
      <c r="R1004" s="2085"/>
      <c r="S1004" s="2085"/>
      <c r="T1004" s="2085"/>
      <c r="U1004" s="2085"/>
      <c r="V1004" s="2085"/>
      <c r="W1004" s="2085"/>
      <c r="X1004" s="2085"/>
      <c r="Y1004" s="2085"/>
      <c r="Z1004" s="2085"/>
      <c r="AA1004" s="2085"/>
      <c r="AB1004" s="2085"/>
      <c r="AC1004" s="2085"/>
      <c r="AD1004" s="2085"/>
      <c r="AE1004" s="2086"/>
      <c r="AF1004" s="117"/>
      <c r="AG1004" s="2034" t="s">
        <v>704</v>
      </c>
      <c r="AH1004" s="2035"/>
      <c r="AI1004" s="125"/>
      <c r="AJ1004" s="2063" t="s">
        <v>624</v>
      </c>
      <c r="AK1004" s="2064"/>
      <c r="AL1004" s="2064"/>
      <c r="AM1004" s="2064"/>
      <c r="AN1004" s="2064"/>
      <c r="AO1004" s="2064"/>
      <c r="AP1004" s="2064"/>
      <c r="AQ1004" s="2065"/>
      <c r="AR1004" s="1488"/>
      <c r="AS1004" s="1488"/>
      <c r="AT1004" s="1488"/>
      <c r="AU1004" s="1488"/>
      <c r="AV1004" s="1488"/>
      <c r="AW1004" s="1488"/>
      <c r="AX1004" s="1488"/>
      <c r="AY1004" s="1488"/>
      <c r="BA1004" s="320">
        <f>IF(A1078="Yes",0.02,0)</f>
        <v>0</v>
      </c>
    </row>
    <row r="1005" spans="1:96" ht="12.75" customHeight="1">
      <c r="A1005" s="51"/>
      <c r="B1005" s="110"/>
      <c r="C1005" s="111"/>
      <c r="D1005" s="2039" t="s">
        <v>2097</v>
      </c>
      <c r="E1005" s="2040"/>
      <c r="F1005" s="2040"/>
      <c r="G1005" s="2040"/>
      <c r="H1005" s="2040"/>
      <c r="I1005" s="2040"/>
      <c r="J1005" s="2040"/>
      <c r="K1005" s="2040"/>
      <c r="L1005" s="2040"/>
      <c r="M1005" s="2040"/>
      <c r="N1005" s="2040"/>
      <c r="O1005" s="2040"/>
      <c r="P1005" s="2040"/>
      <c r="Q1005" s="2040"/>
      <c r="R1005" s="2040"/>
      <c r="S1005" s="2040"/>
      <c r="T1005" s="2040"/>
      <c r="U1005" s="2040"/>
      <c r="V1005" s="2040"/>
      <c r="W1005" s="2040"/>
      <c r="X1005" s="2040"/>
      <c r="Y1005" s="2040"/>
      <c r="Z1005" s="2040"/>
      <c r="AA1005" s="2040"/>
      <c r="AB1005" s="2040"/>
      <c r="AC1005" s="2040"/>
      <c r="AD1005" s="2040"/>
      <c r="AE1005" s="2041"/>
      <c r="AF1005" s="2096">
        <f>IF(AG1004="yes","Please Enter Amount:",0)</f>
        <v>0</v>
      </c>
      <c r="AG1005" s="2097"/>
      <c r="AH1005" s="2097"/>
      <c r="AI1005" s="2098"/>
      <c r="AJ1005" s="2066"/>
      <c r="AK1005" s="2067"/>
      <c r="AL1005" s="2067"/>
      <c r="AM1005" s="2067"/>
      <c r="AN1005" s="2067"/>
      <c r="AO1005" s="2067"/>
      <c r="AP1005" s="2067"/>
      <c r="AQ1005" s="2068"/>
      <c r="AR1005" s="1488"/>
      <c r="AS1005" s="1488"/>
      <c r="AT1005" s="1488"/>
      <c r="AU1005" s="1488"/>
      <c r="AV1005" s="1488"/>
      <c r="AW1005" s="1488"/>
      <c r="AX1005" s="1488"/>
      <c r="AY1005" s="1488"/>
      <c r="BA1005" s="321">
        <f>IF(A1082="Yes",0.02,0)</f>
        <v>0</v>
      </c>
    </row>
    <row r="1006" spans="1:96" ht="12.75" customHeight="1">
      <c r="A1006" s="51"/>
      <c r="B1006" s="110"/>
      <c r="C1006" s="111"/>
      <c r="D1006" s="2039"/>
      <c r="E1006" s="2040"/>
      <c r="F1006" s="2040"/>
      <c r="G1006" s="2040"/>
      <c r="H1006" s="2040"/>
      <c r="I1006" s="2040"/>
      <c r="J1006" s="2040"/>
      <c r="K1006" s="2040"/>
      <c r="L1006" s="2040"/>
      <c r="M1006" s="2040"/>
      <c r="N1006" s="2040"/>
      <c r="O1006" s="2040"/>
      <c r="P1006" s="2040"/>
      <c r="Q1006" s="2040"/>
      <c r="R1006" s="2040"/>
      <c r="S1006" s="2040"/>
      <c r="T1006" s="2040"/>
      <c r="U1006" s="2040"/>
      <c r="V1006" s="2040"/>
      <c r="W1006" s="2040"/>
      <c r="X1006" s="2040"/>
      <c r="Y1006" s="2040"/>
      <c r="Z1006" s="2040"/>
      <c r="AA1006" s="2040"/>
      <c r="AB1006" s="2040"/>
      <c r="AC1006" s="2040"/>
      <c r="AD1006" s="2040"/>
      <c r="AE1006" s="2041"/>
      <c r="AF1006" s="2096"/>
      <c r="AG1006" s="2097"/>
      <c r="AH1006" s="2097"/>
      <c r="AI1006" s="2098"/>
      <c r="AJ1006" s="2066"/>
      <c r="AK1006" s="2067"/>
      <c r="AL1006" s="2067"/>
      <c r="AM1006" s="2067"/>
      <c r="AN1006" s="2067"/>
      <c r="AO1006" s="2067"/>
      <c r="AP1006" s="2067"/>
      <c r="AQ1006" s="2068"/>
      <c r="AR1006" s="1488"/>
      <c r="AS1006" s="1488"/>
      <c r="AT1006" s="1488"/>
      <c r="AU1006" s="1488"/>
      <c r="AV1006" s="1488"/>
      <c r="AW1006" s="1488"/>
      <c r="AX1006" s="1488"/>
      <c r="AY1006" s="1488"/>
    </row>
    <row r="1007" spans="1:96" ht="12.75" customHeight="1">
      <c r="A1007" s="51"/>
      <c r="B1007" s="123"/>
      <c r="C1007" s="122"/>
      <c r="D1007" s="2042"/>
      <c r="E1007" s="2043"/>
      <c r="F1007" s="2043"/>
      <c r="G1007" s="2043"/>
      <c r="H1007" s="2043"/>
      <c r="I1007" s="2043"/>
      <c r="J1007" s="2043"/>
      <c r="K1007" s="2043"/>
      <c r="L1007" s="2043"/>
      <c r="M1007" s="2043"/>
      <c r="N1007" s="2043"/>
      <c r="O1007" s="2043"/>
      <c r="P1007" s="2043"/>
      <c r="Q1007" s="2043"/>
      <c r="R1007" s="2043"/>
      <c r="S1007" s="2043"/>
      <c r="T1007" s="2043"/>
      <c r="U1007" s="2043"/>
      <c r="V1007" s="2043"/>
      <c r="W1007" s="2043"/>
      <c r="X1007" s="2043"/>
      <c r="Y1007" s="2043"/>
      <c r="Z1007" s="2043"/>
      <c r="AA1007" s="2043"/>
      <c r="AB1007" s="2043"/>
      <c r="AC1007" s="2043"/>
      <c r="AD1007" s="2043"/>
      <c r="AE1007" s="2044"/>
      <c r="AF1007" s="2099"/>
      <c r="AG1007" s="2100"/>
      <c r="AH1007" s="2100"/>
      <c r="AI1007" s="2101"/>
      <c r="AJ1007" s="2069"/>
      <c r="AK1007" s="2070"/>
      <c r="AL1007" s="2070"/>
      <c r="AM1007" s="2070"/>
      <c r="AN1007" s="2070"/>
      <c r="AO1007" s="2070"/>
      <c r="AP1007" s="2070"/>
      <c r="AQ1007" s="2071"/>
      <c r="AR1007" s="1488"/>
      <c r="AS1007" s="1488"/>
      <c r="AT1007" s="1488"/>
      <c r="AU1007" s="1488"/>
      <c r="AV1007" s="1488"/>
      <c r="AW1007" s="1488"/>
      <c r="AX1007" s="1488"/>
      <c r="AY1007" s="1488"/>
    </row>
    <row r="1008" spans="1:96" s="717" customFormat="1" ht="12.75" customHeight="1">
      <c r="A1008" s="51"/>
      <c r="B1008" s="117"/>
      <c r="C1008" s="118" t="s">
        <v>239</v>
      </c>
      <c r="D1008" s="2036" t="s">
        <v>1533</v>
      </c>
      <c r="E1008" s="2037"/>
      <c r="F1008" s="2037"/>
      <c r="G1008" s="2037"/>
      <c r="H1008" s="2037"/>
      <c r="I1008" s="2037"/>
      <c r="J1008" s="2037"/>
      <c r="K1008" s="2037"/>
      <c r="L1008" s="2037"/>
      <c r="M1008" s="2037"/>
      <c r="N1008" s="2037"/>
      <c r="O1008" s="2037"/>
      <c r="P1008" s="2037"/>
      <c r="Q1008" s="2037"/>
      <c r="R1008" s="2037"/>
      <c r="S1008" s="2037"/>
      <c r="T1008" s="2037"/>
      <c r="U1008" s="2037"/>
      <c r="V1008" s="2037"/>
      <c r="W1008" s="2037"/>
      <c r="X1008" s="2037"/>
      <c r="Y1008" s="2037"/>
      <c r="Z1008" s="2037"/>
      <c r="AA1008" s="2037"/>
      <c r="AB1008" s="2037"/>
      <c r="AC1008" s="2037"/>
      <c r="AD1008" s="2037"/>
      <c r="AE1008" s="2038"/>
      <c r="AF1008" s="117"/>
      <c r="AG1008" s="2034" t="s">
        <v>576</v>
      </c>
      <c r="AH1008" s="2035"/>
      <c r="AI1008" s="125"/>
      <c r="AJ1008" s="2054">
        <f>ROUND(IF(AG1008="yes",(AJ975*0.1),0),0)</f>
        <v>6610160</v>
      </c>
      <c r="AK1008" s="2055"/>
      <c r="AL1008" s="2055"/>
      <c r="AM1008" s="2055"/>
      <c r="AN1008" s="2055"/>
      <c r="AO1008" s="2055"/>
      <c r="AP1008" s="2055"/>
      <c r="AQ1008" s="2056"/>
      <c r="AR1008" s="1488"/>
      <c r="AS1008" s="1488"/>
      <c r="AT1008" s="1488"/>
      <c r="AU1008" s="1488"/>
      <c r="AV1008" s="1488"/>
      <c r="AW1008" s="1488"/>
      <c r="AX1008" s="1488"/>
      <c r="AY1008" s="1488"/>
      <c r="CR1008" s="25"/>
    </row>
    <row r="1009" spans="1:96" ht="12.75" customHeight="1">
      <c r="A1009" s="51"/>
      <c r="B1009" s="110"/>
      <c r="C1009" s="111"/>
      <c r="D1009" s="2039" t="s">
        <v>1534</v>
      </c>
      <c r="E1009" s="2040"/>
      <c r="F1009" s="2040"/>
      <c r="G1009" s="2040"/>
      <c r="H1009" s="2040"/>
      <c r="I1009" s="2040"/>
      <c r="J1009" s="2040"/>
      <c r="K1009" s="2040"/>
      <c r="L1009" s="2040"/>
      <c r="M1009" s="2040"/>
      <c r="N1009" s="2040"/>
      <c r="O1009" s="2040"/>
      <c r="P1009" s="2040"/>
      <c r="Q1009" s="2040"/>
      <c r="R1009" s="2040"/>
      <c r="S1009" s="2040"/>
      <c r="T1009" s="2040"/>
      <c r="U1009" s="2040"/>
      <c r="V1009" s="2040"/>
      <c r="W1009" s="2040"/>
      <c r="X1009" s="2040"/>
      <c r="Y1009" s="2040"/>
      <c r="Z1009" s="2040"/>
      <c r="AA1009" s="2040"/>
      <c r="AB1009" s="2040"/>
      <c r="AC1009" s="2040"/>
      <c r="AD1009" s="2040"/>
      <c r="AE1009" s="2041"/>
      <c r="AF1009" s="110"/>
      <c r="AG1009" s="112"/>
      <c r="AH1009" s="112"/>
      <c r="AI1009" s="121"/>
      <c r="AJ1009" s="2057"/>
      <c r="AK1009" s="2058"/>
      <c r="AL1009" s="2058"/>
      <c r="AM1009" s="2058"/>
      <c r="AN1009" s="2058"/>
      <c r="AO1009" s="2058"/>
      <c r="AP1009" s="2058"/>
      <c r="AQ1009" s="2059"/>
      <c r="AR1009" s="1488"/>
      <c r="AS1009" s="1488"/>
      <c r="AT1009" s="1488"/>
      <c r="AU1009" s="1488"/>
      <c r="AV1009" s="1488"/>
      <c r="AW1009" s="1488"/>
      <c r="AX1009" s="1488"/>
      <c r="AY1009" s="1488"/>
    </row>
    <row r="1010" spans="1:96" ht="12.75" customHeight="1">
      <c r="A1010" s="51"/>
      <c r="B1010" s="115"/>
      <c r="C1010" s="111"/>
      <c r="D1010" s="2042"/>
      <c r="E1010" s="2043"/>
      <c r="F1010" s="2043"/>
      <c r="G1010" s="2043"/>
      <c r="H1010" s="2043"/>
      <c r="I1010" s="2043"/>
      <c r="J1010" s="2043"/>
      <c r="K1010" s="2043"/>
      <c r="L1010" s="2043"/>
      <c r="M1010" s="2043"/>
      <c r="N1010" s="2043"/>
      <c r="O1010" s="2043"/>
      <c r="P1010" s="2043"/>
      <c r="Q1010" s="2043"/>
      <c r="R1010" s="2043"/>
      <c r="S1010" s="2043"/>
      <c r="T1010" s="2043"/>
      <c r="U1010" s="2043"/>
      <c r="V1010" s="2043"/>
      <c r="W1010" s="2043"/>
      <c r="X1010" s="2043"/>
      <c r="Y1010" s="2043"/>
      <c r="Z1010" s="2043"/>
      <c r="AA1010" s="2043"/>
      <c r="AB1010" s="2043"/>
      <c r="AC1010" s="2043"/>
      <c r="AD1010" s="2043"/>
      <c r="AE1010" s="2044"/>
      <c r="AF1010" s="110"/>
      <c r="AG1010" s="112"/>
      <c r="AH1010" s="112"/>
      <c r="AI1010" s="121"/>
      <c r="AJ1010" s="2060"/>
      <c r="AK1010" s="2061"/>
      <c r="AL1010" s="2061"/>
      <c r="AM1010" s="2061"/>
      <c r="AN1010" s="2061"/>
      <c r="AO1010" s="2061"/>
      <c r="AP1010" s="2061"/>
      <c r="AQ1010" s="2062"/>
      <c r="AR1010" s="1488"/>
      <c r="AS1010" s="1488"/>
      <c r="AT1010" s="1488"/>
      <c r="AU1010" s="1488"/>
      <c r="AV1010" s="1488"/>
      <c r="AW1010" s="1488"/>
      <c r="AX1010" s="1488"/>
      <c r="AY1010" s="1488"/>
    </row>
    <row r="1011" spans="1:96" s="717" customFormat="1" ht="12.75" customHeight="1">
      <c r="A1011" s="51"/>
      <c r="B1011" s="110"/>
      <c r="C1011" s="529" t="s">
        <v>723</v>
      </c>
      <c r="D1011" s="2084" t="s">
        <v>2093</v>
      </c>
      <c r="E1011" s="2085"/>
      <c r="F1011" s="2085"/>
      <c r="G1011" s="2085"/>
      <c r="H1011" s="2085"/>
      <c r="I1011" s="2085"/>
      <c r="J1011" s="2085"/>
      <c r="K1011" s="2085"/>
      <c r="L1011" s="2085"/>
      <c r="M1011" s="2085"/>
      <c r="N1011" s="2085"/>
      <c r="O1011" s="2085"/>
      <c r="P1011" s="2085"/>
      <c r="Q1011" s="2085"/>
      <c r="R1011" s="2085"/>
      <c r="S1011" s="2085"/>
      <c r="T1011" s="2085"/>
      <c r="U1011" s="2085"/>
      <c r="V1011" s="2085"/>
      <c r="W1011" s="2085"/>
      <c r="X1011" s="2085"/>
      <c r="Y1011" s="2085"/>
      <c r="Z1011" s="2085"/>
      <c r="AA1011" s="2085"/>
      <c r="AB1011" s="2085"/>
      <c r="AC1011" s="2085"/>
      <c r="AD1011" s="2085"/>
      <c r="AE1011" s="2086"/>
      <c r="AF1011" s="117"/>
      <c r="AG1011" s="2034" t="s">
        <v>576</v>
      </c>
      <c r="AH1011" s="2035"/>
      <c r="AI1011" s="125"/>
      <c r="AJ1011" s="2054">
        <f>ROUND(IF(AG1011="yes",(AJ975*0.15),0),0)</f>
        <v>9915240</v>
      </c>
      <c r="AK1011" s="2055"/>
      <c r="AL1011" s="2055"/>
      <c r="AM1011" s="2055"/>
      <c r="AN1011" s="2055"/>
      <c r="AO1011" s="2055"/>
      <c r="AP1011" s="2055"/>
      <c r="AQ1011" s="2056"/>
      <c r="AR1011" s="1488"/>
      <c r="AS1011" s="1488"/>
      <c r="AT1011" s="1488"/>
      <c r="AU1011" s="1488"/>
      <c r="AV1011" s="1488"/>
      <c r="AW1011" s="1488"/>
      <c r="AX1011" s="1488"/>
      <c r="AY1011" s="1488"/>
      <c r="CR1011" s="25"/>
    </row>
    <row r="1012" spans="1:96" s="717" customFormat="1" ht="12.75" customHeight="1">
      <c r="A1012" s="51"/>
      <c r="B1012" s="110"/>
      <c r="C1012" s="111"/>
      <c r="D1012" s="2178" t="s">
        <v>2094</v>
      </c>
      <c r="E1012" s="2179"/>
      <c r="F1012" s="2179"/>
      <c r="G1012" s="2179"/>
      <c r="H1012" s="2179"/>
      <c r="I1012" s="2179"/>
      <c r="J1012" s="2179"/>
      <c r="K1012" s="2179"/>
      <c r="L1012" s="2179"/>
      <c r="M1012" s="2179"/>
      <c r="N1012" s="2179"/>
      <c r="O1012" s="2179"/>
      <c r="P1012" s="2179"/>
      <c r="Q1012" s="2179"/>
      <c r="R1012" s="2179"/>
      <c r="S1012" s="2179"/>
      <c r="T1012" s="2179"/>
      <c r="U1012" s="2179"/>
      <c r="V1012" s="2179"/>
      <c r="W1012" s="2179"/>
      <c r="X1012" s="2179"/>
      <c r="Y1012" s="2179"/>
      <c r="Z1012" s="2179"/>
      <c r="AA1012" s="2179"/>
      <c r="AB1012" s="2179"/>
      <c r="AC1012" s="2179"/>
      <c r="AD1012" s="2179"/>
      <c r="AE1012" s="2180"/>
      <c r="AF1012" s="1518"/>
      <c r="AG1012" s="1519"/>
      <c r="AH1012" s="1519"/>
      <c r="AI1012" s="1520"/>
      <c r="AJ1012" s="2057"/>
      <c r="AK1012" s="2058"/>
      <c r="AL1012" s="2058"/>
      <c r="AM1012" s="2058"/>
      <c r="AN1012" s="2058"/>
      <c r="AO1012" s="2058"/>
      <c r="AP1012" s="2058"/>
      <c r="AQ1012" s="2059"/>
      <c r="AR1012" s="1488"/>
      <c r="AS1012" s="1488"/>
      <c r="AT1012" s="1488"/>
      <c r="AU1012" s="1488"/>
      <c r="AV1012" s="1488"/>
      <c r="AW1012" s="1488"/>
      <c r="AX1012" s="1488"/>
      <c r="AY1012" s="1488"/>
      <c r="CR1012" s="25"/>
    </row>
    <row r="1013" spans="1:96" s="717" customFormat="1" ht="12.75" customHeight="1">
      <c r="A1013" s="51"/>
      <c r="B1013" s="110"/>
      <c r="C1013" s="111"/>
      <c r="D1013" s="2178"/>
      <c r="E1013" s="2179"/>
      <c r="F1013" s="2179"/>
      <c r="G1013" s="2179"/>
      <c r="H1013" s="2179"/>
      <c r="I1013" s="2179"/>
      <c r="J1013" s="2179"/>
      <c r="K1013" s="2179"/>
      <c r="L1013" s="2179"/>
      <c r="M1013" s="2179"/>
      <c r="N1013" s="2179"/>
      <c r="O1013" s="2179"/>
      <c r="P1013" s="2179"/>
      <c r="Q1013" s="2179"/>
      <c r="R1013" s="2179"/>
      <c r="S1013" s="2179"/>
      <c r="T1013" s="2179"/>
      <c r="U1013" s="2179"/>
      <c r="V1013" s="2179"/>
      <c r="W1013" s="2179"/>
      <c r="X1013" s="2179"/>
      <c r="Y1013" s="2179"/>
      <c r="Z1013" s="2179"/>
      <c r="AA1013" s="2179"/>
      <c r="AB1013" s="2179"/>
      <c r="AC1013" s="2179"/>
      <c r="AD1013" s="2179"/>
      <c r="AE1013" s="2180"/>
      <c r="AF1013" s="1518"/>
      <c r="AG1013" s="1519"/>
      <c r="AH1013" s="1519"/>
      <c r="AI1013" s="1520"/>
      <c r="AJ1013" s="2057"/>
      <c r="AK1013" s="2058"/>
      <c r="AL1013" s="2058"/>
      <c r="AM1013" s="2058"/>
      <c r="AN1013" s="2058"/>
      <c r="AO1013" s="2058"/>
      <c r="AP1013" s="2058"/>
      <c r="AQ1013" s="2059"/>
      <c r="AR1013" s="1488"/>
      <c r="AS1013" s="1488"/>
      <c r="AT1013" s="1488"/>
      <c r="AU1013" s="1488"/>
      <c r="AV1013" s="1488"/>
      <c r="AW1013" s="1488"/>
      <c r="AX1013" s="1488"/>
      <c r="AY1013" s="1488"/>
      <c r="CR1013" s="25"/>
    </row>
    <row r="1014" spans="1:96" s="717" customFormat="1" ht="12.75" customHeight="1">
      <c r="A1014" s="51"/>
      <c r="B1014" s="110"/>
      <c r="C1014" s="111"/>
      <c r="D1014" s="2181"/>
      <c r="E1014" s="2182"/>
      <c r="F1014" s="2182"/>
      <c r="G1014" s="2182"/>
      <c r="H1014" s="2182"/>
      <c r="I1014" s="2182"/>
      <c r="J1014" s="2182"/>
      <c r="K1014" s="2182"/>
      <c r="L1014" s="2182"/>
      <c r="M1014" s="2182"/>
      <c r="N1014" s="2182"/>
      <c r="O1014" s="2182"/>
      <c r="P1014" s="2182"/>
      <c r="Q1014" s="2182"/>
      <c r="R1014" s="2182"/>
      <c r="S1014" s="2182"/>
      <c r="T1014" s="2182"/>
      <c r="U1014" s="2182"/>
      <c r="V1014" s="2182"/>
      <c r="W1014" s="2182"/>
      <c r="X1014" s="2182"/>
      <c r="Y1014" s="2182"/>
      <c r="Z1014" s="2182"/>
      <c r="AA1014" s="2182"/>
      <c r="AB1014" s="2182"/>
      <c r="AC1014" s="2182"/>
      <c r="AD1014" s="2182"/>
      <c r="AE1014" s="2183"/>
      <c r="AF1014" s="1521"/>
      <c r="AG1014" s="1522"/>
      <c r="AH1014" s="1522"/>
      <c r="AI1014" s="1523"/>
      <c r="AJ1014" s="2060"/>
      <c r="AK1014" s="2061"/>
      <c r="AL1014" s="2061"/>
      <c r="AM1014" s="2061"/>
      <c r="AN1014" s="2061"/>
      <c r="AO1014" s="2061"/>
      <c r="AP1014" s="2061"/>
      <c r="AQ1014" s="2062"/>
      <c r="AR1014" s="1488"/>
      <c r="AS1014" s="1488"/>
      <c r="AT1014" s="1488"/>
      <c r="AU1014" s="1488"/>
      <c r="AV1014" s="1488"/>
      <c r="AW1014" s="1488"/>
      <c r="AX1014" s="1488"/>
      <c r="AY1014" s="1488"/>
      <c r="CR1014" s="25"/>
    </row>
    <row r="1015" spans="1:96" s="717" customFormat="1" ht="12.75" customHeight="1">
      <c r="A1015" s="51"/>
      <c r="B1015" s="110"/>
      <c r="C1015" s="529" t="s">
        <v>723</v>
      </c>
      <c r="D1015" s="2036" t="s">
        <v>2095</v>
      </c>
      <c r="E1015" s="2037"/>
      <c r="F1015" s="2037"/>
      <c r="G1015" s="2037"/>
      <c r="H1015" s="2037"/>
      <c r="I1015" s="2037"/>
      <c r="J1015" s="2037"/>
      <c r="K1015" s="2037"/>
      <c r="L1015" s="2037"/>
      <c r="M1015" s="2037"/>
      <c r="N1015" s="2037"/>
      <c r="O1015" s="2037"/>
      <c r="P1015" s="2037"/>
      <c r="Q1015" s="2037"/>
      <c r="R1015" s="2037"/>
      <c r="S1015" s="2037"/>
      <c r="T1015" s="2037"/>
      <c r="U1015" s="2037"/>
      <c r="V1015" s="2037"/>
      <c r="W1015" s="2037"/>
      <c r="X1015" s="2037"/>
      <c r="Y1015" s="2037"/>
      <c r="Z1015" s="2037"/>
      <c r="AA1015" s="2037"/>
      <c r="AB1015" s="2037"/>
      <c r="AC1015" s="2037"/>
      <c r="AD1015" s="2037"/>
      <c r="AE1015" s="2038"/>
      <c r="AF1015" s="110"/>
      <c r="AG1015" s="2164" t="s">
        <v>704</v>
      </c>
      <c r="AH1015" s="2165"/>
      <c r="AI1015" s="121"/>
      <c r="AJ1015" s="2054">
        <f>ROUND(IF(AG1015="yes",(AJ975*0.1),0),0)</f>
        <v>0</v>
      </c>
      <c r="AK1015" s="2055"/>
      <c r="AL1015" s="2055"/>
      <c r="AM1015" s="2055"/>
      <c r="AN1015" s="2055"/>
      <c r="AO1015" s="2055"/>
      <c r="AP1015" s="2055"/>
      <c r="AQ1015" s="2056"/>
      <c r="AR1015" s="1488"/>
      <c r="AS1015" s="1488"/>
      <c r="AT1015" s="1488"/>
      <c r="AU1015" s="1488"/>
      <c r="AV1015" s="1488"/>
      <c r="AW1015" s="1488"/>
      <c r="AX1015" s="1488"/>
      <c r="AY1015" s="1488"/>
      <c r="CR1015" s="25"/>
    </row>
    <row r="1016" spans="1:96" s="717" customFormat="1" ht="12.75" customHeight="1">
      <c r="A1016" s="51"/>
      <c r="B1016" s="110"/>
      <c r="C1016" s="111"/>
      <c r="D1016" s="2178" t="s">
        <v>2096</v>
      </c>
      <c r="E1016" s="2179"/>
      <c r="F1016" s="2179"/>
      <c r="G1016" s="2179"/>
      <c r="H1016" s="2179"/>
      <c r="I1016" s="2179"/>
      <c r="J1016" s="2179"/>
      <c r="K1016" s="2179"/>
      <c r="L1016" s="2179"/>
      <c r="M1016" s="2179"/>
      <c r="N1016" s="2179"/>
      <c r="O1016" s="2179"/>
      <c r="P1016" s="2179"/>
      <c r="Q1016" s="2179"/>
      <c r="R1016" s="2179"/>
      <c r="S1016" s="2179"/>
      <c r="T1016" s="2179"/>
      <c r="U1016" s="2179"/>
      <c r="V1016" s="2179"/>
      <c r="W1016" s="2179"/>
      <c r="X1016" s="2179"/>
      <c r="Y1016" s="2179"/>
      <c r="Z1016" s="2179"/>
      <c r="AA1016" s="2179"/>
      <c r="AB1016" s="2179"/>
      <c r="AC1016" s="2179"/>
      <c r="AD1016" s="2179"/>
      <c r="AE1016" s="2180"/>
      <c r="AF1016" s="110"/>
      <c r="AG1016" s="112"/>
      <c r="AH1016" s="112"/>
      <c r="AI1016" s="121"/>
      <c r="AJ1016" s="2057"/>
      <c r="AK1016" s="2058"/>
      <c r="AL1016" s="2058"/>
      <c r="AM1016" s="2058"/>
      <c r="AN1016" s="2058"/>
      <c r="AO1016" s="2058"/>
      <c r="AP1016" s="2058"/>
      <c r="AQ1016" s="2059"/>
      <c r="AR1016" s="1488"/>
      <c r="AS1016" s="1488"/>
      <c r="AT1016" s="1488"/>
      <c r="AU1016" s="1488"/>
      <c r="AV1016" s="1488"/>
      <c r="AW1016" s="1488"/>
      <c r="AX1016" s="1488"/>
      <c r="AY1016" s="1488"/>
      <c r="CR1016" s="25"/>
    </row>
    <row r="1017" spans="1:96" s="717" customFormat="1" ht="12.75" customHeight="1">
      <c r="A1017" s="51"/>
      <c r="B1017" s="110"/>
      <c r="C1017" s="111"/>
      <c r="D1017" s="2178"/>
      <c r="E1017" s="2179"/>
      <c r="F1017" s="2179"/>
      <c r="G1017" s="2179"/>
      <c r="H1017" s="2179"/>
      <c r="I1017" s="2179"/>
      <c r="J1017" s="2179"/>
      <c r="K1017" s="2179"/>
      <c r="L1017" s="2179"/>
      <c r="M1017" s="2179"/>
      <c r="N1017" s="2179"/>
      <c r="O1017" s="2179"/>
      <c r="P1017" s="2179"/>
      <c r="Q1017" s="2179"/>
      <c r="R1017" s="2179"/>
      <c r="S1017" s="2179"/>
      <c r="T1017" s="2179"/>
      <c r="U1017" s="2179"/>
      <c r="V1017" s="2179"/>
      <c r="W1017" s="2179"/>
      <c r="X1017" s="2179"/>
      <c r="Y1017" s="2179"/>
      <c r="Z1017" s="2179"/>
      <c r="AA1017" s="2179"/>
      <c r="AB1017" s="2179"/>
      <c r="AC1017" s="2179"/>
      <c r="AD1017" s="2179"/>
      <c r="AE1017" s="2180"/>
      <c r="AF1017" s="110"/>
      <c r="AG1017" s="112"/>
      <c r="AH1017" s="112"/>
      <c r="AI1017" s="121"/>
      <c r="AJ1017" s="2057"/>
      <c r="AK1017" s="2058"/>
      <c r="AL1017" s="2058"/>
      <c r="AM1017" s="2058"/>
      <c r="AN1017" s="2058"/>
      <c r="AO1017" s="2058"/>
      <c r="AP1017" s="2058"/>
      <c r="AQ1017" s="2059"/>
      <c r="AR1017" s="1488"/>
      <c r="AS1017" s="1488"/>
      <c r="AT1017" s="1488"/>
      <c r="AU1017" s="1488"/>
      <c r="AV1017" s="1488"/>
      <c r="AW1017" s="1488"/>
      <c r="AX1017" s="1488"/>
      <c r="AY1017" s="1488"/>
      <c r="CR1017" s="25"/>
    </row>
    <row r="1018" spans="1:96" s="717" customFormat="1" ht="12.75" customHeight="1">
      <c r="A1018" s="51"/>
      <c r="B1018" s="110"/>
      <c r="C1018" s="111"/>
      <c r="D1018" s="2178"/>
      <c r="E1018" s="2179"/>
      <c r="F1018" s="2179"/>
      <c r="G1018" s="2179"/>
      <c r="H1018" s="2179"/>
      <c r="I1018" s="2179"/>
      <c r="J1018" s="2179"/>
      <c r="K1018" s="2179"/>
      <c r="L1018" s="2179"/>
      <c r="M1018" s="2179"/>
      <c r="N1018" s="2179"/>
      <c r="O1018" s="2179"/>
      <c r="P1018" s="2179"/>
      <c r="Q1018" s="2179"/>
      <c r="R1018" s="2179"/>
      <c r="S1018" s="2179"/>
      <c r="T1018" s="2179"/>
      <c r="U1018" s="2179"/>
      <c r="V1018" s="2179"/>
      <c r="W1018" s="2179"/>
      <c r="X1018" s="2179"/>
      <c r="Y1018" s="2179"/>
      <c r="Z1018" s="2179"/>
      <c r="AA1018" s="2179"/>
      <c r="AB1018" s="2179"/>
      <c r="AC1018" s="2179"/>
      <c r="AD1018" s="2179"/>
      <c r="AE1018" s="2180"/>
      <c r="AF1018" s="110"/>
      <c r="AG1018" s="112"/>
      <c r="AH1018" s="112"/>
      <c r="AI1018" s="121"/>
      <c r="AJ1018" s="2057"/>
      <c r="AK1018" s="2058"/>
      <c r="AL1018" s="2058"/>
      <c r="AM1018" s="2058"/>
      <c r="AN1018" s="2058"/>
      <c r="AO1018" s="2058"/>
      <c r="AP1018" s="2058"/>
      <c r="AQ1018" s="2059"/>
      <c r="AR1018" s="1488"/>
      <c r="AS1018" s="1488"/>
      <c r="AT1018" s="1488"/>
      <c r="AU1018" s="1488"/>
      <c r="AV1018" s="1488"/>
      <c r="AW1018" s="1488"/>
      <c r="AX1018" s="1488"/>
      <c r="AY1018" s="1488"/>
      <c r="CR1018" s="25"/>
    </row>
    <row r="1019" spans="1:96" s="717" customFormat="1" ht="12.75" customHeight="1">
      <c r="A1019" s="51"/>
      <c r="B1019" s="110"/>
      <c r="C1019" s="111"/>
      <c r="D1019" s="2181"/>
      <c r="E1019" s="2182"/>
      <c r="F1019" s="2182"/>
      <c r="G1019" s="2182"/>
      <c r="H1019" s="2182"/>
      <c r="I1019" s="2182"/>
      <c r="J1019" s="2182"/>
      <c r="K1019" s="2182"/>
      <c r="L1019" s="2182"/>
      <c r="M1019" s="2182"/>
      <c r="N1019" s="2182"/>
      <c r="O1019" s="2182"/>
      <c r="P1019" s="2182"/>
      <c r="Q1019" s="2182"/>
      <c r="R1019" s="2182"/>
      <c r="S1019" s="2182"/>
      <c r="T1019" s="2182"/>
      <c r="U1019" s="2182"/>
      <c r="V1019" s="2182"/>
      <c r="W1019" s="2182"/>
      <c r="X1019" s="2182"/>
      <c r="Y1019" s="2182"/>
      <c r="Z1019" s="2182"/>
      <c r="AA1019" s="2182"/>
      <c r="AB1019" s="2182"/>
      <c r="AC1019" s="2182"/>
      <c r="AD1019" s="2182"/>
      <c r="AE1019" s="2183"/>
      <c r="AF1019" s="110"/>
      <c r="AG1019" s="112"/>
      <c r="AH1019" s="112"/>
      <c r="AI1019" s="121"/>
      <c r="AJ1019" s="2057"/>
      <c r="AK1019" s="2058"/>
      <c r="AL1019" s="2058"/>
      <c r="AM1019" s="2058"/>
      <c r="AN1019" s="2058"/>
      <c r="AO1019" s="2058"/>
      <c r="AP1019" s="2058"/>
      <c r="AQ1019" s="2059"/>
      <c r="AR1019" s="1488"/>
      <c r="AS1019" s="1488"/>
      <c r="AT1019" s="1488"/>
      <c r="AU1019" s="1488"/>
      <c r="AV1019" s="1488"/>
      <c r="AW1019" s="1488"/>
      <c r="AX1019" s="1488"/>
      <c r="AY1019" s="1488"/>
      <c r="CR1019" s="25"/>
    </row>
    <row r="1020" spans="1:96" s="717" customFormat="1" ht="12.75" customHeight="1">
      <c r="A1020" s="51"/>
      <c r="B1020" s="117"/>
      <c r="C1020" s="198" t="s">
        <v>1110</v>
      </c>
      <c r="D1020" s="2084" t="s">
        <v>1535</v>
      </c>
      <c r="E1020" s="2085"/>
      <c r="F1020" s="2085"/>
      <c r="G1020" s="2085"/>
      <c r="H1020" s="2085"/>
      <c r="I1020" s="2085"/>
      <c r="J1020" s="2085"/>
      <c r="K1020" s="2085"/>
      <c r="L1020" s="2085"/>
      <c r="M1020" s="2085"/>
      <c r="N1020" s="2085"/>
      <c r="O1020" s="2085"/>
      <c r="P1020" s="2085"/>
      <c r="Q1020" s="2085"/>
      <c r="R1020" s="2085"/>
      <c r="S1020" s="2085"/>
      <c r="T1020" s="2085"/>
      <c r="U1020" s="2085"/>
      <c r="V1020" s="2085"/>
      <c r="W1020" s="2085"/>
      <c r="X1020" s="2085"/>
      <c r="Y1020" s="2085"/>
      <c r="Z1020" s="2085"/>
      <c r="AA1020" s="2085"/>
      <c r="AB1020" s="2085"/>
      <c r="AC1020" s="2085"/>
      <c r="AD1020" s="2085"/>
      <c r="AE1020" s="2086"/>
      <c r="AF1020" s="117"/>
      <c r="AG1020" s="2034" t="s">
        <v>704</v>
      </c>
      <c r="AH1020" s="2035"/>
      <c r="AI1020" s="125"/>
      <c r="AJ1020" s="2054">
        <f>ROUND(IF(AG1020="yes",(AJ975*0.1),0),0)</f>
        <v>0</v>
      </c>
      <c r="AK1020" s="2055"/>
      <c r="AL1020" s="2055"/>
      <c r="AM1020" s="2055"/>
      <c r="AN1020" s="2055"/>
      <c r="AO1020" s="2055"/>
      <c r="AP1020" s="2055"/>
      <c r="AQ1020" s="2056"/>
      <c r="AR1020" s="1488"/>
      <c r="AS1020" s="1488"/>
      <c r="AT1020" s="1488"/>
      <c r="AU1020" s="1488"/>
      <c r="AV1020" s="1488"/>
      <c r="AW1020" s="1488"/>
      <c r="AX1020" s="1488"/>
      <c r="AY1020" s="1488"/>
      <c r="CR1020" s="25"/>
    </row>
    <row r="1021" spans="1:96" ht="12.75" customHeight="1">
      <c r="A1021" s="51"/>
      <c r="B1021" s="110"/>
      <c r="C1021" s="111"/>
      <c r="D1021" s="2039" t="s">
        <v>1536</v>
      </c>
      <c r="E1021" s="2040"/>
      <c r="F1021" s="2040"/>
      <c r="G1021" s="2040"/>
      <c r="H1021" s="2040"/>
      <c r="I1021" s="2040"/>
      <c r="J1021" s="2040"/>
      <c r="K1021" s="2040"/>
      <c r="L1021" s="2040"/>
      <c r="M1021" s="2040"/>
      <c r="N1021" s="2040"/>
      <c r="O1021" s="2040"/>
      <c r="P1021" s="2040"/>
      <c r="Q1021" s="2040"/>
      <c r="R1021" s="2040"/>
      <c r="S1021" s="2040"/>
      <c r="T1021" s="2040"/>
      <c r="U1021" s="2040"/>
      <c r="V1021" s="2040"/>
      <c r="W1021" s="2040"/>
      <c r="X1021" s="2040"/>
      <c r="Y1021" s="2040"/>
      <c r="Z1021" s="2040"/>
      <c r="AA1021" s="2040"/>
      <c r="AB1021" s="2040"/>
      <c r="AC1021" s="2040"/>
      <c r="AD1021" s="2040"/>
      <c r="AE1021" s="2041"/>
      <c r="AF1021" s="110"/>
      <c r="AG1021" s="112"/>
      <c r="AH1021" s="112"/>
      <c r="AI1021" s="121"/>
      <c r="AJ1021" s="2057"/>
      <c r="AK1021" s="2058"/>
      <c r="AL1021" s="2058"/>
      <c r="AM1021" s="2058"/>
      <c r="AN1021" s="2058"/>
      <c r="AO1021" s="2058"/>
      <c r="AP1021" s="2058"/>
      <c r="AQ1021" s="2059"/>
      <c r="AR1021" s="1488"/>
      <c r="AS1021" s="1488"/>
      <c r="AT1021" s="1488"/>
      <c r="AU1021" s="1488"/>
      <c r="AV1021" s="1488"/>
      <c r="AW1021" s="1488"/>
      <c r="AX1021" s="1488"/>
      <c r="AY1021" s="1488"/>
    </row>
    <row r="1022" spans="1:96" ht="12.75" customHeight="1">
      <c r="A1022" s="51"/>
      <c r="B1022" s="110"/>
      <c r="C1022" s="111"/>
      <c r="D1022" s="2039"/>
      <c r="E1022" s="2040"/>
      <c r="F1022" s="2040"/>
      <c r="G1022" s="2040"/>
      <c r="H1022" s="2040"/>
      <c r="I1022" s="2040"/>
      <c r="J1022" s="2040"/>
      <c r="K1022" s="2040"/>
      <c r="L1022" s="2040"/>
      <c r="M1022" s="2040"/>
      <c r="N1022" s="2040"/>
      <c r="O1022" s="2040"/>
      <c r="P1022" s="2040"/>
      <c r="Q1022" s="2040"/>
      <c r="R1022" s="2040"/>
      <c r="S1022" s="2040"/>
      <c r="T1022" s="2040"/>
      <c r="U1022" s="2040"/>
      <c r="V1022" s="2040"/>
      <c r="W1022" s="2040"/>
      <c r="X1022" s="2040"/>
      <c r="Y1022" s="2040"/>
      <c r="Z1022" s="2040"/>
      <c r="AA1022" s="2040"/>
      <c r="AB1022" s="2040"/>
      <c r="AC1022" s="2040"/>
      <c r="AD1022" s="2040"/>
      <c r="AE1022" s="2041"/>
      <c r="AF1022" s="110"/>
      <c r="AG1022" s="112"/>
      <c r="AH1022" s="112"/>
      <c r="AI1022" s="121"/>
      <c r="AJ1022" s="2057"/>
      <c r="AK1022" s="2058"/>
      <c r="AL1022" s="2058"/>
      <c r="AM1022" s="2058"/>
      <c r="AN1022" s="2058"/>
      <c r="AO1022" s="2058"/>
      <c r="AP1022" s="2058"/>
      <c r="AQ1022" s="2059"/>
      <c r="AR1022" s="1488"/>
      <c r="AS1022" s="1488"/>
      <c r="AT1022" s="1488"/>
      <c r="AU1022" s="1488"/>
      <c r="AV1022" s="1488"/>
      <c r="AW1022" s="1488"/>
      <c r="AX1022" s="1488"/>
      <c r="AY1022" s="1488"/>
    </row>
    <row r="1023" spans="1:96" s="680" customFormat="1" ht="12.75" customHeight="1">
      <c r="A1023" s="51"/>
      <c r="B1023" s="110"/>
      <c r="C1023" s="111"/>
      <c r="D1023" s="2042"/>
      <c r="E1023" s="2043"/>
      <c r="F1023" s="2043"/>
      <c r="G1023" s="2043"/>
      <c r="H1023" s="2043"/>
      <c r="I1023" s="2043"/>
      <c r="J1023" s="2043"/>
      <c r="K1023" s="2043"/>
      <c r="L1023" s="2043"/>
      <c r="M1023" s="2043"/>
      <c r="N1023" s="2043"/>
      <c r="O1023" s="2043"/>
      <c r="P1023" s="2043"/>
      <c r="Q1023" s="2043"/>
      <c r="R1023" s="2043"/>
      <c r="S1023" s="2043"/>
      <c r="T1023" s="2043"/>
      <c r="U1023" s="2043"/>
      <c r="V1023" s="2043"/>
      <c r="W1023" s="2043"/>
      <c r="X1023" s="2043"/>
      <c r="Y1023" s="2043"/>
      <c r="Z1023" s="2043"/>
      <c r="AA1023" s="2043"/>
      <c r="AB1023" s="2043"/>
      <c r="AC1023" s="2043"/>
      <c r="AD1023" s="2043"/>
      <c r="AE1023" s="2044"/>
      <c r="AF1023" s="110"/>
      <c r="AG1023" s="112"/>
      <c r="AH1023" s="112"/>
      <c r="AI1023" s="121"/>
      <c r="AJ1023" s="2060"/>
      <c r="AK1023" s="2061"/>
      <c r="AL1023" s="2061"/>
      <c r="AM1023" s="2061"/>
      <c r="AN1023" s="2061"/>
      <c r="AO1023" s="2061"/>
      <c r="AP1023" s="2061"/>
      <c r="AQ1023" s="2062"/>
      <c r="AR1023" s="1488"/>
      <c r="AS1023" s="1488"/>
      <c r="AT1023" s="1488"/>
      <c r="AU1023" s="1488"/>
      <c r="AV1023" s="1488"/>
      <c r="AW1023" s="1488"/>
      <c r="AX1023" s="1488"/>
      <c r="AY1023" s="1488"/>
      <c r="CR1023" s="25"/>
    </row>
    <row r="1024" spans="1:96" ht="12.75" customHeight="1">
      <c r="A1024" s="51"/>
      <c r="B1024" s="117"/>
      <c r="C1024" s="198" t="s">
        <v>2091</v>
      </c>
      <c r="D1024" s="2036" t="s">
        <v>2309</v>
      </c>
      <c r="E1024" s="2037"/>
      <c r="F1024" s="2037"/>
      <c r="G1024" s="2037"/>
      <c r="H1024" s="2037"/>
      <c r="I1024" s="2037"/>
      <c r="J1024" s="2037"/>
      <c r="K1024" s="2037"/>
      <c r="L1024" s="2037"/>
      <c r="M1024" s="2037"/>
      <c r="N1024" s="2037"/>
      <c r="O1024" s="2037"/>
      <c r="P1024" s="2037"/>
      <c r="Q1024" s="2037"/>
      <c r="R1024" s="2037"/>
      <c r="S1024" s="2037"/>
      <c r="T1024" s="2037"/>
      <c r="U1024" s="2037"/>
      <c r="V1024" s="2037"/>
      <c r="W1024" s="2037"/>
      <c r="X1024" s="2037"/>
      <c r="Y1024" s="2037"/>
      <c r="Z1024" s="2037"/>
      <c r="AA1024" s="2037"/>
      <c r="AB1024" s="2037"/>
      <c r="AC1024" s="2037"/>
      <c r="AD1024" s="2037"/>
      <c r="AE1024" s="2038"/>
      <c r="AF1024" s="117"/>
      <c r="AG1024" s="2162" t="str">
        <f>IF(X1027&gt;0,"Yes","No")</f>
        <v>Yes</v>
      </c>
      <c r="AH1024" s="2163"/>
      <c r="AI1024" s="125"/>
      <c r="AJ1024" s="2166">
        <f>IF((X1027=0),0,BA989*AJ975)</f>
        <v>7271176</v>
      </c>
      <c r="AK1024" s="2167"/>
      <c r="AL1024" s="2167"/>
      <c r="AM1024" s="2167"/>
      <c r="AN1024" s="2167"/>
      <c r="AO1024" s="2167"/>
      <c r="AP1024" s="2167"/>
      <c r="AQ1024" s="2168"/>
      <c r="AR1024" s="1488"/>
      <c r="AS1024" s="1488"/>
      <c r="AT1024" s="1488"/>
      <c r="AU1024" s="1488"/>
      <c r="AV1024" s="1488"/>
      <c r="AW1024" s="1488"/>
      <c r="AX1024" s="1488"/>
      <c r="AY1024" s="1488"/>
    </row>
    <row r="1025" spans="1:96" ht="12.75" customHeight="1">
      <c r="A1025" s="51"/>
      <c r="B1025" s="110"/>
      <c r="C1025" s="700"/>
      <c r="D1025" s="2039" t="s">
        <v>1538</v>
      </c>
      <c r="E1025" s="2040"/>
      <c r="F1025" s="2040"/>
      <c r="G1025" s="2040"/>
      <c r="H1025" s="2040"/>
      <c r="I1025" s="2040"/>
      <c r="J1025" s="2040"/>
      <c r="K1025" s="2040"/>
      <c r="L1025" s="2040"/>
      <c r="M1025" s="2040"/>
      <c r="N1025" s="2040"/>
      <c r="O1025" s="2040"/>
      <c r="P1025" s="2040"/>
      <c r="Q1025" s="2040"/>
      <c r="R1025" s="2040"/>
      <c r="S1025" s="2040"/>
      <c r="T1025" s="2040"/>
      <c r="U1025" s="2040"/>
      <c r="V1025" s="2040"/>
      <c r="W1025" s="2040"/>
      <c r="X1025" s="2040"/>
      <c r="Y1025" s="2040"/>
      <c r="Z1025" s="2040"/>
      <c r="AA1025" s="2040"/>
      <c r="AB1025" s="2040"/>
      <c r="AC1025" s="2040"/>
      <c r="AD1025" s="2040"/>
      <c r="AE1025" s="2041"/>
      <c r="AF1025" s="110"/>
      <c r="AG1025" s="701"/>
      <c r="AH1025" s="701"/>
      <c r="AI1025" s="121"/>
      <c r="AJ1025" s="2169"/>
      <c r="AK1025" s="2170"/>
      <c r="AL1025" s="2170"/>
      <c r="AM1025" s="2170"/>
      <c r="AN1025" s="2170"/>
      <c r="AO1025" s="2170"/>
      <c r="AP1025" s="2170"/>
      <c r="AQ1025" s="2171"/>
      <c r="AR1025" s="1488"/>
      <c r="AS1025" s="1488"/>
      <c r="AT1025" s="1488"/>
      <c r="AU1025" s="1488"/>
      <c r="AV1025" s="1488"/>
      <c r="AW1025" s="1488"/>
      <c r="AX1025" s="1488"/>
      <c r="AY1025" s="1488"/>
    </row>
    <row r="1026" spans="1:96" ht="12.75" customHeight="1">
      <c r="A1026" s="51"/>
      <c r="B1026" s="110"/>
      <c r="C1026" s="700"/>
      <c r="D1026" s="2039"/>
      <c r="E1026" s="2040"/>
      <c r="F1026" s="2040"/>
      <c r="G1026" s="2040"/>
      <c r="H1026" s="2040"/>
      <c r="I1026" s="2040"/>
      <c r="J1026" s="2040"/>
      <c r="K1026" s="2040"/>
      <c r="L1026" s="2040"/>
      <c r="M1026" s="2040"/>
      <c r="N1026" s="2040"/>
      <c r="O1026" s="2040"/>
      <c r="P1026" s="2040"/>
      <c r="Q1026" s="2040"/>
      <c r="R1026" s="2040"/>
      <c r="S1026" s="2040"/>
      <c r="T1026" s="2040"/>
      <c r="U1026" s="2040"/>
      <c r="V1026" s="2040"/>
      <c r="W1026" s="2040"/>
      <c r="X1026" s="2040"/>
      <c r="Y1026" s="2040"/>
      <c r="Z1026" s="2040"/>
      <c r="AA1026" s="2040"/>
      <c r="AB1026" s="2040"/>
      <c r="AC1026" s="2040"/>
      <c r="AD1026" s="2040"/>
      <c r="AE1026" s="2041"/>
      <c r="AF1026" s="110"/>
      <c r="AG1026" s="701"/>
      <c r="AH1026" s="701"/>
      <c r="AI1026" s="121"/>
      <c r="AJ1026" s="2169"/>
      <c r="AK1026" s="2170"/>
      <c r="AL1026" s="2170"/>
      <c r="AM1026" s="2170"/>
      <c r="AN1026" s="2170"/>
      <c r="AO1026" s="2170"/>
      <c r="AP1026" s="2170"/>
      <c r="AQ1026" s="2171"/>
      <c r="AR1026" s="1488"/>
      <c r="AS1026" s="1488"/>
      <c r="AT1026" s="1488"/>
      <c r="AU1026" s="1488"/>
      <c r="AV1026" s="1488"/>
      <c r="AW1026" s="1488"/>
      <c r="AX1026" s="1488"/>
      <c r="AY1026" s="1488"/>
    </row>
    <row r="1027" spans="1:96" s="717" customFormat="1" ht="12.75" customHeight="1">
      <c r="A1027" s="51"/>
      <c r="B1027" s="115"/>
      <c r="C1027" s="116"/>
      <c r="D1027" s="199" t="s">
        <v>1047</v>
      </c>
      <c r="E1027" s="200"/>
      <c r="F1027" s="200"/>
      <c r="G1027" s="200"/>
      <c r="H1027" s="200"/>
      <c r="I1027" s="2160">
        <f>BA987</f>
        <v>110</v>
      </c>
      <c r="J1027" s="2161"/>
      <c r="K1027" s="11"/>
      <c r="L1027" s="200"/>
      <c r="M1027" s="200"/>
      <c r="N1027" s="200"/>
      <c r="O1027" s="200"/>
      <c r="P1027" s="200"/>
      <c r="Q1027" s="200"/>
      <c r="R1027" s="200"/>
      <c r="S1027" s="200"/>
      <c r="T1027" s="200"/>
      <c r="U1027" s="200"/>
      <c r="V1027" s="201" t="s">
        <v>1048</v>
      </c>
      <c r="W1027" s="80"/>
      <c r="X1027" s="2158">
        <f>BG635</f>
        <v>13</v>
      </c>
      <c r="Y1027" s="2159"/>
      <c r="Z1027" s="80"/>
      <c r="AA1027" s="80"/>
      <c r="AB1027" s="80"/>
      <c r="AC1027" s="80"/>
      <c r="AD1027" s="80"/>
      <c r="AE1027" s="81"/>
      <c r="AF1027" s="1527"/>
      <c r="AG1027" s="1528"/>
      <c r="AH1027" s="1528"/>
      <c r="AI1027" s="1529"/>
      <c r="AJ1027" s="2172"/>
      <c r="AK1027" s="2173"/>
      <c r="AL1027" s="2173"/>
      <c r="AM1027" s="2173"/>
      <c r="AN1027" s="2173"/>
      <c r="AO1027" s="2173"/>
      <c r="AP1027" s="2173"/>
      <c r="AQ1027" s="2174"/>
      <c r="AR1027" s="1488"/>
      <c r="AS1027" s="1488"/>
      <c r="AT1027" s="1488"/>
      <c r="AU1027" s="1488"/>
      <c r="AV1027" s="1488"/>
      <c r="AW1027" s="1488"/>
      <c r="AX1027" s="1488"/>
      <c r="AY1027" s="1488"/>
      <c r="CR1027" s="25"/>
    </row>
    <row r="1028" spans="1:96" ht="12.75" customHeight="1">
      <c r="A1028" s="51"/>
      <c r="B1028" s="117"/>
      <c r="C1028" s="198" t="s">
        <v>2092</v>
      </c>
      <c r="D1028" s="2084" t="s">
        <v>2310</v>
      </c>
      <c r="E1028" s="2085"/>
      <c r="F1028" s="2085"/>
      <c r="G1028" s="2085"/>
      <c r="H1028" s="2085"/>
      <c r="I1028" s="2085"/>
      <c r="J1028" s="2085"/>
      <c r="K1028" s="2085"/>
      <c r="L1028" s="2085"/>
      <c r="M1028" s="2085"/>
      <c r="N1028" s="2085"/>
      <c r="O1028" s="2085"/>
      <c r="P1028" s="2085"/>
      <c r="Q1028" s="2085"/>
      <c r="R1028" s="2085"/>
      <c r="S1028" s="2085"/>
      <c r="T1028" s="2085"/>
      <c r="U1028" s="2085"/>
      <c r="V1028" s="2085"/>
      <c r="W1028" s="2085"/>
      <c r="X1028" s="2085"/>
      <c r="Y1028" s="2085"/>
      <c r="Z1028" s="2085"/>
      <c r="AA1028" s="2085"/>
      <c r="AB1028" s="2085"/>
      <c r="AC1028" s="2085"/>
      <c r="AD1028" s="2085"/>
      <c r="AE1028" s="2086"/>
      <c r="AF1028" s="110"/>
      <c r="AG1028" s="2162" t="str">
        <f>IF(X1031&gt;0,"Yes","No")</f>
        <v>Yes</v>
      </c>
      <c r="AH1028" s="2163"/>
      <c r="AI1028" s="121"/>
      <c r="AJ1028" s="2166">
        <f>IF((X1031=0),0,(2*BA990)*AJ975)</f>
        <v>35694864</v>
      </c>
      <c r="AK1028" s="2167"/>
      <c r="AL1028" s="2167"/>
      <c r="AM1028" s="2167"/>
      <c r="AN1028" s="2167"/>
      <c r="AO1028" s="2167"/>
      <c r="AP1028" s="2167"/>
      <c r="AQ1028" s="2168"/>
      <c r="AR1028" s="1488"/>
      <c r="AS1028" s="1488"/>
      <c r="AT1028" s="1488"/>
      <c r="AU1028" s="1488"/>
      <c r="AV1028" s="1488"/>
      <c r="AW1028" s="1488"/>
      <c r="AX1028" s="1488"/>
      <c r="AY1028" s="1488"/>
    </row>
    <row r="1029" spans="1:96" ht="12.75" customHeight="1">
      <c r="A1029" s="51"/>
      <c r="B1029" s="110"/>
      <c r="C1029" s="700"/>
      <c r="D1029" s="2039" t="s">
        <v>1537</v>
      </c>
      <c r="E1029" s="2040"/>
      <c r="F1029" s="2040"/>
      <c r="G1029" s="2040"/>
      <c r="H1029" s="2040"/>
      <c r="I1029" s="2040"/>
      <c r="J1029" s="2040"/>
      <c r="K1029" s="2040"/>
      <c r="L1029" s="2040"/>
      <c r="M1029" s="2040"/>
      <c r="N1029" s="2040"/>
      <c r="O1029" s="2040"/>
      <c r="P1029" s="2040"/>
      <c r="Q1029" s="2040"/>
      <c r="R1029" s="2040"/>
      <c r="S1029" s="2040"/>
      <c r="T1029" s="2040"/>
      <c r="U1029" s="2040"/>
      <c r="V1029" s="2040"/>
      <c r="W1029" s="2040"/>
      <c r="X1029" s="2040"/>
      <c r="Y1029" s="2040"/>
      <c r="Z1029" s="2040"/>
      <c r="AA1029" s="2040"/>
      <c r="AB1029" s="2040"/>
      <c r="AC1029" s="2040"/>
      <c r="AD1029" s="2040"/>
      <c r="AE1029" s="2041"/>
      <c r="AF1029" s="110"/>
      <c r="AG1029" s="701"/>
      <c r="AH1029" s="701"/>
      <c r="AI1029" s="121"/>
      <c r="AJ1029" s="2169"/>
      <c r="AK1029" s="2170"/>
      <c r="AL1029" s="2170"/>
      <c r="AM1029" s="2170"/>
      <c r="AN1029" s="2170"/>
      <c r="AO1029" s="2170"/>
      <c r="AP1029" s="2170"/>
      <c r="AQ1029" s="2171"/>
      <c r="AR1029" s="1488"/>
      <c r="AS1029" s="1488"/>
      <c r="AT1029" s="1488"/>
      <c r="AU1029" s="1488"/>
      <c r="AV1029" s="1488"/>
      <c r="AW1029" s="1488"/>
      <c r="AX1029" s="1488"/>
      <c r="AY1029" s="1488"/>
    </row>
    <row r="1030" spans="1:96" ht="12.75" customHeight="1">
      <c r="A1030" s="51"/>
      <c r="B1030" s="110"/>
      <c r="C1030" s="121"/>
      <c r="D1030" s="2039"/>
      <c r="E1030" s="2040"/>
      <c r="F1030" s="2040"/>
      <c r="G1030" s="2040"/>
      <c r="H1030" s="2040"/>
      <c r="I1030" s="2040"/>
      <c r="J1030" s="2040"/>
      <c r="K1030" s="2040"/>
      <c r="L1030" s="2040"/>
      <c r="M1030" s="2040"/>
      <c r="N1030" s="2040"/>
      <c r="O1030" s="2040"/>
      <c r="P1030" s="2040"/>
      <c r="Q1030" s="2040"/>
      <c r="R1030" s="2040"/>
      <c r="S1030" s="2040"/>
      <c r="T1030" s="2040"/>
      <c r="U1030" s="2040"/>
      <c r="V1030" s="2040"/>
      <c r="W1030" s="2040"/>
      <c r="X1030" s="2040"/>
      <c r="Y1030" s="2040"/>
      <c r="Z1030" s="2040"/>
      <c r="AA1030" s="2040"/>
      <c r="AB1030" s="2040"/>
      <c r="AC1030" s="2040"/>
      <c r="AD1030" s="2040"/>
      <c r="AE1030" s="2041"/>
      <c r="AF1030" s="1524"/>
      <c r="AG1030" s="1525"/>
      <c r="AH1030" s="1525"/>
      <c r="AI1030" s="1526"/>
      <c r="AJ1030" s="2169"/>
      <c r="AK1030" s="2170"/>
      <c r="AL1030" s="2170"/>
      <c r="AM1030" s="2170"/>
      <c r="AN1030" s="2170"/>
      <c r="AO1030" s="2170"/>
      <c r="AP1030" s="2170"/>
      <c r="AQ1030" s="2171"/>
      <c r="AR1030" s="1488"/>
      <c r="AS1030" s="1488"/>
      <c r="AT1030" s="1488"/>
      <c r="AU1030" s="1488"/>
      <c r="AV1030" s="1488"/>
      <c r="AW1030" s="1488"/>
      <c r="AX1030" s="1488"/>
      <c r="AY1030" s="1488"/>
    </row>
    <row r="1031" spans="1:96" s="717" customFormat="1" ht="12.75" customHeight="1">
      <c r="A1031" s="51"/>
      <c r="B1031" s="115"/>
      <c r="C1031" s="116"/>
      <c r="D1031" s="199" t="s">
        <v>1047</v>
      </c>
      <c r="E1031" s="200"/>
      <c r="F1031" s="200"/>
      <c r="G1031" s="200"/>
      <c r="H1031" s="200"/>
      <c r="I1031" s="2160">
        <f>BA987</f>
        <v>110</v>
      </c>
      <c r="J1031" s="2161"/>
      <c r="K1031" s="51"/>
      <c r="L1031" s="200"/>
      <c r="M1031" s="200"/>
      <c r="N1031" s="200"/>
      <c r="O1031" s="200"/>
      <c r="P1031" s="200"/>
      <c r="Q1031" s="200"/>
      <c r="R1031" s="200"/>
      <c r="S1031" s="200"/>
      <c r="T1031" s="200"/>
      <c r="U1031" s="200"/>
      <c r="V1031" s="201" t="s">
        <v>1049</v>
      </c>
      <c r="X1031" s="2158">
        <f>BK635</f>
        <v>30</v>
      </c>
      <c r="Y1031" s="2159"/>
      <c r="AF1031" s="1527"/>
      <c r="AG1031" s="1528"/>
      <c r="AH1031" s="1528"/>
      <c r="AI1031" s="1529"/>
      <c r="AJ1031" s="2172"/>
      <c r="AK1031" s="2173"/>
      <c r="AL1031" s="2173"/>
      <c r="AM1031" s="2173"/>
      <c r="AN1031" s="2173"/>
      <c r="AO1031" s="2173"/>
      <c r="AP1031" s="2173"/>
      <c r="AQ1031" s="2174"/>
      <c r="AR1031" s="1488"/>
      <c r="AS1031" s="1488"/>
      <c r="AT1031" s="1488"/>
      <c r="AU1031" s="1488"/>
      <c r="AV1031" s="1488"/>
      <c r="AW1031" s="1488"/>
      <c r="AX1031" s="1488"/>
      <c r="AY1031" s="1488"/>
      <c r="CR1031" s="25"/>
    </row>
    <row r="1032" spans="1:96" ht="12.75" customHeight="1">
      <c r="A1032" s="51"/>
      <c r="B1032" s="158"/>
      <c r="C1032" s="159"/>
      <c r="D1032" s="2156" t="s">
        <v>544</v>
      </c>
      <c r="E1032" s="2156"/>
      <c r="F1032" s="2156"/>
      <c r="G1032" s="2156"/>
      <c r="H1032" s="2156"/>
      <c r="I1032" s="2156"/>
      <c r="J1032" s="2156"/>
      <c r="K1032" s="2156"/>
      <c r="L1032" s="2156"/>
      <c r="M1032" s="2156"/>
      <c r="N1032" s="2156"/>
      <c r="O1032" s="2156"/>
      <c r="P1032" s="2156"/>
      <c r="Q1032" s="2156"/>
      <c r="R1032" s="2156"/>
      <c r="S1032" s="2156"/>
      <c r="T1032" s="2156"/>
      <c r="U1032" s="2156"/>
      <c r="V1032" s="2156"/>
      <c r="W1032" s="2156"/>
      <c r="X1032" s="2156"/>
      <c r="Y1032" s="2156"/>
      <c r="Z1032" s="2156"/>
      <c r="AA1032" s="2156"/>
      <c r="AB1032" s="2156"/>
      <c r="AC1032" s="2156"/>
      <c r="AD1032" s="2156"/>
      <c r="AE1032" s="2156"/>
      <c r="AF1032" s="2156"/>
      <c r="AG1032" s="2156"/>
      <c r="AH1032" s="2156"/>
      <c r="AI1032" s="2157"/>
      <c r="AJ1032" s="2175">
        <f>SUM(AJ975:AQ1031)</f>
        <v>138813360</v>
      </c>
      <c r="AK1032" s="2176"/>
      <c r="AL1032" s="2176"/>
      <c r="AM1032" s="2176"/>
      <c r="AN1032" s="2176"/>
      <c r="AO1032" s="2176"/>
      <c r="AP1032" s="2176"/>
      <c r="AQ1032" s="2177"/>
      <c r="AR1032" s="1488"/>
      <c r="AS1032" s="1488"/>
      <c r="AT1032" s="1488"/>
      <c r="AU1032" s="1488"/>
      <c r="AV1032" s="1488"/>
      <c r="AW1032" s="1488"/>
      <c r="AX1032" s="1488"/>
      <c r="AY1032" s="1488"/>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8"/>
      <c r="AN1033" s="1488"/>
      <c r="AO1033" s="1488"/>
      <c r="AP1033" s="1488"/>
      <c r="AQ1033" s="1488"/>
      <c r="AR1033" s="1488"/>
      <c r="AS1033" s="1488"/>
      <c r="AT1033" s="1488"/>
      <c r="AU1033" s="1488"/>
      <c r="AV1033" s="1488"/>
      <c r="AW1033" s="1488"/>
      <c r="AX1033" s="1488"/>
      <c r="AY1033" s="1488"/>
    </row>
    <row r="1034" spans="1:96" ht="12.75" customHeight="1">
      <c r="A1034" s="51"/>
      <c r="B1034" s="2511" t="s">
        <v>1924</v>
      </c>
      <c r="C1034" s="2511"/>
      <c r="D1034" s="2511"/>
      <c r="E1034" s="2511"/>
      <c r="F1034" s="2511"/>
      <c r="G1034" s="2511"/>
      <c r="H1034" s="2511"/>
      <c r="I1034" s="2511"/>
      <c r="J1034" s="2511"/>
      <c r="K1034" s="2511"/>
      <c r="L1034" s="2511"/>
      <c r="M1034" s="2511"/>
      <c r="N1034" s="2511"/>
      <c r="O1034" s="2511"/>
      <c r="P1034" s="2511"/>
      <c r="Q1034" s="2511"/>
      <c r="R1034" s="2511"/>
      <c r="S1034" s="2511"/>
      <c r="T1034" s="2511"/>
      <c r="U1034" s="2511"/>
      <c r="V1034" s="2511"/>
      <c r="W1034" s="2511"/>
      <c r="X1034" s="2511"/>
      <c r="Y1034" s="2511"/>
      <c r="Z1034" s="343"/>
      <c r="AA1034" s="343"/>
      <c r="AB1034" s="343"/>
      <c r="AC1034" s="343"/>
      <c r="AL1034" s="105"/>
      <c r="AM1034" s="1488"/>
      <c r="AN1034" s="1488"/>
      <c r="AO1034" s="1488"/>
      <c r="AP1034" s="1488"/>
      <c r="AQ1034" s="1488"/>
      <c r="AR1034" s="1488"/>
      <c r="AS1034" s="1488"/>
      <c r="AT1034" s="1488"/>
      <c r="AU1034" s="1488"/>
      <c r="AV1034" s="1488"/>
      <c r="AW1034" s="1488"/>
      <c r="AX1034" s="1488"/>
      <c r="AY1034" s="1488"/>
    </row>
    <row r="1035" spans="1:96" ht="12.75" customHeight="1">
      <c r="A1035" s="51"/>
      <c r="B1035" s="112" t="s">
        <v>1925</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76"/>
      <c r="Y1035" s="2276"/>
      <c r="Z1035" s="2276"/>
      <c r="AA1035" s="2276"/>
      <c r="AB1035" s="2276"/>
      <c r="AC1035" s="2276"/>
      <c r="AD1035" s="2506">
        <f>R971</f>
        <v>738400</v>
      </c>
      <c r="AE1035" s="2444"/>
      <c r="AF1035" s="2444"/>
      <c r="AG1035" s="2444"/>
      <c r="AH1035" s="2444"/>
      <c r="AI1035" s="2444"/>
      <c r="AJ1035" s="2444"/>
      <c r="AK1035" s="2444"/>
      <c r="AL1035" s="105"/>
      <c r="AM1035" s="1488"/>
      <c r="AN1035" s="1488"/>
      <c r="AO1035" s="1488"/>
      <c r="AP1035" s="1488"/>
      <c r="AQ1035" s="1488"/>
      <c r="AR1035" s="1488"/>
      <c r="AS1035" s="1488"/>
      <c r="AT1035" s="1488"/>
      <c r="AU1035" s="1488"/>
      <c r="AV1035" s="1488"/>
      <c r="AW1035" s="1488"/>
      <c r="AX1035" s="1488"/>
      <c r="AY1035" s="1488"/>
    </row>
    <row r="1036" spans="1:96" ht="12.75" customHeight="1">
      <c r="A1036" s="51"/>
      <c r="B1036" s="112" t="s">
        <v>2407</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77"/>
      <c r="Y1036" s="2277"/>
      <c r="Z1036" s="2277"/>
      <c r="AA1036" s="2277"/>
      <c r="AB1036" s="2277"/>
      <c r="AC1036" s="2277"/>
      <c r="AD1036" s="2058">
        <f>MEDIAN((BR809:BR866))</f>
        <v>388000</v>
      </c>
      <c r="AE1036" s="2058"/>
      <c r="AF1036" s="2058"/>
      <c r="AG1036" s="2058"/>
      <c r="AH1036" s="2058"/>
      <c r="AI1036" s="2058"/>
      <c r="AJ1036" s="2058"/>
      <c r="AK1036" s="2058"/>
      <c r="AL1036" s="105"/>
      <c r="AM1036" s="1488"/>
      <c r="AN1036" s="1488"/>
      <c r="AO1036" s="1488"/>
      <c r="AP1036" s="1488"/>
      <c r="AQ1036" s="1488"/>
      <c r="AR1036" s="1488"/>
      <c r="AS1036" s="1488"/>
      <c r="AT1036" s="1488"/>
      <c r="AU1036" s="1488"/>
      <c r="AV1036" s="1488"/>
      <c r="AW1036" s="1488"/>
      <c r="AX1036" s="1488"/>
      <c r="AY1036" s="1488"/>
    </row>
    <row r="1037" spans="1:96" ht="12.75" customHeight="1">
      <c r="A1037" s="51"/>
      <c r="B1037" s="2507" t="s">
        <v>1926</v>
      </c>
      <c r="C1037" s="2507"/>
      <c r="D1037" s="2507"/>
      <c r="E1037" s="2507"/>
      <c r="F1037" s="2507"/>
      <c r="G1037" s="2507"/>
      <c r="H1037" s="2507"/>
      <c r="I1037" s="2507"/>
      <c r="J1037" s="2507"/>
      <c r="K1037" s="2507"/>
      <c r="L1037" s="2507"/>
      <c r="M1037" s="2507"/>
      <c r="N1037" s="2507"/>
      <c r="O1037" s="2507"/>
      <c r="P1037" s="2507"/>
      <c r="Q1037" s="2507"/>
      <c r="R1037" s="2507"/>
      <c r="S1037" s="2507"/>
      <c r="T1037" s="2507"/>
      <c r="U1037" s="2507"/>
      <c r="V1037" s="2507"/>
      <c r="W1037" s="2507"/>
      <c r="X1037" s="2507"/>
      <c r="Y1037" s="2507"/>
      <c r="Z1037" s="1413"/>
      <c r="AA1037" s="1413"/>
      <c r="AB1037" s="1413"/>
      <c r="AC1037" s="1413"/>
      <c r="AD1037" s="2503">
        <f>IF(((AD1035-AD1036)/AD1036)&gt;0.3,0.3,((AD1035-AD1036)/AD1036))</f>
        <v>0.3</v>
      </c>
      <c r="AE1037" s="2504"/>
      <c r="AF1037" s="2504"/>
      <c r="AG1037" s="2504"/>
      <c r="AH1037" s="2504"/>
      <c r="AI1037" s="2504"/>
      <c r="AJ1037" s="2504"/>
      <c r="AK1037" s="2505"/>
      <c r="AL1037" s="105"/>
      <c r="AM1037" s="1488"/>
      <c r="AN1037" s="1488"/>
      <c r="AO1037" s="1488"/>
      <c r="AP1037" s="1488"/>
      <c r="AQ1037" s="1488"/>
      <c r="AR1037" s="1488"/>
      <c r="AS1037" s="1488"/>
      <c r="AT1037" s="1488"/>
      <c r="AU1037" s="1488"/>
      <c r="AV1037" s="1488"/>
      <c r="AW1037" s="1488"/>
      <c r="AX1037" s="1488"/>
      <c r="AY1037" s="1488"/>
    </row>
    <row r="1038" spans="1:96" ht="12.75" customHeight="1">
      <c r="A1038" s="51"/>
      <c r="B1038" s="112"/>
      <c r="C1038" s="337"/>
      <c r="D1038" s="1413"/>
      <c r="E1038" s="1413"/>
      <c r="F1038" s="1413"/>
      <c r="G1038" s="1413"/>
      <c r="H1038" s="1413"/>
      <c r="I1038" s="1413"/>
      <c r="J1038" s="1413"/>
      <c r="K1038" s="1413"/>
      <c r="L1038" s="1413"/>
      <c r="M1038" s="1413"/>
      <c r="N1038" s="1413"/>
      <c r="O1038" s="1413"/>
      <c r="P1038" s="1413"/>
      <c r="Q1038" s="1413"/>
      <c r="R1038" s="1413"/>
      <c r="S1038" s="1413"/>
      <c r="T1038" s="1413"/>
      <c r="U1038" s="1413"/>
      <c r="V1038" s="1413"/>
      <c r="W1038" s="1413"/>
      <c r="X1038" s="1413"/>
      <c r="Y1038" s="1413"/>
      <c r="Z1038" s="1413"/>
      <c r="AA1038" s="1413"/>
      <c r="AB1038" s="1413"/>
      <c r="AC1038" s="1413"/>
      <c r="AD1038" s="1413"/>
      <c r="AE1038" s="1413"/>
      <c r="AF1038" s="1413"/>
      <c r="AG1038" s="1413"/>
      <c r="AH1038" s="1413"/>
      <c r="AI1038" s="1413"/>
      <c r="AJ1038" s="1413"/>
      <c r="AK1038" s="1413"/>
      <c r="AL1038" s="105"/>
      <c r="AM1038" s="1488"/>
      <c r="AN1038" s="1488"/>
      <c r="AO1038" s="1488"/>
      <c r="AP1038" s="1488"/>
      <c r="AQ1038" s="1488"/>
      <c r="AR1038" s="1488"/>
      <c r="AS1038" s="1488"/>
      <c r="AT1038" s="1488"/>
      <c r="AU1038" s="1488"/>
      <c r="AV1038" s="1488"/>
      <c r="AW1038" s="1488"/>
      <c r="AX1038" s="1488"/>
      <c r="AY1038" s="1488"/>
    </row>
    <row r="1039" spans="1:96" ht="12.75" customHeight="1">
      <c r="A1039" s="128"/>
      <c r="B1039" s="2272" t="str">
        <f>IF(ISNA(IF((AJ999&gt;(AJ975*0.15)),"(f) cannot be greater than 15% of unadjusted eligible basis.",0)),"",(IF((AJ999&gt;(AJ975*0.15)),"(f) cannot be greater than 15% of unadjusted eligible basis.",0)))</f>
        <v>(f) cannot be greater than 15% of unadjusted eligible basis.</v>
      </c>
      <c r="C1039" s="2272"/>
      <c r="D1039" s="2272"/>
      <c r="E1039" s="2272"/>
      <c r="F1039" s="2272"/>
      <c r="G1039" s="2272"/>
      <c r="H1039" s="2272"/>
      <c r="I1039" s="2272"/>
      <c r="J1039" s="2272"/>
      <c r="K1039" s="2272"/>
      <c r="L1039" s="2272"/>
      <c r="M1039" s="2272"/>
      <c r="N1039" s="2272"/>
      <c r="O1039" s="2272"/>
      <c r="P1039" s="2272"/>
      <c r="Q1039" s="2272"/>
      <c r="R1039" s="2272"/>
      <c r="S1039" s="2272"/>
      <c r="T1039" s="2272"/>
      <c r="U1039" s="2272"/>
      <c r="V1039" s="2272"/>
      <c r="W1039" s="2272"/>
      <c r="X1039" s="2272"/>
      <c r="Y1039" s="2272"/>
      <c r="Z1039" s="2272"/>
      <c r="AA1039" s="2272"/>
      <c r="AB1039" s="2272"/>
      <c r="AC1039" s="2272"/>
      <c r="AD1039" s="2272"/>
      <c r="AE1039" s="2272"/>
      <c r="AF1039" s="2272"/>
      <c r="AG1039" s="2272"/>
      <c r="AH1039" s="2272"/>
      <c r="AI1039" s="2272"/>
      <c r="AJ1039" s="2272"/>
      <c r="AK1039" s="2272"/>
      <c r="AL1039" s="105"/>
      <c r="AM1039" s="1488"/>
      <c r="AN1039" s="1488"/>
      <c r="AO1039" s="1488"/>
      <c r="AP1039" s="1488"/>
      <c r="AQ1039" s="1488"/>
      <c r="AR1039" s="1488"/>
      <c r="AS1039" s="1488"/>
      <c r="AT1039" s="1488"/>
      <c r="AU1039" s="1488"/>
      <c r="AV1039" s="1488"/>
      <c r="AW1039" s="1488"/>
      <c r="AX1039" s="1488"/>
      <c r="AY1039" s="1488"/>
    </row>
    <row r="1040" spans="1:96" ht="12.75" customHeight="1" thickBot="1">
      <c r="A1040" s="2274" t="s">
        <v>850</v>
      </c>
      <c r="B1040" s="2274"/>
      <c r="C1040" s="2274"/>
      <c r="D1040" s="2274"/>
      <c r="E1040" s="2274"/>
      <c r="F1040" s="2274"/>
      <c r="G1040" s="2274"/>
      <c r="H1040" s="2274"/>
      <c r="I1040" s="2274"/>
      <c r="J1040" s="2274"/>
      <c r="K1040" s="2274"/>
      <c r="L1040" s="2274"/>
      <c r="M1040" s="2274"/>
      <c r="N1040" s="2274"/>
      <c r="O1040" s="2274"/>
      <c r="P1040" s="2274"/>
      <c r="Q1040" s="2274"/>
      <c r="R1040" s="2274"/>
      <c r="S1040" s="2274"/>
      <c r="T1040" s="2274"/>
      <c r="U1040" s="2274"/>
      <c r="V1040" s="2274"/>
      <c r="W1040" s="2274"/>
      <c r="X1040" s="2274"/>
      <c r="Y1040" s="2274"/>
      <c r="Z1040" s="2274"/>
      <c r="AA1040" s="2274"/>
      <c r="AB1040" s="2274"/>
      <c r="AC1040" s="2274"/>
      <c r="AD1040" s="2274"/>
      <c r="AE1040" s="2274"/>
      <c r="AF1040" s="2274"/>
      <c r="AG1040" s="2274"/>
      <c r="AH1040" s="2274"/>
      <c r="AI1040" s="2274"/>
      <c r="AJ1040" s="2274"/>
      <c r="AK1040" s="2274"/>
      <c r="AL1040" s="2274"/>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1991" t="s">
        <v>624</v>
      </c>
      <c r="B1044" s="1991"/>
      <c r="C1044" s="13">
        <v>1</v>
      </c>
      <c r="D1044" s="1850" t="s">
        <v>1216</v>
      </c>
      <c r="E1044" s="1850"/>
      <c r="F1044" s="1850"/>
      <c r="G1044" s="1850"/>
      <c r="H1044" s="1850"/>
      <c r="I1044" s="1850"/>
      <c r="J1044" s="1850"/>
      <c r="K1044" s="1850"/>
      <c r="L1044" s="1850"/>
      <c r="M1044" s="1850"/>
      <c r="N1044" s="1850"/>
      <c r="O1044" s="1850"/>
      <c r="P1044" s="1850"/>
      <c r="Q1044" s="1850"/>
      <c r="R1044" s="1850"/>
      <c r="S1044" s="1850"/>
      <c r="T1044" s="1850"/>
      <c r="U1044" s="1850"/>
      <c r="V1044" s="1850"/>
      <c r="W1044" s="1850"/>
      <c r="X1044" s="1850"/>
      <c r="Y1044" s="1850"/>
      <c r="Z1044" s="1850"/>
      <c r="AA1044" s="1850"/>
      <c r="AB1044" s="1850"/>
      <c r="AC1044" s="1850"/>
      <c r="AD1044" s="1850"/>
      <c r="AE1044" s="1850"/>
      <c r="AF1044" s="1850"/>
      <c r="AG1044" s="1850"/>
      <c r="AH1044" s="1850"/>
      <c r="AI1044" s="1850"/>
      <c r="AJ1044" s="1850"/>
      <c r="AK1044" s="1850"/>
      <c r="AL1044" s="131"/>
      <c r="AM1044" s="1489"/>
      <c r="AN1044" s="1489"/>
      <c r="AO1044" s="1489"/>
      <c r="AP1044" s="1489"/>
      <c r="AQ1044" s="1489"/>
      <c r="AR1044" s="1489"/>
      <c r="AS1044" s="1489"/>
      <c r="AT1044" s="1489"/>
      <c r="AU1044" s="1489"/>
      <c r="AV1044" s="1489"/>
      <c r="AW1044" s="1489"/>
      <c r="AX1044" s="1489"/>
      <c r="AY1044" s="1489"/>
    </row>
    <row r="1045" spans="1:51" ht="12.75" customHeight="1">
      <c r="A1045" s="235"/>
      <c r="B1045" s="235"/>
      <c r="C1045" s="13"/>
      <c r="D1045" s="1850"/>
      <c r="E1045" s="1850"/>
      <c r="F1045" s="1850"/>
      <c r="G1045" s="1850"/>
      <c r="H1045" s="1850"/>
      <c r="I1045" s="1850"/>
      <c r="J1045" s="1850"/>
      <c r="K1045" s="1850"/>
      <c r="L1045" s="1850"/>
      <c r="M1045" s="1850"/>
      <c r="N1045" s="1850"/>
      <c r="O1045" s="1850"/>
      <c r="P1045" s="1850"/>
      <c r="Q1045" s="1850"/>
      <c r="R1045" s="1850"/>
      <c r="S1045" s="1850"/>
      <c r="T1045" s="1850"/>
      <c r="U1045" s="1850"/>
      <c r="V1045" s="1850"/>
      <c r="W1045" s="1850"/>
      <c r="X1045" s="1850"/>
      <c r="Y1045" s="1850"/>
      <c r="Z1045" s="1850"/>
      <c r="AA1045" s="1850"/>
      <c r="AB1045" s="1850"/>
      <c r="AC1045" s="1850"/>
      <c r="AD1045" s="1850"/>
      <c r="AE1045" s="1850"/>
      <c r="AF1045" s="1850"/>
      <c r="AG1045" s="1850"/>
      <c r="AH1045" s="1850"/>
      <c r="AI1045" s="1850"/>
      <c r="AJ1045" s="1850"/>
      <c r="AK1045" s="1850"/>
      <c r="AL1045" s="131"/>
      <c r="AM1045" s="1489"/>
      <c r="AN1045" s="1489"/>
      <c r="AO1045" s="1489"/>
      <c r="AP1045" s="1489"/>
      <c r="AQ1045" s="1489"/>
      <c r="AR1045" s="1489"/>
      <c r="AS1045" s="1489"/>
      <c r="AT1045" s="1489"/>
      <c r="AU1045" s="1489"/>
      <c r="AV1045" s="1489"/>
      <c r="AW1045" s="1489"/>
      <c r="AX1045" s="1489"/>
      <c r="AY1045" s="1489"/>
    </row>
    <row r="1046" spans="1:51" ht="12.75" customHeight="1">
      <c r="A1046" s="235"/>
      <c r="B1046" s="235"/>
      <c r="C1046" s="13"/>
      <c r="D1046" s="1850"/>
      <c r="E1046" s="1850"/>
      <c r="F1046" s="1850"/>
      <c r="G1046" s="1850"/>
      <c r="H1046" s="1850"/>
      <c r="I1046" s="1850"/>
      <c r="J1046" s="1850"/>
      <c r="K1046" s="1850"/>
      <c r="L1046" s="1850"/>
      <c r="M1046" s="1850"/>
      <c r="N1046" s="1850"/>
      <c r="O1046" s="1850"/>
      <c r="P1046" s="1850"/>
      <c r="Q1046" s="1850"/>
      <c r="R1046" s="1850"/>
      <c r="S1046" s="1850"/>
      <c r="T1046" s="1850"/>
      <c r="U1046" s="1850"/>
      <c r="V1046" s="1850"/>
      <c r="W1046" s="1850"/>
      <c r="X1046" s="1850"/>
      <c r="Y1046" s="1850"/>
      <c r="Z1046" s="1850"/>
      <c r="AA1046" s="1850"/>
      <c r="AB1046" s="1850"/>
      <c r="AC1046" s="1850"/>
      <c r="AD1046" s="1850"/>
      <c r="AE1046" s="1850"/>
      <c r="AF1046" s="1850"/>
      <c r="AG1046" s="1850"/>
      <c r="AH1046" s="1850"/>
      <c r="AI1046" s="1850"/>
      <c r="AJ1046" s="1850"/>
      <c r="AK1046" s="1850"/>
      <c r="AL1046" s="105"/>
      <c r="AM1046" s="1488"/>
      <c r="AN1046" s="1488"/>
      <c r="AO1046" s="1488"/>
      <c r="AP1046" s="1488"/>
      <c r="AQ1046" s="1488"/>
      <c r="AR1046" s="1488"/>
      <c r="AS1046" s="1488"/>
      <c r="AT1046" s="1488"/>
      <c r="AU1046" s="1488"/>
      <c r="AV1046" s="1488"/>
      <c r="AW1046" s="1488"/>
      <c r="AX1046" s="1488"/>
      <c r="AY1046" s="1488"/>
    </row>
    <row r="1047" spans="1:51" ht="12.75" customHeight="1">
      <c r="A1047" s="235"/>
      <c r="B1047" s="235"/>
      <c r="C1047" s="13"/>
      <c r="D1047" s="1850"/>
      <c r="E1047" s="1850"/>
      <c r="F1047" s="1850"/>
      <c r="G1047" s="1850"/>
      <c r="H1047" s="1850"/>
      <c r="I1047" s="1850"/>
      <c r="J1047" s="1850"/>
      <c r="K1047" s="1850"/>
      <c r="L1047" s="1850"/>
      <c r="M1047" s="1850"/>
      <c r="N1047" s="1850"/>
      <c r="O1047" s="1850"/>
      <c r="P1047" s="1850"/>
      <c r="Q1047" s="1850"/>
      <c r="R1047" s="1850"/>
      <c r="S1047" s="1850"/>
      <c r="T1047" s="1850"/>
      <c r="U1047" s="1850"/>
      <c r="V1047" s="1850"/>
      <c r="W1047" s="1850"/>
      <c r="X1047" s="1850"/>
      <c r="Y1047" s="1850"/>
      <c r="Z1047" s="1850"/>
      <c r="AA1047" s="1850"/>
      <c r="AB1047" s="1850"/>
      <c r="AC1047" s="1850"/>
      <c r="AD1047" s="1850"/>
      <c r="AE1047" s="1850"/>
      <c r="AF1047" s="1850"/>
      <c r="AG1047" s="1850"/>
      <c r="AH1047" s="1850"/>
      <c r="AI1047" s="1850"/>
      <c r="AJ1047" s="1850"/>
      <c r="AK1047" s="1850"/>
      <c r="AL1047" s="105"/>
      <c r="AM1047" s="1488"/>
      <c r="AN1047" s="1488"/>
      <c r="AO1047" s="1488"/>
      <c r="AP1047" s="1488"/>
      <c r="AQ1047" s="1488"/>
      <c r="AR1047" s="1488"/>
      <c r="AS1047" s="1488"/>
      <c r="AT1047" s="1488"/>
      <c r="AU1047" s="1488"/>
      <c r="AV1047" s="1488"/>
      <c r="AW1047" s="1488"/>
      <c r="AX1047" s="1488"/>
      <c r="AY1047" s="1488"/>
    </row>
    <row r="1048" spans="1:51" ht="12.75" customHeight="1">
      <c r="A1048" s="235"/>
      <c r="B1048" s="235"/>
      <c r="C1048" s="13"/>
      <c r="D1048" s="1850"/>
      <c r="E1048" s="1850"/>
      <c r="F1048" s="1850"/>
      <c r="G1048" s="1850"/>
      <c r="H1048" s="1850"/>
      <c r="I1048" s="1850"/>
      <c r="J1048" s="1850"/>
      <c r="K1048" s="1850"/>
      <c r="L1048" s="1850"/>
      <c r="M1048" s="1850"/>
      <c r="N1048" s="1850"/>
      <c r="O1048" s="1850"/>
      <c r="P1048" s="1850"/>
      <c r="Q1048" s="1850"/>
      <c r="R1048" s="1850"/>
      <c r="S1048" s="1850"/>
      <c r="T1048" s="1850"/>
      <c r="U1048" s="1850"/>
      <c r="V1048" s="1850"/>
      <c r="W1048" s="1850"/>
      <c r="X1048" s="1850"/>
      <c r="Y1048" s="1850"/>
      <c r="Z1048" s="1850"/>
      <c r="AA1048" s="1850"/>
      <c r="AB1048" s="1850"/>
      <c r="AC1048" s="1850"/>
      <c r="AD1048" s="1850"/>
      <c r="AE1048" s="1850"/>
      <c r="AF1048" s="1850"/>
      <c r="AG1048" s="1850"/>
      <c r="AH1048" s="1850"/>
      <c r="AI1048" s="1850"/>
      <c r="AJ1048" s="1850"/>
      <c r="AK1048" s="1850"/>
      <c r="AL1048" s="105"/>
      <c r="AM1048" s="1488"/>
      <c r="AN1048" s="1488"/>
      <c r="AO1048" s="1488"/>
      <c r="AP1048" s="1488"/>
      <c r="AQ1048" s="1488"/>
      <c r="AR1048" s="1488"/>
      <c r="AS1048" s="1488"/>
      <c r="AT1048" s="1488"/>
      <c r="AU1048" s="1488"/>
      <c r="AV1048" s="1488"/>
      <c r="AW1048" s="1488"/>
      <c r="AX1048" s="1488"/>
      <c r="AY1048" s="1488"/>
    </row>
    <row r="1049" spans="1:51" ht="12.75" customHeight="1">
      <c r="A1049" s="37"/>
      <c r="B1049" s="66"/>
      <c r="C1049" s="13"/>
      <c r="D1049" s="1850"/>
      <c r="E1049" s="1850"/>
      <c r="F1049" s="1850"/>
      <c r="G1049" s="1850"/>
      <c r="H1049" s="1850"/>
      <c r="I1049" s="1850"/>
      <c r="J1049" s="1850"/>
      <c r="K1049" s="1850"/>
      <c r="L1049" s="1850"/>
      <c r="M1049" s="1850"/>
      <c r="N1049" s="1850"/>
      <c r="O1049" s="1850"/>
      <c r="P1049" s="1850"/>
      <c r="Q1049" s="1850"/>
      <c r="R1049" s="1850"/>
      <c r="S1049" s="1850"/>
      <c r="T1049" s="1850"/>
      <c r="U1049" s="1850"/>
      <c r="V1049" s="1850"/>
      <c r="W1049" s="1850"/>
      <c r="X1049" s="1850"/>
      <c r="Y1049" s="1850"/>
      <c r="Z1049" s="1850"/>
      <c r="AA1049" s="1850"/>
      <c r="AB1049" s="1850"/>
      <c r="AC1049" s="1850"/>
      <c r="AD1049" s="1850"/>
      <c r="AE1049" s="1850"/>
      <c r="AF1049" s="1850"/>
      <c r="AG1049" s="1850"/>
      <c r="AH1049" s="1850"/>
      <c r="AI1049" s="1850"/>
      <c r="AJ1049" s="1850"/>
      <c r="AK1049" s="1850"/>
      <c r="AL1049" s="105"/>
      <c r="AM1049" s="1488"/>
      <c r="AN1049" s="1488"/>
      <c r="AO1049" s="1488"/>
      <c r="AP1049" s="1488"/>
      <c r="AQ1049" s="1488"/>
      <c r="AR1049" s="1488"/>
      <c r="AS1049" s="1488"/>
      <c r="AT1049" s="1488"/>
      <c r="AU1049" s="1488"/>
      <c r="AV1049" s="1488"/>
      <c r="AW1049" s="1488"/>
      <c r="AX1049" s="1488"/>
      <c r="AY1049" s="1488"/>
    </row>
    <row r="1050" spans="1:51" ht="12.75" customHeight="1">
      <c r="A1050" s="1991" t="s">
        <v>624</v>
      </c>
      <c r="B1050" s="1991"/>
      <c r="C1050" s="13">
        <v>2</v>
      </c>
      <c r="D1050" s="1850" t="s">
        <v>1215</v>
      </c>
      <c r="E1050" s="1850"/>
      <c r="F1050" s="1850"/>
      <c r="G1050" s="1850"/>
      <c r="H1050" s="1850"/>
      <c r="I1050" s="1850"/>
      <c r="J1050" s="1850"/>
      <c r="K1050" s="1850"/>
      <c r="L1050" s="1850"/>
      <c r="M1050" s="1850"/>
      <c r="N1050" s="1850"/>
      <c r="O1050" s="1850"/>
      <c r="P1050" s="1850"/>
      <c r="Q1050" s="1850"/>
      <c r="R1050" s="1850"/>
      <c r="S1050" s="1850"/>
      <c r="T1050" s="1850"/>
      <c r="U1050" s="1850"/>
      <c r="V1050" s="1850"/>
      <c r="W1050" s="1850"/>
      <c r="X1050" s="1850"/>
      <c r="Y1050" s="1850"/>
      <c r="Z1050" s="1850"/>
      <c r="AA1050" s="1850"/>
      <c r="AB1050" s="1850"/>
      <c r="AC1050" s="1850"/>
      <c r="AD1050" s="1850"/>
      <c r="AE1050" s="1850"/>
      <c r="AF1050" s="1850"/>
      <c r="AG1050" s="1850"/>
      <c r="AH1050" s="1850"/>
      <c r="AI1050" s="1850"/>
      <c r="AJ1050" s="1850"/>
      <c r="AK1050" s="1850"/>
      <c r="AL1050" s="105"/>
      <c r="AM1050" s="1488"/>
      <c r="AN1050" s="1488"/>
      <c r="AO1050" s="1488"/>
      <c r="AP1050" s="1488"/>
      <c r="AQ1050" s="1488"/>
      <c r="AR1050" s="1488"/>
      <c r="AS1050" s="1488"/>
      <c r="AT1050" s="1488"/>
      <c r="AU1050" s="1488"/>
      <c r="AV1050" s="1488"/>
      <c r="AW1050" s="1488"/>
      <c r="AX1050" s="1488"/>
      <c r="AY1050" s="1488"/>
    </row>
    <row r="1051" spans="1:51" ht="12.75" customHeight="1">
      <c r="A1051" s="235"/>
      <c r="B1051" s="235"/>
      <c r="C1051" s="13"/>
      <c r="D1051" s="1850"/>
      <c r="E1051" s="1850"/>
      <c r="F1051" s="1850"/>
      <c r="G1051" s="1850"/>
      <c r="H1051" s="1850"/>
      <c r="I1051" s="1850"/>
      <c r="J1051" s="1850"/>
      <c r="K1051" s="1850"/>
      <c r="L1051" s="1850"/>
      <c r="M1051" s="1850"/>
      <c r="N1051" s="1850"/>
      <c r="O1051" s="1850"/>
      <c r="P1051" s="1850"/>
      <c r="Q1051" s="1850"/>
      <c r="R1051" s="1850"/>
      <c r="S1051" s="1850"/>
      <c r="T1051" s="1850"/>
      <c r="U1051" s="1850"/>
      <c r="V1051" s="1850"/>
      <c r="W1051" s="1850"/>
      <c r="X1051" s="1850"/>
      <c r="Y1051" s="1850"/>
      <c r="Z1051" s="1850"/>
      <c r="AA1051" s="1850"/>
      <c r="AB1051" s="1850"/>
      <c r="AC1051" s="1850"/>
      <c r="AD1051" s="1850"/>
      <c r="AE1051" s="1850"/>
      <c r="AF1051" s="1850"/>
      <c r="AG1051" s="1850"/>
      <c r="AH1051" s="1850"/>
      <c r="AI1051" s="1850"/>
      <c r="AJ1051" s="1850"/>
      <c r="AK1051" s="1850"/>
      <c r="AL1051" s="105"/>
      <c r="AM1051" s="1488"/>
      <c r="AN1051" s="1488"/>
      <c r="AO1051" s="1488"/>
      <c r="AP1051" s="1488"/>
      <c r="AQ1051" s="1488"/>
      <c r="AR1051" s="1488"/>
      <c r="AS1051" s="1488"/>
      <c r="AT1051" s="1488"/>
      <c r="AU1051" s="1488"/>
      <c r="AV1051" s="1488"/>
      <c r="AW1051" s="1488"/>
      <c r="AX1051" s="1488"/>
      <c r="AY1051" s="1488"/>
    </row>
    <row r="1052" spans="1:51" ht="12.75" customHeight="1">
      <c r="A1052" s="235"/>
      <c r="B1052" s="235"/>
      <c r="C1052" s="13"/>
      <c r="D1052" s="1850"/>
      <c r="E1052" s="1850"/>
      <c r="F1052" s="1850"/>
      <c r="G1052" s="1850"/>
      <c r="H1052" s="1850"/>
      <c r="I1052" s="1850"/>
      <c r="J1052" s="1850"/>
      <c r="K1052" s="1850"/>
      <c r="L1052" s="1850"/>
      <c r="M1052" s="1850"/>
      <c r="N1052" s="1850"/>
      <c r="O1052" s="1850"/>
      <c r="P1052" s="1850"/>
      <c r="Q1052" s="1850"/>
      <c r="R1052" s="1850"/>
      <c r="S1052" s="1850"/>
      <c r="T1052" s="1850"/>
      <c r="U1052" s="1850"/>
      <c r="V1052" s="1850"/>
      <c r="W1052" s="1850"/>
      <c r="X1052" s="1850"/>
      <c r="Y1052" s="1850"/>
      <c r="Z1052" s="1850"/>
      <c r="AA1052" s="1850"/>
      <c r="AB1052" s="1850"/>
      <c r="AC1052" s="1850"/>
      <c r="AD1052" s="1850"/>
      <c r="AE1052" s="1850"/>
      <c r="AF1052" s="1850"/>
      <c r="AG1052" s="1850"/>
      <c r="AH1052" s="1850"/>
      <c r="AI1052" s="1850"/>
      <c r="AJ1052" s="1850"/>
      <c r="AK1052" s="1850"/>
      <c r="AL1052" s="105"/>
      <c r="AM1052" s="1488"/>
      <c r="AN1052" s="1488"/>
      <c r="AO1052" s="1488"/>
      <c r="AP1052" s="1488"/>
      <c r="AQ1052" s="1488"/>
      <c r="AR1052" s="1488"/>
      <c r="AS1052" s="1488"/>
      <c r="AT1052" s="1488"/>
      <c r="AU1052" s="1488"/>
      <c r="AV1052" s="1488"/>
      <c r="AW1052" s="1488"/>
      <c r="AX1052" s="1488"/>
      <c r="AY1052" s="1488"/>
    </row>
    <row r="1053" spans="1:51" ht="12.75" customHeight="1">
      <c r="A1053" s="235"/>
      <c r="B1053" s="235"/>
      <c r="C1053" s="13"/>
      <c r="D1053" s="1850"/>
      <c r="E1053" s="1850"/>
      <c r="F1053" s="1850"/>
      <c r="G1053" s="1850"/>
      <c r="H1053" s="1850"/>
      <c r="I1053" s="1850"/>
      <c r="J1053" s="1850"/>
      <c r="K1053" s="1850"/>
      <c r="L1053" s="1850"/>
      <c r="M1053" s="1850"/>
      <c r="N1053" s="1850"/>
      <c r="O1053" s="1850"/>
      <c r="P1053" s="1850"/>
      <c r="Q1053" s="1850"/>
      <c r="R1053" s="1850"/>
      <c r="S1053" s="1850"/>
      <c r="T1053" s="1850"/>
      <c r="U1053" s="1850"/>
      <c r="V1053" s="1850"/>
      <c r="W1053" s="1850"/>
      <c r="X1053" s="1850"/>
      <c r="Y1053" s="1850"/>
      <c r="Z1053" s="1850"/>
      <c r="AA1053" s="1850"/>
      <c r="AB1053" s="1850"/>
      <c r="AC1053" s="1850"/>
      <c r="AD1053" s="1850"/>
      <c r="AE1053" s="1850"/>
      <c r="AF1053" s="1850"/>
      <c r="AG1053" s="1850"/>
      <c r="AH1053" s="1850"/>
      <c r="AI1053" s="1850"/>
      <c r="AJ1053" s="1850"/>
      <c r="AK1053" s="1850"/>
      <c r="AL1053" s="105"/>
      <c r="AM1053" s="1488"/>
      <c r="AN1053" s="1488"/>
      <c r="AO1053" s="1488"/>
      <c r="AP1053" s="1488"/>
      <c r="AQ1053" s="1488"/>
      <c r="AR1053" s="1488"/>
      <c r="AS1053" s="1488"/>
      <c r="AT1053" s="1488"/>
      <c r="AU1053" s="1488"/>
      <c r="AV1053" s="1488"/>
      <c r="AW1053" s="1488"/>
      <c r="AX1053" s="1488"/>
      <c r="AY1053" s="1488"/>
    </row>
    <row r="1054" spans="1:51" ht="12.75" customHeight="1">
      <c r="A1054" s="235"/>
      <c r="B1054" s="235"/>
      <c r="C1054" s="13"/>
      <c r="D1054" s="1850"/>
      <c r="E1054" s="1850"/>
      <c r="F1054" s="1850"/>
      <c r="G1054" s="1850"/>
      <c r="H1054" s="1850"/>
      <c r="I1054" s="1850"/>
      <c r="J1054" s="1850"/>
      <c r="K1054" s="1850"/>
      <c r="L1054" s="1850"/>
      <c r="M1054" s="1850"/>
      <c r="N1054" s="1850"/>
      <c r="O1054" s="1850"/>
      <c r="P1054" s="1850"/>
      <c r="Q1054" s="1850"/>
      <c r="R1054" s="1850"/>
      <c r="S1054" s="1850"/>
      <c r="T1054" s="1850"/>
      <c r="U1054" s="1850"/>
      <c r="V1054" s="1850"/>
      <c r="W1054" s="1850"/>
      <c r="X1054" s="1850"/>
      <c r="Y1054" s="1850"/>
      <c r="Z1054" s="1850"/>
      <c r="AA1054" s="1850"/>
      <c r="AB1054" s="1850"/>
      <c r="AC1054" s="1850"/>
      <c r="AD1054" s="1850"/>
      <c r="AE1054" s="1850"/>
      <c r="AF1054" s="1850"/>
      <c r="AG1054" s="1850"/>
      <c r="AH1054" s="1850"/>
      <c r="AI1054" s="1850"/>
      <c r="AJ1054" s="1850"/>
      <c r="AK1054" s="1850"/>
      <c r="AL1054" s="105"/>
      <c r="AM1054" s="1488"/>
      <c r="AN1054" s="1488"/>
      <c r="AO1054" s="1488"/>
      <c r="AP1054" s="1488"/>
      <c r="AQ1054" s="1488"/>
      <c r="AR1054" s="1488"/>
      <c r="AS1054" s="1488"/>
      <c r="AT1054" s="1488"/>
      <c r="AU1054" s="1488"/>
      <c r="AV1054" s="1488"/>
      <c r="AW1054" s="1488"/>
      <c r="AX1054" s="1488"/>
      <c r="AY1054" s="1488"/>
    </row>
    <row r="1055" spans="1:51" ht="12.75" customHeight="1">
      <c r="A1055" s="235"/>
      <c r="B1055" s="235"/>
      <c r="C1055" s="13"/>
      <c r="D1055" s="1850"/>
      <c r="E1055" s="1850"/>
      <c r="F1055" s="1850"/>
      <c r="G1055" s="1850"/>
      <c r="H1055" s="1850"/>
      <c r="I1055" s="1850"/>
      <c r="J1055" s="1850"/>
      <c r="K1055" s="1850"/>
      <c r="L1055" s="1850"/>
      <c r="M1055" s="1850"/>
      <c r="N1055" s="1850"/>
      <c r="O1055" s="1850"/>
      <c r="P1055" s="1850"/>
      <c r="Q1055" s="1850"/>
      <c r="R1055" s="1850"/>
      <c r="S1055" s="1850"/>
      <c r="T1055" s="1850"/>
      <c r="U1055" s="1850"/>
      <c r="V1055" s="1850"/>
      <c r="W1055" s="1850"/>
      <c r="X1055" s="1850"/>
      <c r="Y1055" s="1850"/>
      <c r="Z1055" s="1850"/>
      <c r="AA1055" s="1850"/>
      <c r="AB1055" s="1850"/>
      <c r="AC1055" s="1850"/>
      <c r="AD1055" s="1850"/>
      <c r="AE1055" s="1850"/>
      <c r="AF1055" s="1850"/>
      <c r="AG1055" s="1850"/>
      <c r="AH1055" s="1850"/>
      <c r="AI1055" s="1850"/>
      <c r="AJ1055" s="1850"/>
      <c r="AK1055" s="1850"/>
    </row>
    <row r="1056" spans="1:51" ht="12.75" customHeight="1">
      <c r="A1056" s="1991" t="s">
        <v>624</v>
      </c>
      <c r="B1056" s="1991"/>
      <c r="C1056" s="13">
        <v>3</v>
      </c>
      <c r="D1056" s="1850" t="s">
        <v>1520</v>
      </c>
      <c r="E1056" s="1850"/>
      <c r="F1056" s="1850"/>
      <c r="G1056" s="1850"/>
      <c r="H1056" s="1850"/>
      <c r="I1056" s="1850"/>
      <c r="J1056" s="1850"/>
      <c r="K1056" s="1850"/>
      <c r="L1056" s="1850"/>
      <c r="M1056" s="1850"/>
      <c r="N1056" s="1850"/>
      <c r="O1056" s="1850"/>
      <c r="P1056" s="1850"/>
      <c r="Q1056" s="1850"/>
      <c r="R1056" s="1850"/>
      <c r="S1056" s="1850"/>
      <c r="T1056" s="1850"/>
      <c r="U1056" s="1850"/>
      <c r="V1056" s="1850"/>
      <c r="W1056" s="1850"/>
      <c r="X1056" s="1850"/>
      <c r="Y1056" s="1850"/>
      <c r="Z1056" s="1850"/>
      <c r="AA1056" s="1850"/>
      <c r="AB1056" s="1850"/>
      <c r="AC1056" s="1850"/>
      <c r="AD1056" s="1850"/>
      <c r="AE1056" s="1850"/>
      <c r="AF1056" s="1850"/>
      <c r="AG1056" s="1850"/>
      <c r="AH1056" s="1850"/>
      <c r="AI1056" s="1850"/>
      <c r="AJ1056" s="1850"/>
      <c r="AK1056" s="1850"/>
    </row>
    <row r="1057" spans="1:96" ht="12.75" customHeight="1">
      <c r="A1057" s="130"/>
      <c r="B1057" s="130"/>
      <c r="C1057" s="13"/>
      <c r="D1057" s="1850"/>
      <c r="E1057" s="1850"/>
      <c r="F1057" s="1850"/>
      <c r="G1057" s="1850"/>
      <c r="H1057" s="1850"/>
      <c r="I1057" s="1850"/>
      <c r="J1057" s="1850"/>
      <c r="K1057" s="1850"/>
      <c r="L1057" s="1850"/>
      <c r="M1057" s="1850"/>
      <c r="N1057" s="1850"/>
      <c r="O1057" s="1850"/>
      <c r="P1057" s="1850"/>
      <c r="Q1057" s="1850"/>
      <c r="R1057" s="1850"/>
      <c r="S1057" s="1850"/>
      <c r="T1057" s="1850"/>
      <c r="U1057" s="1850"/>
      <c r="V1057" s="1850"/>
      <c r="W1057" s="1850"/>
      <c r="X1057" s="1850"/>
      <c r="Y1057" s="1850"/>
      <c r="Z1057" s="1850"/>
      <c r="AA1057" s="1850"/>
      <c r="AB1057" s="1850"/>
      <c r="AC1057" s="1850"/>
      <c r="AD1057" s="1850"/>
      <c r="AE1057" s="1850"/>
      <c r="AF1057" s="1850"/>
      <c r="AG1057" s="1850"/>
      <c r="AH1057" s="1850"/>
      <c r="AI1057" s="1850"/>
      <c r="AJ1057" s="1850"/>
      <c r="AK1057" s="1850"/>
      <c r="AL1057" s="717"/>
    </row>
    <row r="1058" spans="1:96" ht="12.75" customHeight="1">
      <c r="A1058" s="130"/>
      <c r="B1058" s="130"/>
      <c r="C1058" s="13"/>
      <c r="D1058" s="1850"/>
      <c r="E1058" s="1850"/>
      <c r="F1058" s="1850"/>
      <c r="G1058" s="1850"/>
      <c r="H1058" s="1850"/>
      <c r="I1058" s="1850"/>
      <c r="J1058" s="1850"/>
      <c r="K1058" s="1850"/>
      <c r="L1058" s="1850"/>
      <c r="M1058" s="1850"/>
      <c r="N1058" s="1850"/>
      <c r="O1058" s="1850"/>
      <c r="P1058" s="1850"/>
      <c r="Q1058" s="1850"/>
      <c r="R1058" s="1850"/>
      <c r="S1058" s="1850"/>
      <c r="T1058" s="1850"/>
      <c r="U1058" s="1850"/>
      <c r="V1058" s="1850"/>
      <c r="W1058" s="1850"/>
      <c r="X1058" s="1850"/>
      <c r="Y1058" s="1850"/>
      <c r="Z1058" s="1850"/>
      <c r="AA1058" s="1850"/>
      <c r="AB1058" s="1850"/>
      <c r="AC1058" s="1850"/>
      <c r="AD1058" s="1850"/>
      <c r="AE1058" s="1850"/>
      <c r="AF1058" s="1850"/>
      <c r="AG1058" s="1850"/>
      <c r="AH1058" s="1850"/>
      <c r="AI1058" s="1850"/>
      <c r="AJ1058" s="1850"/>
      <c r="AK1058" s="1850"/>
    </row>
    <row r="1059" spans="1:96" s="717" customFormat="1" ht="12.75" customHeight="1">
      <c r="A1059" s="62"/>
      <c r="B1059" s="66"/>
      <c r="C1059" s="13"/>
      <c r="D1059" s="1850"/>
      <c r="E1059" s="1850"/>
      <c r="F1059" s="1850"/>
      <c r="G1059" s="1850"/>
      <c r="H1059" s="1850"/>
      <c r="I1059" s="1850"/>
      <c r="J1059" s="1850"/>
      <c r="K1059" s="1850"/>
      <c r="L1059" s="1850"/>
      <c r="M1059" s="1850"/>
      <c r="N1059" s="1850"/>
      <c r="O1059" s="1850"/>
      <c r="P1059" s="1850"/>
      <c r="Q1059" s="1850"/>
      <c r="R1059" s="1850"/>
      <c r="S1059" s="1850"/>
      <c r="T1059" s="1850"/>
      <c r="U1059" s="1850"/>
      <c r="V1059" s="1850"/>
      <c r="W1059" s="1850"/>
      <c r="X1059" s="1850"/>
      <c r="Y1059" s="1850"/>
      <c r="Z1059" s="1850"/>
      <c r="AA1059" s="1850"/>
      <c r="AB1059" s="1850"/>
      <c r="AC1059" s="1850"/>
      <c r="AD1059" s="1850"/>
      <c r="AE1059" s="1850"/>
      <c r="AF1059" s="1850"/>
      <c r="AG1059" s="1850"/>
      <c r="AH1059" s="1850"/>
      <c r="AI1059" s="1850"/>
      <c r="AJ1059" s="1850"/>
      <c r="AK1059" s="1850"/>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50"/>
      <c r="E1060" s="1850"/>
      <c r="F1060" s="1850"/>
      <c r="G1060" s="1850"/>
      <c r="H1060" s="1850"/>
      <c r="I1060" s="1850"/>
      <c r="J1060" s="1850"/>
      <c r="K1060" s="1850"/>
      <c r="L1060" s="1850"/>
      <c r="M1060" s="1850"/>
      <c r="N1060" s="1850"/>
      <c r="O1060" s="1850"/>
      <c r="P1060" s="1850"/>
      <c r="Q1060" s="1850"/>
      <c r="R1060" s="1850"/>
      <c r="S1060" s="1850"/>
      <c r="T1060" s="1850"/>
      <c r="U1060" s="1850"/>
      <c r="V1060" s="1850"/>
      <c r="W1060" s="1850"/>
      <c r="X1060" s="1850"/>
      <c r="Y1060" s="1850"/>
      <c r="Z1060" s="1850"/>
      <c r="AA1060" s="1850"/>
      <c r="AB1060" s="1850"/>
      <c r="AC1060" s="1850"/>
      <c r="AD1060" s="1850"/>
      <c r="AE1060" s="1850"/>
      <c r="AF1060" s="1850"/>
      <c r="AG1060" s="1850"/>
      <c r="AH1060" s="1850"/>
      <c r="AI1060" s="1850"/>
      <c r="AJ1060" s="1850"/>
      <c r="AK1060" s="1850"/>
    </row>
    <row r="1061" spans="1:96" ht="12.75" customHeight="1">
      <c r="A1061" s="62"/>
      <c r="B1061" s="66"/>
      <c r="C1061" s="13"/>
      <c r="D1061" s="1850"/>
      <c r="E1061" s="1850"/>
      <c r="F1061" s="1850"/>
      <c r="G1061" s="1850"/>
      <c r="H1061" s="1850"/>
      <c r="I1061" s="1850"/>
      <c r="J1061" s="1850"/>
      <c r="K1061" s="1850"/>
      <c r="L1061" s="1850"/>
      <c r="M1061" s="1850"/>
      <c r="N1061" s="1850"/>
      <c r="O1061" s="1850"/>
      <c r="P1061" s="1850"/>
      <c r="Q1061" s="1850"/>
      <c r="R1061" s="1850"/>
      <c r="S1061" s="1850"/>
      <c r="T1061" s="1850"/>
      <c r="U1061" s="1850"/>
      <c r="V1061" s="1850"/>
      <c r="W1061" s="1850"/>
      <c r="X1061" s="1850"/>
      <c r="Y1061" s="1850"/>
      <c r="Z1061" s="1850"/>
      <c r="AA1061" s="1850"/>
      <c r="AB1061" s="1850"/>
      <c r="AC1061" s="1850"/>
      <c r="AD1061" s="1850"/>
      <c r="AE1061" s="1850"/>
      <c r="AF1061" s="1850"/>
      <c r="AG1061" s="1850"/>
      <c r="AH1061" s="1850"/>
      <c r="AI1061" s="1850"/>
      <c r="AJ1061" s="1850"/>
      <c r="AK1061" s="1850"/>
    </row>
    <row r="1062" spans="1:96" ht="12.75" customHeight="1">
      <c r="A1062" s="62"/>
      <c r="B1062" s="66"/>
      <c r="C1062" s="13"/>
      <c r="D1062" s="1850"/>
      <c r="E1062" s="1850"/>
      <c r="F1062" s="1850"/>
      <c r="G1062" s="1850"/>
      <c r="H1062" s="1850"/>
      <c r="I1062" s="1850"/>
      <c r="J1062" s="1850"/>
      <c r="K1062" s="1850"/>
      <c r="L1062" s="1850"/>
      <c r="M1062" s="1850"/>
      <c r="N1062" s="1850"/>
      <c r="O1062" s="1850"/>
      <c r="P1062" s="1850"/>
      <c r="Q1062" s="1850"/>
      <c r="R1062" s="1850"/>
      <c r="S1062" s="1850"/>
      <c r="T1062" s="1850"/>
      <c r="U1062" s="1850"/>
      <c r="V1062" s="1850"/>
      <c r="W1062" s="1850"/>
      <c r="X1062" s="1850"/>
      <c r="Y1062" s="1850"/>
      <c r="Z1062" s="1850"/>
      <c r="AA1062" s="1850"/>
      <c r="AB1062" s="1850"/>
      <c r="AC1062" s="1850"/>
      <c r="AD1062" s="1850"/>
      <c r="AE1062" s="1850"/>
      <c r="AF1062" s="1850"/>
      <c r="AG1062" s="1850"/>
      <c r="AH1062" s="1850"/>
      <c r="AI1062" s="1850"/>
      <c r="AJ1062" s="1850"/>
      <c r="AK1062" s="1850"/>
    </row>
    <row r="1063" spans="1:96" ht="12.75" customHeight="1">
      <c r="A1063" s="1991" t="s">
        <v>624</v>
      </c>
      <c r="B1063" s="1991"/>
      <c r="C1063" s="13">
        <v>4</v>
      </c>
      <c r="D1063" s="1850" t="s">
        <v>1201</v>
      </c>
      <c r="E1063" s="1850"/>
      <c r="F1063" s="1850"/>
      <c r="G1063" s="1850"/>
      <c r="H1063" s="1850"/>
      <c r="I1063" s="1850"/>
      <c r="J1063" s="1850"/>
      <c r="K1063" s="1850"/>
      <c r="L1063" s="1850"/>
      <c r="M1063" s="1850"/>
      <c r="N1063" s="1850"/>
      <c r="O1063" s="1850"/>
      <c r="P1063" s="1850"/>
      <c r="Q1063" s="1850"/>
      <c r="R1063" s="1850"/>
      <c r="S1063" s="1850"/>
      <c r="T1063" s="1850"/>
      <c r="U1063" s="1850"/>
      <c r="V1063" s="1850"/>
      <c r="W1063" s="1850"/>
      <c r="X1063" s="1850"/>
      <c r="Y1063" s="1850"/>
      <c r="Z1063" s="1850"/>
      <c r="AA1063" s="1850"/>
      <c r="AB1063" s="1850"/>
      <c r="AC1063" s="1850"/>
      <c r="AD1063" s="1850"/>
      <c r="AE1063" s="1850"/>
      <c r="AF1063" s="1850"/>
      <c r="AG1063" s="1850"/>
      <c r="AH1063" s="1850"/>
      <c r="AI1063" s="1850"/>
      <c r="AJ1063" s="1850"/>
      <c r="AK1063" s="1850"/>
    </row>
    <row r="1064" spans="1:96" ht="12.75" customHeight="1">
      <c r="A1064" s="235"/>
      <c r="B1064" s="235"/>
      <c r="C1064" s="13"/>
      <c r="D1064" s="1850"/>
      <c r="E1064" s="1850"/>
      <c r="F1064" s="1850"/>
      <c r="G1064" s="1850"/>
      <c r="H1064" s="1850"/>
      <c r="I1064" s="1850"/>
      <c r="J1064" s="1850"/>
      <c r="K1064" s="1850"/>
      <c r="L1064" s="1850"/>
      <c r="M1064" s="1850"/>
      <c r="N1064" s="1850"/>
      <c r="O1064" s="1850"/>
      <c r="P1064" s="1850"/>
      <c r="Q1064" s="1850"/>
      <c r="R1064" s="1850"/>
      <c r="S1064" s="1850"/>
      <c r="T1064" s="1850"/>
      <c r="U1064" s="1850"/>
      <c r="V1064" s="1850"/>
      <c r="W1064" s="1850"/>
      <c r="X1064" s="1850"/>
      <c r="Y1064" s="1850"/>
      <c r="Z1064" s="1850"/>
      <c r="AA1064" s="1850"/>
      <c r="AB1064" s="1850"/>
      <c r="AC1064" s="1850"/>
      <c r="AD1064" s="1850"/>
      <c r="AE1064" s="1850"/>
      <c r="AF1064" s="1850"/>
      <c r="AG1064" s="1850"/>
      <c r="AH1064" s="1850"/>
      <c r="AI1064" s="1850"/>
      <c r="AJ1064" s="1850"/>
      <c r="AK1064" s="1850"/>
    </row>
    <row r="1065" spans="1:96" ht="12.75" customHeight="1">
      <c r="A1065" s="62"/>
      <c r="B1065" s="66"/>
      <c r="C1065" s="13"/>
      <c r="D1065" s="1850"/>
      <c r="E1065" s="1850"/>
      <c r="F1065" s="1850"/>
      <c r="G1065" s="1850"/>
      <c r="H1065" s="1850"/>
      <c r="I1065" s="1850"/>
      <c r="J1065" s="1850"/>
      <c r="K1065" s="1850"/>
      <c r="L1065" s="1850"/>
      <c r="M1065" s="1850"/>
      <c r="N1065" s="1850"/>
      <c r="O1065" s="1850"/>
      <c r="P1065" s="1850"/>
      <c r="Q1065" s="1850"/>
      <c r="R1065" s="1850"/>
      <c r="S1065" s="1850"/>
      <c r="T1065" s="1850"/>
      <c r="U1065" s="1850"/>
      <c r="V1065" s="1850"/>
      <c r="W1065" s="1850"/>
      <c r="X1065" s="1850"/>
      <c r="Y1065" s="1850"/>
      <c r="Z1065" s="1850"/>
      <c r="AA1065" s="1850"/>
      <c r="AB1065" s="1850"/>
      <c r="AC1065" s="1850"/>
      <c r="AD1065" s="1850"/>
      <c r="AE1065" s="1850"/>
      <c r="AF1065" s="1850"/>
      <c r="AG1065" s="1850"/>
      <c r="AH1065" s="1850"/>
      <c r="AI1065" s="1850"/>
      <c r="AJ1065" s="1850"/>
      <c r="AK1065" s="1850"/>
    </row>
    <row r="1066" spans="1:96" s="680" customFormat="1" ht="12.75" customHeight="1">
      <c r="A1066" s="1991" t="s">
        <v>624</v>
      </c>
      <c r="B1066" s="1991"/>
      <c r="C1066" s="13">
        <v>5</v>
      </c>
      <c r="D1066" s="1850" t="s">
        <v>1410</v>
      </c>
      <c r="E1066" s="1850"/>
      <c r="F1066" s="1850"/>
      <c r="G1066" s="1850"/>
      <c r="H1066" s="1850"/>
      <c r="I1066" s="1850"/>
      <c r="J1066" s="1850"/>
      <c r="K1066" s="1850"/>
      <c r="L1066" s="1850"/>
      <c r="M1066" s="1850"/>
      <c r="N1066" s="1850"/>
      <c r="O1066" s="1850"/>
      <c r="P1066" s="1850"/>
      <c r="Q1066" s="1850"/>
      <c r="R1066" s="1850"/>
      <c r="S1066" s="1850"/>
      <c r="T1066" s="1850"/>
      <c r="U1066" s="1850"/>
      <c r="V1066" s="1850"/>
      <c r="W1066" s="1850"/>
      <c r="X1066" s="1850"/>
      <c r="Y1066" s="1850"/>
      <c r="Z1066" s="1850"/>
      <c r="AA1066" s="1850"/>
      <c r="AB1066" s="1850"/>
      <c r="AC1066" s="1850"/>
      <c r="AD1066" s="1850"/>
      <c r="AE1066" s="1850"/>
      <c r="AF1066" s="1850"/>
      <c r="AG1066" s="1850"/>
      <c r="AH1066" s="1850"/>
      <c r="AI1066" s="1850"/>
      <c r="AJ1066" s="1850"/>
      <c r="AK1066" s="1850"/>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50"/>
      <c r="E1067" s="1850"/>
      <c r="F1067" s="1850"/>
      <c r="G1067" s="1850"/>
      <c r="H1067" s="1850"/>
      <c r="I1067" s="1850"/>
      <c r="J1067" s="1850"/>
      <c r="K1067" s="1850"/>
      <c r="L1067" s="1850"/>
      <c r="M1067" s="1850"/>
      <c r="N1067" s="1850"/>
      <c r="O1067" s="1850"/>
      <c r="P1067" s="1850"/>
      <c r="Q1067" s="1850"/>
      <c r="R1067" s="1850"/>
      <c r="S1067" s="1850"/>
      <c r="T1067" s="1850"/>
      <c r="U1067" s="1850"/>
      <c r="V1067" s="1850"/>
      <c r="W1067" s="1850"/>
      <c r="X1067" s="1850"/>
      <c r="Y1067" s="1850"/>
      <c r="Z1067" s="1850"/>
      <c r="AA1067" s="1850"/>
      <c r="AB1067" s="1850"/>
      <c r="AC1067" s="1850"/>
      <c r="AD1067" s="1850"/>
      <c r="AE1067" s="1850"/>
      <c r="AF1067" s="1850"/>
      <c r="AG1067" s="1850"/>
      <c r="AH1067" s="1850"/>
      <c r="AI1067" s="1850"/>
      <c r="AJ1067" s="1850"/>
      <c r="AK1067" s="1850"/>
    </row>
    <row r="1068" spans="1:96" ht="12.75" customHeight="1">
      <c r="A1068" s="235"/>
      <c r="B1068" s="235"/>
      <c r="C1068" s="13"/>
      <c r="D1068" s="1850"/>
      <c r="E1068" s="1850"/>
      <c r="F1068" s="1850"/>
      <c r="G1068" s="1850"/>
      <c r="H1068" s="1850"/>
      <c r="I1068" s="1850"/>
      <c r="J1068" s="1850"/>
      <c r="K1068" s="1850"/>
      <c r="L1068" s="1850"/>
      <c r="M1068" s="1850"/>
      <c r="N1068" s="1850"/>
      <c r="O1068" s="1850"/>
      <c r="P1068" s="1850"/>
      <c r="Q1068" s="1850"/>
      <c r="R1068" s="1850"/>
      <c r="S1068" s="1850"/>
      <c r="T1068" s="1850"/>
      <c r="U1068" s="1850"/>
      <c r="V1068" s="1850"/>
      <c r="W1068" s="1850"/>
      <c r="X1068" s="1850"/>
      <c r="Y1068" s="1850"/>
      <c r="Z1068" s="1850"/>
      <c r="AA1068" s="1850"/>
      <c r="AB1068" s="1850"/>
      <c r="AC1068" s="1850"/>
      <c r="AD1068" s="1850"/>
      <c r="AE1068" s="1850"/>
      <c r="AF1068" s="1850"/>
      <c r="AG1068" s="1850"/>
      <c r="AH1068" s="1850"/>
      <c r="AI1068" s="1850"/>
      <c r="AJ1068" s="1850"/>
      <c r="AK1068" s="1850"/>
    </row>
    <row r="1069" spans="1:96" ht="12.75" customHeight="1">
      <c r="A1069" s="235"/>
      <c r="B1069" s="235"/>
      <c r="C1069" s="13"/>
      <c r="D1069" s="1850"/>
      <c r="E1069" s="1850"/>
      <c r="F1069" s="1850"/>
      <c r="G1069" s="1850"/>
      <c r="H1069" s="1850"/>
      <c r="I1069" s="1850"/>
      <c r="J1069" s="1850"/>
      <c r="K1069" s="1850"/>
      <c r="L1069" s="1850"/>
      <c r="M1069" s="1850"/>
      <c r="N1069" s="1850"/>
      <c r="O1069" s="1850"/>
      <c r="P1069" s="1850"/>
      <c r="Q1069" s="1850"/>
      <c r="R1069" s="1850"/>
      <c r="S1069" s="1850"/>
      <c r="T1069" s="1850"/>
      <c r="U1069" s="1850"/>
      <c r="V1069" s="1850"/>
      <c r="W1069" s="1850"/>
      <c r="X1069" s="1850"/>
      <c r="Y1069" s="1850"/>
      <c r="Z1069" s="1850"/>
      <c r="AA1069" s="1850"/>
      <c r="AB1069" s="1850"/>
      <c r="AC1069" s="1850"/>
      <c r="AD1069" s="1850"/>
      <c r="AE1069" s="1850"/>
      <c r="AF1069" s="1850"/>
      <c r="AG1069" s="1850"/>
      <c r="AH1069" s="1850"/>
      <c r="AI1069" s="1850"/>
      <c r="AJ1069" s="1850"/>
      <c r="AK1069" s="1850"/>
      <c r="AL1069" s="680"/>
    </row>
    <row r="1070" spans="1:96" ht="12.75" customHeight="1">
      <c r="A1070" s="62"/>
      <c r="B1070" s="66"/>
      <c r="C1070" s="13"/>
      <c r="D1070" s="1850"/>
      <c r="E1070" s="1850"/>
      <c r="F1070" s="1850"/>
      <c r="G1070" s="1850"/>
      <c r="H1070" s="1850"/>
      <c r="I1070" s="1850"/>
      <c r="J1070" s="1850"/>
      <c r="K1070" s="1850"/>
      <c r="L1070" s="1850"/>
      <c r="M1070" s="1850"/>
      <c r="N1070" s="1850"/>
      <c r="O1070" s="1850"/>
      <c r="P1070" s="1850"/>
      <c r="Q1070" s="1850"/>
      <c r="R1070" s="1850"/>
      <c r="S1070" s="1850"/>
      <c r="T1070" s="1850"/>
      <c r="U1070" s="1850"/>
      <c r="V1070" s="1850"/>
      <c r="W1070" s="1850"/>
      <c r="X1070" s="1850"/>
      <c r="Y1070" s="1850"/>
      <c r="Z1070" s="1850"/>
      <c r="AA1070" s="1850"/>
      <c r="AB1070" s="1850"/>
      <c r="AC1070" s="1850"/>
      <c r="AD1070" s="1850"/>
      <c r="AE1070" s="1850"/>
      <c r="AF1070" s="1850"/>
      <c r="AG1070" s="1850"/>
      <c r="AH1070" s="1850"/>
      <c r="AI1070" s="1850"/>
      <c r="AJ1070" s="1850"/>
      <c r="AK1070" s="1850"/>
    </row>
    <row r="1071" spans="1:96" ht="12.75" customHeight="1">
      <c r="A1071" s="1991" t="s">
        <v>624</v>
      </c>
      <c r="B1071" s="1991"/>
      <c r="C1071" s="13">
        <v>6</v>
      </c>
      <c r="D1071" s="1850" t="s">
        <v>1202</v>
      </c>
      <c r="E1071" s="1850"/>
      <c r="F1071" s="1850"/>
      <c r="G1071" s="1850"/>
      <c r="H1071" s="1850"/>
      <c r="I1071" s="1850"/>
      <c r="J1071" s="1850"/>
      <c r="K1071" s="1850"/>
      <c r="L1071" s="1850"/>
      <c r="M1071" s="1850"/>
      <c r="N1071" s="1850"/>
      <c r="O1071" s="1850"/>
      <c r="P1071" s="1850"/>
      <c r="Q1071" s="1850"/>
      <c r="R1071" s="1850"/>
      <c r="S1071" s="1850"/>
      <c r="T1071" s="1850"/>
      <c r="U1071" s="1850"/>
      <c r="V1071" s="1850"/>
      <c r="W1071" s="1850"/>
      <c r="X1071" s="1850"/>
      <c r="Y1071" s="1850"/>
      <c r="Z1071" s="1850"/>
      <c r="AA1071" s="1850"/>
      <c r="AB1071" s="1850"/>
      <c r="AC1071" s="1850"/>
      <c r="AD1071" s="1850"/>
      <c r="AE1071" s="1850"/>
      <c r="AF1071" s="1850"/>
      <c r="AG1071" s="1850"/>
      <c r="AH1071" s="1850"/>
      <c r="AI1071" s="1850"/>
      <c r="AJ1071" s="1850"/>
      <c r="AK1071" s="1850"/>
    </row>
    <row r="1072" spans="1:96" ht="12.75" customHeight="1">
      <c r="A1072" s="62"/>
      <c r="B1072" s="317"/>
      <c r="C1072" s="13"/>
      <c r="D1072" s="1850"/>
      <c r="E1072" s="1850"/>
      <c r="F1072" s="1850"/>
      <c r="G1072" s="1850"/>
      <c r="H1072" s="1850"/>
      <c r="I1072" s="1850"/>
      <c r="J1072" s="1850"/>
      <c r="K1072" s="1850"/>
      <c r="L1072" s="1850"/>
      <c r="M1072" s="1850"/>
      <c r="N1072" s="1850"/>
      <c r="O1072" s="1850"/>
      <c r="P1072" s="1850"/>
      <c r="Q1072" s="1850"/>
      <c r="R1072" s="1850"/>
      <c r="S1072" s="1850"/>
      <c r="T1072" s="1850"/>
      <c r="U1072" s="1850"/>
      <c r="V1072" s="1850"/>
      <c r="W1072" s="1850"/>
      <c r="X1072" s="1850"/>
      <c r="Y1072" s="1850"/>
      <c r="Z1072" s="1850"/>
      <c r="AA1072" s="1850"/>
      <c r="AB1072" s="1850"/>
      <c r="AC1072" s="1850"/>
      <c r="AD1072" s="1850"/>
      <c r="AE1072" s="1850"/>
      <c r="AF1072" s="1850"/>
      <c r="AG1072" s="1850"/>
      <c r="AH1072" s="1850"/>
      <c r="AI1072" s="1850"/>
      <c r="AJ1072" s="1850"/>
      <c r="AK1072" s="1850"/>
    </row>
    <row r="1073" spans="1:96" ht="12.75" customHeight="1">
      <c r="A1073" s="62"/>
      <c r="B1073" s="66"/>
      <c r="C1073" s="13"/>
      <c r="D1073" s="1850"/>
      <c r="E1073" s="1850"/>
      <c r="F1073" s="1850"/>
      <c r="G1073" s="1850"/>
      <c r="H1073" s="1850"/>
      <c r="I1073" s="1850"/>
      <c r="J1073" s="1850"/>
      <c r="K1073" s="1850"/>
      <c r="L1073" s="1850"/>
      <c r="M1073" s="1850"/>
      <c r="N1073" s="1850"/>
      <c r="O1073" s="1850"/>
      <c r="P1073" s="1850"/>
      <c r="Q1073" s="1850"/>
      <c r="R1073" s="1850"/>
      <c r="S1073" s="1850"/>
      <c r="T1073" s="1850"/>
      <c r="U1073" s="1850"/>
      <c r="V1073" s="1850"/>
      <c r="W1073" s="1850"/>
      <c r="X1073" s="1850"/>
      <c r="Y1073" s="1850"/>
      <c r="Z1073" s="1850"/>
      <c r="AA1073" s="1850"/>
      <c r="AB1073" s="1850"/>
      <c r="AC1073" s="1850"/>
      <c r="AD1073" s="1850"/>
      <c r="AE1073" s="1850"/>
      <c r="AF1073" s="1850"/>
      <c r="AG1073" s="1850"/>
      <c r="AH1073" s="1850"/>
      <c r="AI1073" s="1850"/>
      <c r="AJ1073" s="1850"/>
      <c r="AK1073" s="1850"/>
    </row>
    <row r="1074" spans="1:96" ht="12.75" customHeight="1">
      <c r="A1074" s="1991" t="s">
        <v>624</v>
      </c>
      <c r="B1074" s="1991"/>
      <c r="C1074" s="318">
        <v>7</v>
      </c>
      <c r="D1074" s="1850" t="s">
        <v>1204</v>
      </c>
      <c r="E1074" s="1850"/>
      <c r="F1074" s="1850"/>
      <c r="G1074" s="1850"/>
      <c r="H1074" s="1850"/>
      <c r="I1074" s="1850"/>
      <c r="J1074" s="1850"/>
      <c r="K1074" s="1850"/>
      <c r="L1074" s="1850"/>
      <c r="M1074" s="1850"/>
      <c r="N1074" s="1850"/>
      <c r="O1074" s="1850"/>
      <c r="P1074" s="1850"/>
      <c r="Q1074" s="1850"/>
      <c r="R1074" s="1850"/>
      <c r="S1074" s="1850"/>
      <c r="T1074" s="1850"/>
      <c r="U1074" s="1850"/>
      <c r="V1074" s="1850"/>
      <c r="W1074" s="1850"/>
      <c r="X1074" s="1850"/>
      <c r="Y1074" s="1850"/>
      <c r="Z1074" s="1850"/>
      <c r="AA1074" s="1850"/>
      <c r="AB1074" s="1850"/>
      <c r="AC1074" s="1850"/>
      <c r="AD1074" s="1850"/>
      <c r="AE1074" s="1850"/>
      <c r="AF1074" s="1850"/>
      <c r="AG1074" s="1850"/>
      <c r="AH1074" s="1850"/>
      <c r="AI1074" s="1850"/>
      <c r="AJ1074" s="1850"/>
      <c r="AK1074" s="1850"/>
      <c r="AL1074" s="32"/>
      <c r="AM1074" s="1461"/>
      <c r="AN1074" s="1461"/>
      <c r="AO1074" s="1461"/>
      <c r="AP1074" s="1461"/>
      <c r="AQ1074" s="1461"/>
      <c r="AR1074" s="1461"/>
      <c r="AS1074" s="1461"/>
      <c r="AT1074" s="1461"/>
      <c r="AU1074" s="1461"/>
      <c r="AV1074" s="1461"/>
      <c r="AW1074" s="1461"/>
      <c r="AX1074" s="1461"/>
      <c r="AY1074" s="1461"/>
    </row>
    <row r="1075" spans="1:96" ht="12.75" customHeight="1">
      <c r="A1075" s="235"/>
      <c r="B1075" s="235"/>
      <c r="C1075" s="319"/>
      <c r="D1075" s="1850"/>
      <c r="E1075" s="1850"/>
      <c r="F1075" s="1850"/>
      <c r="G1075" s="1850"/>
      <c r="H1075" s="1850"/>
      <c r="I1075" s="1850"/>
      <c r="J1075" s="1850"/>
      <c r="K1075" s="1850"/>
      <c r="L1075" s="1850"/>
      <c r="M1075" s="1850"/>
      <c r="N1075" s="1850"/>
      <c r="O1075" s="1850"/>
      <c r="P1075" s="1850"/>
      <c r="Q1075" s="1850"/>
      <c r="R1075" s="1850"/>
      <c r="S1075" s="1850"/>
      <c r="T1075" s="1850"/>
      <c r="U1075" s="1850"/>
      <c r="V1075" s="1850"/>
      <c r="W1075" s="1850"/>
      <c r="X1075" s="1850"/>
      <c r="Y1075" s="1850"/>
      <c r="Z1075" s="1850"/>
      <c r="AA1075" s="1850"/>
      <c r="AB1075" s="1850"/>
      <c r="AC1075" s="1850"/>
      <c r="AD1075" s="1850"/>
      <c r="AE1075" s="1850"/>
      <c r="AF1075" s="1850"/>
      <c r="AG1075" s="1850"/>
      <c r="AH1075" s="1850"/>
      <c r="AI1075" s="1850"/>
      <c r="AJ1075" s="1850"/>
      <c r="AK1075" s="1850"/>
    </row>
    <row r="1076" spans="1:96" ht="12.75" customHeight="1">
      <c r="A1076" s="235"/>
      <c r="B1076" s="235"/>
      <c r="C1076" s="319"/>
      <c r="D1076" s="1850"/>
      <c r="E1076" s="1850"/>
      <c r="F1076" s="1850"/>
      <c r="G1076" s="1850"/>
      <c r="H1076" s="1850"/>
      <c r="I1076" s="1850"/>
      <c r="J1076" s="1850"/>
      <c r="K1076" s="1850"/>
      <c r="L1076" s="1850"/>
      <c r="M1076" s="1850"/>
      <c r="N1076" s="1850"/>
      <c r="O1076" s="1850"/>
      <c r="P1076" s="1850"/>
      <c r="Q1076" s="1850"/>
      <c r="R1076" s="1850"/>
      <c r="S1076" s="1850"/>
      <c r="T1076" s="1850"/>
      <c r="U1076" s="1850"/>
      <c r="V1076" s="1850"/>
      <c r="W1076" s="1850"/>
      <c r="X1076" s="1850"/>
      <c r="Y1076" s="1850"/>
      <c r="Z1076" s="1850"/>
      <c r="AA1076" s="1850"/>
      <c r="AB1076" s="1850"/>
      <c r="AC1076" s="1850"/>
      <c r="AD1076" s="1850"/>
      <c r="AE1076" s="1850"/>
      <c r="AF1076" s="1850"/>
      <c r="AG1076" s="1850"/>
      <c r="AH1076" s="1850"/>
      <c r="AI1076" s="1850"/>
      <c r="AJ1076" s="1850"/>
      <c r="AK1076" s="1850"/>
    </row>
    <row r="1077" spans="1:96" s="680" customFormat="1" ht="12.75" customHeight="1">
      <c r="A1077" s="62"/>
      <c r="B1077" s="66"/>
      <c r="C1077" s="318"/>
      <c r="D1077" s="1850"/>
      <c r="E1077" s="1850"/>
      <c r="F1077" s="1850"/>
      <c r="G1077" s="1850"/>
      <c r="H1077" s="1850"/>
      <c r="I1077" s="1850"/>
      <c r="J1077" s="1850"/>
      <c r="K1077" s="1850"/>
      <c r="L1077" s="1850"/>
      <c r="M1077" s="1850"/>
      <c r="N1077" s="1850"/>
      <c r="O1077" s="1850"/>
      <c r="P1077" s="1850"/>
      <c r="Q1077" s="1850"/>
      <c r="R1077" s="1850"/>
      <c r="S1077" s="1850"/>
      <c r="T1077" s="1850"/>
      <c r="U1077" s="1850"/>
      <c r="V1077" s="1850"/>
      <c r="W1077" s="1850"/>
      <c r="X1077" s="1850"/>
      <c r="Y1077" s="1850"/>
      <c r="Z1077" s="1850"/>
      <c r="AA1077" s="1850"/>
      <c r="AB1077" s="1850"/>
      <c r="AC1077" s="1850"/>
      <c r="AD1077" s="1850"/>
      <c r="AE1077" s="1850"/>
      <c r="AF1077" s="1850"/>
      <c r="AG1077" s="1850"/>
      <c r="AH1077" s="1850"/>
      <c r="AI1077" s="1850"/>
      <c r="AJ1077" s="1850"/>
      <c r="AK1077" s="1850"/>
      <c r="AL1077" s="12"/>
      <c r="AM1077" s="39"/>
      <c r="AN1077" s="39"/>
      <c r="AO1077" s="39"/>
      <c r="AP1077" s="39"/>
      <c r="AQ1077" s="39"/>
      <c r="AR1077" s="39"/>
      <c r="AS1077" s="39"/>
      <c r="AT1077" s="39"/>
      <c r="AU1077" s="39"/>
      <c r="AV1077" s="39"/>
      <c r="AW1077" s="39"/>
      <c r="AX1077" s="39"/>
      <c r="AY1077" s="39"/>
      <c r="CR1077" s="25"/>
    </row>
    <row r="1078" spans="1:96" ht="12.75" customHeight="1">
      <c r="A1078" s="1991" t="s">
        <v>624</v>
      </c>
      <c r="B1078" s="1991"/>
      <c r="C1078" s="318">
        <v>8</v>
      </c>
      <c r="D1078" s="2275" t="s">
        <v>2087</v>
      </c>
      <c r="E1078" s="2275"/>
      <c r="F1078" s="2275"/>
      <c r="G1078" s="2275"/>
      <c r="H1078" s="2275"/>
      <c r="I1078" s="2275"/>
      <c r="J1078" s="2275"/>
      <c r="K1078" s="2275"/>
      <c r="L1078" s="2275"/>
      <c r="M1078" s="2275"/>
      <c r="N1078" s="2275"/>
      <c r="O1078" s="2275"/>
      <c r="P1078" s="2275"/>
      <c r="Q1078" s="2275"/>
      <c r="R1078" s="2275"/>
      <c r="S1078" s="2275"/>
      <c r="T1078" s="2275"/>
      <c r="U1078" s="2275"/>
      <c r="V1078" s="2275"/>
      <c r="W1078" s="2275"/>
      <c r="X1078" s="2275"/>
      <c r="Y1078" s="2275"/>
      <c r="Z1078" s="2275"/>
      <c r="AA1078" s="2275"/>
      <c r="AB1078" s="2275"/>
      <c r="AC1078" s="2275"/>
      <c r="AD1078" s="2275"/>
      <c r="AE1078" s="2275"/>
      <c r="AF1078" s="2275"/>
      <c r="AG1078" s="2275"/>
      <c r="AH1078" s="2275"/>
      <c r="AI1078" s="2275"/>
      <c r="AJ1078" s="2275"/>
      <c r="AK1078" s="2275"/>
    </row>
    <row r="1079" spans="1:96" ht="12.75" customHeight="1">
      <c r="A1079" s="235"/>
      <c r="B1079" s="235"/>
      <c r="C1079" s="318"/>
      <c r="D1079" s="2275"/>
      <c r="E1079" s="2275"/>
      <c r="F1079" s="2275"/>
      <c r="G1079" s="2275"/>
      <c r="H1079" s="2275"/>
      <c r="I1079" s="2275"/>
      <c r="J1079" s="2275"/>
      <c r="K1079" s="2275"/>
      <c r="L1079" s="2275"/>
      <c r="M1079" s="2275"/>
      <c r="N1079" s="2275"/>
      <c r="O1079" s="2275"/>
      <c r="P1079" s="2275"/>
      <c r="Q1079" s="2275"/>
      <c r="R1079" s="2275"/>
      <c r="S1079" s="2275"/>
      <c r="T1079" s="2275"/>
      <c r="U1079" s="2275"/>
      <c r="V1079" s="2275"/>
      <c r="W1079" s="2275"/>
      <c r="X1079" s="2275"/>
      <c r="Y1079" s="2275"/>
      <c r="Z1079" s="2275"/>
      <c r="AA1079" s="2275"/>
      <c r="AB1079" s="2275"/>
      <c r="AC1079" s="2275"/>
      <c r="AD1079" s="2275"/>
      <c r="AE1079" s="2275"/>
      <c r="AF1079" s="2275"/>
      <c r="AG1079" s="2275"/>
      <c r="AH1079" s="2275"/>
      <c r="AI1079" s="2275"/>
      <c r="AJ1079" s="2275"/>
      <c r="AK1079" s="2275"/>
    </row>
    <row r="1080" spans="1:96" ht="12.75" customHeight="1">
      <c r="A1080" s="235"/>
      <c r="B1080" s="235"/>
      <c r="C1080" s="318"/>
      <c r="D1080" s="2275"/>
      <c r="E1080" s="2275"/>
      <c r="F1080" s="2275"/>
      <c r="G1080" s="2275"/>
      <c r="H1080" s="2275"/>
      <c r="I1080" s="2275"/>
      <c r="J1080" s="2275"/>
      <c r="K1080" s="2275"/>
      <c r="L1080" s="2275"/>
      <c r="M1080" s="2275"/>
      <c r="N1080" s="2275"/>
      <c r="O1080" s="2275"/>
      <c r="P1080" s="2275"/>
      <c r="Q1080" s="2275"/>
      <c r="R1080" s="2275"/>
      <c r="S1080" s="2275"/>
      <c r="T1080" s="2275"/>
      <c r="U1080" s="2275"/>
      <c r="V1080" s="2275"/>
      <c r="W1080" s="2275"/>
      <c r="X1080" s="2275"/>
      <c r="Y1080" s="2275"/>
      <c r="Z1080" s="2275"/>
      <c r="AA1080" s="2275"/>
      <c r="AB1080" s="2275"/>
      <c r="AC1080" s="2275"/>
      <c r="AD1080" s="2275"/>
      <c r="AE1080" s="2275"/>
      <c r="AF1080" s="2275"/>
      <c r="AG1080" s="2275"/>
      <c r="AH1080" s="2275"/>
      <c r="AI1080" s="2275"/>
      <c r="AJ1080" s="2275"/>
      <c r="AK1080" s="2275"/>
      <c r="AL1080" s="680"/>
    </row>
    <row r="1081" spans="1:96" ht="12" customHeight="1">
      <c r="A1081" s="62"/>
      <c r="B1081" s="66"/>
      <c r="C1081" s="318"/>
      <c r="D1081" s="2275"/>
      <c r="E1081" s="2275"/>
      <c r="F1081" s="2275"/>
      <c r="G1081" s="2275"/>
      <c r="H1081" s="2275"/>
      <c r="I1081" s="2275"/>
      <c r="J1081" s="2275"/>
      <c r="K1081" s="2275"/>
      <c r="L1081" s="2275"/>
      <c r="M1081" s="2275"/>
      <c r="N1081" s="2275"/>
      <c r="O1081" s="2275"/>
      <c r="P1081" s="2275"/>
      <c r="Q1081" s="2275"/>
      <c r="R1081" s="2275"/>
      <c r="S1081" s="2275"/>
      <c r="T1081" s="2275"/>
      <c r="U1081" s="2275"/>
      <c r="V1081" s="2275"/>
      <c r="W1081" s="2275"/>
      <c r="X1081" s="2275"/>
      <c r="Y1081" s="2275"/>
      <c r="Z1081" s="2275"/>
      <c r="AA1081" s="2275"/>
      <c r="AB1081" s="2275"/>
      <c r="AC1081" s="2275"/>
      <c r="AD1081" s="2275"/>
      <c r="AE1081" s="2275"/>
      <c r="AF1081" s="2275"/>
      <c r="AG1081" s="2275"/>
      <c r="AH1081" s="2275"/>
      <c r="AI1081" s="2275"/>
      <c r="AJ1081" s="2275"/>
      <c r="AK1081" s="2275"/>
    </row>
    <row r="1082" spans="1:96" ht="12.75" customHeight="1">
      <c r="A1082" s="1991" t="s">
        <v>624</v>
      </c>
      <c r="B1082" s="1991"/>
      <c r="C1082" s="318">
        <v>9</v>
      </c>
      <c r="D1082" s="1850" t="s">
        <v>1203</v>
      </c>
      <c r="E1082" s="1850"/>
      <c r="F1082" s="1850"/>
      <c r="G1082" s="1850"/>
      <c r="H1082" s="1850"/>
      <c r="I1082" s="1850"/>
      <c r="J1082" s="1850"/>
      <c r="K1082" s="1850"/>
      <c r="L1082" s="1850"/>
      <c r="M1082" s="1850"/>
      <c r="N1082" s="1850"/>
      <c r="O1082" s="1850"/>
      <c r="P1082" s="1850"/>
      <c r="Q1082" s="1850"/>
      <c r="R1082" s="1850"/>
      <c r="S1082" s="1850"/>
      <c r="T1082" s="1850"/>
      <c r="U1082" s="1850"/>
      <c r="V1082" s="1850"/>
      <c r="W1082" s="1850"/>
      <c r="X1082" s="1850"/>
      <c r="Y1082" s="1850"/>
      <c r="Z1082" s="1850"/>
      <c r="AA1082" s="1850"/>
      <c r="AB1082" s="1850"/>
      <c r="AC1082" s="1850"/>
      <c r="AD1082" s="1850"/>
      <c r="AE1082" s="1850"/>
      <c r="AF1082" s="1850"/>
      <c r="AG1082" s="1850"/>
      <c r="AH1082" s="1850"/>
      <c r="AI1082" s="1850"/>
      <c r="AJ1082" s="1850"/>
      <c r="AK1082" s="1850"/>
    </row>
    <row r="1083" spans="1:96" ht="15" customHeight="1">
      <c r="A1083" s="62"/>
      <c r="B1083" s="66"/>
      <c r="C1083" s="318"/>
      <c r="D1083" s="1850"/>
      <c r="E1083" s="1850"/>
      <c r="F1083" s="1850"/>
      <c r="G1083" s="1850"/>
      <c r="H1083" s="1850"/>
      <c r="I1083" s="1850"/>
      <c r="J1083" s="1850"/>
      <c r="K1083" s="1850"/>
      <c r="L1083" s="1850"/>
      <c r="M1083" s="1850"/>
      <c r="N1083" s="1850"/>
      <c r="O1083" s="1850"/>
      <c r="P1083" s="1850"/>
      <c r="Q1083" s="1850"/>
      <c r="R1083" s="1850"/>
      <c r="S1083" s="1850"/>
      <c r="T1083" s="1850"/>
      <c r="U1083" s="1850"/>
      <c r="V1083" s="1850"/>
      <c r="W1083" s="1850"/>
      <c r="X1083" s="1850"/>
      <c r="Y1083" s="1850"/>
      <c r="Z1083" s="1850"/>
      <c r="AA1083" s="1850"/>
      <c r="AB1083" s="1850"/>
      <c r="AC1083" s="1850"/>
      <c r="AD1083" s="1850"/>
      <c r="AE1083" s="1850"/>
      <c r="AF1083" s="1850"/>
      <c r="AG1083" s="1850"/>
      <c r="AH1083" s="1850"/>
      <c r="AI1083" s="1850"/>
      <c r="AJ1083" s="1850"/>
      <c r="AK1083" s="1850"/>
    </row>
    <row r="1084" spans="1:96" ht="15" customHeight="1">
      <c r="D1084" s="1850"/>
      <c r="E1084" s="1850"/>
      <c r="F1084" s="1850"/>
      <c r="G1084" s="1850"/>
      <c r="H1084" s="1850"/>
      <c r="I1084" s="1850"/>
      <c r="J1084" s="1850"/>
      <c r="K1084" s="1850"/>
      <c r="L1084" s="1850"/>
      <c r="M1084" s="1850"/>
      <c r="N1084" s="1850"/>
      <c r="O1084" s="1850"/>
      <c r="P1084" s="1850"/>
      <c r="Q1084" s="1850"/>
      <c r="R1084" s="1850"/>
      <c r="S1084" s="1850"/>
      <c r="T1084" s="1850"/>
      <c r="U1084" s="1850"/>
      <c r="V1084" s="1850"/>
      <c r="W1084" s="1850"/>
      <c r="X1084" s="1850"/>
      <c r="Y1084" s="1850"/>
      <c r="Z1084" s="1850"/>
      <c r="AA1084" s="1850"/>
      <c r="AB1084" s="1850"/>
      <c r="AC1084" s="1850"/>
      <c r="AD1084" s="1850"/>
      <c r="AE1084" s="1850"/>
      <c r="AF1084" s="1850"/>
      <c r="AG1084" s="1850"/>
      <c r="AH1084" s="1850"/>
      <c r="AI1084" s="1850"/>
      <c r="AJ1084" s="1850"/>
      <c r="AK1084" s="1850"/>
    </row>
    <row r="1085" spans="1:96" ht="15" customHeight="1"/>
    <row r="1086" spans="1:96" ht="15" hidden="1" customHeight="1"/>
    <row r="1087" spans="1:96" ht="15" hidden="1" customHeight="1"/>
  </sheetData>
  <sheetProtection algorithmName="SHA-512" hashValue="NQac/iWGuNxUSa9QI3CthxfBlp4io4Bp7239qXcL8+G7/2XKr72ZzQJAwe0QOY/vunT/WtAxccOCHEf2i4+s8A==" saltValue="r/sBivYpd1BYALNoxArpE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W575:Y575"/>
    <mergeCell ref="B526:H528"/>
    <mergeCell ref="AE575:AH575"/>
    <mergeCell ref="BE619:BF619"/>
    <mergeCell ref="P599:R599"/>
    <mergeCell ref="BE614:BF614"/>
    <mergeCell ref="AM564:AS564"/>
    <mergeCell ref="Z571:AD571"/>
    <mergeCell ref="O532:AA532"/>
    <mergeCell ref="AI567:AL567"/>
    <mergeCell ref="BE625:BF625"/>
    <mergeCell ref="BS652:BW652"/>
    <mergeCell ref="BX655:CB655"/>
    <mergeCell ref="AH513:AK513"/>
    <mergeCell ref="BS642:BW642"/>
    <mergeCell ref="BS643:BW643"/>
    <mergeCell ref="BX642:CB642"/>
    <mergeCell ref="BX643:CB643"/>
    <mergeCell ref="AH533:AK533"/>
    <mergeCell ref="AC529:AF529"/>
    <mergeCell ref="AC541:AF541"/>
    <mergeCell ref="AH539:AK539"/>
    <mergeCell ref="O544:AA544"/>
    <mergeCell ref="Z596:AK596"/>
    <mergeCell ref="AH550:AK550"/>
    <mergeCell ref="AH552:AK552"/>
    <mergeCell ref="AC552:AF552"/>
    <mergeCell ref="AC551:AF551"/>
    <mergeCell ref="G604:R604"/>
    <mergeCell ref="T567:V567"/>
    <mergeCell ref="AH547:AK547"/>
    <mergeCell ref="B563:P563"/>
    <mergeCell ref="AM570:AS570"/>
    <mergeCell ref="Z579:AK579"/>
    <mergeCell ref="Z572:AD572"/>
    <mergeCell ref="Z573:AD573"/>
    <mergeCell ref="AI575:AL575"/>
    <mergeCell ref="AI574:AL574"/>
    <mergeCell ref="BE618:BF618"/>
    <mergeCell ref="BE616:BF616"/>
    <mergeCell ref="G598:R598"/>
    <mergeCell ref="Q497:AK497"/>
    <mergeCell ref="Y490:AC490"/>
    <mergeCell ref="Q499:AK499"/>
    <mergeCell ref="W564:Y564"/>
    <mergeCell ref="W565:Y565"/>
    <mergeCell ref="Z568:AD568"/>
    <mergeCell ref="Z567:AD567"/>
    <mergeCell ref="G580:R580"/>
    <mergeCell ref="AC528:AF528"/>
    <mergeCell ref="Q503:AK503"/>
    <mergeCell ref="AC511:AK511"/>
    <mergeCell ref="AH544:AK544"/>
    <mergeCell ref="AH527:AK527"/>
    <mergeCell ref="BE615:BF615"/>
    <mergeCell ref="B513:H514"/>
    <mergeCell ref="AI615:AK615"/>
    <mergeCell ref="T490:X490"/>
    <mergeCell ref="AM567:AS567"/>
    <mergeCell ref="Y494:AC494"/>
    <mergeCell ref="AE567:AH567"/>
    <mergeCell ref="BE613:BF613"/>
    <mergeCell ref="BE612:BF612"/>
    <mergeCell ref="N601:O601"/>
    <mergeCell ref="AG617:AH617"/>
    <mergeCell ref="H616:R616"/>
    <mergeCell ref="P615:R615"/>
    <mergeCell ref="Z578:AK578"/>
    <mergeCell ref="Z580:AK580"/>
    <mergeCell ref="C573:P573"/>
    <mergeCell ref="C574:P574"/>
    <mergeCell ref="C575:P575"/>
    <mergeCell ref="T573:V573"/>
    <mergeCell ref="Z574:AD574"/>
    <mergeCell ref="Z575:AD575"/>
    <mergeCell ref="AC525:AF525"/>
    <mergeCell ref="AH525:AK525"/>
    <mergeCell ref="T565:V565"/>
    <mergeCell ref="T489:X489"/>
    <mergeCell ref="AC517:AF517"/>
    <mergeCell ref="Z607:AE607"/>
    <mergeCell ref="AH520:AK520"/>
    <mergeCell ref="Y492:AC492"/>
    <mergeCell ref="W572:Y572"/>
    <mergeCell ref="W573:Y573"/>
    <mergeCell ref="Y491:AC491"/>
    <mergeCell ref="AH521:AK521"/>
    <mergeCell ref="AC522:AF522"/>
    <mergeCell ref="AH522:AK522"/>
    <mergeCell ref="AC524:AF524"/>
    <mergeCell ref="AH524:AK524"/>
    <mergeCell ref="Z564:AD564"/>
    <mergeCell ref="Z565:AD565"/>
    <mergeCell ref="AC521:AF521"/>
    <mergeCell ref="AA583:AK583"/>
    <mergeCell ref="Z604:AK60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C537:AF537"/>
    <mergeCell ref="AH540:AK540"/>
    <mergeCell ref="Q564:S564"/>
    <mergeCell ref="C567:P567"/>
    <mergeCell ref="AE568:AH568"/>
    <mergeCell ref="T566:V566"/>
    <mergeCell ref="AE564:AH564"/>
    <mergeCell ref="L520:AB520"/>
    <mergeCell ref="Z566:AD566"/>
    <mergeCell ref="AI565:AL565"/>
    <mergeCell ref="AE566:AH566"/>
    <mergeCell ref="AH549:AK549"/>
    <mergeCell ref="AC540:AF540"/>
    <mergeCell ref="Q570:S570"/>
    <mergeCell ref="AI566:AL566"/>
    <mergeCell ref="B515:H520"/>
    <mergeCell ref="AC520:AF520"/>
    <mergeCell ref="AH528:AK528"/>
    <mergeCell ref="AE569:AH569"/>
    <mergeCell ref="AH517:AK517"/>
    <mergeCell ref="AC535:AF535"/>
    <mergeCell ref="C564:P564"/>
    <mergeCell ref="AC538:AF538"/>
    <mergeCell ref="C565:P565"/>
    <mergeCell ref="AC546:AF546"/>
    <mergeCell ref="Q569:S569"/>
    <mergeCell ref="AC539:AF539"/>
    <mergeCell ref="AE565:AH565"/>
    <mergeCell ref="O535:AA535"/>
    <mergeCell ref="T568:V568"/>
    <mergeCell ref="AC516:AF516"/>
    <mergeCell ref="T564:V564"/>
    <mergeCell ref="BS626:BW626"/>
    <mergeCell ref="BX613:CB613"/>
    <mergeCell ref="AM573:AS573"/>
    <mergeCell ref="AE573:AH573"/>
    <mergeCell ref="W568:Y568"/>
    <mergeCell ref="Q567:S567"/>
    <mergeCell ref="Q568:S568"/>
    <mergeCell ref="Q566:S566"/>
    <mergeCell ref="AI563:AL563"/>
    <mergeCell ref="A556:AS557"/>
    <mergeCell ref="AC553:AF553"/>
    <mergeCell ref="AH551:AK551"/>
    <mergeCell ref="C566:P566"/>
    <mergeCell ref="AC545:AF545"/>
    <mergeCell ref="AH545:AK545"/>
    <mergeCell ref="B532:H554"/>
    <mergeCell ref="AC536:AF536"/>
    <mergeCell ref="O541:AA541"/>
    <mergeCell ref="BG626:BH626"/>
    <mergeCell ref="BG618:BH618"/>
    <mergeCell ref="AM563:AS563"/>
    <mergeCell ref="AH554:AK554"/>
    <mergeCell ref="W566:Y566"/>
    <mergeCell ref="AI564:AL564"/>
    <mergeCell ref="AM565:AS565"/>
    <mergeCell ref="AC547:AF547"/>
    <mergeCell ref="AE563:AH563"/>
    <mergeCell ref="Z563:AD563"/>
    <mergeCell ref="AE571:AH571"/>
    <mergeCell ref="AI573:AL573"/>
    <mergeCell ref="BX616:CB616"/>
    <mergeCell ref="AE570:AH570"/>
    <mergeCell ref="BS650:BW650"/>
    <mergeCell ref="CC649:CG649"/>
    <mergeCell ref="BX649:CB649"/>
    <mergeCell ref="BG635:BH635"/>
    <mergeCell ref="BK635:BL635"/>
    <mergeCell ref="BN635:BR635"/>
    <mergeCell ref="BS635:BW635"/>
    <mergeCell ref="BK634:BL634"/>
    <mergeCell ref="BN634:BR634"/>
    <mergeCell ref="AO644:AS644"/>
    <mergeCell ref="BX623:CB623"/>
    <mergeCell ref="BE617:BF617"/>
    <mergeCell ref="BN617:BR617"/>
    <mergeCell ref="BN622:BR622"/>
    <mergeCell ref="BN623:BR623"/>
    <mergeCell ref="BI624:BJ624"/>
    <mergeCell ref="BG622:BH622"/>
    <mergeCell ref="BK622:BL622"/>
    <mergeCell ref="BG624:BH624"/>
    <mergeCell ref="BI625:BJ625"/>
    <mergeCell ref="BK625:BL625"/>
    <mergeCell ref="BG625:BH625"/>
    <mergeCell ref="BG623:BH623"/>
    <mergeCell ref="BN648:BR648"/>
    <mergeCell ref="BN641:BR641"/>
    <mergeCell ref="AO649:AS649"/>
    <mergeCell ref="AO639:AS639"/>
    <mergeCell ref="AO647:AS647"/>
    <mergeCell ref="BX626:CB626"/>
    <mergeCell ref="AO641:AS641"/>
    <mergeCell ref="BE629:BF629"/>
    <mergeCell ref="BG629:BH629"/>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9:CL649"/>
    <mergeCell ref="CH641:CL641"/>
    <mergeCell ref="CC658:CG658"/>
    <mergeCell ref="BX640:CB640"/>
    <mergeCell ref="BX635:CB635"/>
    <mergeCell ref="CC635:CG635"/>
    <mergeCell ref="CC641:CG641"/>
    <mergeCell ref="BN627:BR627"/>
    <mergeCell ref="CH628:CL628"/>
    <mergeCell ref="BN629:BR629"/>
    <mergeCell ref="BE631:BF631"/>
    <mergeCell ref="BE632:BF632"/>
    <mergeCell ref="BI629:BJ629"/>
    <mergeCell ref="BK629:BL629"/>
    <mergeCell ref="BE634:BF634"/>
    <mergeCell ref="BS629:BW629"/>
    <mergeCell ref="BN633:BR633"/>
    <mergeCell ref="BE633:BF633"/>
    <mergeCell ref="CC630:CG630"/>
    <mergeCell ref="CC632:CG632"/>
    <mergeCell ref="BE627:BF627"/>
    <mergeCell ref="BI630:BJ630"/>
    <mergeCell ref="BK630:BL630"/>
    <mergeCell ref="BX630:CB630"/>
    <mergeCell ref="BI627:BJ627"/>
    <mergeCell ref="BK627:BL627"/>
    <mergeCell ref="BX627:CB627"/>
    <mergeCell ref="CC633:CG633"/>
    <mergeCell ref="CH630:CL630"/>
    <mergeCell ref="BE630:BF630"/>
    <mergeCell ref="BG630:BH630"/>
    <mergeCell ref="CH629:CL629"/>
    <mergeCell ref="BG627:BH627"/>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CH633:CL633"/>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I626:BJ626"/>
    <mergeCell ref="BK626:BL626"/>
    <mergeCell ref="BS624:BW624"/>
    <mergeCell ref="BX624:CB624"/>
    <mergeCell ref="BS622:BW622"/>
    <mergeCell ref="BX622:CB622"/>
    <mergeCell ref="BK619:BL619"/>
    <mergeCell ref="BK617:BL617"/>
    <mergeCell ref="BX617:CB617"/>
    <mergeCell ref="CC617:CG617"/>
    <mergeCell ref="BN618:BR618"/>
    <mergeCell ref="BS618:BW618"/>
    <mergeCell ref="CC626:CG626"/>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CH610:CL610"/>
    <mergeCell ref="CH611:CL611"/>
    <mergeCell ref="CH612:CL612"/>
    <mergeCell ref="CH619:CL619"/>
    <mergeCell ref="CH616:CL616"/>
    <mergeCell ref="CH614:CL614"/>
    <mergeCell ref="CH613:CL613"/>
    <mergeCell ref="CC624:CG624"/>
    <mergeCell ref="CH617:CL617"/>
    <mergeCell ref="BG620:BH620"/>
    <mergeCell ref="BI620:BJ620"/>
    <mergeCell ref="BK620:BL620"/>
    <mergeCell ref="BN620:BR620"/>
    <mergeCell ref="BS620:BW620"/>
    <mergeCell ref="BI622:BJ622"/>
    <mergeCell ref="BG614:BH614"/>
    <mergeCell ref="CH615:CL615"/>
    <mergeCell ref="CH618:CL618"/>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BN613:BR613"/>
    <mergeCell ref="CC618:CG618"/>
    <mergeCell ref="BS615:BW615"/>
    <mergeCell ref="BX615:CB615"/>
    <mergeCell ref="BX619:CB619"/>
    <mergeCell ref="BK618:BL618"/>
    <mergeCell ref="BX618:CB618"/>
    <mergeCell ref="BI619:BJ619"/>
    <mergeCell ref="BS617:BW617"/>
    <mergeCell ref="CC610:CG610"/>
    <mergeCell ref="BI615:BJ615"/>
    <mergeCell ref="BI611:BJ611"/>
    <mergeCell ref="BK612:BL612"/>
    <mergeCell ref="BN612:BR612"/>
    <mergeCell ref="BS611:BW611"/>
    <mergeCell ref="BS612:BW612"/>
    <mergeCell ref="BK615:BL615"/>
    <mergeCell ref="CC611:CG611"/>
    <mergeCell ref="BS613:BW613"/>
    <mergeCell ref="BK611:BL611"/>
    <mergeCell ref="BS614:BW614"/>
    <mergeCell ref="BX614:CB614"/>
    <mergeCell ref="CC614:CG614"/>
    <mergeCell ref="BI614:BJ614"/>
    <mergeCell ref="BI612:BJ612"/>
    <mergeCell ref="BI616:BJ616"/>
    <mergeCell ref="BK614:BL614"/>
    <mergeCell ref="BX611:CB611"/>
    <mergeCell ref="BK610:BL610"/>
    <mergeCell ref="BS610:BW610"/>
    <mergeCell ref="BX612:CB612"/>
    <mergeCell ref="BX610:CB610"/>
    <mergeCell ref="BN616:BR616"/>
    <mergeCell ref="BS616:BW616"/>
    <mergeCell ref="BK616:BL616"/>
    <mergeCell ref="CC615:CG615"/>
    <mergeCell ref="BG616:BH616"/>
    <mergeCell ref="Z605:AK605"/>
    <mergeCell ref="Z591:AE591"/>
    <mergeCell ref="BG615:BH615"/>
    <mergeCell ref="CC609:CG609"/>
    <mergeCell ref="CC612:CG612"/>
    <mergeCell ref="BS609:BW609"/>
    <mergeCell ref="BX609:CB609"/>
    <mergeCell ref="AC549:AF549"/>
    <mergeCell ref="W563:Y563"/>
    <mergeCell ref="AC548:AF548"/>
    <mergeCell ref="AM566:AS566"/>
    <mergeCell ref="W569:Y569"/>
    <mergeCell ref="W570:Y570"/>
    <mergeCell ref="AM568:AS568"/>
    <mergeCell ref="T563:V563"/>
    <mergeCell ref="AC554:AF554"/>
    <mergeCell ref="BG609:BH609"/>
    <mergeCell ref="BN610:BR610"/>
    <mergeCell ref="BG610:BH610"/>
    <mergeCell ref="BI610:BJ610"/>
    <mergeCell ref="BK609:BL609"/>
    <mergeCell ref="BE610:BF610"/>
    <mergeCell ref="CC616:CG616"/>
    <mergeCell ref="BG611:BH611"/>
    <mergeCell ref="AM576:AS576"/>
    <mergeCell ref="AM571:AS571"/>
    <mergeCell ref="AM569:AS569"/>
    <mergeCell ref="AI571:AL571"/>
    <mergeCell ref="AE572:AH572"/>
    <mergeCell ref="AI572:AL572"/>
    <mergeCell ref="Z582:AE582"/>
    <mergeCell ref="AG609:AH609"/>
    <mergeCell ref="AI607:AK607"/>
    <mergeCell ref="BG613:BH613"/>
    <mergeCell ref="BI613:BJ613"/>
    <mergeCell ref="G581:R581"/>
    <mergeCell ref="G595:R595"/>
    <mergeCell ref="AG585:AH585"/>
    <mergeCell ref="G607:L607"/>
    <mergeCell ref="BE611:BF611"/>
    <mergeCell ref="BG612:BH612"/>
    <mergeCell ref="BN611:BR611"/>
    <mergeCell ref="AG601:AH601"/>
    <mergeCell ref="Z599:AE599"/>
    <mergeCell ref="AA592:AK592"/>
    <mergeCell ref="AA600:AK600"/>
    <mergeCell ref="Z603:AK603"/>
    <mergeCell ref="AG593:AH593"/>
    <mergeCell ref="AI591:AK591"/>
    <mergeCell ref="Z590:AK590"/>
    <mergeCell ref="G611:R611"/>
    <mergeCell ref="Z588:AK588"/>
    <mergeCell ref="G587:R587"/>
    <mergeCell ref="H600:R600"/>
    <mergeCell ref="N585:O585"/>
    <mergeCell ref="N593:O593"/>
    <mergeCell ref="G603:R603"/>
    <mergeCell ref="Q575:S575"/>
    <mergeCell ref="AM572:AS572"/>
    <mergeCell ref="AE574:AH574"/>
    <mergeCell ref="AM574:AS574"/>
    <mergeCell ref="B576:AL576"/>
    <mergeCell ref="T575:V575"/>
    <mergeCell ref="AM575:AS575"/>
    <mergeCell ref="Z606:AK606"/>
    <mergeCell ref="AF584:AK584"/>
    <mergeCell ref="Z595:AK595"/>
    <mergeCell ref="AG393:AJ393"/>
    <mergeCell ref="Y487:AC487"/>
    <mergeCell ref="AH516:AK516"/>
    <mergeCell ref="AH529:AK529"/>
    <mergeCell ref="AH538:AK538"/>
    <mergeCell ref="AC515:AF515"/>
    <mergeCell ref="AH531:AK531"/>
    <mergeCell ref="AH534:AK534"/>
    <mergeCell ref="AC532:AF532"/>
    <mergeCell ref="AD494:AH494"/>
    <mergeCell ref="AC514:AF514"/>
    <mergeCell ref="AH512:AK512"/>
    <mergeCell ref="Y484:AC485"/>
    <mergeCell ref="AG400:AJ400"/>
    <mergeCell ref="AG438:AJ438"/>
    <mergeCell ref="AG442:AJ442"/>
    <mergeCell ref="AG443:AJ443"/>
    <mergeCell ref="AC453:AF453"/>
    <mergeCell ref="Z433:AA433"/>
    <mergeCell ref="AD411:AE411"/>
    <mergeCell ref="D441:AF441"/>
    <mergeCell ref="AE401:AJ401"/>
    <mergeCell ref="T574:V574"/>
    <mergeCell ref="AC543:AF543"/>
    <mergeCell ref="AH543:AK543"/>
    <mergeCell ref="T569:V569"/>
    <mergeCell ref="T570:V570"/>
    <mergeCell ref="Q563:S563"/>
    <mergeCell ref="W567:Y567"/>
    <mergeCell ref="AH542:AK542"/>
    <mergeCell ref="AI570:AL570"/>
    <mergeCell ref="AH553:AK553"/>
    <mergeCell ref="AI568:AL568"/>
    <mergeCell ref="T571:V571"/>
    <mergeCell ref="T572:V572"/>
    <mergeCell ref="Q565:S565"/>
    <mergeCell ref="Q572:S572"/>
    <mergeCell ref="Q573:S573"/>
    <mergeCell ref="Q574:S574"/>
    <mergeCell ref="Z569:AD569"/>
    <mergeCell ref="Z570:AD570"/>
    <mergeCell ref="W571:Y571"/>
    <mergeCell ref="AC542:AF542"/>
    <mergeCell ref="AC544:AF544"/>
    <mergeCell ref="W574:Y574"/>
    <mergeCell ref="AI569:AL569"/>
    <mergeCell ref="AC512:AF512"/>
    <mergeCell ref="W464:Y464"/>
    <mergeCell ref="T486:X486"/>
    <mergeCell ref="AH518:AK518"/>
    <mergeCell ref="AD487:AH487"/>
    <mergeCell ref="D437:AF437"/>
    <mergeCell ref="D438:AF438"/>
    <mergeCell ref="T492:X492"/>
    <mergeCell ref="T495:X495"/>
    <mergeCell ref="D470:V470"/>
    <mergeCell ref="H303:R303"/>
    <mergeCell ref="A281:AL282"/>
    <mergeCell ref="H292:R292"/>
    <mergeCell ref="H302:R302"/>
    <mergeCell ref="P342:AE342"/>
    <mergeCell ref="H320:R320"/>
    <mergeCell ref="H321:R321"/>
    <mergeCell ref="AA330:AF330"/>
    <mergeCell ref="H307:M307"/>
    <mergeCell ref="Q501:R502"/>
    <mergeCell ref="K403:AJ403"/>
    <mergeCell ref="AJ354:AK354"/>
    <mergeCell ref="A350:AL351"/>
    <mergeCell ref="AC384:AJ384"/>
    <mergeCell ref="AG376:AH376"/>
    <mergeCell ref="E417:G417"/>
    <mergeCell ref="AD410:AE410"/>
    <mergeCell ref="F426:AH427"/>
    <mergeCell ref="Q500:AK500"/>
    <mergeCell ref="Q505:AK505"/>
    <mergeCell ref="AH515:AK515"/>
    <mergeCell ref="T494:X494"/>
    <mergeCell ref="Y495:AC495"/>
    <mergeCell ref="Q498:AK498"/>
    <mergeCell ref="N370:Q370"/>
    <mergeCell ref="V381:W381"/>
    <mergeCell ref="AD486:AH486"/>
    <mergeCell ref="AD488:AH488"/>
    <mergeCell ref="S401:U401"/>
    <mergeCell ref="J387:U387"/>
    <mergeCell ref="AG394:AJ394"/>
    <mergeCell ref="AI391:AJ391"/>
    <mergeCell ref="AG392:AJ392"/>
    <mergeCell ref="AG390:AJ390"/>
    <mergeCell ref="P348:AE348"/>
    <mergeCell ref="AC369:AF369"/>
    <mergeCell ref="AD492:AH492"/>
    <mergeCell ref="AG446:AJ446"/>
    <mergeCell ref="D405:AJ406"/>
    <mergeCell ref="S404:AJ404"/>
    <mergeCell ref="T484:X485"/>
    <mergeCell ref="AG445:AJ445"/>
    <mergeCell ref="D439:AF439"/>
    <mergeCell ref="AG437:AJ437"/>
    <mergeCell ref="AE423:AF423"/>
    <mergeCell ref="D448:AF448"/>
    <mergeCell ref="J386:U386"/>
    <mergeCell ref="AC385:AJ385"/>
    <mergeCell ref="T491:X491"/>
    <mergeCell ref="Q392:U392"/>
    <mergeCell ref="AA302:AK302"/>
    <mergeCell ref="T189:AE189"/>
    <mergeCell ref="T194:U194"/>
    <mergeCell ref="U254:W254"/>
    <mergeCell ref="P314:R314"/>
    <mergeCell ref="Z262:AE262"/>
    <mergeCell ref="H310:R310"/>
    <mergeCell ref="P347:Z347"/>
    <mergeCell ref="N372:AF373"/>
    <mergeCell ref="D445:AF445"/>
    <mergeCell ref="D446:AF446"/>
    <mergeCell ref="T487:X487"/>
    <mergeCell ref="AG378:AH378"/>
    <mergeCell ref="AG447:AJ447"/>
    <mergeCell ref="I391:N391"/>
    <mergeCell ref="H413:AE414"/>
    <mergeCell ref="Q393:U393"/>
    <mergeCell ref="AG441:AJ441"/>
    <mergeCell ref="AG440:AJ440"/>
    <mergeCell ref="W417:Y417"/>
    <mergeCell ref="D447:AF447"/>
    <mergeCell ref="AG444:AJ444"/>
    <mergeCell ref="AF417:AH417"/>
    <mergeCell ref="Y363:Z363"/>
    <mergeCell ref="AG448:AJ448"/>
    <mergeCell ref="D464:V464"/>
    <mergeCell ref="W467:Y467"/>
    <mergeCell ref="AG379:AH379"/>
    <mergeCell ref="N377:P377"/>
    <mergeCell ref="D444:AF444"/>
    <mergeCell ref="M263:AE263"/>
    <mergeCell ref="AA326:AK326"/>
    <mergeCell ref="AA339:AF339"/>
    <mergeCell ref="H315:M315"/>
    <mergeCell ref="AI322:AK322"/>
    <mergeCell ref="AA319:AK319"/>
    <mergeCell ref="L275:S275"/>
    <mergeCell ref="L277:Q277"/>
    <mergeCell ref="C124:K124"/>
    <mergeCell ref="O160:T160"/>
    <mergeCell ref="O161:AH161"/>
    <mergeCell ref="D164:AH16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305:R305"/>
    <mergeCell ref="AA313:AK313"/>
    <mergeCell ref="AA310:AK310"/>
    <mergeCell ref="AA305:AK30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221:AL222"/>
    <mergeCell ref="Y132:AK13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E187:AE188"/>
    <mergeCell ref="I189:P189"/>
    <mergeCell ref="Y198:Z198"/>
    <mergeCell ref="AH546:AK546"/>
    <mergeCell ref="Y489:AC489"/>
    <mergeCell ref="D269:H269"/>
    <mergeCell ref="X269:AC269"/>
    <mergeCell ref="AA287:AK287"/>
    <mergeCell ref="H286:R286"/>
    <mergeCell ref="H297:R297"/>
    <mergeCell ref="H311:R311"/>
    <mergeCell ref="H304:R304"/>
    <mergeCell ref="AA299:AF299"/>
    <mergeCell ref="AA332:AK332"/>
    <mergeCell ref="M259:AE259"/>
    <mergeCell ref="M261:AE261"/>
    <mergeCell ref="H336:R336"/>
    <mergeCell ref="AA322:AF322"/>
    <mergeCell ref="P322:R322"/>
    <mergeCell ref="P306:R306"/>
    <mergeCell ref="AI338:AK338"/>
    <mergeCell ref="H339:M339"/>
    <mergeCell ref="H298:M298"/>
    <mergeCell ref="H299:M299"/>
    <mergeCell ref="H300:R300"/>
    <mergeCell ref="AA312:AK312"/>
    <mergeCell ref="H308:R308"/>
    <mergeCell ref="H324:R324"/>
    <mergeCell ref="H334:R334"/>
    <mergeCell ref="AA308:AK308"/>
    <mergeCell ref="AA300:AK300"/>
    <mergeCell ref="H306:M306"/>
    <mergeCell ref="AB275:AD275"/>
    <mergeCell ref="Y277:AD277"/>
    <mergeCell ref="AA294:AK294"/>
    <mergeCell ref="B501:P502"/>
    <mergeCell ref="AC518:AF518"/>
    <mergeCell ref="Z654:AK654"/>
    <mergeCell ref="P423:Q423"/>
    <mergeCell ref="Q504:AK504"/>
    <mergeCell ref="AD493:AH493"/>
    <mergeCell ref="Y493:AC493"/>
    <mergeCell ref="AC513:AF513"/>
    <mergeCell ref="T493:X493"/>
    <mergeCell ref="AC550:AF550"/>
    <mergeCell ref="D449:AF449"/>
    <mergeCell ref="D450:AJ451"/>
    <mergeCell ref="W469:Y469"/>
    <mergeCell ref="O538:AA538"/>
    <mergeCell ref="AH530:AK530"/>
    <mergeCell ref="AH526:AK526"/>
    <mergeCell ref="AC527:AF527"/>
    <mergeCell ref="AC526:AF526"/>
    <mergeCell ref="O547:AA547"/>
    <mergeCell ref="AH548:AK548"/>
    <mergeCell ref="AH535:AK535"/>
    <mergeCell ref="AC534:AF534"/>
    <mergeCell ref="Y486:AC486"/>
    <mergeCell ref="AC531:AF531"/>
    <mergeCell ref="AC533:AF533"/>
    <mergeCell ref="AC530:AF530"/>
    <mergeCell ref="AH536:AK536"/>
    <mergeCell ref="AH537:AK537"/>
    <mergeCell ref="AH532:AK532"/>
    <mergeCell ref="AC519:AF519"/>
    <mergeCell ref="AH519:AK519"/>
    <mergeCell ref="AH541:AK541"/>
    <mergeCell ref="B634:N636"/>
    <mergeCell ref="C637:N637"/>
    <mergeCell ref="C638:N638"/>
    <mergeCell ref="C639:N639"/>
    <mergeCell ref="B649:AN649"/>
    <mergeCell ref="B650:AN650"/>
    <mergeCell ref="H338:M338"/>
    <mergeCell ref="AA316:AK316"/>
    <mergeCell ref="L279:AD279"/>
    <mergeCell ref="L274:AD274"/>
    <mergeCell ref="H289:R289"/>
    <mergeCell ref="P298:R298"/>
    <mergeCell ref="C643:N643"/>
    <mergeCell ref="C645:N645"/>
    <mergeCell ref="C646:N646"/>
    <mergeCell ref="X634:AB636"/>
    <mergeCell ref="X648:AB648"/>
    <mergeCell ref="AA288:AK288"/>
    <mergeCell ref="AA306:AF306"/>
    <mergeCell ref="H312:R312"/>
    <mergeCell ref="AA314:AF314"/>
    <mergeCell ref="AA307:AF307"/>
    <mergeCell ref="H313:R313"/>
    <mergeCell ref="AA336:AK336"/>
    <mergeCell ref="H326:R326"/>
    <mergeCell ref="H314:M314"/>
    <mergeCell ref="AA315:AF315"/>
    <mergeCell ref="AA338:AF338"/>
    <mergeCell ref="AA296:AK296"/>
    <mergeCell ref="AA297:AK297"/>
    <mergeCell ref="H316:R316"/>
    <mergeCell ref="AA295:AK295"/>
    <mergeCell ref="C765:AR767"/>
    <mergeCell ref="B754:AH755"/>
    <mergeCell ref="O773:S773"/>
    <mergeCell ref="G753:J753"/>
    <mergeCell ref="Z804:AE804"/>
    <mergeCell ref="Z805:AE805"/>
    <mergeCell ref="J787:N787"/>
    <mergeCell ref="J773:N773"/>
    <mergeCell ref="T788:W788"/>
    <mergeCell ref="T789:W789"/>
    <mergeCell ref="G654:R654"/>
    <mergeCell ref="AH514:AK514"/>
    <mergeCell ref="Y488:AC488"/>
    <mergeCell ref="A478:AL479"/>
    <mergeCell ref="AD758:AF758"/>
    <mergeCell ref="AA337:AK337"/>
    <mergeCell ref="M354:N354"/>
    <mergeCell ref="AG389:AJ389"/>
    <mergeCell ref="J384:U384"/>
    <mergeCell ref="V380:W380"/>
    <mergeCell ref="H658:R658"/>
    <mergeCell ref="G657:L657"/>
    <mergeCell ref="P657:R657"/>
    <mergeCell ref="AI657:AK657"/>
    <mergeCell ref="G653:R653"/>
    <mergeCell ref="O647:Q647"/>
    <mergeCell ref="O648:Q648"/>
    <mergeCell ref="R640:T640"/>
    <mergeCell ref="R641:T641"/>
    <mergeCell ref="R642:T642"/>
    <mergeCell ref="O634:Q636"/>
    <mergeCell ref="R634:T636"/>
    <mergeCell ref="K746:N746"/>
    <mergeCell ref="T772:W772"/>
    <mergeCell ref="AC751:AG751"/>
    <mergeCell ref="AC752:AG752"/>
    <mergeCell ref="G680:R680"/>
    <mergeCell ref="B752:F752"/>
    <mergeCell ref="O782:S785"/>
    <mergeCell ref="O774:S774"/>
    <mergeCell ref="K724:N727"/>
    <mergeCell ref="O728:S728"/>
    <mergeCell ref="K742:N742"/>
    <mergeCell ref="P697:R697"/>
    <mergeCell ref="B651:AN651"/>
    <mergeCell ref="Z656:AK656"/>
    <mergeCell ref="G656:R656"/>
    <mergeCell ref="U642:W642"/>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AG829:AJ829"/>
    <mergeCell ref="Y829:AB829"/>
    <mergeCell ref="W847:AC847"/>
    <mergeCell ref="U827:X827"/>
    <mergeCell ref="Y799:AC799"/>
    <mergeCell ref="J782:N785"/>
    <mergeCell ref="B738:F738"/>
    <mergeCell ref="O733:S733"/>
    <mergeCell ref="X772:AB772"/>
    <mergeCell ref="B737:F737"/>
    <mergeCell ref="K747:N747"/>
    <mergeCell ref="O756:R756"/>
    <mergeCell ref="AG756:AJ756"/>
    <mergeCell ref="Y738:AB738"/>
    <mergeCell ref="AC733:AG733"/>
    <mergeCell ref="T732:X732"/>
    <mergeCell ref="T733:X733"/>
    <mergeCell ref="T734:X734"/>
    <mergeCell ref="Y744:AB744"/>
    <mergeCell ref="G732:J732"/>
    <mergeCell ref="K740:N740"/>
    <mergeCell ref="K741:N741"/>
    <mergeCell ref="K751:N751"/>
    <mergeCell ref="K752:N752"/>
    <mergeCell ref="T747:X747"/>
    <mergeCell ref="T748:X748"/>
    <mergeCell ref="T749:X749"/>
    <mergeCell ref="T750:X750"/>
    <mergeCell ref="T751:X751"/>
    <mergeCell ref="T752:X752"/>
    <mergeCell ref="O746:S746"/>
    <mergeCell ref="K745:N745"/>
    <mergeCell ref="Z807:AE807"/>
    <mergeCell ref="AG828:AJ828"/>
    <mergeCell ref="T792:W792"/>
    <mergeCell ref="Q824:T824"/>
    <mergeCell ref="Y821:AB822"/>
    <mergeCell ref="O790:S790"/>
    <mergeCell ref="Z815:AE815"/>
    <mergeCell ref="X794:AB794"/>
    <mergeCell ref="X795:AB795"/>
    <mergeCell ref="T793:W793"/>
    <mergeCell ref="T782:W785"/>
    <mergeCell ref="T786:W786"/>
    <mergeCell ref="T787:W787"/>
    <mergeCell ref="U821:X822"/>
    <mergeCell ref="M821:P822"/>
    <mergeCell ref="J791:N791"/>
    <mergeCell ref="AC796:AG796"/>
    <mergeCell ref="AC786:AG786"/>
    <mergeCell ref="M828:P828"/>
    <mergeCell ref="AG824:AJ824"/>
    <mergeCell ref="AH792:AL792"/>
    <mergeCell ref="AH793:AL793"/>
    <mergeCell ref="AH794:AL794"/>
    <mergeCell ref="Z813:AE813"/>
    <mergeCell ref="Z806:AE806"/>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AA955:AG955"/>
    <mergeCell ref="AE946:AK946"/>
    <mergeCell ref="AA922:AF922"/>
    <mergeCell ref="AE942:AK942"/>
    <mergeCell ref="T794:W794"/>
    <mergeCell ref="AC828:AF828"/>
    <mergeCell ref="AC884:AH88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U917:Z917"/>
    <mergeCell ref="U927:Z927"/>
    <mergeCell ref="U923:Z923"/>
    <mergeCell ref="AA916:AF916"/>
    <mergeCell ref="U921:Z921"/>
    <mergeCell ref="AA920:AF920"/>
    <mergeCell ref="AB914:AE914"/>
    <mergeCell ref="W864:AC864"/>
    <mergeCell ref="Z816:AE816"/>
    <mergeCell ref="Q823:T823"/>
    <mergeCell ref="U823:X823"/>
    <mergeCell ref="Q825:T825"/>
    <mergeCell ref="U825:X825"/>
    <mergeCell ref="Y824:AB824"/>
    <mergeCell ref="AC824:AF824"/>
    <mergeCell ref="AC825:AF825"/>
    <mergeCell ref="AC776:AG776"/>
    <mergeCell ref="Q821:T822"/>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G685:R685"/>
    <mergeCell ref="AM738:AO738"/>
    <mergeCell ref="Z672:AK672"/>
    <mergeCell ref="Z689:AE689"/>
    <mergeCell ref="H690:R690"/>
    <mergeCell ref="Z680:AK680"/>
    <mergeCell ref="R715:T715"/>
    <mergeCell ref="W713:AK713"/>
    <mergeCell ref="G688:R688"/>
    <mergeCell ref="G673:L673"/>
    <mergeCell ref="Z687:AK687"/>
    <mergeCell ref="G693:R693"/>
    <mergeCell ref="M940:S940"/>
    <mergeCell ref="AA933:AF933"/>
    <mergeCell ref="AA919:AF919"/>
    <mergeCell ref="O744:S744"/>
    <mergeCell ref="T738:X738"/>
    <mergeCell ref="AC735:AG735"/>
    <mergeCell ref="Y828:AB828"/>
    <mergeCell ref="O739:S739"/>
    <mergeCell ref="AC737:AG737"/>
    <mergeCell ref="Y732:AB732"/>
    <mergeCell ref="M873:V873"/>
    <mergeCell ref="W875:AC875"/>
    <mergeCell ref="W872:AC872"/>
    <mergeCell ref="W868:AC868"/>
    <mergeCell ref="AH752:AL752"/>
    <mergeCell ref="AH782:AL785"/>
    <mergeCell ref="U826:X826"/>
    <mergeCell ref="Y826:AB826"/>
    <mergeCell ref="Q827:T827"/>
    <mergeCell ref="Y746:AB746"/>
    <mergeCell ref="Y724:AB727"/>
    <mergeCell ref="T724:X727"/>
    <mergeCell ref="K734:N734"/>
    <mergeCell ref="K735:N735"/>
    <mergeCell ref="K744:N744"/>
    <mergeCell ref="O740:S740"/>
    <mergeCell ref="AM747:AO747"/>
    <mergeCell ref="AM748:AO748"/>
    <mergeCell ref="AM746:AO746"/>
    <mergeCell ref="Z677:AK677"/>
    <mergeCell ref="G672:R672"/>
    <mergeCell ref="P665:R665"/>
    <mergeCell ref="Y735:AB735"/>
    <mergeCell ref="AC738:AG738"/>
    <mergeCell ref="AE709:AI709"/>
    <mergeCell ref="A719:AO721"/>
    <mergeCell ref="AH724:AL727"/>
    <mergeCell ref="O735:S735"/>
    <mergeCell ref="O736:S736"/>
    <mergeCell ref="O737:S737"/>
    <mergeCell ref="O738:S738"/>
    <mergeCell ref="O731:S731"/>
    <mergeCell ref="B724:F727"/>
    <mergeCell ref="T731:X731"/>
    <mergeCell ref="O730:S730"/>
    <mergeCell ref="O732:S732"/>
    <mergeCell ref="Y729:AB729"/>
    <mergeCell ref="G724:J727"/>
    <mergeCell ref="T729:X729"/>
    <mergeCell ref="T730:X730"/>
    <mergeCell ref="G746:J746"/>
    <mergeCell ref="B742:F742"/>
    <mergeCell ref="AI681:AK681"/>
    <mergeCell ref="AE705:AI705"/>
    <mergeCell ref="N691:O691"/>
    <mergeCell ref="Z655:AK655"/>
    <mergeCell ref="CC627:CG627"/>
    <mergeCell ref="BN628:BR628"/>
    <mergeCell ref="BG628:BH628"/>
    <mergeCell ref="BI628:BJ628"/>
    <mergeCell ref="BK628:BL628"/>
    <mergeCell ref="BS628:BW628"/>
    <mergeCell ref="BX628:CB628"/>
    <mergeCell ref="CS613:CW613"/>
    <mergeCell ref="AO648:AS648"/>
    <mergeCell ref="G661:R661"/>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CS609:CW609"/>
    <mergeCell ref="G591:L591"/>
    <mergeCell ref="P582:R582"/>
    <mergeCell ref="CS611:CW611"/>
    <mergeCell ref="M357:N357"/>
    <mergeCell ref="P417:R417"/>
    <mergeCell ref="S391:U391"/>
    <mergeCell ref="M356:N356"/>
    <mergeCell ref="R410:S410"/>
    <mergeCell ref="Q388:U388"/>
    <mergeCell ref="P346:Z346"/>
    <mergeCell ref="AJ356:AK356"/>
    <mergeCell ref="CX609:DB609"/>
    <mergeCell ref="H666:R666"/>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N659:O659"/>
    <mergeCell ref="R643:T643"/>
    <mergeCell ref="R644:T644"/>
    <mergeCell ref="C640:N640"/>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AA318:AK318"/>
    <mergeCell ref="V275:W275"/>
    <mergeCell ref="H288:R288"/>
    <mergeCell ref="H290:M290"/>
    <mergeCell ref="AC370:AF370"/>
    <mergeCell ref="AJ355:AK355"/>
    <mergeCell ref="AF258:AK258"/>
    <mergeCell ref="AC260:AE260"/>
    <mergeCell ref="AP204:AQ204"/>
    <mergeCell ref="I420:K420"/>
    <mergeCell ref="AA321:AK321"/>
    <mergeCell ref="H335:R335"/>
    <mergeCell ref="H327:R327"/>
    <mergeCell ref="Q364:AG364"/>
    <mergeCell ref="W468:Y468"/>
    <mergeCell ref="B529:H531"/>
    <mergeCell ref="AD484:AH485"/>
    <mergeCell ref="AC346:AE346"/>
    <mergeCell ref="Q390:U390"/>
    <mergeCell ref="AD376:AE376"/>
    <mergeCell ref="J385:U385"/>
    <mergeCell ref="AC252:AE252"/>
    <mergeCell ref="M248:T248"/>
    <mergeCell ref="W252:X252"/>
    <mergeCell ref="M250:AE250"/>
    <mergeCell ref="AA248:AK248"/>
    <mergeCell ref="AA291:AF291"/>
    <mergeCell ref="AA298:AF298"/>
    <mergeCell ref="AA286:AK286"/>
    <mergeCell ref="T266:X266"/>
    <mergeCell ref="AA324:AK324"/>
    <mergeCell ref="AF639:AJ639"/>
    <mergeCell ref="U641:W641"/>
    <mergeCell ref="AC640:AE640"/>
    <mergeCell ref="AC641:AE641"/>
    <mergeCell ref="A627:AS628"/>
    <mergeCell ref="AF634:AJ636"/>
    <mergeCell ref="AF637:AJ637"/>
    <mergeCell ref="AO634:AS636"/>
    <mergeCell ref="AO638:AS638"/>
    <mergeCell ref="AC634:AE636"/>
    <mergeCell ref="J366:K366"/>
    <mergeCell ref="AF640:AJ640"/>
    <mergeCell ref="C641:N641"/>
    <mergeCell ref="U640:W640"/>
    <mergeCell ref="N371:Q371"/>
    <mergeCell ref="W260:X260"/>
    <mergeCell ref="U262:W262"/>
    <mergeCell ref="Q571:S571"/>
    <mergeCell ref="DM609:DQ609"/>
    <mergeCell ref="G582:L582"/>
    <mergeCell ref="G597:R597"/>
    <mergeCell ref="G588:R588"/>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30:M330"/>
    <mergeCell ref="H340:R340"/>
    <mergeCell ref="H337:R337"/>
    <mergeCell ref="P344:AE344"/>
    <mergeCell ref="H322:M322"/>
    <mergeCell ref="AA340:AK340"/>
    <mergeCell ref="AA334:AK334"/>
    <mergeCell ref="AA329:AK329"/>
    <mergeCell ref="H323:M323"/>
    <mergeCell ref="AA320:AK320"/>
    <mergeCell ref="G599:L599"/>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13:DG613"/>
    <mergeCell ref="DH613:DL613"/>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DC620:DG620"/>
    <mergeCell ref="DH620:DL620"/>
    <mergeCell ref="DM619:DQ619"/>
    <mergeCell ref="DR619:DV619"/>
    <mergeCell ref="DM620:DQ620"/>
    <mergeCell ref="DR620:DV620"/>
    <mergeCell ref="AA674:AK674"/>
    <mergeCell ref="BS656:BW656"/>
    <mergeCell ref="Z663:AK663"/>
    <mergeCell ref="AI665:AK665"/>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BG851:BL851"/>
    <mergeCell ref="AM741:AO741"/>
    <mergeCell ref="AC795:AG795"/>
    <mergeCell ref="AC787:AG787"/>
    <mergeCell ref="H674:R674"/>
    <mergeCell ref="G664:R664"/>
    <mergeCell ref="G662:R662"/>
    <mergeCell ref="Z695:AK695"/>
    <mergeCell ref="W869:AC869"/>
    <mergeCell ref="AE944:AK944"/>
    <mergeCell ref="DM629:DQ629"/>
    <mergeCell ref="CS629:CW629"/>
    <mergeCell ref="CX629:DB629"/>
    <mergeCell ref="CS631:CW631"/>
    <mergeCell ref="CX631:DB631"/>
    <mergeCell ref="DC631:DG631"/>
    <mergeCell ref="DH631:DL631"/>
    <mergeCell ref="AO646:AS646"/>
    <mergeCell ref="AO637:AS637"/>
    <mergeCell ref="AK643:AN643"/>
    <mergeCell ref="AH740:AL740"/>
    <mergeCell ref="T735:X735"/>
    <mergeCell ref="T736:X736"/>
    <mergeCell ref="T737:X737"/>
    <mergeCell ref="W851:AC851"/>
    <mergeCell ref="Z657:AE657"/>
    <mergeCell ref="Z662:AK662"/>
    <mergeCell ref="AA658:AK658"/>
    <mergeCell ref="BN630:BR630"/>
    <mergeCell ref="BS630:BW630"/>
    <mergeCell ref="DC633:DG633"/>
    <mergeCell ref="CS633:CW633"/>
    <mergeCell ref="G737:J737"/>
    <mergeCell ref="D1078:AK1081"/>
    <mergeCell ref="D1082:AK1084"/>
    <mergeCell ref="A1074:B1074"/>
    <mergeCell ref="X1035:AC1035"/>
    <mergeCell ref="X1036:AC1036"/>
    <mergeCell ref="M829:P829"/>
    <mergeCell ref="Y747:AB747"/>
    <mergeCell ref="O750:S750"/>
    <mergeCell ref="Y825:AB825"/>
    <mergeCell ref="P814:Y814"/>
    <mergeCell ref="O787:S787"/>
    <mergeCell ref="O794:S794"/>
    <mergeCell ref="AC790:AG790"/>
    <mergeCell ref="AC791:AG791"/>
    <mergeCell ref="O786:S786"/>
    <mergeCell ref="J774:N774"/>
    <mergeCell ref="Y745:AB745"/>
    <mergeCell ref="Y749:AB749"/>
    <mergeCell ref="G752:J752"/>
    <mergeCell ref="AC775:AG775"/>
    <mergeCell ref="J768:N771"/>
    <mergeCell ref="J793:N793"/>
    <mergeCell ref="K748:N748"/>
    <mergeCell ref="K749:N749"/>
    <mergeCell ref="AC772:AG772"/>
    <mergeCell ref="T745:X745"/>
    <mergeCell ref="T746:X746"/>
    <mergeCell ref="G750:J750"/>
    <mergeCell ref="O745:S745"/>
    <mergeCell ref="G749:J749"/>
    <mergeCell ref="G748:J748"/>
    <mergeCell ref="AC745:AG745"/>
    <mergeCell ref="AC746:AG746"/>
    <mergeCell ref="A1082:B1082"/>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47:J747"/>
    <mergeCell ref="G745:J745"/>
    <mergeCell ref="J778:K778"/>
    <mergeCell ref="AC793:AG793"/>
    <mergeCell ref="AC750:AG750"/>
    <mergeCell ref="J789:N789"/>
    <mergeCell ref="O789:S789"/>
    <mergeCell ref="A1066:B1066"/>
    <mergeCell ref="A1040:AL1040"/>
    <mergeCell ref="A1063:B1063"/>
    <mergeCell ref="A1056:B1056"/>
    <mergeCell ref="A1050:B1050"/>
    <mergeCell ref="A1044:B1044"/>
    <mergeCell ref="I933:T933"/>
    <mergeCell ref="M939:S939"/>
    <mergeCell ref="Y736:AB736"/>
    <mergeCell ref="AC743:AG743"/>
    <mergeCell ref="Z811:AE811"/>
    <mergeCell ref="Y740:AB740"/>
    <mergeCell ref="M951:S951"/>
    <mergeCell ref="O791:S791"/>
    <mergeCell ref="A1078:B1078"/>
    <mergeCell ref="G743:J743"/>
    <mergeCell ref="AJ974:AQ974"/>
    <mergeCell ref="W863:AC863"/>
    <mergeCell ref="W877:AC877"/>
    <mergeCell ref="A1071:B1071"/>
    <mergeCell ref="J788:N788"/>
    <mergeCell ref="O788:S788"/>
    <mergeCell ref="AH745:AL745"/>
    <mergeCell ref="AH746:AL746"/>
    <mergeCell ref="O793:S793"/>
    <mergeCell ref="J790:N790"/>
    <mergeCell ref="Y748:AB748"/>
    <mergeCell ref="M869:V869"/>
    <mergeCell ref="O776:S776"/>
    <mergeCell ref="D1044:AK1049"/>
    <mergeCell ref="D1050:AK1055"/>
    <mergeCell ref="D1056:AK1062"/>
    <mergeCell ref="D1063:AK1065"/>
    <mergeCell ref="D1066:AK1070"/>
    <mergeCell ref="D1071:AK1073"/>
    <mergeCell ref="O741:S741"/>
    <mergeCell ref="AJ972:AQ972"/>
    <mergeCell ref="O747:S747"/>
    <mergeCell ref="O748:S748"/>
    <mergeCell ref="M944:S944"/>
    <mergeCell ref="AE704:AF704"/>
    <mergeCell ref="AA682:AK682"/>
    <mergeCell ref="Z694:AK694"/>
    <mergeCell ref="Z697:AE697"/>
    <mergeCell ref="G694:R694"/>
    <mergeCell ref="G744:J744"/>
    <mergeCell ref="AC736:AG736"/>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M731:AO731"/>
    <mergeCell ref="Y728:AB728"/>
    <mergeCell ref="AG699:AH699"/>
    <mergeCell ref="AC747:AG747"/>
    <mergeCell ref="AH753:AL753"/>
    <mergeCell ref="T753:X753"/>
    <mergeCell ref="AH749:AL749"/>
    <mergeCell ref="O729:S729"/>
    <mergeCell ref="G665:L665"/>
    <mergeCell ref="BI844:BL844"/>
    <mergeCell ref="AC821:AF822"/>
    <mergeCell ref="Z814:AE814"/>
    <mergeCell ref="G739:J739"/>
    <mergeCell ref="O734:S734"/>
    <mergeCell ref="AM739:AO739"/>
    <mergeCell ref="Y737:AB737"/>
    <mergeCell ref="AM737:AO737"/>
    <mergeCell ref="K743:N743"/>
    <mergeCell ref="T741:X741"/>
    <mergeCell ref="T742:X742"/>
    <mergeCell ref="T743:X743"/>
    <mergeCell ref="AC739:AG739"/>
    <mergeCell ref="AM740:AO740"/>
    <mergeCell ref="AM733:AO733"/>
    <mergeCell ref="AM729:AO729"/>
    <mergeCell ref="X774:AB774"/>
    <mergeCell ref="X775:AB775"/>
    <mergeCell ref="AC748:AG748"/>
    <mergeCell ref="AC749:AG749"/>
    <mergeCell ref="O749:S749"/>
    <mergeCell ref="Y739:AB739"/>
    <mergeCell ref="G740:J740"/>
    <mergeCell ref="AH790:AL790"/>
    <mergeCell ref="AC744:AG744"/>
    <mergeCell ref="AC788:AG788"/>
    <mergeCell ref="AC789:AG789"/>
    <mergeCell ref="T744:X744"/>
    <mergeCell ref="AH739:AL739"/>
    <mergeCell ref="AE703:AF703"/>
    <mergeCell ref="P681:R681"/>
    <mergeCell ref="G670:R670"/>
    <mergeCell ref="Z653:AK653"/>
    <mergeCell ref="J715:O715"/>
    <mergeCell ref="J714:X714"/>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N683:O683"/>
    <mergeCell ref="G679:R679"/>
    <mergeCell ref="G696:R696"/>
    <mergeCell ref="N699:O699"/>
    <mergeCell ref="Z669:AK669"/>
    <mergeCell ref="N667:O667"/>
    <mergeCell ref="Z670:AK670"/>
    <mergeCell ref="G697:L697"/>
    <mergeCell ref="K728:N728"/>
    <mergeCell ref="Z679:AK679"/>
    <mergeCell ref="J786:N786"/>
    <mergeCell ref="J776:N776"/>
    <mergeCell ref="T773:W773"/>
    <mergeCell ref="U648:W648"/>
    <mergeCell ref="Z696:AK696"/>
    <mergeCell ref="AE708:AI708"/>
    <mergeCell ref="G663:R663"/>
    <mergeCell ref="Z685:AK685"/>
    <mergeCell ref="P689:R689"/>
    <mergeCell ref="AE712:AF712"/>
    <mergeCell ref="Z665:AE665"/>
    <mergeCell ref="AA666:AK666"/>
    <mergeCell ref="Z673:AE673"/>
    <mergeCell ref="AG683:AH683"/>
    <mergeCell ref="AG675:AH675"/>
    <mergeCell ref="AC732:AG732"/>
    <mergeCell ref="K737:N737"/>
    <mergeCell ref="K738:N738"/>
    <mergeCell ref="K739:N739"/>
    <mergeCell ref="Z686:AK686"/>
    <mergeCell ref="AI697:AK697"/>
    <mergeCell ref="AA690:AK690"/>
    <mergeCell ref="G681:L681"/>
    <mergeCell ref="E717:AK717"/>
    <mergeCell ref="W716:AK716"/>
    <mergeCell ref="AA698:AK698"/>
    <mergeCell ref="G687:R687"/>
    <mergeCell ref="Y730:AB730"/>
    <mergeCell ref="Z688:AK688"/>
    <mergeCell ref="G695:R695"/>
    <mergeCell ref="H698:R698"/>
    <mergeCell ref="AC728:AG728"/>
    <mergeCell ref="AC724:AG727"/>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N675:O675"/>
    <mergeCell ref="H682:R682"/>
    <mergeCell ref="G686:R686"/>
    <mergeCell ref="G678:R678"/>
    <mergeCell ref="G741:J741"/>
    <mergeCell ref="R971:AA971"/>
    <mergeCell ref="R972:AA972"/>
    <mergeCell ref="Z812:AE812"/>
    <mergeCell ref="W843:AC843"/>
    <mergeCell ref="U928:Z928"/>
    <mergeCell ref="AG821:AJ822"/>
    <mergeCell ref="W852:AC852"/>
    <mergeCell ref="W860:AC860"/>
    <mergeCell ref="A963:AS964"/>
    <mergeCell ref="O742:S742"/>
    <mergeCell ref="O743:S743"/>
    <mergeCell ref="X776:AB776"/>
    <mergeCell ref="X768:AB771"/>
    <mergeCell ref="K750:N750"/>
    <mergeCell ref="AC742:AG742"/>
    <mergeCell ref="T768:W771"/>
    <mergeCell ref="AC792:AG792"/>
    <mergeCell ref="AH744:AL744"/>
    <mergeCell ref="AA951:AG951"/>
    <mergeCell ref="AA957:AG957"/>
    <mergeCell ref="M955:S955"/>
    <mergeCell ref="AE945:AK945"/>
    <mergeCell ref="AA932:AF932"/>
    <mergeCell ref="M859:V859"/>
    <mergeCell ref="U922:Z922"/>
    <mergeCell ref="M954:S954"/>
    <mergeCell ref="F912:T912"/>
    <mergeCell ref="I932:T932"/>
    <mergeCell ref="M875:V875"/>
    <mergeCell ref="AC892:AH892"/>
    <mergeCell ref="AA924:AF924"/>
    <mergeCell ref="AG1011:AH1011"/>
    <mergeCell ref="D1015:AE1015"/>
    <mergeCell ref="D986:AE986"/>
    <mergeCell ref="R973:AA973"/>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B750:F750"/>
    <mergeCell ref="AH791:AL791"/>
    <mergeCell ref="AH786:AL786"/>
    <mergeCell ref="AH787:AL787"/>
    <mergeCell ref="AH788:AL788"/>
    <mergeCell ref="AH789:AL789"/>
    <mergeCell ref="B739:F739"/>
    <mergeCell ref="T790:W790"/>
    <mergeCell ref="T791:W791"/>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D1011:AE1011"/>
    <mergeCell ref="D1012:AE1014"/>
    <mergeCell ref="AJ1011:AQ1014"/>
    <mergeCell ref="AJ977:AQ979"/>
    <mergeCell ref="M959:S959"/>
    <mergeCell ref="D968:Q968"/>
    <mergeCell ref="D969:Q969"/>
    <mergeCell ref="D970:Q970"/>
    <mergeCell ref="AG823:AJ823"/>
    <mergeCell ref="AC794:AG794"/>
    <mergeCell ref="D971:Q971"/>
    <mergeCell ref="D972:Q972"/>
    <mergeCell ref="D973:Q973"/>
    <mergeCell ref="AJ968:AQ968"/>
    <mergeCell ref="AJ969:AQ969"/>
    <mergeCell ref="AJ970:AQ970"/>
    <mergeCell ref="AJ971:AQ971"/>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AA956:AG956"/>
    <mergeCell ref="Z898:AE898"/>
    <mergeCell ref="AA927:AF927"/>
    <mergeCell ref="AA954:AG954"/>
    <mergeCell ref="O958:P958"/>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O637:Q637"/>
    <mergeCell ref="O645:Q645"/>
    <mergeCell ref="AC638:AE638"/>
    <mergeCell ref="AC637:AE637"/>
    <mergeCell ref="R647:T647"/>
    <mergeCell ref="R648:T648"/>
    <mergeCell ref="AH732:AL732"/>
    <mergeCell ref="AH729:AL729"/>
    <mergeCell ref="AH728:AL728"/>
    <mergeCell ref="AH733:AL733"/>
    <mergeCell ref="AH734:AL734"/>
    <mergeCell ref="AH735:AL735"/>
    <mergeCell ref="AH736:AL736"/>
    <mergeCell ref="AH730:AL730"/>
    <mergeCell ref="AH731:AL731"/>
    <mergeCell ref="G736:J736"/>
    <mergeCell ref="T728:X728"/>
    <mergeCell ref="AC734:AG734"/>
    <mergeCell ref="B732:F732"/>
    <mergeCell ref="G728:J72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F641:AJ641"/>
    <mergeCell ref="CS648:CW648"/>
    <mergeCell ref="CM643:CQ643"/>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M636:CQ636"/>
    <mergeCell ref="CX633:DB633"/>
    <mergeCell ref="CS634:CW634"/>
    <mergeCell ref="CX634:DB634"/>
    <mergeCell ref="AF642:AJ642"/>
    <mergeCell ref="AC642:AE642"/>
    <mergeCell ref="U634:W636"/>
    <mergeCell ref="BN642:BR642"/>
    <mergeCell ref="BN643:BR643"/>
    <mergeCell ref="BN644:BR644"/>
    <mergeCell ref="BS644:BW644"/>
    <mergeCell ref="CC643:CG643"/>
    <mergeCell ref="CH643:CL643"/>
    <mergeCell ref="X638:AB638"/>
    <mergeCell ref="DM635:DQ635"/>
    <mergeCell ref="DC634:DG634"/>
    <mergeCell ref="BK624:BL624"/>
    <mergeCell ref="BN624:BR62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EH640:EL640"/>
    <mergeCell ref="DX626:EB626"/>
    <mergeCell ref="EC626:EG626"/>
    <mergeCell ref="EH626:EL626"/>
    <mergeCell ref="EM626:EQ626"/>
    <mergeCell ref="ER626:EV626"/>
    <mergeCell ref="DH628:DL628"/>
    <mergeCell ref="DR627:DV627"/>
    <mergeCell ref="DM628:DQ628"/>
    <mergeCell ref="DR628:DV628"/>
    <mergeCell ref="DC627:DG627"/>
    <mergeCell ref="DH627:DL627"/>
    <mergeCell ref="DH626:DL626"/>
    <mergeCell ref="DC625:DG625"/>
    <mergeCell ref="DM633:DQ633"/>
    <mergeCell ref="BX634:CB634"/>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CX627:DB627"/>
    <mergeCell ref="CS620:CW620"/>
    <mergeCell ref="CX620:DB620"/>
    <mergeCell ref="O646:Q646"/>
    <mergeCell ref="CC623:CG623"/>
    <mergeCell ref="BK623:BL623"/>
    <mergeCell ref="BN619:BR619"/>
    <mergeCell ref="BI623:BJ623"/>
    <mergeCell ref="AF644:AJ644"/>
    <mergeCell ref="AF645:AJ645"/>
    <mergeCell ref="CS622:CW622"/>
    <mergeCell ref="G621:R621"/>
    <mergeCell ref="H624:R624"/>
    <mergeCell ref="CS621:CW621"/>
    <mergeCell ref="BE623:BF623"/>
    <mergeCell ref="AC639:AE639"/>
    <mergeCell ref="AO642:AS642"/>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G623:L623"/>
    <mergeCell ref="AA608:AK608"/>
    <mergeCell ref="Z612:AK612"/>
    <mergeCell ref="Z623:AE623"/>
    <mergeCell ref="G620:R620"/>
    <mergeCell ref="AA616:AK616"/>
    <mergeCell ref="G615:L615"/>
    <mergeCell ref="G589:R589"/>
    <mergeCell ref="Z581:AK581"/>
    <mergeCell ref="Z613:AK613"/>
    <mergeCell ref="AI582:AK582"/>
    <mergeCell ref="H583:R583"/>
    <mergeCell ref="Z611:AK611"/>
    <mergeCell ref="N609:O609"/>
    <mergeCell ref="C642:N642"/>
    <mergeCell ref="BS648:BW648"/>
    <mergeCell ref="AO645:AS645"/>
    <mergeCell ref="AO643:AS643"/>
    <mergeCell ref="CH658:CL658"/>
    <mergeCell ref="CM658:CQ658"/>
    <mergeCell ref="CM654:CQ654"/>
    <mergeCell ref="CH652:CL652"/>
    <mergeCell ref="BX657:CB657"/>
    <mergeCell ref="CC652:CG652"/>
    <mergeCell ref="CC653:CG653"/>
    <mergeCell ref="CC655:CG655"/>
    <mergeCell ref="CC656:CG656"/>
    <mergeCell ref="CC657:CG657"/>
    <mergeCell ref="DH655:DL655"/>
    <mergeCell ref="DM655:DQ655"/>
    <mergeCell ref="DR655:DV655"/>
    <mergeCell ref="CS656:CW656"/>
    <mergeCell ref="CX656:DB656"/>
    <mergeCell ref="DC656:DG656"/>
    <mergeCell ref="DH656:DL656"/>
    <mergeCell ref="DM656:DQ656"/>
    <mergeCell ref="DR656:DV656"/>
    <mergeCell ref="CC654:CG654"/>
    <mergeCell ref="BX652:CB652"/>
    <mergeCell ref="BX653:CB653"/>
    <mergeCell ref="CH650:CL650"/>
    <mergeCell ref="CS653:CW653"/>
    <mergeCell ref="CX653:DB653"/>
    <mergeCell ref="BX656:CB656"/>
    <mergeCell ref="BX654:CB654"/>
    <mergeCell ref="BS654:BW654"/>
    <mergeCell ref="AO651:AS651"/>
    <mergeCell ref="EC640:EG640"/>
    <mergeCell ref="CC648:CG648"/>
    <mergeCell ref="CH651:CL651"/>
    <mergeCell ref="CC651:CG651"/>
    <mergeCell ref="CH648:CL648"/>
    <mergeCell ref="BX651:CB651"/>
    <mergeCell ref="DC649:DG649"/>
    <mergeCell ref="CM653:CQ653"/>
    <mergeCell ref="BX650:CB650"/>
    <mergeCell ref="CX651:DB651"/>
    <mergeCell ref="DC651:DG651"/>
    <mergeCell ref="DR654:DV654"/>
    <mergeCell ref="DH649:DL649"/>
    <mergeCell ref="DM649:DQ649"/>
    <mergeCell ref="DR649:DV649"/>
    <mergeCell ref="CX648:DB648"/>
    <mergeCell ref="DC648:DG648"/>
    <mergeCell ref="CS649:CW649"/>
    <mergeCell ref="CH642:CL642"/>
    <mergeCell ref="EC648:EG648"/>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M633:CQ633"/>
    <mergeCell ref="CM634:CQ634"/>
    <mergeCell ref="CM635:CQ635"/>
    <mergeCell ref="CM640:CQ640"/>
    <mergeCell ref="CX649:DB649"/>
    <mergeCell ref="CM651:CQ651"/>
    <mergeCell ref="DH634:DL634"/>
    <mergeCell ref="DM634:DQ634"/>
    <mergeCell ref="DR634:DV634"/>
    <mergeCell ref="DR633:DV633"/>
    <mergeCell ref="DH633:DL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36:AO73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DR660:DV660"/>
    <mergeCell ref="CS658:CW658"/>
    <mergeCell ref="BN650:BR650"/>
    <mergeCell ref="K729:N729"/>
    <mergeCell ref="B731:F731"/>
    <mergeCell ref="B728:F728"/>
    <mergeCell ref="G730:J730"/>
    <mergeCell ref="B729:F729"/>
    <mergeCell ref="B736:F736"/>
    <mergeCell ref="G729:J729"/>
    <mergeCell ref="B730:F730"/>
    <mergeCell ref="B733:F733"/>
    <mergeCell ref="B735:F735"/>
    <mergeCell ref="B734:F734"/>
    <mergeCell ref="G734:J734"/>
    <mergeCell ref="K731:N731"/>
    <mergeCell ref="K732:N732"/>
    <mergeCell ref="K733:N733"/>
    <mergeCell ref="K736:N736"/>
    <mergeCell ref="G735:J735"/>
    <mergeCell ref="G733:J733"/>
    <mergeCell ref="G731:J731"/>
    <mergeCell ref="K730:N730"/>
  </mergeCells>
  <phoneticPr fontId="0" type="noConversion"/>
  <conditionalFormatting sqref="AF1000">
    <cfRule type="cellIs" dxfId="141" priority="4" stopIfTrue="1" operator="equal">
      <formula>"Please Enter Amount:"</formula>
    </cfRule>
  </conditionalFormatting>
  <conditionalFormatting sqref="AJ1024">
    <cfRule type="cellIs" dxfId="140" priority="7" stopIfTrue="1" operator="equal">
      <formula>"#DIV/0!"</formula>
    </cfRule>
  </conditionalFormatting>
  <conditionalFormatting sqref="AG440:AJ440">
    <cfRule type="expression" dxfId="139" priority="8" stopIfTrue="1">
      <formula>"iserror(d31)"</formula>
    </cfRule>
  </conditionalFormatting>
  <conditionalFormatting sqref="AF1012">
    <cfRule type="cellIs" dxfId="138" priority="2" stopIfTrue="1" operator="equal">
      <formula>"Please Enter Amount:"</formula>
    </cfRule>
  </conditionalFormatting>
  <conditionalFormatting sqref="AF1005">
    <cfRule type="cellIs" dxfId="13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6" fitToHeight="0"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10" zoomScaleNormal="110" zoomScaleSheetLayoutView="90" workbookViewId="0">
      <pane xSplit="5" ySplit="3" topLeftCell="P63" activePane="bottomRight" state="frozen"/>
      <selection pane="topRight" activeCell="F1" sqref="F1"/>
      <selection pane="bottomLeft" activeCell="A4" sqref="A4"/>
      <selection pane="bottomRight" activeCell="C99" sqref="C99"/>
    </sheetView>
  </sheetViews>
  <sheetFormatPr defaultColWidth="0" defaultRowHeight="11.5" zeroHeight="1"/>
  <cols>
    <col min="1" max="1" width="35.453125" style="298" customWidth="1"/>
    <col min="2" max="12" width="12.1796875" style="229" customWidth="1"/>
    <col min="13" max="17" width="11.453125" style="229" customWidth="1"/>
    <col min="18" max="18" width="12.453125" style="229" customWidth="1"/>
    <col min="19" max="20" width="12.1796875" style="229" customWidth="1"/>
    <col min="21" max="21" width="0.453125" style="232" customWidth="1"/>
    <col min="22" max="16383" width="8.81640625" style="229" hidden="1"/>
    <col min="16384" max="16384" width="0.1796875" style="229" customWidth="1"/>
  </cols>
  <sheetData>
    <row r="1" spans="1:21" s="166" customFormat="1" ht="13.5">
      <c r="A1" s="246" t="s">
        <v>580</v>
      </c>
      <c r="B1" s="189"/>
      <c r="C1" s="189"/>
      <c r="D1" s="189"/>
      <c r="E1" s="190"/>
      <c r="F1" s="2537" t="s">
        <v>654</v>
      </c>
      <c r="G1" s="2538"/>
      <c r="H1" s="2538"/>
      <c r="I1" s="2538"/>
      <c r="J1" s="2538"/>
      <c r="K1" s="2538"/>
      <c r="L1" s="2538"/>
      <c r="M1" s="2538"/>
      <c r="N1" s="2538"/>
      <c r="O1" s="2538"/>
      <c r="P1" s="2538"/>
      <c r="Q1" s="2538"/>
      <c r="R1" s="2539"/>
      <c r="S1" s="168"/>
      <c r="T1" s="167"/>
      <c r="U1" s="169"/>
    </row>
    <row r="2" spans="1:21" s="208" customFormat="1" ht="71.25" customHeight="1">
      <c r="A2" s="207"/>
      <c r="B2" s="208" t="s">
        <v>24</v>
      </c>
      <c r="C2" s="208" t="s">
        <v>391</v>
      </c>
      <c r="D2" s="208" t="s">
        <v>390</v>
      </c>
      <c r="E2" s="208" t="s">
        <v>25</v>
      </c>
      <c r="F2" s="209" t="str">
        <f>Application!B637&amp;Application!C637</f>
        <v>1)Tax-Exempt Perm Loan</v>
      </c>
      <c r="G2" s="209" t="str">
        <f>Application!B638&amp;Application!C638</f>
        <v>2)HCD AHSC</v>
      </c>
      <c r="H2" s="209" t="str">
        <f>Application!B639&amp;Application!C639</f>
        <v>3)SF MOHCD</v>
      </c>
      <c r="I2" s="209" t="str">
        <f>Application!B640&amp;Application!C640</f>
        <v>4)FHLB AHP</v>
      </c>
      <c r="J2" s="209" t="str">
        <f>Application!B641&amp;Application!C641</f>
        <v>5)The Kelsey Sponsor Loan</v>
      </c>
      <c r="K2" s="209" t="str">
        <f>Application!B642&amp;Application!C642</f>
        <v>6)Accrued Interest on Soft Loans</v>
      </c>
      <c r="L2" s="209" t="str">
        <f>Application!B643&amp;Application!C643</f>
        <v>7)Kelsey Commercial Space Purchase</v>
      </c>
      <c r="M2" s="209" t="str">
        <f>Application!B644&amp;Application!C644</f>
        <v>8)GP Capital</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7">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626</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0</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628</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629</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0</v>
      </c>
      <c r="C12" s="216">
        <f t="shared" si="2"/>
        <v>0</v>
      </c>
      <c r="D12" s="216">
        <f t="shared" si="2"/>
        <v>0</v>
      </c>
      <c r="E12" s="216">
        <f t="shared" si="2"/>
        <v>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0</v>
      </c>
      <c r="S12" s="218"/>
      <c r="T12" s="218"/>
      <c r="U12" s="213"/>
    </row>
    <row r="13" spans="1:21" s="214" customFormat="1">
      <c r="A13" s="449" t="s">
        <v>969</v>
      </c>
      <c r="B13" s="216">
        <f>SUM(C13+D13)</f>
        <v>25000</v>
      </c>
      <c r="C13" s="217">
        <v>24590</v>
      </c>
      <c r="D13" s="217">
        <v>410</v>
      </c>
      <c r="E13" s="217">
        <f>B13-SUM(F13:Q13)</f>
        <v>24590</v>
      </c>
      <c r="F13" s="217"/>
      <c r="G13" s="217"/>
      <c r="H13" s="217"/>
      <c r="I13" s="217"/>
      <c r="J13" s="217"/>
      <c r="K13" s="217"/>
      <c r="L13" s="217">
        <f>D13</f>
        <v>410</v>
      </c>
      <c r="M13" s="217"/>
      <c r="N13" s="217"/>
      <c r="O13" s="217"/>
      <c r="P13" s="217"/>
      <c r="Q13" s="217"/>
      <c r="R13" s="877">
        <f>SUM(E13:Q13)</f>
        <v>25000</v>
      </c>
      <c r="S13" s="217"/>
      <c r="T13" s="217"/>
      <c r="U13" s="213"/>
    </row>
    <row r="14" spans="1:21" s="214" customFormat="1" ht="23">
      <c r="A14" s="450" t="s">
        <v>1948</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1349</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2">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1945</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50000</v>
      </c>
      <c r="C27" s="217">
        <v>49180</v>
      </c>
      <c r="D27" s="217">
        <v>820</v>
      </c>
      <c r="E27" s="217">
        <f>B27-SUM(F27:Q27)</f>
        <v>49180</v>
      </c>
      <c r="F27" s="217"/>
      <c r="G27" s="217"/>
      <c r="H27" s="217"/>
      <c r="I27" s="217"/>
      <c r="J27" s="217"/>
      <c r="K27" s="217"/>
      <c r="L27" s="217">
        <f>D27</f>
        <v>820</v>
      </c>
      <c r="M27" s="217"/>
      <c r="N27" s="217"/>
      <c r="O27" s="217"/>
      <c r="P27" s="217"/>
      <c r="Q27" s="217"/>
      <c r="R27" s="877">
        <f t="shared" si="4"/>
        <v>50000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1721052</v>
      </c>
      <c r="C29" s="217">
        <v>1692826</v>
      </c>
      <c r="D29" s="217">
        <v>28226</v>
      </c>
      <c r="E29" s="217">
        <f t="shared" ref="E29:E37" si="7">B29-SUM(F29:Q29)</f>
        <v>1692826</v>
      </c>
      <c r="F29" s="217"/>
      <c r="G29" s="217"/>
      <c r="H29" s="217"/>
      <c r="I29" s="217"/>
      <c r="J29" s="217"/>
      <c r="K29" s="217"/>
      <c r="L29" s="217">
        <f t="shared" ref="L29:L37" si="8">D29</f>
        <v>28226</v>
      </c>
      <c r="M29" s="217"/>
      <c r="N29" s="217"/>
      <c r="O29" s="217"/>
      <c r="P29" s="217"/>
      <c r="Q29" s="217"/>
      <c r="R29" s="877">
        <f t="shared" ref="R29:R37" si="9">SUM(E29:Q29)</f>
        <v>1721052</v>
      </c>
      <c r="S29" s="217">
        <f>C29</f>
        <v>1692826</v>
      </c>
      <c r="T29" s="217"/>
      <c r="U29" s="213"/>
    </row>
    <row r="30" spans="1:21" s="214" customFormat="1">
      <c r="A30" s="215" t="s">
        <v>632</v>
      </c>
      <c r="B30" s="216">
        <f t="shared" si="6"/>
        <v>51758977</v>
      </c>
      <c r="C30" s="217">
        <v>50711485</v>
      </c>
      <c r="D30" s="217">
        <v>1047492</v>
      </c>
      <c r="E30" s="217">
        <f t="shared" si="7"/>
        <v>8566314</v>
      </c>
      <c r="F30" s="217">
        <f>Application!AO637</f>
        <v>6867000</v>
      </c>
      <c r="G30" s="217">
        <f>Application!AO638</f>
        <v>20000000</v>
      </c>
      <c r="H30" s="217">
        <f>Application!AO639</f>
        <v>12150000</v>
      </c>
      <c r="I30" s="217">
        <f>Application!AO640</f>
        <v>1000000</v>
      </c>
      <c r="J30" s="217">
        <f>Application!AO641</f>
        <v>2116308</v>
      </c>
      <c r="K30" s="217">
        <f>K108-K93</f>
        <v>11763</v>
      </c>
      <c r="L30" s="217">
        <f t="shared" si="8"/>
        <v>1047492</v>
      </c>
      <c r="M30" s="217">
        <f>Application!AO644</f>
        <v>100</v>
      </c>
      <c r="N30" s="217"/>
      <c r="O30" s="217"/>
      <c r="P30" s="217"/>
      <c r="Q30" s="217"/>
      <c r="R30" s="877">
        <f t="shared" si="9"/>
        <v>51758977</v>
      </c>
      <c r="S30" s="217">
        <f t="shared" ref="S30:S37" si="10">C30</f>
        <v>50711485</v>
      </c>
      <c r="T30" s="217"/>
      <c r="U30" s="213"/>
    </row>
    <row r="31" spans="1:21" s="214" customFormat="1">
      <c r="A31" s="215" t="s">
        <v>633</v>
      </c>
      <c r="B31" s="216">
        <f t="shared" si="6"/>
        <v>5168231</v>
      </c>
      <c r="C31" s="217">
        <v>5083470</v>
      </c>
      <c r="D31" s="217">
        <v>84761</v>
      </c>
      <c r="E31" s="217">
        <f t="shared" si="7"/>
        <v>5083470</v>
      </c>
      <c r="F31" s="217"/>
      <c r="G31" s="217"/>
      <c r="H31" s="217"/>
      <c r="I31" s="217"/>
      <c r="J31" s="217"/>
      <c r="K31" s="217"/>
      <c r="L31" s="217">
        <f t="shared" si="8"/>
        <v>84761</v>
      </c>
      <c r="M31" s="217"/>
      <c r="N31" s="217"/>
      <c r="O31" s="217"/>
      <c r="P31" s="217"/>
      <c r="Q31" s="217"/>
      <c r="R31" s="877">
        <f t="shared" si="9"/>
        <v>5168231</v>
      </c>
      <c r="S31" s="217">
        <f t="shared" si="10"/>
        <v>5083470</v>
      </c>
      <c r="T31" s="217"/>
      <c r="U31" s="213"/>
    </row>
    <row r="32" spans="1:21" s="214" customFormat="1">
      <c r="A32" s="215" t="s">
        <v>142</v>
      </c>
      <c r="B32" s="216">
        <f t="shared" si="6"/>
        <v>1866462</v>
      </c>
      <c r="C32" s="217">
        <f>3671703/2</f>
        <v>1835851.5</v>
      </c>
      <c r="D32" s="217">
        <f>61221/2</f>
        <v>30610.5</v>
      </c>
      <c r="E32" s="217">
        <f t="shared" si="7"/>
        <v>1835851.5</v>
      </c>
      <c r="F32" s="217"/>
      <c r="G32" s="217"/>
      <c r="H32" s="217"/>
      <c r="I32" s="217"/>
      <c r="J32" s="217"/>
      <c r="K32" s="217"/>
      <c r="L32" s="217">
        <f t="shared" si="8"/>
        <v>30610.5</v>
      </c>
      <c r="M32" s="217"/>
      <c r="N32" s="217"/>
      <c r="O32" s="217"/>
      <c r="P32" s="217"/>
      <c r="Q32" s="217"/>
      <c r="R32" s="877">
        <f t="shared" si="9"/>
        <v>1866462</v>
      </c>
      <c r="S32" s="217">
        <f t="shared" si="10"/>
        <v>1835851.5</v>
      </c>
      <c r="T32" s="217"/>
      <c r="U32" s="213"/>
    </row>
    <row r="33" spans="1:21" s="214" customFormat="1">
      <c r="A33" s="215" t="s">
        <v>143</v>
      </c>
      <c r="B33" s="216">
        <f t="shared" si="6"/>
        <v>1866462</v>
      </c>
      <c r="C33" s="217">
        <f>C32</f>
        <v>1835851.5</v>
      </c>
      <c r="D33" s="217">
        <f>D32</f>
        <v>30610.5</v>
      </c>
      <c r="E33" s="217">
        <f t="shared" si="7"/>
        <v>1835851.5</v>
      </c>
      <c r="F33" s="217"/>
      <c r="G33" s="217"/>
      <c r="H33" s="217"/>
      <c r="I33" s="217"/>
      <c r="J33" s="217"/>
      <c r="K33" s="217"/>
      <c r="L33" s="217">
        <f t="shared" si="8"/>
        <v>30610.5</v>
      </c>
      <c r="M33" s="217"/>
      <c r="N33" s="217"/>
      <c r="O33" s="217"/>
      <c r="P33" s="217"/>
      <c r="Q33" s="217"/>
      <c r="R33" s="877">
        <f t="shared" si="9"/>
        <v>1866462</v>
      </c>
      <c r="S33" s="217">
        <f t="shared" si="10"/>
        <v>1835851.5</v>
      </c>
      <c r="T33" s="217"/>
      <c r="U33" s="213"/>
    </row>
    <row r="34" spans="1:21" s="214" customFormat="1">
      <c r="A34" s="215" t="s">
        <v>144</v>
      </c>
      <c r="B34" s="216">
        <f t="shared" si="6"/>
        <v>0</v>
      </c>
      <c r="C34" s="217"/>
      <c r="D34" s="217"/>
      <c r="E34" s="217">
        <f t="shared" si="7"/>
        <v>0</v>
      </c>
      <c r="F34" s="217"/>
      <c r="G34" s="217"/>
      <c r="H34" s="217"/>
      <c r="I34" s="217"/>
      <c r="J34" s="217"/>
      <c r="K34" s="217"/>
      <c r="L34" s="217">
        <f t="shared" si="8"/>
        <v>0</v>
      </c>
      <c r="M34" s="217"/>
      <c r="N34" s="217"/>
      <c r="O34" s="217"/>
      <c r="P34" s="217"/>
      <c r="Q34" s="217"/>
      <c r="R34" s="877">
        <f t="shared" si="9"/>
        <v>0</v>
      </c>
      <c r="S34" s="217">
        <f t="shared" si="10"/>
        <v>0</v>
      </c>
      <c r="T34" s="217"/>
      <c r="U34" s="213"/>
    </row>
    <row r="35" spans="1:21" s="214" customFormat="1">
      <c r="A35" s="215" t="s">
        <v>145</v>
      </c>
      <c r="B35" s="216">
        <f t="shared" si="6"/>
        <v>0</v>
      </c>
      <c r="C35" s="217"/>
      <c r="D35" s="217"/>
      <c r="E35" s="217">
        <f t="shared" si="7"/>
        <v>0</v>
      </c>
      <c r="F35" s="217"/>
      <c r="G35" s="217"/>
      <c r="H35" s="217"/>
      <c r="I35" s="217"/>
      <c r="J35" s="217"/>
      <c r="K35" s="217"/>
      <c r="L35" s="217">
        <f t="shared" si="8"/>
        <v>0</v>
      </c>
      <c r="M35" s="217"/>
      <c r="N35" s="217"/>
      <c r="O35" s="217"/>
      <c r="P35" s="217"/>
      <c r="Q35" s="217"/>
      <c r="R35" s="877">
        <f t="shared" si="9"/>
        <v>0</v>
      </c>
      <c r="S35" s="217">
        <f t="shared" si="10"/>
        <v>0</v>
      </c>
      <c r="T35" s="217"/>
      <c r="U35" s="213"/>
    </row>
    <row r="36" spans="1:21" s="214" customFormat="1">
      <c r="A36" s="1712" t="s">
        <v>1945</v>
      </c>
      <c r="B36" s="216">
        <f t="shared" si="6"/>
        <v>294380</v>
      </c>
      <c r="C36" s="217">
        <v>289552</v>
      </c>
      <c r="D36" s="217">
        <v>4828</v>
      </c>
      <c r="E36" s="217">
        <f t="shared" si="7"/>
        <v>289552</v>
      </c>
      <c r="F36" s="217"/>
      <c r="G36" s="217"/>
      <c r="H36" s="217"/>
      <c r="I36" s="217"/>
      <c r="J36" s="217"/>
      <c r="K36" s="217"/>
      <c r="L36" s="217">
        <f t="shared" si="8"/>
        <v>4828</v>
      </c>
      <c r="M36" s="217"/>
      <c r="N36" s="217"/>
      <c r="O36" s="217"/>
      <c r="P36" s="217"/>
      <c r="Q36" s="217"/>
      <c r="R36" s="877">
        <f t="shared" si="9"/>
        <v>294380</v>
      </c>
      <c r="S36" s="217">
        <f t="shared" si="10"/>
        <v>289552</v>
      </c>
      <c r="T36" s="217"/>
      <c r="U36" s="213"/>
    </row>
    <row r="37" spans="1:21" s="214" customFormat="1">
      <c r="A37" s="222" t="s">
        <v>35</v>
      </c>
      <c r="B37" s="216">
        <f t="shared" si="6"/>
        <v>0</v>
      </c>
      <c r="C37" s="217"/>
      <c r="D37" s="217"/>
      <c r="E37" s="217">
        <f t="shared" si="7"/>
        <v>0</v>
      </c>
      <c r="F37" s="217"/>
      <c r="G37" s="217"/>
      <c r="H37" s="217"/>
      <c r="I37" s="217"/>
      <c r="J37" s="217"/>
      <c r="K37" s="217"/>
      <c r="L37" s="217">
        <f t="shared" si="8"/>
        <v>0</v>
      </c>
      <c r="M37" s="217"/>
      <c r="N37" s="217"/>
      <c r="O37" s="217"/>
      <c r="P37" s="217"/>
      <c r="Q37" s="217"/>
      <c r="R37" s="877">
        <f t="shared" si="9"/>
        <v>0</v>
      </c>
      <c r="S37" s="217">
        <f t="shared" si="10"/>
        <v>0</v>
      </c>
      <c r="T37" s="217"/>
      <c r="U37" s="213"/>
    </row>
    <row r="38" spans="1:21" s="214" customFormat="1">
      <c r="A38" s="219" t="s">
        <v>148</v>
      </c>
      <c r="B38" s="216">
        <f t="shared" si="6"/>
        <v>62675564</v>
      </c>
      <c r="C38" s="216">
        <f>SUM(C29:C37)</f>
        <v>61449036</v>
      </c>
      <c r="D38" s="216">
        <f t="shared" ref="D38:Q38" si="11">SUM(D29:D37)</f>
        <v>1226528</v>
      </c>
      <c r="E38" s="216">
        <f t="shared" si="11"/>
        <v>19303865</v>
      </c>
      <c r="F38" s="216">
        <f t="shared" si="11"/>
        <v>6867000</v>
      </c>
      <c r="G38" s="216">
        <f t="shared" si="11"/>
        <v>20000000</v>
      </c>
      <c r="H38" s="216">
        <f t="shared" si="11"/>
        <v>12150000</v>
      </c>
      <c r="I38" s="216">
        <f t="shared" si="11"/>
        <v>1000000</v>
      </c>
      <c r="J38" s="216">
        <f t="shared" si="11"/>
        <v>2116308</v>
      </c>
      <c r="K38" s="216">
        <f t="shared" si="11"/>
        <v>11763</v>
      </c>
      <c r="L38" s="216">
        <f t="shared" si="11"/>
        <v>1226528</v>
      </c>
      <c r="M38" s="216">
        <f t="shared" si="11"/>
        <v>100</v>
      </c>
      <c r="N38" s="216">
        <f t="shared" si="11"/>
        <v>0</v>
      </c>
      <c r="O38" s="216">
        <f t="shared" si="11"/>
        <v>0</v>
      </c>
      <c r="P38" s="216">
        <f t="shared" si="11"/>
        <v>0</v>
      </c>
      <c r="Q38" s="216">
        <f t="shared" si="11"/>
        <v>0</v>
      </c>
      <c r="R38" s="532">
        <f>SUM(R29:R37)</f>
        <v>62675564</v>
      </c>
      <c r="S38" s="220">
        <f>SUM(S29:S37)</f>
        <v>61449036</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2630275</v>
      </c>
      <c r="C40" s="217">
        <v>2587137</v>
      </c>
      <c r="D40" s="217">
        <v>43138</v>
      </c>
      <c r="E40" s="217">
        <f>B40-SUM(F40:Q40)</f>
        <v>2587137</v>
      </c>
      <c r="F40" s="217"/>
      <c r="G40" s="217"/>
      <c r="H40" s="217"/>
      <c r="I40" s="217"/>
      <c r="J40" s="217"/>
      <c r="K40" s="217"/>
      <c r="L40" s="217">
        <f>D40</f>
        <v>43138</v>
      </c>
      <c r="M40" s="217"/>
      <c r="N40" s="217"/>
      <c r="O40" s="217"/>
      <c r="P40" s="217"/>
      <c r="Q40" s="217"/>
      <c r="R40" s="877">
        <f>SUM(E40:Q40)</f>
        <v>2630275</v>
      </c>
      <c r="S40" s="217">
        <f>C40</f>
        <v>2587137</v>
      </c>
      <c r="T40" s="217"/>
      <c r="U40" s="213"/>
    </row>
    <row r="41" spans="1:21" s="214" customFormat="1">
      <c r="A41" s="215" t="s">
        <v>151</v>
      </c>
      <c r="B41" s="216">
        <f>SUM(C41+D41)</f>
        <v>0</v>
      </c>
      <c r="C41" s="217"/>
      <c r="D41" s="217"/>
      <c r="E41" s="217">
        <f>B41-SUM(F41:Q41)</f>
        <v>0</v>
      </c>
      <c r="F41" s="217"/>
      <c r="G41" s="217"/>
      <c r="H41" s="217"/>
      <c r="I41" s="217"/>
      <c r="J41" s="217"/>
      <c r="K41" s="217"/>
      <c r="L41" s="217">
        <f>D41</f>
        <v>0</v>
      </c>
      <c r="M41" s="217"/>
      <c r="N41" s="217"/>
      <c r="O41" s="217"/>
      <c r="P41" s="217"/>
      <c r="Q41" s="217"/>
      <c r="R41" s="877">
        <f>SUM(E41:Q41)</f>
        <v>0</v>
      </c>
      <c r="S41" s="217">
        <f>C41</f>
        <v>0</v>
      </c>
      <c r="T41" s="217"/>
      <c r="U41" s="213"/>
    </row>
    <row r="42" spans="1:21" s="214" customFormat="1">
      <c r="A42" s="219" t="s">
        <v>152</v>
      </c>
      <c r="B42" s="216">
        <f>SUM(C42:D42)</f>
        <v>2630275</v>
      </c>
      <c r="C42" s="216">
        <f>SUM(C39:C41)</f>
        <v>2587137</v>
      </c>
      <c r="D42" s="216">
        <f>SUM(D39:D41)</f>
        <v>43138</v>
      </c>
      <c r="E42" s="216">
        <f t="shared" ref="E42:T42" si="12">SUM(E40:E41)</f>
        <v>2587137</v>
      </c>
      <c r="F42" s="216">
        <f t="shared" si="12"/>
        <v>0</v>
      </c>
      <c r="G42" s="216">
        <f t="shared" si="12"/>
        <v>0</v>
      </c>
      <c r="H42" s="216">
        <f t="shared" si="12"/>
        <v>0</v>
      </c>
      <c r="I42" s="216">
        <f t="shared" si="12"/>
        <v>0</v>
      </c>
      <c r="J42" s="216">
        <f t="shared" si="12"/>
        <v>0</v>
      </c>
      <c r="K42" s="216">
        <f t="shared" si="12"/>
        <v>0</v>
      </c>
      <c r="L42" s="216">
        <f t="shared" si="12"/>
        <v>43138</v>
      </c>
      <c r="M42" s="216">
        <f t="shared" si="12"/>
        <v>0</v>
      </c>
      <c r="N42" s="216">
        <f t="shared" si="12"/>
        <v>0</v>
      </c>
      <c r="O42" s="216">
        <f t="shared" si="12"/>
        <v>0</v>
      </c>
      <c r="P42" s="216">
        <f t="shared" si="12"/>
        <v>0</v>
      </c>
      <c r="Q42" s="216">
        <f t="shared" si="12"/>
        <v>0</v>
      </c>
      <c r="R42" s="532">
        <f>SUM(R40:R41)</f>
        <v>2630275</v>
      </c>
      <c r="S42" s="220">
        <f t="shared" si="12"/>
        <v>2587137</v>
      </c>
      <c r="T42" s="220">
        <f t="shared" si="12"/>
        <v>0</v>
      </c>
      <c r="U42" s="213"/>
    </row>
    <row r="43" spans="1:21" s="214" customFormat="1">
      <c r="A43" s="219" t="s">
        <v>153</v>
      </c>
      <c r="B43" s="216">
        <f>SUM(C43:D43)</f>
        <v>600600</v>
      </c>
      <c r="C43" s="217">
        <f>23606+403915+163228</f>
        <v>590749</v>
      </c>
      <c r="D43" s="217">
        <f>394+6735+2722</f>
        <v>9851</v>
      </c>
      <c r="E43" s="217">
        <f>B43-SUM(F43:Q43)</f>
        <v>590749</v>
      </c>
      <c r="F43" s="217"/>
      <c r="G43" s="217"/>
      <c r="H43" s="217"/>
      <c r="I43" s="217"/>
      <c r="J43" s="217"/>
      <c r="K43" s="217"/>
      <c r="L43" s="217">
        <f>D43</f>
        <v>9851</v>
      </c>
      <c r="M43" s="217"/>
      <c r="N43" s="217"/>
      <c r="O43" s="217"/>
      <c r="P43" s="217"/>
      <c r="Q43" s="217"/>
      <c r="R43" s="877">
        <f>SUM(E43:Q43)</f>
        <v>600600</v>
      </c>
      <c r="S43" s="217">
        <f>C43</f>
        <v>590749</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3017550</v>
      </c>
      <c r="C45" s="217">
        <f>2293060+712610</f>
        <v>3005670</v>
      </c>
      <c r="D45" s="217">
        <v>11880</v>
      </c>
      <c r="E45" s="217">
        <f t="shared" ref="E45:E53" si="14">B45-SUM(F45:Q45)</f>
        <v>3005670</v>
      </c>
      <c r="F45" s="217"/>
      <c r="G45" s="217"/>
      <c r="H45" s="217"/>
      <c r="I45" s="217"/>
      <c r="J45" s="217"/>
      <c r="K45" s="217"/>
      <c r="L45" s="217">
        <f t="shared" ref="L45:L53" si="15">D45</f>
        <v>11880</v>
      </c>
      <c r="M45" s="217"/>
      <c r="N45" s="217"/>
      <c r="O45" s="217"/>
      <c r="P45" s="217"/>
      <c r="Q45" s="217"/>
      <c r="R45" s="877">
        <f t="shared" ref="R45:R53" si="16">SUM(E45:Q45)</f>
        <v>3017550</v>
      </c>
      <c r="S45" s="217">
        <f>1146530+130888</f>
        <v>1277418</v>
      </c>
      <c r="T45" s="217"/>
      <c r="U45" s="213"/>
    </row>
    <row r="46" spans="1:21" s="214" customFormat="1">
      <c r="A46" s="215" t="s">
        <v>156</v>
      </c>
      <c r="B46" s="216">
        <f t="shared" si="13"/>
        <v>433318</v>
      </c>
      <c r="C46" s="217">
        <v>433318</v>
      </c>
      <c r="D46" s="217"/>
      <c r="E46" s="217">
        <f t="shared" si="14"/>
        <v>433318</v>
      </c>
      <c r="F46" s="217"/>
      <c r="G46" s="217"/>
      <c r="H46" s="217"/>
      <c r="I46" s="217"/>
      <c r="J46" s="217"/>
      <c r="K46" s="217"/>
      <c r="L46" s="217">
        <f t="shared" si="15"/>
        <v>0</v>
      </c>
      <c r="M46" s="217"/>
      <c r="N46" s="217"/>
      <c r="O46" s="217"/>
      <c r="P46" s="217"/>
      <c r="Q46" s="217"/>
      <c r="R46" s="877">
        <f t="shared" si="16"/>
        <v>433318</v>
      </c>
      <c r="S46" s="217">
        <v>188202</v>
      </c>
      <c r="T46" s="217"/>
      <c r="U46" s="213"/>
    </row>
    <row r="47" spans="1:21" s="214" customFormat="1">
      <c r="A47" s="297" t="s">
        <v>157</v>
      </c>
      <c r="B47" s="216">
        <f t="shared" si="13"/>
        <v>0</v>
      </c>
      <c r="C47" s="217"/>
      <c r="D47" s="217"/>
      <c r="E47" s="217">
        <f t="shared" si="14"/>
        <v>0</v>
      </c>
      <c r="F47" s="217"/>
      <c r="G47" s="217"/>
      <c r="H47" s="217"/>
      <c r="I47" s="217"/>
      <c r="J47" s="217"/>
      <c r="K47" s="217"/>
      <c r="L47" s="217">
        <f t="shared" si="15"/>
        <v>0</v>
      </c>
      <c r="M47" s="217"/>
      <c r="N47" s="217"/>
      <c r="O47" s="217"/>
      <c r="P47" s="217"/>
      <c r="Q47" s="217"/>
      <c r="R47" s="877">
        <f t="shared" si="16"/>
        <v>0</v>
      </c>
      <c r="S47" s="217"/>
      <c r="T47" s="217"/>
      <c r="U47" s="213"/>
    </row>
    <row r="48" spans="1:21" s="214" customFormat="1">
      <c r="A48" s="215" t="s">
        <v>158</v>
      </c>
      <c r="B48" s="216">
        <f t="shared" si="13"/>
        <v>0</v>
      </c>
      <c r="C48" s="217"/>
      <c r="D48" s="217"/>
      <c r="E48" s="217">
        <f t="shared" si="14"/>
        <v>0</v>
      </c>
      <c r="F48" s="217"/>
      <c r="G48" s="217"/>
      <c r="H48" s="217"/>
      <c r="I48" s="217"/>
      <c r="J48" s="217"/>
      <c r="K48" s="217"/>
      <c r="L48" s="217">
        <f t="shared" si="15"/>
        <v>0</v>
      </c>
      <c r="M48" s="217"/>
      <c r="N48" s="217"/>
      <c r="O48" s="217"/>
      <c r="P48" s="217"/>
      <c r="Q48" s="217"/>
      <c r="R48" s="877">
        <f t="shared" si="16"/>
        <v>0</v>
      </c>
      <c r="S48" s="217"/>
      <c r="T48" s="217"/>
      <c r="U48" s="213"/>
    </row>
    <row r="49" spans="1:21" s="214" customFormat="1">
      <c r="A49" s="215" t="s">
        <v>60</v>
      </c>
      <c r="B49" s="216">
        <f t="shared" si="13"/>
        <v>377574</v>
      </c>
      <c r="C49" s="217">
        <v>377574</v>
      </c>
      <c r="D49" s="217"/>
      <c r="E49" s="217">
        <f t="shared" si="14"/>
        <v>377574</v>
      </c>
      <c r="F49" s="217"/>
      <c r="G49" s="217"/>
      <c r="H49" s="217"/>
      <c r="I49" s="217"/>
      <c r="J49" s="217"/>
      <c r="K49" s="217"/>
      <c r="L49" s="217">
        <f t="shared" si="15"/>
        <v>0</v>
      </c>
      <c r="M49" s="217"/>
      <c r="N49" s="217"/>
      <c r="O49" s="217"/>
      <c r="P49" s="217"/>
      <c r="Q49" s="217"/>
      <c r="R49" s="877">
        <f t="shared" si="16"/>
        <v>377574</v>
      </c>
      <c r="S49" s="217"/>
      <c r="T49" s="217"/>
      <c r="U49" s="213"/>
    </row>
    <row r="50" spans="1:21" s="214" customFormat="1">
      <c r="A50" s="215" t="s">
        <v>161</v>
      </c>
      <c r="B50" s="216">
        <f t="shared" si="13"/>
        <v>125000</v>
      </c>
      <c r="C50" s="217">
        <v>122950</v>
      </c>
      <c r="D50" s="217">
        <v>2050</v>
      </c>
      <c r="E50" s="217">
        <f t="shared" si="14"/>
        <v>122950</v>
      </c>
      <c r="F50" s="217"/>
      <c r="G50" s="217"/>
      <c r="H50" s="217"/>
      <c r="I50" s="217"/>
      <c r="J50" s="217"/>
      <c r="K50" s="217"/>
      <c r="L50" s="217">
        <f t="shared" si="15"/>
        <v>2050</v>
      </c>
      <c r="M50" s="217"/>
      <c r="N50" s="217"/>
      <c r="O50" s="217"/>
      <c r="P50" s="217"/>
      <c r="Q50" s="217"/>
      <c r="R50" s="877">
        <f t="shared" si="16"/>
        <v>125000</v>
      </c>
      <c r="S50" s="217">
        <f>C50</f>
        <v>122950</v>
      </c>
      <c r="T50" s="217"/>
      <c r="U50" s="213"/>
    </row>
    <row r="51" spans="1:21" s="214" customFormat="1">
      <c r="A51" s="440" t="s">
        <v>159</v>
      </c>
      <c r="B51" s="216">
        <f t="shared" si="13"/>
        <v>0</v>
      </c>
      <c r="C51" s="217"/>
      <c r="D51" s="217"/>
      <c r="E51" s="217">
        <f t="shared" si="14"/>
        <v>0</v>
      </c>
      <c r="F51" s="217"/>
      <c r="G51" s="217"/>
      <c r="H51" s="217"/>
      <c r="I51" s="217"/>
      <c r="J51" s="217"/>
      <c r="K51" s="217"/>
      <c r="L51" s="217">
        <f t="shared" si="15"/>
        <v>0</v>
      </c>
      <c r="M51" s="217"/>
      <c r="N51" s="217"/>
      <c r="O51" s="217"/>
      <c r="P51" s="217"/>
      <c r="Q51" s="217"/>
      <c r="R51" s="877">
        <f t="shared" si="16"/>
        <v>0</v>
      </c>
      <c r="S51" s="217"/>
      <c r="T51" s="217"/>
      <c r="U51" s="213"/>
    </row>
    <row r="52" spans="1:21" s="214" customFormat="1">
      <c r="A52" s="215" t="s">
        <v>160</v>
      </c>
      <c r="B52" s="216">
        <f t="shared" si="13"/>
        <v>750000</v>
      </c>
      <c r="C52" s="217">
        <v>737700</v>
      </c>
      <c r="D52" s="217">
        <v>12300</v>
      </c>
      <c r="E52" s="217">
        <f t="shared" si="14"/>
        <v>737700</v>
      </c>
      <c r="F52" s="217"/>
      <c r="G52" s="217"/>
      <c r="H52" s="217"/>
      <c r="I52" s="217"/>
      <c r="J52" s="217"/>
      <c r="K52" s="217"/>
      <c r="L52" s="217">
        <f t="shared" si="15"/>
        <v>12300</v>
      </c>
      <c r="M52" s="217"/>
      <c r="N52" s="217"/>
      <c r="O52" s="217"/>
      <c r="P52" s="217"/>
      <c r="Q52" s="217"/>
      <c r="R52" s="877">
        <f t="shared" si="16"/>
        <v>750000</v>
      </c>
      <c r="S52" s="217">
        <f>C52</f>
        <v>737700</v>
      </c>
      <c r="T52" s="217"/>
      <c r="U52" s="213"/>
    </row>
    <row r="53" spans="1:21" s="214" customFormat="1">
      <c r="A53" s="1806" t="s">
        <v>2589</v>
      </c>
      <c r="B53" s="216">
        <f t="shared" si="13"/>
        <v>40000</v>
      </c>
      <c r="C53" s="217">
        <v>40000</v>
      </c>
      <c r="D53" s="217"/>
      <c r="E53" s="217">
        <f t="shared" si="14"/>
        <v>40000</v>
      </c>
      <c r="F53" s="217"/>
      <c r="G53" s="217"/>
      <c r="H53" s="217"/>
      <c r="I53" s="217"/>
      <c r="J53" s="217"/>
      <c r="K53" s="217"/>
      <c r="L53" s="217">
        <f t="shared" si="15"/>
        <v>0</v>
      </c>
      <c r="M53" s="217"/>
      <c r="N53" s="217"/>
      <c r="O53" s="217"/>
      <c r="P53" s="217"/>
      <c r="Q53" s="217"/>
      <c r="R53" s="877">
        <f t="shared" si="16"/>
        <v>40000</v>
      </c>
      <c r="S53" s="217">
        <v>17373</v>
      </c>
      <c r="T53" s="217"/>
      <c r="U53" s="213"/>
    </row>
    <row r="54" spans="1:21" s="224" customFormat="1">
      <c r="A54" s="219" t="s">
        <v>162</v>
      </c>
      <c r="B54" s="220">
        <f>SUM(C54:D54)</f>
        <v>4743442</v>
      </c>
      <c r="C54" s="220">
        <f t="shared" ref="C54:T54" si="17">SUM(C45:C53)</f>
        <v>4717212</v>
      </c>
      <c r="D54" s="220">
        <f t="shared" si="17"/>
        <v>26230</v>
      </c>
      <c r="E54" s="220">
        <f t="shared" si="17"/>
        <v>4717212</v>
      </c>
      <c r="F54" s="220">
        <f t="shared" si="17"/>
        <v>0</v>
      </c>
      <c r="G54" s="220">
        <f t="shared" si="17"/>
        <v>0</v>
      </c>
      <c r="H54" s="220">
        <f t="shared" si="17"/>
        <v>0</v>
      </c>
      <c r="I54" s="220">
        <f t="shared" si="17"/>
        <v>0</v>
      </c>
      <c r="J54" s="220">
        <f t="shared" si="17"/>
        <v>0</v>
      </c>
      <c r="K54" s="220">
        <f t="shared" si="17"/>
        <v>0</v>
      </c>
      <c r="L54" s="220">
        <f t="shared" si="17"/>
        <v>26230</v>
      </c>
      <c r="M54" s="220">
        <f t="shared" si="17"/>
        <v>0</v>
      </c>
      <c r="N54" s="220">
        <f t="shared" si="17"/>
        <v>0</v>
      </c>
      <c r="O54" s="220">
        <f t="shared" si="17"/>
        <v>0</v>
      </c>
      <c r="P54" s="220">
        <f t="shared" si="17"/>
        <v>0</v>
      </c>
      <c r="Q54" s="220">
        <f t="shared" si="17"/>
        <v>0</v>
      </c>
      <c r="R54" s="532">
        <f t="shared" si="17"/>
        <v>4743442</v>
      </c>
      <c r="S54" s="220">
        <f t="shared" si="17"/>
        <v>2343643</v>
      </c>
      <c r="T54" s="220">
        <f t="shared" si="17"/>
        <v>0</v>
      </c>
      <c r="U54" s="223"/>
    </row>
    <row r="55" spans="1:21" s="214" customFormat="1" ht="12">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68670</v>
      </c>
      <c r="C56" s="217">
        <v>68670</v>
      </c>
      <c r="D56" s="217"/>
      <c r="E56" s="217">
        <f t="shared" ref="E56:E61" si="19">B56-SUM(F56:Q56)</f>
        <v>68670</v>
      </c>
      <c r="F56" s="217"/>
      <c r="G56" s="217"/>
      <c r="H56" s="217"/>
      <c r="I56" s="217"/>
      <c r="J56" s="217"/>
      <c r="K56" s="217"/>
      <c r="L56" s="217">
        <f t="shared" ref="L56:L61" si="20">D56</f>
        <v>0</v>
      </c>
      <c r="M56" s="217"/>
      <c r="N56" s="217"/>
      <c r="O56" s="217"/>
      <c r="P56" s="217"/>
      <c r="Q56" s="217"/>
      <c r="R56" s="877">
        <f t="shared" ref="R56:R61" si="21">SUM(E56:Q56)</f>
        <v>68670</v>
      </c>
      <c r="S56" s="218"/>
      <c r="T56" s="218"/>
      <c r="U56" s="213"/>
    </row>
    <row r="57" spans="1:21" s="303" customFormat="1">
      <c r="A57" s="297" t="s">
        <v>157</v>
      </c>
      <c r="B57" s="304">
        <f t="shared" si="18"/>
        <v>0</v>
      </c>
      <c r="C57" s="301"/>
      <c r="D57" s="301"/>
      <c r="E57" s="217">
        <f t="shared" si="19"/>
        <v>0</v>
      </c>
      <c r="F57" s="301"/>
      <c r="G57" s="301"/>
      <c r="H57" s="301"/>
      <c r="I57" s="301"/>
      <c r="J57" s="301"/>
      <c r="K57" s="301"/>
      <c r="L57" s="217">
        <f t="shared" si="20"/>
        <v>0</v>
      </c>
      <c r="M57" s="301"/>
      <c r="N57" s="301"/>
      <c r="O57" s="301"/>
      <c r="P57" s="301"/>
      <c r="Q57" s="301"/>
      <c r="R57" s="877">
        <f t="shared" si="21"/>
        <v>0</v>
      </c>
      <c r="S57" s="305"/>
      <c r="T57" s="305"/>
      <c r="U57" s="302"/>
    </row>
    <row r="58" spans="1:21" s="214" customFormat="1">
      <c r="A58" s="215" t="s">
        <v>161</v>
      </c>
      <c r="B58" s="216">
        <f t="shared" si="18"/>
        <v>50000</v>
      </c>
      <c r="C58" s="217">
        <v>49180</v>
      </c>
      <c r="D58" s="217">
        <v>820</v>
      </c>
      <c r="E58" s="217">
        <f t="shared" si="19"/>
        <v>49180</v>
      </c>
      <c r="F58" s="217"/>
      <c r="G58" s="217"/>
      <c r="H58" s="217"/>
      <c r="I58" s="217"/>
      <c r="J58" s="217"/>
      <c r="K58" s="217"/>
      <c r="L58" s="217">
        <f t="shared" si="20"/>
        <v>820</v>
      </c>
      <c r="M58" s="217"/>
      <c r="N58" s="217"/>
      <c r="O58" s="217"/>
      <c r="P58" s="217"/>
      <c r="Q58" s="217"/>
      <c r="R58" s="877">
        <f t="shared" si="21"/>
        <v>50000</v>
      </c>
      <c r="S58" s="218"/>
      <c r="T58" s="218"/>
      <c r="U58" s="213"/>
    </row>
    <row r="59" spans="1:21" s="214" customFormat="1">
      <c r="A59" s="440" t="s">
        <v>159</v>
      </c>
      <c r="B59" s="216">
        <f t="shared" si="18"/>
        <v>0</v>
      </c>
      <c r="C59" s="217"/>
      <c r="D59" s="217"/>
      <c r="E59" s="217">
        <f t="shared" si="19"/>
        <v>0</v>
      </c>
      <c r="F59" s="217"/>
      <c r="G59" s="217"/>
      <c r="H59" s="217"/>
      <c r="I59" s="217"/>
      <c r="J59" s="217"/>
      <c r="K59" s="217"/>
      <c r="L59" s="217">
        <f t="shared" si="20"/>
        <v>0</v>
      </c>
      <c r="M59" s="217"/>
      <c r="N59" s="217"/>
      <c r="O59" s="217"/>
      <c r="P59" s="217"/>
      <c r="Q59" s="217"/>
      <c r="R59" s="877">
        <f t="shared" si="21"/>
        <v>0</v>
      </c>
      <c r="S59" s="218"/>
      <c r="T59" s="218"/>
      <c r="U59" s="213"/>
    </row>
    <row r="60" spans="1:21" s="214" customFormat="1">
      <c r="A60" s="215" t="s">
        <v>160</v>
      </c>
      <c r="B60" s="216">
        <f t="shared" si="18"/>
        <v>0</v>
      </c>
      <c r="C60" s="217"/>
      <c r="D60" s="217"/>
      <c r="E60" s="217">
        <f t="shared" si="19"/>
        <v>0</v>
      </c>
      <c r="F60" s="217"/>
      <c r="G60" s="217"/>
      <c r="H60" s="217"/>
      <c r="I60" s="217"/>
      <c r="J60" s="217"/>
      <c r="K60" s="217"/>
      <c r="L60" s="217">
        <f t="shared" si="20"/>
        <v>0</v>
      </c>
      <c r="M60" s="217"/>
      <c r="N60" s="217"/>
      <c r="O60" s="217"/>
      <c r="P60" s="217"/>
      <c r="Q60" s="217"/>
      <c r="R60" s="877">
        <f t="shared" si="21"/>
        <v>0</v>
      </c>
      <c r="S60" s="218"/>
      <c r="T60" s="218"/>
      <c r="U60" s="213"/>
    </row>
    <row r="61" spans="1:21" s="214" customFormat="1">
      <c r="A61" s="1806" t="s">
        <v>2653</v>
      </c>
      <c r="B61" s="216">
        <f t="shared" si="18"/>
        <v>25000</v>
      </c>
      <c r="C61" s="217">
        <v>25000</v>
      </c>
      <c r="D61" s="217"/>
      <c r="E61" s="217">
        <f t="shared" si="19"/>
        <v>25000</v>
      </c>
      <c r="F61" s="217"/>
      <c r="G61" s="217"/>
      <c r="H61" s="217"/>
      <c r="I61" s="217"/>
      <c r="J61" s="217"/>
      <c r="K61" s="217"/>
      <c r="L61" s="217">
        <f t="shared" si="20"/>
        <v>0</v>
      </c>
      <c r="M61" s="217">
        <f>D61</f>
        <v>0</v>
      </c>
      <c r="N61" s="217"/>
      <c r="O61" s="217"/>
      <c r="P61" s="217"/>
      <c r="Q61" s="217"/>
      <c r="R61" s="877">
        <f t="shared" si="21"/>
        <v>25000</v>
      </c>
      <c r="S61" s="218"/>
      <c r="T61" s="218"/>
      <c r="U61" s="213"/>
    </row>
    <row r="62" spans="1:21" s="214" customFormat="1" ht="13.75" customHeight="1">
      <c r="A62" s="219" t="s">
        <v>308</v>
      </c>
      <c r="B62" s="216">
        <f>SUM(C62:D62)</f>
        <v>143670</v>
      </c>
      <c r="C62" s="216">
        <f t="shared" ref="C62:R62" si="22">SUM(C56:C61)</f>
        <v>142850</v>
      </c>
      <c r="D62" s="216">
        <f t="shared" si="22"/>
        <v>820</v>
      </c>
      <c r="E62" s="216">
        <f t="shared" si="22"/>
        <v>142850</v>
      </c>
      <c r="F62" s="216">
        <f t="shared" si="22"/>
        <v>0</v>
      </c>
      <c r="G62" s="216">
        <f t="shared" si="22"/>
        <v>0</v>
      </c>
      <c r="H62" s="216">
        <f t="shared" si="22"/>
        <v>0</v>
      </c>
      <c r="I62" s="216">
        <f t="shared" si="22"/>
        <v>0</v>
      </c>
      <c r="J62" s="216">
        <f t="shared" si="22"/>
        <v>0</v>
      </c>
      <c r="K62" s="216">
        <f t="shared" si="22"/>
        <v>0</v>
      </c>
      <c r="L62" s="216">
        <f t="shared" si="22"/>
        <v>820</v>
      </c>
      <c r="M62" s="216">
        <f t="shared" si="22"/>
        <v>0</v>
      </c>
      <c r="N62" s="216">
        <f t="shared" si="22"/>
        <v>0</v>
      </c>
      <c r="O62" s="216">
        <f t="shared" si="22"/>
        <v>0</v>
      </c>
      <c r="P62" s="216">
        <f t="shared" si="22"/>
        <v>0</v>
      </c>
      <c r="Q62" s="216">
        <f t="shared" si="22"/>
        <v>0</v>
      </c>
      <c r="R62" s="532">
        <f t="shared" si="22"/>
        <v>143670</v>
      </c>
      <c r="S62" s="218"/>
      <c r="T62" s="218"/>
      <c r="U62" s="213"/>
    </row>
    <row r="63" spans="1:21" s="214" customFormat="1">
      <c r="A63" s="225" t="s">
        <v>309</v>
      </c>
      <c r="B63" s="216">
        <f t="shared" ref="B63:R63" si="23">SUM(B8+B11+B13+B14+B15+B26+B27+B38+B42+B43+B54+B62)</f>
        <v>70868551</v>
      </c>
      <c r="C63" s="216">
        <f t="shared" si="23"/>
        <v>69560754</v>
      </c>
      <c r="D63" s="216">
        <f t="shared" si="23"/>
        <v>1307797</v>
      </c>
      <c r="E63" s="216">
        <f t="shared" si="23"/>
        <v>27415583</v>
      </c>
      <c r="F63" s="216">
        <f t="shared" si="23"/>
        <v>6867000</v>
      </c>
      <c r="G63" s="216">
        <f t="shared" si="23"/>
        <v>20000000</v>
      </c>
      <c r="H63" s="216">
        <f t="shared" si="23"/>
        <v>12150000</v>
      </c>
      <c r="I63" s="216">
        <f t="shared" si="23"/>
        <v>1000000</v>
      </c>
      <c r="J63" s="216">
        <f t="shared" si="23"/>
        <v>2116308</v>
      </c>
      <c r="K63" s="216">
        <f t="shared" si="23"/>
        <v>11763</v>
      </c>
      <c r="L63" s="216">
        <f t="shared" si="23"/>
        <v>1307797</v>
      </c>
      <c r="M63" s="216">
        <f t="shared" si="23"/>
        <v>100</v>
      </c>
      <c r="N63" s="216">
        <f t="shared" si="23"/>
        <v>0</v>
      </c>
      <c r="O63" s="216">
        <f t="shared" si="23"/>
        <v>0</v>
      </c>
      <c r="P63" s="216">
        <f t="shared" si="23"/>
        <v>0</v>
      </c>
      <c r="Q63" s="216">
        <f t="shared" si="23"/>
        <v>0</v>
      </c>
      <c r="R63" s="532">
        <f t="shared" si="23"/>
        <v>70868551</v>
      </c>
      <c r="S63" s="216">
        <f>SUM(S10+S13+S14+S15+S26+S27+S38+S42+S43+S54)</f>
        <v>66970565</v>
      </c>
      <c r="T63" s="216">
        <f>SUM(T11+T13+T14+T15+T26+T27+T38+T42+T43+T54)</f>
        <v>0</v>
      </c>
      <c r="U63" s="213"/>
    </row>
    <row r="64" spans="1:21" s="214" customFormat="1" ht="24">
      <c r="A64" s="211" t="s">
        <v>1949</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105000</v>
      </c>
      <c r="C65" s="217">
        <f>65000+40000</f>
        <v>105000</v>
      </c>
      <c r="D65" s="217"/>
      <c r="E65" s="217">
        <f>B65-SUM(F65:Q65)</f>
        <v>105000</v>
      </c>
      <c r="F65" s="217"/>
      <c r="G65" s="217"/>
      <c r="H65" s="217"/>
      <c r="I65" s="217"/>
      <c r="J65" s="217"/>
      <c r="K65" s="217"/>
      <c r="L65" s="217">
        <f>D65</f>
        <v>0</v>
      </c>
      <c r="M65" s="217"/>
      <c r="N65" s="217"/>
      <c r="O65" s="217"/>
      <c r="P65" s="217"/>
      <c r="Q65" s="217"/>
      <c r="R65" s="877">
        <f>SUM(E65:Q65)</f>
        <v>105000</v>
      </c>
      <c r="S65" s="217">
        <v>28231</v>
      </c>
      <c r="T65" s="217"/>
      <c r="U65" s="213"/>
    </row>
    <row r="66" spans="1:21" s="214" customFormat="1" ht="24" customHeight="1">
      <c r="A66" s="440" t="s">
        <v>1946</v>
      </c>
      <c r="B66" s="216">
        <f>SUM(C66+D66)</f>
        <v>0</v>
      </c>
      <c r="C66" s="217"/>
      <c r="D66" s="217"/>
      <c r="E66" s="217">
        <f>B66-SUM(F66:Q66)</f>
        <v>0</v>
      </c>
      <c r="F66" s="217"/>
      <c r="G66" s="217"/>
      <c r="H66" s="217"/>
      <c r="I66" s="217"/>
      <c r="J66" s="217"/>
      <c r="K66" s="217"/>
      <c r="L66" s="217">
        <f>D66</f>
        <v>0</v>
      </c>
      <c r="M66" s="217"/>
      <c r="N66" s="217"/>
      <c r="O66" s="217"/>
      <c r="P66" s="217"/>
      <c r="Q66" s="217"/>
      <c r="R66" s="877">
        <f>SUM(E66:Q66)</f>
        <v>0</v>
      </c>
      <c r="S66" s="217"/>
      <c r="T66" s="217"/>
      <c r="U66" s="213"/>
    </row>
    <row r="67" spans="1:21" s="214" customFormat="1" ht="24" customHeight="1">
      <c r="A67" s="440" t="s">
        <v>1947</v>
      </c>
      <c r="B67" s="216">
        <f>SUM(C67+D67)</f>
        <v>10065</v>
      </c>
      <c r="C67" s="217">
        <v>9900</v>
      </c>
      <c r="D67" s="217">
        <v>165</v>
      </c>
      <c r="E67" s="217">
        <f>B67-SUM(F67:Q67)</f>
        <v>9900</v>
      </c>
      <c r="F67" s="217"/>
      <c r="G67" s="217"/>
      <c r="H67" s="217"/>
      <c r="I67" s="217"/>
      <c r="J67" s="217"/>
      <c r="K67" s="217"/>
      <c r="L67" s="217">
        <f>D67</f>
        <v>165</v>
      </c>
      <c r="M67" s="217"/>
      <c r="N67" s="217"/>
      <c r="O67" s="217"/>
      <c r="P67" s="217"/>
      <c r="Q67" s="217"/>
      <c r="R67" s="877">
        <f>SUM(E67:Q67)</f>
        <v>10065</v>
      </c>
      <c r="S67" s="217">
        <f>C67</f>
        <v>9900</v>
      </c>
      <c r="T67" s="217"/>
      <c r="U67" s="213"/>
    </row>
    <row r="68" spans="1:21" s="214" customFormat="1" ht="12" customHeight="1">
      <c r="A68" s="440" t="s">
        <v>1953</v>
      </c>
      <c r="B68" s="216">
        <f>SUM(C68+D68)</f>
        <v>0</v>
      </c>
      <c r="C68" s="217"/>
      <c r="D68" s="217"/>
      <c r="E68" s="217">
        <f>B68-SUM(F68:Q68)</f>
        <v>0</v>
      </c>
      <c r="F68" s="217"/>
      <c r="G68" s="217"/>
      <c r="H68" s="217"/>
      <c r="I68" s="217"/>
      <c r="J68" s="217"/>
      <c r="K68" s="217"/>
      <c r="L68" s="217">
        <f>D68</f>
        <v>0</v>
      </c>
      <c r="M68" s="217"/>
      <c r="N68" s="217"/>
      <c r="O68" s="217"/>
      <c r="P68" s="217"/>
      <c r="Q68" s="217"/>
      <c r="R68" s="877">
        <f>SUM(E68:Q68)</f>
        <v>0</v>
      </c>
      <c r="S68" s="217"/>
      <c r="T68" s="217"/>
      <c r="U68" s="213"/>
    </row>
    <row r="69" spans="1:21" s="214" customFormat="1">
      <c r="A69" s="1806" t="s">
        <v>2590</v>
      </c>
      <c r="B69" s="216">
        <f>SUM(C69+D69)</f>
        <v>120000</v>
      </c>
      <c r="C69" s="217">
        <f>103278+14754</f>
        <v>118032</v>
      </c>
      <c r="D69" s="217">
        <f>1722+246</f>
        <v>1968</v>
      </c>
      <c r="E69" s="217">
        <f>B69-SUM(F69:Q69)</f>
        <v>118032</v>
      </c>
      <c r="F69" s="217"/>
      <c r="G69" s="217"/>
      <c r="H69" s="217"/>
      <c r="I69" s="217"/>
      <c r="J69" s="217"/>
      <c r="K69" s="217"/>
      <c r="L69" s="217">
        <f>D69</f>
        <v>1968</v>
      </c>
      <c r="M69" s="217"/>
      <c r="N69" s="217"/>
      <c r="O69" s="217"/>
      <c r="P69" s="217"/>
      <c r="Q69" s="217"/>
      <c r="R69" s="877">
        <f>SUM(E69:Q69)</f>
        <v>120000</v>
      </c>
      <c r="S69" s="217">
        <v>103278</v>
      </c>
      <c r="T69" s="217"/>
      <c r="U69" s="213"/>
    </row>
    <row r="70" spans="1:21" s="214" customFormat="1">
      <c r="A70" s="219" t="s">
        <v>1950</v>
      </c>
      <c r="B70" s="216">
        <f>SUM(C70:D70)</f>
        <v>235065</v>
      </c>
      <c r="C70" s="216">
        <f>SUM(C65:C69)</f>
        <v>232932</v>
      </c>
      <c r="D70" s="216">
        <f>SUM(D65:D69)</f>
        <v>2133</v>
      </c>
      <c r="E70" s="216">
        <f t="shared" ref="E70:T70" si="24">SUM(E65:E69)</f>
        <v>232932</v>
      </c>
      <c r="F70" s="216">
        <f t="shared" si="24"/>
        <v>0</v>
      </c>
      <c r="G70" s="216">
        <f t="shared" si="24"/>
        <v>0</v>
      </c>
      <c r="H70" s="216">
        <f t="shared" si="24"/>
        <v>0</v>
      </c>
      <c r="I70" s="216">
        <f t="shared" si="24"/>
        <v>0</v>
      </c>
      <c r="J70" s="216">
        <f t="shared" si="24"/>
        <v>0</v>
      </c>
      <c r="K70" s="216">
        <f t="shared" si="24"/>
        <v>0</v>
      </c>
      <c r="L70" s="216">
        <f t="shared" si="24"/>
        <v>2133</v>
      </c>
      <c r="M70" s="216">
        <f t="shared" si="24"/>
        <v>0</v>
      </c>
      <c r="N70" s="216">
        <f t="shared" si="24"/>
        <v>0</v>
      </c>
      <c r="O70" s="216">
        <f t="shared" si="24"/>
        <v>0</v>
      </c>
      <c r="P70" s="216">
        <f t="shared" si="24"/>
        <v>0</v>
      </c>
      <c r="Q70" s="216">
        <f t="shared" si="24"/>
        <v>0</v>
      </c>
      <c r="R70" s="532">
        <f t="shared" si="24"/>
        <v>235065</v>
      </c>
      <c r="S70" s="220">
        <f t="shared" si="24"/>
        <v>141409</v>
      </c>
      <c r="T70" s="220">
        <f t="shared" si="24"/>
        <v>0</v>
      </c>
      <c r="U70" s="213"/>
    </row>
    <row r="71" spans="1:21" s="214" customFormat="1" ht="12">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f>B72-SUM(F72:Q72)</f>
        <v>0</v>
      </c>
      <c r="F72" s="217"/>
      <c r="G72" s="217"/>
      <c r="H72" s="217"/>
      <c r="I72" s="217"/>
      <c r="J72" s="217"/>
      <c r="K72" s="217"/>
      <c r="L72" s="217">
        <f>D72</f>
        <v>0</v>
      </c>
      <c r="M72" s="217"/>
      <c r="N72" s="217"/>
      <c r="O72" s="217"/>
      <c r="P72" s="217"/>
      <c r="Q72" s="217"/>
      <c r="R72" s="877">
        <f>SUM(E72:Q72)</f>
        <v>0</v>
      </c>
      <c r="S72" s="218"/>
      <c r="T72" s="218"/>
      <c r="U72" s="213"/>
    </row>
    <row r="73" spans="1:21" s="214" customFormat="1">
      <c r="A73" s="215" t="s">
        <v>637</v>
      </c>
      <c r="B73" s="216">
        <f>SUM(C73+D73)</f>
        <v>0</v>
      </c>
      <c r="C73" s="217"/>
      <c r="D73" s="217"/>
      <c r="E73" s="217">
        <f>B73-SUM(F73:Q73)</f>
        <v>0</v>
      </c>
      <c r="F73" s="217"/>
      <c r="G73" s="217"/>
      <c r="H73" s="217"/>
      <c r="I73" s="217"/>
      <c r="J73" s="217"/>
      <c r="K73" s="217"/>
      <c r="L73" s="217">
        <f>D73</f>
        <v>0</v>
      </c>
      <c r="M73" s="217"/>
      <c r="N73" s="217"/>
      <c r="O73" s="217"/>
      <c r="P73" s="217"/>
      <c r="Q73" s="217"/>
      <c r="R73" s="877">
        <f>SUM(E73:Q73)</f>
        <v>0</v>
      </c>
      <c r="S73" s="218"/>
      <c r="T73" s="218"/>
      <c r="U73" s="213"/>
    </row>
    <row r="74" spans="1:21" s="214" customFormat="1">
      <c r="A74" s="736" t="s">
        <v>1079</v>
      </c>
      <c r="B74" s="216">
        <f>SUM(C74+D74)</f>
        <v>0</v>
      </c>
      <c r="C74" s="217"/>
      <c r="D74" s="217"/>
      <c r="E74" s="217">
        <f>B74-SUM(F74:Q74)</f>
        <v>0</v>
      </c>
      <c r="F74" s="217"/>
      <c r="G74" s="217"/>
      <c r="H74" s="217"/>
      <c r="I74" s="217"/>
      <c r="J74" s="217"/>
      <c r="K74" s="217"/>
      <c r="L74" s="217">
        <f>D74</f>
        <v>0</v>
      </c>
      <c r="M74" s="217"/>
      <c r="N74" s="217"/>
      <c r="O74" s="217"/>
      <c r="P74" s="217"/>
      <c r="Q74" s="217"/>
      <c r="R74" s="877">
        <f>SUM(E74:Q74)</f>
        <v>0</v>
      </c>
      <c r="S74" s="218"/>
      <c r="T74" s="218"/>
      <c r="U74" s="213"/>
    </row>
    <row r="75" spans="1:21" s="214" customFormat="1">
      <c r="A75" s="215" t="s">
        <v>638</v>
      </c>
      <c r="B75" s="216">
        <f>SUM(C75+D75)</f>
        <v>480435.74714785838</v>
      </c>
      <c r="C75" s="217">
        <f>Application!AC884</f>
        <v>480435.74714785838</v>
      </c>
      <c r="D75" s="217"/>
      <c r="E75" s="217">
        <f>B75-SUM(F75:Q75)</f>
        <v>480435.74714785838</v>
      </c>
      <c r="F75" s="217"/>
      <c r="G75" s="217"/>
      <c r="H75" s="217"/>
      <c r="I75" s="217"/>
      <c r="J75" s="217"/>
      <c r="K75" s="217"/>
      <c r="L75" s="217">
        <f>D75</f>
        <v>0</v>
      </c>
      <c r="M75" s="217"/>
      <c r="N75" s="217"/>
      <c r="O75" s="217"/>
      <c r="P75" s="217"/>
      <c r="Q75" s="217"/>
      <c r="R75" s="877">
        <f>SUM(E75:Q75)</f>
        <v>480435.74714785838</v>
      </c>
      <c r="S75" s="218"/>
      <c r="T75" s="218"/>
      <c r="U75" s="213"/>
    </row>
    <row r="76" spans="1:21" s="214" customFormat="1">
      <c r="A76" s="1806" t="s">
        <v>2591</v>
      </c>
      <c r="B76" s="216">
        <f>SUM(C76+D76)</f>
        <v>480436.25285214162</v>
      </c>
      <c r="C76" s="217">
        <f>960872-C75</f>
        <v>480436.25285214162</v>
      </c>
      <c r="D76" s="217"/>
      <c r="E76" s="217">
        <f>B76-SUM(F76:Q76)</f>
        <v>480436.25285214162</v>
      </c>
      <c r="F76" s="217"/>
      <c r="G76" s="217"/>
      <c r="H76" s="217"/>
      <c r="I76" s="217"/>
      <c r="J76" s="217"/>
      <c r="K76" s="217"/>
      <c r="L76" s="217">
        <f>D76</f>
        <v>0</v>
      </c>
      <c r="M76" s="217"/>
      <c r="N76" s="217"/>
      <c r="O76" s="217"/>
      <c r="P76" s="217"/>
      <c r="Q76" s="217"/>
      <c r="R76" s="877">
        <f>SUM(E76:Q76)</f>
        <v>480436.25285214162</v>
      </c>
      <c r="S76" s="218"/>
      <c r="T76" s="218"/>
      <c r="U76" s="213"/>
    </row>
    <row r="77" spans="1:21" s="214" customFormat="1">
      <c r="A77" s="219" t="s">
        <v>639</v>
      </c>
      <c r="B77" s="216">
        <f>SUM(C77:D77)</f>
        <v>960872</v>
      </c>
      <c r="C77" s="216">
        <f>SUM(C72:C76)</f>
        <v>960872</v>
      </c>
      <c r="D77" s="216">
        <f>SUM(D72:D76)</f>
        <v>0</v>
      </c>
      <c r="E77" s="216">
        <f t="shared" ref="E77:Q77" si="25">SUM(E72:E76)</f>
        <v>960872</v>
      </c>
      <c r="F77" s="216">
        <f t="shared" si="25"/>
        <v>0</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2">
        <f>SUM(R72:R76)</f>
        <v>960872</v>
      </c>
      <c r="S77" s="218"/>
      <c r="T77" s="218"/>
      <c r="U77" s="213"/>
    </row>
    <row r="78" spans="1:21" s="214" customFormat="1" ht="12">
      <c r="A78" s="211" t="s">
        <v>1413</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1415</v>
      </c>
      <c r="B79" s="216">
        <f>SUM(C79:D79)</f>
        <v>3119059</v>
      </c>
      <c r="C79" s="217">
        <v>3067905</v>
      </c>
      <c r="D79" s="217">
        <v>51154</v>
      </c>
      <c r="E79" s="217">
        <f>B79-SUM(F79:Q79)</f>
        <v>3067905</v>
      </c>
      <c r="F79" s="217"/>
      <c r="G79" s="217"/>
      <c r="H79" s="217"/>
      <c r="I79" s="217"/>
      <c r="J79" s="217"/>
      <c r="K79" s="217"/>
      <c r="L79" s="217">
        <f>D79</f>
        <v>51154</v>
      </c>
      <c r="M79" s="217"/>
      <c r="N79" s="217"/>
      <c r="O79" s="217"/>
      <c r="P79" s="217"/>
      <c r="Q79" s="217"/>
      <c r="R79" s="877">
        <f>SUM(E79:Q79)</f>
        <v>3119059</v>
      </c>
      <c r="S79" s="217">
        <f>C79</f>
        <v>3067905</v>
      </c>
      <c r="T79" s="217"/>
      <c r="U79" s="213"/>
    </row>
    <row r="80" spans="1:21" s="214" customFormat="1">
      <c r="A80" s="440" t="s">
        <v>61</v>
      </c>
      <c r="B80" s="216">
        <f>SUM(C80:D80)</f>
        <v>540449</v>
      </c>
      <c r="C80" s="217">
        <v>531585</v>
      </c>
      <c r="D80" s="217">
        <v>8864</v>
      </c>
      <c r="E80" s="217">
        <f>B80-SUM(F80:Q80)</f>
        <v>531585</v>
      </c>
      <c r="F80" s="217"/>
      <c r="G80" s="217"/>
      <c r="H80" s="217"/>
      <c r="I80" s="217"/>
      <c r="J80" s="217"/>
      <c r="K80" s="217"/>
      <c r="L80" s="217">
        <f>D80</f>
        <v>8864</v>
      </c>
      <c r="M80" s="217"/>
      <c r="N80" s="217"/>
      <c r="O80" s="217"/>
      <c r="P80" s="217"/>
      <c r="Q80" s="217"/>
      <c r="R80" s="877">
        <f>SUM(E80:Q80)</f>
        <v>540449</v>
      </c>
      <c r="S80" s="217">
        <f>C80</f>
        <v>531585</v>
      </c>
      <c r="T80" s="217"/>
      <c r="U80" s="213"/>
    </row>
    <row r="81" spans="1:21" s="214" customFormat="1">
      <c r="A81" s="219" t="s">
        <v>1412</v>
      </c>
      <c r="B81" s="216">
        <f>SUM(C81:D81)</f>
        <v>3659508</v>
      </c>
      <c r="C81" s="857">
        <f>SUM(C79:C80)</f>
        <v>3599490</v>
      </c>
      <c r="D81" s="857">
        <f t="shared" ref="D81:T81" si="26">SUM(D79:D80)</f>
        <v>60018</v>
      </c>
      <c r="E81" s="857">
        <f t="shared" si="26"/>
        <v>3599490</v>
      </c>
      <c r="F81" s="857">
        <f t="shared" si="26"/>
        <v>0</v>
      </c>
      <c r="G81" s="857">
        <f t="shared" si="26"/>
        <v>0</v>
      </c>
      <c r="H81" s="857">
        <f t="shared" si="26"/>
        <v>0</v>
      </c>
      <c r="I81" s="857">
        <f t="shared" si="26"/>
        <v>0</v>
      </c>
      <c r="J81" s="857">
        <f t="shared" si="26"/>
        <v>0</v>
      </c>
      <c r="K81" s="857">
        <f t="shared" si="26"/>
        <v>0</v>
      </c>
      <c r="L81" s="857">
        <f t="shared" si="26"/>
        <v>60018</v>
      </c>
      <c r="M81" s="857">
        <f t="shared" si="26"/>
        <v>0</v>
      </c>
      <c r="N81" s="857">
        <f t="shared" si="26"/>
        <v>0</v>
      </c>
      <c r="O81" s="857">
        <f t="shared" si="26"/>
        <v>0</v>
      </c>
      <c r="P81" s="857">
        <f t="shared" si="26"/>
        <v>0</v>
      </c>
      <c r="Q81" s="857">
        <f t="shared" si="26"/>
        <v>0</v>
      </c>
      <c r="R81" s="857">
        <f t="shared" si="26"/>
        <v>3659508</v>
      </c>
      <c r="S81" s="857">
        <f t="shared" si="26"/>
        <v>3599490</v>
      </c>
      <c r="T81" s="857">
        <f t="shared" si="26"/>
        <v>0</v>
      </c>
      <c r="U81" s="213"/>
    </row>
    <row r="82" spans="1:21" s="214" customFormat="1" ht="12">
      <c r="A82" s="211" t="s">
        <v>821</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822</v>
      </c>
      <c r="B83" s="216">
        <f t="shared" ref="B83:B95" si="27">SUM(C83+D83)</f>
        <v>85825</v>
      </c>
      <c r="C83" s="217">
        <v>85825</v>
      </c>
      <c r="D83" s="217"/>
      <c r="E83" s="217">
        <f t="shared" ref="E83:E95" si="28">B83-SUM(F83:Q83)</f>
        <v>85825</v>
      </c>
      <c r="F83" s="217"/>
      <c r="G83" s="217"/>
      <c r="H83" s="217"/>
      <c r="I83" s="217"/>
      <c r="J83" s="217"/>
      <c r="K83" s="217"/>
      <c r="L83" s="217">
        <f t="shared" ref="L83:L95" si="29">D83</f>
        <v>0</v>
      </c>
      <c r="M83" s="217"/>
      <c r="N83" s="217"/>
      <c r="O83" s="217"/>
      <c r="P83" s="217"/>
      <c r="Q83" s="217"/>
      <c r="R83" s="877">
        <f t="shared" ref="R83:R95" si="30">SUM(E83:Q83)</f>
        <v>85825</v>
      </c>
      <c r="S83" s="218"/>
      <c r="T83" s="218"/>
      <c r="U83" s="213"/>
    </row>
    <row r="84" spans="1:21" s="214" customFormat="1">
      <c r="A84" s="215" t="s">
        <v>823</v>
      </c>
      <c r="B84" s="216">
        <f t="shared" si="27"/>
        <v>112000</v>
      </c>
      <c r="C84" s="217">
        <v>110163</v>
      </c>
      <c r="D84" s="217">
        <v>1837</v>
      </c>
      <c r="E84" s="217">
        <f t="shared" si="28"/>
        <v>110163</v>
      </c>
      <c r="F84" s="217"/>
      <c r="G84" s="217"/>
      <c r="H84" s="217"/>
      <c r="I84" s="217"/>
      <c r="J84" s="217"/>
      <c r="K84" s="217"/>
      <c r="L84" s="217">
        <f t="shared" si="29"/>
        <v>1837</v>
      </c>
      <c r="M84" s="217"/>
      <c r="N84" s="217"/>
      <c r="O84" s="217"/>
      <c r="P84" s="217"/>
      <c r="Q84" s="217"/>
      <c r="R84" s="877">
        <f t="shared" si="30"/>
        <v>112000</v>
      </c>
      <c r="S84" s="217">
        <f>C84</f>
        <v>110163</v>
      </c>
      <c r="T84" s="217"/>
      <c r="U84" s="213"/>
    </row>
    <row r="85" spans="1:21" s="214" customFormat="1">
      <c r="A85" s="215" t="s">
        <v>824</v>
      </c>
      <c r="B85" s="216">
        <f t="shared" si="27"/>
        <v>380233</v>
      </c>
      <c r="C85" s="217">
        <v>373997</v>
      </c>
      <c r="D85" s="217">
        <v>6236</v>
      </c>
      <c r="E85" s="217">
        <f t="shared" si="28"/>
        <v>373997</v>
      </c>
      <c r="F85" s="217"/>
      <c r="G85" s="217"/>
      <c r="H85" s="217"/>
      <c r="I85" s="217"/>
      <c r="J85" s="217"/>
      <c r="K85" s="217"/>
      <c r="L85" s="217">
        <f t="shared" si="29"/>
        <v>6236</v>
      </c>
      <c r="M85" s="217"/>
      <c r="N85" s="217"/>
      <c r="O85" s="217"/>
      <c r="P85" s="217"/>
      <c r="Q85" s="217"/>
      <c r="R85" s="877">
        <f t="shared" si="30"/>
        <v>380233</v>
      </c>
      <c r="S85" s="217">
        <f>C85</f>
        <v>373997</v>
      </c>
      <c r="T85" s="217"/>
      <c r="U85" s="213"/>
    </row>
    <row r="86" spans="1:21" s="214" customFormat="1">
      <c r="A86" s="215" t="s">
        <v>825</v>
      </c>
      <c r="B86" s="216">
        <f t="shared" si="27"/>
        <v>233503</v>
      </c>
      <c r="C86" s="217">
        <v>229673</v>
      </c>
      <c r="D86" s="217">
        <v>3830</v>
      </c>
      <c r="E86" s="217">
        <f t="shared" si="28"/>
        <v>229673</v>
      </c>
      <c r="F86" s="217"/>
      <c r="G86" s="217"/>
      <c r="H86" s="217"/>
      <c r="I86" s="217"/>
      <c r="J86" s="217"/>
      <c r="K86" s="217"/>
      <c r="L86" s="217">
        <f t="shared" si="29"/>
        <v>3830</v>
      </c>
      <c r="M86" s="217"/>
      <c r="N86" s="217"/>
      <c r="O86" s="217"/>
      <c r="P86" s="217"/>
      <c r="Q86" s="217"/>
      <c r="R86" s="877">
        <f t="shared" si="30"/>
        <v>233503</v>
      </c>
      <c r="S86" s="217">
        <f>C86</f>
        <v>229673</v>
      </c>
      <c r="T86" s="217"/>
      <c r="U86" s="213"/>
    </row>
    <row r="87" spans="1:21" s="214" customFormat="1">
      <c r="A87" s="215" t="s">
        <v>826</v>
      </c>
      <c r="B87" s="216">
        <f t="shared" si="27"/>
        <v>281534</v>
      </c>
      <c r="C87" s="217">
        <v>276917</v>
      </c>
      <c r="D87" s="217">
        <v>4617</v>
      </c>
      <c r="E87" s="217">
        <f t="shared" si="28"/>
        <v>276917</v>
      </c>
      <c r="F87" s="217"/>
      <c r="G87" s="217"/>
      <c r="H87" s="217"/>
      <c r="I87" s="217"/>
      <c r="J87" s="217"/>
      <c r="K87" s="217"/>
      <c r="L87" s="217">
        <f t="shared" si="29"/>
        <v>4617</v>
      </c>
      <c r="M87" s="217"/>
      <c r="N87" s="217"/>
      <c r="O87" s="217"/>
      <c r="P87" s="217"/>
      <c r="Q87" s="217"/>
      <c r="R87" s="877">
        <f t="shared" si="30"/>
        <v>281534</v>
      </c>
      <c r="S87" s="217">
        <f>C87</f>
        <v>276917</v>
      </c>
      <c r="T87" s="217"/>
      <c r="U87" s="213"/>
    </row>
    <row r="88" spans="1:21" s="214" customFormat="1">
      <c r="A88" s="215" t="s">
        <v>827</v>
      </c>
      <c r="B88" s="216">
        <f t="shared" si="27"/>
        <v>422738</v>
      </c>
      <c r="C88" s="217">
        <v>422738</v>
      </c>
      <c r="D88" s="217"/>
      <c r="E88" s="217">
        <f t="shared" si="28"/>
        <v>422738</v>
      </c>
      <c r="F88" s="217"/>
      <c r="G88" s="217"/>
      <c r="H88" s="217"/>
      <c r="I88" s="217"/>
      <c r="J88" s="217"/>
      <c r="K88" s="217"/>
      <c r="L88" s="217">
        <f t="shared" si="29"/>
        <v>0</v>
      </c>
      <c r="M88" s="217"/>
      <c r="N88" s="217"/>
      <c r="O88" s="217"/>
      <c r="P88" s="217"/>
      <c r="Q88" s="217"/>
      <c r="R88" s="877">
        <f t="shared" si="30"/>
        <v>422738</v>
      </c>
      <c r="S88" s="218"/>
      <c r="T88" s="218"/>
      <c r="U88" s="213"/>
    </row>
    <row r="89" spans="1:21" s="214" customFormat="1">
      <c r="A89" s="215" t="s">
        <v>828</v>
      </c>
      <c r="B89" s="216">
        <f t="shared" si="27"/>
        <v>224000</v>
      </c>
      <c r="C89" s="217">
        <v>224000</v>
      </c>
      <c r="D89" s="217"/>
      <c r="E89" s="217">
        <f t="shared" si="28"/>
        <v>224000</v>
      </c>
      <c r="F89" s="217"/>
      <c r="G89" s="217"/>
      <c r="H89" s="217"/>
      <c r="I89" s="217"/>
      <c r="J89" s="217"/>
      <c r="K89" s="217"/>
      <c r="L89" s="217">
        <f t="shared" si="29"/>
        <v>0</v>
      </c>
      <c r="M89" s="217"/>
      <c r="N89" s="217"/>
      <c r="O89" s="217"/>
      <c r="P89" s="217"/>
      <c r="Q89" s="217"/>
      <c r="R89" s="877">
        <f t="shared" si="30"/>
        <v>224000</v>
      </c>
      <c r="S89" s="217">
        <f>C89</f>
        <v>224000</v>
      </c>
      <c r="T89" s="217"/>
      <c r="U89" s="213"/>
    </row>
    <row r="90" spans="1:21" s="214" customFormat="1">
      <c r="A90" s="215" t="s">
        <v>829</v>
      </c>
      <c r="B90" s="216">
        <f t="shared" si="27"/>
        <v>23819</v>
      </c>
      <c r="C90" s="217">
        <v>23819</v>
      </c>
      <c r="D90" s="217"/>
      <c r="E90" s="217">
        <f t="shared" si="28"/>
        <v>23819</v>
      </c>
      <c r="F90" s="217"/>
      <c r="G90" s="217"/>
      <c r="H90" s="217"/>
      <c r="I90" s="217"/>
      <c r="J90" s="217"/>
      <c r="K90" s="217"/>
      <c r="L90" s="217">
        <f t="shared" si="29"/>
        <v>0</v>
      </c>
      <c r="M90" s="217"/>
      <c r="N90" s="217"/>
      <c r="O90" s="217"/>
      <c r="P90" s="217"/>
      <c r="Q90" s="217"/>
      <c r="R90" s="877">
        <f t="shared" si="30"/>
        <v>23819</v>
      </c>
      <c r="S90" s="217"/>
      <c r="T90" s="217"/>
      <c r="U90" s="213"/>
    </row>
    <row r="91" spans="1:21" s="214" customFormat="1">
      <c r="A91" s="1713" t="s">
        <v>389</v>
      </c>
      <c r="B91" s="216">
        <f t="shared" si="27"/>
        <v>0</v>
      </c>
      <c r="C91" s="217"/>
      <c r="D91" s="217"/>
      <c r="E91" s="217">
        <f t="shared" si="28"/>
        <v>0</v>
      </c>
      <c r="F91" s="217"/>
      <c r="G91" s="217"/>
      <c r="H91" s="217"/>
      <c r="I91" s="217"/>
      <c r="J91" s="217"/>
      <c r="K91" s="217"/>
      <c r="L91" s="217">
        <f t="shared" si="29"/>
        <v>0</v>
      </c>
      <c r="M91" s="217"/>
      <c r="N91" s="217"/>
      <c r="O91" s="217"/>
      <c r="P91" s="217"/>
      <c r="Q91" s="217"/>
      <c r="R91" s="877">
        <f t="shared" si="30"/>
        <v>0</v>
      </c>
      <c r="S91" s="217"/>
      <c r="T91" s="217"/>
      <c r="U91" s="213"/>
    </row>
    <row r="92" spans="1:21" s="214" customFormat="1">
      <c r="A92" s="1712" t="s">
        <v>1414</v>
      </c>
      <c r="B92" s="216">
        <f t="shared" si="27"/>
        <v>15000</v>
      </c>
      <c r="C92" s="217">
        <v>14754</v>
      </c>
      <c r="D92" s="217">
        <v>246</v>
      </c>
      <c r="E92" s="217">
        <f t="shared" si="28"/>
        <v>14754</v>
      </c>
      <c r="F92" s="217"/>
      <c r="G92" s="217"/>
      <c r="H92" s="217"/>
      <c r="I92" s="217"/>
      <c r="J92" s="217"/>
      <c r="K92" s="217"/>
      <c r="L92" s="217">
        <f t="shared" si="29"/>
        <v>246</v>
      </c>
      <c r="M92" s="217"/>
      <c r="N92" s="217"/>
      <c r="O92" s="217"/>
      <c r="P92" s="217"/>
      <c r="Q92" s="217"/>
      <c r="R92" s="877">
        <f t="shared" si="30"/>
        <v>15000</v>
      </c>
      <c r="S92" s="217">
        <f>C92</f>
        <v>14754</v>
      </c>
      <c r="T92" s="217"/>
      <c r="U92" s="213"/>
    </row>
    <row r="93" spans="1:21" s="214" customFormat="1" ht="23">
      <c r="A93" s="1806" t="s">
        <v>2592</v>
      </c>
      <c r="B93" s="216">
        <f t="shared" si="27"/>
        <v>717211</v>
      </c>
      <c r="C93" s="217">
        <f>159635+545813</f>
        <v>705448</v>
      </c>
      <c r="D93" s="217">
        <f>2662+9101</f>
        <v>11763</v>
      </c>
      <c r="E93" s="217">
        <f t="shared" si="28"/>
        <v>2661</v>
      </c>
      <c r="F93" s="217"/>
      <c r="G93" s="217"/>
      <c r="H93" s="217"/>
      <c r="I93" s="217"/>
      <c r="J93" s="217"/>
      <c r="K93" s="217">
        <f>Application!AO642-L93</f>
        <v>702787</v>
      </c>
      <c r="L93" s="217">
        <f t="shared" si="29"/>
        <v>11763</v>
      </c>
      <c r="M93" s="217"/>
      <c r="N93" s="217"/>
      <c r="O93" s="217"/>
      <c r="P93" s="217"/>
      <c r="Q93" s="217"/>
      <c r="R93" s="877">
        <f t="shared" si="30"/>
        <v>717211</v>
      </c>
      <c r="S93" s="217">
        <f>361161+105630</f>
        <v>466791</v>
      </c>
      <c r="T93" s="217"/>
      <c r="U93" s="213"/>
    </row>
    <row r="94" spans="1:21" s="214" customFormat="1">
      <c r="A94" s="1806" t="s">
        <v>2593</v>
      </c>
      <c r="B94" s="216">
        <f t="shared" si="27"/>
        <v>25200</v>
      </c>
      <c r="C94" s="217">
        <v>24787</v>
      </c>
      <c r="D94" s="217">
        <v>413</v>
      </c>
      <c r="E94" s="217">
        <f t="shared" si="28"/>
        <v>24787</v>
      </c>
      <c r="F94" s="217"/>
      <c r="G94" s="217"/>
      <c r="H94" s="217"/>
      <c r="I94" s="217"/>
      <c r="J94" s="217"/>
      <c r="K94" s="217"/>
      <c r="L94" s="217">
        <f t="shared" si="29"/>
        <v>413</v>
      </c>
      <c r="M94" s="217"/>
      <c r="N94" s="217"/>
      <c r="O94" s="217"/>
      <c r="P94" s="217"/>
      <c r="Q94" s="217"/>
      <c r="R94" s="877">
        <f t="shared" si="30"/>
        <v>25200</v>
      </c>
      <c r="S94" s="217">
        <f>C94</f>
        <v>24787</v>
      </c>
      <c r="T94" s="217"/>
      <c r="U94" s="213"/>
    </row>
    <row r="95" spans="1:21" s="214" customFormat="1">
      <c r="A95" s="1806" t="s">
        <v>2594</v>
      </c>
      <c r="B95" s="216">
        <f t="shared" si="27"/>
        <v>220000</v>
      </c>
      <c r="C95" s="217">
        <v>220000</v>
      </c>
      <c r="D95" s="217"/>
      <c r="E95" s="217">
        <f t="shared" si="28"/>
        <v>220000</v>
      </c>
      <c r="F95" s="217"/>
      <c r="G95" s="217"/>
      <c r="H95" s="217"/>
      <c r="I95" s="217"/>
      <c r="J95" s="217"/>
      <c r="K95" s="217"/>
      <c r="L95" s="217">
        <f t="shared" si="29"/>
        <v>0</v>
      </c>
      <c r="M95" s="217"/>
      <c r="N95" s="217"/>
      <c r="O95" s="217"/>
      <c r="P95" s="217"/>
      <c r="Q95" s="217"/>
      <c r="R95" s="877">
        <f t="shared" si="30"/>
        <v>220000</v>
      </c>
      <c r="S95" s="217">
        <f>C95</f>
        <v>220000</v>
      </c>
      <c r="T95" s="217"/>
      <c r="U95" s="213"/>
    </row>
    <row r="96" spans="1:21" s="214" customFormat="1">
      <c r="A96" s="219" t="s">
        <v>830</v>
      </c>
      <c r="B96" s="216">
        <f>SUM(C96:D96)</f>
        <v>2741063</v>
      </c>
      <c r="C96" s="216">
        <f t="shared" ref="C96:R96" si="31">SUM(C83:C95)</f>
        <v>2712121</v>
      </c>
      <c r="D96" s="216">
        <f t="shared" si="31"/>
        <v>28942</v>
      </c>
      <c r="E96" s="216">
        <f t="shared" si="31"/>
        <v>2009334</v>
      </c>
      <c r="F96" s="216">
        <f t="shared" si="31"/>
        <v>0</v>
      </c>
      <c r="G96" s="216">
        <f t="shared" si="31"/>
        <v>0</v>
      </c>
      <c r="H96" s="216">
        <f t="shared" si="31"/>
        <v>0</v>
      </c>
      <c r="I96" s="216">
        <f t="shared" si="31"/>
        <v>0</v>
      </c>
      <c r="J96" s="216">
        <f t="shared" si="31"/>
        <v>0</v>
      </c>
      <c r="K96" s="216">
        <f t="shared" si="31"/>
        <v>702787</v>
      </c>
      <c r="L96" s="216">
        <f t="shared" si="31"/>
        <v>28942</v>
      </c>
      <c r="M96" s="216">
        <f t="shared" si="31"/>
        <v>0</v>
      </c>
      <c r="N96" s="216">
        <f t="shared" si="31"/>
        <v>0</v>
      </c>
      <c r="O96" s="216">
        <f t="shared" si="31"/>
        <v>0</v>
      </c>
      <c r="P96" s="216">
        <f t="shared" si="31"/>
        <v>0</v>
      </c>
      <c r="Q96" s="216">
        <f t="shared" si="31"/>
        <v>0</v>
      </c>
      <c r="R96" s="532">
        <f t="shared" si="31"/>
        <v>2741063</v>
      </c>
      <c r="S96" s="220">
        <f>SUM(S84:S87,S89:S95)</f>
        <v>1941082</v>
      </c>
      <c r="T96" s="216">
        <f>SUM(T84:T87,T89:T95)</f>
        <v>0</v>
      </c>
      <c r="U96" s="213"/>
    </row>
    <row r="97" spans="1:21" s="214" customFormat="1">
      <c r="A97" s="219" t="s">
        <v>831</v>
      </c>
      <c r="B97" s="216">
        <f>SUM(C97:D97)</f>
        <v>78465059</v>
      </c>
      <c r="C97" s="216">
        <f t="shared" ref="C97:R97" si="32">SUM(C63+C70+C77+C81+C96)</f>
        <v>77066169</v>
      </c>
      <c r="D97" s="216">
        <f t="shared" si="32"/>
        <v>1398890</v>
      </c>
      <c r="E97" s="216">
        <f t="shared" si="32"/>
        <v>34218211</v>
      </c>
      <c r="F97" s="216">
        <f t="shared" si="32"/>
        <v>6867000</v>
      </c>
      <c r="G97" s="216">
        <f t="shared" si="32"/>
        <v>20000000</v>
      </c>
      <c r="H97" s="216">
        <f t="shared" si="32"/>
        <v>12150000</v>
      </c>
      <c r="I97" s="216">
        <f t="shared" si="32"/>
        <v>1000000</v>
      </c>
      <c r="J97" s="216">
        <f t="shared" si="32"/>
        <v>2116308</v>
      </c>
      <c r="K97" s="216">
        <f t="shared" si="32"/>
        <v>714550</v>
      </c>
      <c r="L97" s="216">
        <f t="shared" si="32"/>
        <v>1398890</v>
      </c>
      <c r="M97" s="216">
        <f t="shared" si="32"/>
        <v>100</v>
      </c>
      <c r="N97" s="216">
        <f t="shared" si="32"/>
        <v>0</v>
      </c>
      <c r="O97" s="216">
        <f t="shared" si="32"/>
        <v>0</v>
      </c>
      <c r="P97" s="216">
        <f t="shared" si="32"/>
        <v>0</v>
      </c>
      <c r="Q97" s="216">
        <f t="shared" si="32"/>
        <v>0</v>
      </c>
      <c r="R97" s="216">
        <f t="shared" si="32"/>
        <v>78465059</v>
      </c>
      <c r="S97" s="216">
        <f>SUM(S63+S70+S81+S96)</f>
        <v>72652546</v>
      </c>
      <c r="T97" s="216">
        <f>SUM(T63+T70+T81+T96)</f>
        <v>0</v>
      </c>
      <c r="U97" s="213"/>
    </row>
    <row r="98" spans="1:21" s="214" customFormat="1" ht="12">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2200000</v>
      </c>
      <c r="C99" s="1605">
        <v>2163919</v>
      </c>
      <c r="D99" s="1605">
        <v>36081</v>
      </c>
      <c r="E99" s="217">
        <f>B99-SUM(F99:Q99)</f>
        <v>2163919</v>
      </c>
      <c r="F99" s="217"/>
      <c r="G99" s="217"/>
      <c r="H99" s="217"/>
      <c r="I99" s="217"/>
      <c r="J99" s="217"/>
      <c r="K99" s="217"/>
      <c r="L99" s="217">
        <f>D99</f>
        <v>36081</v>
      </c>
      <c r="M99" s="217"/>
      <c r="N99" s="217">
        <f>Application!AO645</f>
        <v>0</v>
      </c>
      <c r="O99" s="217"/>
      <c r="P99" s="217"/>
      <c r="Q99" s="217"/>
      <c r="R99" s="877">
        <f>SUM(E99:Q99)</f>
        <v>2200000</v>
      </c>
      <c r="S99" s="217">
        <f>C99</f>
        <v>2163919</v>
      </c>
      <c r="T99" s="217"/>
      <c r="U99" s="213"/>
    </row>
    <row r="100" spans="1:21" s="214" customFormat="1">
      <c r="A100" s="440" t="s">
        <v>1951</v>
      </c>
      <c r="B100" s="216">
        <f>SUM(C100+D100)</f>
        <v>0</v>
      </c>
      <c r="C100" s="217"/>
      <c r="D100" s="217"/>
      <c r="E100" s="217"/>
      <c r="F100" s="217"/>
      <c r="G100" s="217"/>
      <c r="H100" s="217"/>
      <c r="I100" s="217"/>
      <c r="J100" s="217"/>
      <c r="K100" s="217"/>
      <c r="L100" s="217"/>
      <c r="M100" s="217"/>
      <c r="N100" s="217"/>
      <c r="O100" s="217"/>
      <c r="P100" s="217"/>
      <c r="Q100" s="217"/>
      <c r="R100" s="877">
        <f>SUM(E100:Q100)</f>
        <v>0</v>
      </c>
      <c r="S100" s="217"/>
      <c r="T100" s="217"/>
      <c r="U100" s="213"/>
    </row>
    <row r="101" spans="1:21" s="214" customFormat="1" ht="12" customHeight="1">
      <c r="A101" s="215" t="s">
        <v>834</v>
      </c>
      <c r="B101" s="216">
        <f>SUM(C101+D101)</f>
        <v>0</v>
      </c>
      <c r="C101" s="217"/>
      <c r="D101" s="217"/>
      <c r="E101" s="217"/>
      <c r="F101" s="217"/>
      <c r="G101" s="217"/>
      <c r="H101" s="217"/>
      <c r="I101" s="217"/>
      <c r="J101" s="217"/>
      <c r="K101" s="217"/>
      <c r="L101" s="217"/>
      <c r="M101" s="217"/>
      <c r="N101" s="217"/>
      <c r="O101" s="217"/>
      <c r="P101" s="217"/>
      <c r="Q101" s="217"/>
      <c r="R101" s="877">
        <f>SUM(E101:Q101)</f>
        <v>0</v>
      </c>
      <c r="S101" s="217"/>
      <c r="T101" s="217"/>
      <c r="U101" s="213"/>
    </row>
    <row r="102" spans="1:21" s="214" customFormat="1">
      <c r="A102" s="440" t="s">
        <v>1952</v>
      </c>
      <c r="B102" s="216">
        <f>SUM(C102+D102)</f>
        <v>0</v>
      </c>
      <c r="C102" s="217"/>
      <c r="D102" s="217"/>
      <c r="E102" s="217"/>
      <c r="F102" s="217"/>
      <c r="G102" s="217"/>
      <c r="H102" s="217"/>
      <c r="I102" s="217"/>
      <c r="J102" s="217"/>
      <c r="K102" s="217"/>
      <c r="L102" s="217"/>
      <c r="M102" s="217"/>
      <c r="N102" s="217"/>
      <c r="O102" s="217"/>
      <c r="P102" s="217"/>
      <c r="Q102" s="217"/>
      <c r="R102" s="877">
        <f>SUM(E102:Q102)</f>
        <v>0</v>
      </c>
      <c r="S102" s="217"/>
      <c r="T102" s="217"/>
      <c r="U102" s="213"/>
    </row>
    <row r="103" spans="1:21" s="214" customFormat="1">
      <c r="A103" s="222" t="s">
        <v>35</v>
      </c>
      <c r="B103" s="216">
        <f>SUM(C103+D103)</f>
        <v>0</v>
      </c>
      <c r="C103" s="217"/>
      <c r="D103" s="217"/>
      <c r="E103" s="217"/>
      <c r="F103" s="217"/>
      <c r="G103" s="217"/>
      <c r="H103" s="217"/>
      <c r="I103" s="217"/>
      <c r="J103" s="217"/>
      <c r="K103" s="217"/>
      <c r="L103" s="217"/>
      <c r="M103" s="217"/>
      <c r="N103" s="217"/>
      <c r="O103" s="217"/>
      <c r="P103" s="217"/>
      <c r="Q103" s="217"/>
      <c r="R103" s="877">
        <f>SUM(E103:Q103)</f>
        <v>0</v>
      </c>
      <c r="S103" s="217"/>
      <c r="T103" s="217"/>
      <c r="U103" s="213"/>
    </row>
    <row r="104" spans="1:21" s="214" customFormat="1">
      <c r="A104" s="219" t="s">
        <v>835</v>
      </c>
      <c r="B104" s="216">
        <f>SUM(C104:D104)</f>
        <v>2200000</v>
      </c>
      <c r="C104" s="216">
        <f>SUM(C99:C103)</f>
        <v>2163919</v>
      </c>
      <c r="D104" s="216">
        <f t="shared" ref="D104:T104" si="33">SUM(D99:D103)</f>
        <v>36081</v>
      </c>
      <c r="E104" s="216">
        <f t="shared" si="33"/>
        <v>2163919</v>
      </c>
      <c r="F104" s="216">
        <f t="shared" si="33"/>
        <v>0</v>
      </c>
      <c r="G104" s="216">
        <f t="shared" si="33"/>
        <v>0</v>
      </c>
      <c r="H104" s="216">
        <f t="shared" si="33"/>
        <v>0</v>
      </c>
      <c r="I104" s="216">
        <f t="shared" si="33"/>
        <v>0</v>
      </c>
      <c r="J104" s="216">
        <f t="shared" si="33"/>
        <v>0</v>
      </c>
      <c r="K104" s="216">
        <f t="shared" si="33"/>
        <v>0</v>
      </c>
      <c r="L104" s="216">
        <f t="shared" si="33"/>
        <v>36081</v>
      </c>
      <c r="M104" s="216">
        <f t="shared" si="33"/>
        <v>0</v>
      </c>
      <c r="N104" s="216">
        <f t="shared" si="33"/>
        <v>0</v>
      </c>
      <c r="O104" s="216">
        <f t="shared" si="33"/>
        <v>0</v>
      </c>
      <c r="P104" s="216">
        <f t="shared" si="33"/>
        <v>0</v>
      </c>
      <c r="Q104" s="216">
        <f t="shared" si="33"/>
        <v>0</v>
      </c>
      <c r="R104" s="532">
        <f t="shared" si="33"/>
        <v>2200000</v>
      </c>
      <c r="S104" s="220">
        <f t="shared" si="33"/>
        <v>2163919</v>
      </c>
      <c r="T104" s="220">
        <f t="shared" si="33"/>
        <v>0</v>
      </c>
      <c r="U104" s="213"/>
    </row>
    <row r="105" spans="1:21" s="214" customFormat="1">
      <c r="A105" s="219" t="s">
        <v>836</v>
      </c>
      <c r="B105" s="220">
        <f>SUM(C105:D105)</f>
        <v>80665059</v>
      </c>
      <c r="C105" s="220">
        <f t="shared" ref="C105:R105" si="34">SUM(C97+C104)</f>
        <v>79230088</v>
      </c>
      <c r="D105" s="220">
        <f t="shared" si="34"/>
        <v>1434971</v>
      </c>
      <c r="E105" s="220">
        <f t="shared" si="34"/>
        <v>36382130</v>
      </c>
      <c r="F105" s="220">
        <f t="shared" si="34"/>
        <v>6867000</v>
      </c>
      <c r="G105" s="220">
        <f t="shared" si="34"/>
        <v>20000000</v>
      </c>
      <c r="H105" s="220">
        <f t="shared" si="34"/>
        <v>12150000</v>
      </c>
      <c r="I105" s="220">
        <f t="shared" si="34"/>
        <v>1000000</v>
      </c>
      <c r="J105" s="220">
        <f t="shared" si="34"/>
        <v>2116308</v>
      </c>
      <c r="K105" s="220">
        <f t="shared" si="34"/>
        <v>714550</v>
      </c>
      <c r="L105" s="220">
        <f t="shared" si="34"/>
        <v>1434971</v>
      </c>
      <c r="M105" s="220">
        <f t="shared" si="34"/>
        <v>100</v>
      </c>
      <c r="N105" s="220">
        <f t="shared" si="34"/>
        <v>0</v>
      </c>
      <c r="O105" s="220">
        <f t="shared" si="34"/>
        <v>0</v>
      </c>
      <c r="P105" s="220">
        <f t="shared" si="34"/>
        <v>0</v>
      </c>
      <c r="Q105" s="220">
        <f t="shared" si="34"/>
        <v>0</v>
      </c>
      <c r="R105" s="532">
        <f t="shared" si="34"/>
        <v>80665059</v>
      </c>
      <c r="S105" s="220">
        <f>S97+S104</f>
        <v>74816465</v>
      </c>
      <c r="T105" s="220">
        <f>T97+T104</f>
        <v>0</v>
      </c>
      <c r="U105" s="213"/>
    </row>
    <row r="106" spans="1:21">
      <c r="A106" s="864" t="s">
        <v>1126</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74816465</v>
      </c>
      <c r="T107" s="234">
        <f>T105+T106</f>
        <v>0</v>
      </c>
    </row>
    <row r="108" spans="1:21" s="300" customFormat="1">
      <c r="A108" s="233" t="s">
        <v>942</v>
      </c>
      <c r="B108" s="228"/>
      <c r="C108" s="228"/>
      <c r="D108" s="228"/>
      <c r="E108" s="464">
        <f>Application!AO650</f>
        <v>36382130</v>
      </c>
      <c r="F108" s="464">
        <f>Application!AO637</f>
        <v>6867000</v>
      </c>
      <c r="G108" s="464">
        <f>Application!AO638</f>
        <v>20000000</v>
      </c>
      <c r="H108" s="464">
        <f>Application!AO639</f>
        <v>12150000</v>
      </c>
      <c r="I108" s="464">
        <f>Application!AO640</f>
        <v>1000000</v>
      </c>
      <c r="J108" s="464">
        <f>Application!AO641</f>
        <v>2116308</v>
      </c>
      <c r="K108" s="464">
        <f>Application!AO642</f>
        <v>714550</v>
      </c>
      <c r="L108" s="464">
        <f>Application!AO643</f>
        <v>1434971</v>
      </c>
      <c r="M108" s="464">
        <f>Application!AO644</f>
        <v>100</v>
      </c>
      <c r="N108" s="464">
        <f>Application!AO645</f>
        <v>0</v>
      </c>
      <c r="O108" s="464">
        <f>Application!AO646</f>
        <v>0</v>
      </c>
      <c r="P108" s="464">
        <f>Application!AO647</f>
        <v>0</v>
      </c>
      <c r="Q108" s="464">
        <f>Application!AO648</f>
        <v>0</v>
      </c>
      <c r="R108" s="229"/>
      <c r="S108" s="229"/>
      <c r="T108" s="229"/>
      <c r="U108" s="299"/>
    </row>
    <row r="109" spans="1:21" ht="10.5" customHeight="1">
      <c r="A109" s="228"/>
      <c r="B109" s="228"/>
      <c r="C109" s="228"/>
      <c r="D109" s="228"/>
    </row>
    <row r="110" spans="1:21">
      <c r="A110" s="233" t="s">
        <v>1034</v>
      </c>
      <c r="B110" s="228"/>
      <c r="C110" s="228"/>
      <c r="D110" s="228"/>
    </row>
    <row r="111" spans="1:21">
      <c r="A111" s="227" t="s">
        <v>1035</v>
      </c>
      <c r="B111" s="228"/>
      <c r="C111" s="228"/>
      <c r="D111" s="228"/>
    </row>
    <row r="112" spans="1:21" ht="12" customHeight="1">
      <c r="A112" s="485"/>
      <c r="B112" s="228"/>
      <c r="C112" s="228"/>
      <c r="D112" s="228"/>
    </row>
    <row r="113" spans="1:21">
      <c r="A113" s="227" t="s">
        <v>1120</v>
      </c>
      <c r="B113" s="228"/>
      <c r="C113" s="228"/>
      <c r="D113" s="228"/>
    </row>
    <row r="114" spans="1:21">
      <c r="A114" s="227" t="s">
        <v>1121</v>
      </c>
      <c r="B114" s="228"/>
      <c r="C114" s="228"/>
      <c r="D114" s="228"/>
    </row>
    <row r="115" spans="1:21" ht="12" customHeight="1">
      <c r="A115" s="485"/>
      <c r="B115" s="228"/>
      <c r="C115" s="228"/>
      <c r="D115" s="228"/>
    </row>
    <row r="116" spans="1:21">
      <c r="A116" s="535" t="s">
        <v>1128</v>
      </c>
      <c r="B116" s="228"/>
      <c r="C116" s="228"/>
      <c r="D116" s="228"/>
    </row>
    <row r="117" spans="1:21">
      <c r="A117" s="535" t="s">
        <v>1431</v>
      </c>
      <c r="B117" s="228"/>
      <c r="C117" s="228"/>
      <c r="D117" s="228"/>
    </row>
    <row r="118" spans="1:21">
      <c r="A118" s="535" t="s">
        <v>1127</v>
      </c>
      <c r="B118" s="228"/>
      <c r="C118" s="228"/>
      <c r="D118" s="228"/>
    </row>
    <row r="119" spans="1:21">
      <c r="A119" s="535" t="s">
        <v>1129</v>
      </c>
      <c r="B119" s="228"/>
      <c r="C119" s="228"/>
      <c r="D119" s="228"/>
    </row>
    <row r="120" spans="1:21" ht="12" customHeight="1">
      <c r="A120" s="534"/>
      <c r="B120" s="228"/>
      <c r="C120" s="228"/>
      <c r="D120" s="228"/>
    </row>
    <row r="121" spans="1:21" ht="15.5">
      <c r="A121" s="528" t="s">
        <v>1104</v>
      </c>
      <c r="B121" s="228"/>
      <c r="C121" s="228"/>
      <c r="D121" s="228"/>
    </row>
    <row r="122" spans="1:21">
      <c r="A122" s="513" t="s">
        <v>1088</v>
      </c>
      <c r="B122" s="512"/>
      <c r="C122" s="512"/>
      <c r="D122" s="2543" t="s">
        <v>1089</v>
      </c>
      <c r="E122" s="2543"/>
      <c r="F122" s="2543"/>
      <c r="G122" s="512"/>
      <c r="H122" s="512"/>
      <c r="I122" s="512"/>
      <c r="J122" s="512"/>
      <c r="K122" s="512"/>
      <c r="L122" s="512"/>
      <c r="M122" s="512"/>
      <c r="N122" s="512"/>
      <c r="O122" s="512"/>
      <c r="P122" s="512"/>
      <c r="Q122" s="512"/>
      <c r="R122" s="512"/>
      <c r="S122" s="512"/>
      <c r="T122" s="512"/>
      <c r="U122" s="514"/>
    </row>
    <row r="123" spans="1:21">
      <c r="A123" s="512" t="s">
        <v>1090</v>
      </c>
      <c r="B123" s="521"/>
      <c r="C123" s="512"/>
      <c r="D123" s="2546" t="s">
        <v>1432</v>
      </c>
      <c r="E123" s="2547"/>
      <c r="F123" s="2547"/>
      <c r="G123" s="2547"/>
      <c r="H123" s="2547"/>
      <c r="I123" s="2547"/>
      <c r="J123" s="2547"/>
      <c r="K123" s="2547"/>
      <c r="L123" s="2547"/>
      <c r="M123" s="2547"/>
      <c r="N123" s="2547"/>
      <c r="O123" s="2547"/>
      <c r="P123" s="2547"/>
      <c r="Q123" s="2547"/>
      <c r="R123" s="2547"/>
      <c r="S123" s="2547"/>
      <c r="T123" s="512"/>
      <c r="U123" s="514"/>
    </row>
    <row r="124" spans="1:21" ht="12.5">
      <c r="A124" s="511" t="s">
        <v>1091</v>
      </c>
      <c r="B124" s="521"/>
      <c r="C124" s="511"/>
      <c r="D124" s="2547"/>
      <c r="E124" s="2547"/>
      <c r="F124" s="2547"/>
      <c r="G124" s="2547"/>
      <c r="H124" s="2547"/>
      <c r="I124" s="2547"/>
      <c r="J124" s="2547"/>
      <c r="K124" s="2547"/>
      <c r="L124" s="2547"/>
      <c r="M124" s="2547"/>
      <c r="N124" s="2547"/>
      <c r="O124" s="2547"/>
      <c r="P124" s="2547"/>
      <c r="Q124" s="2547"/>
      <c r="R124" s="2547"/>
      <c r="S124" s="2547"/>
      <c r="T124" s="512"/>
      <c r="U124" s="514"/>
    </row>
    <row r="125" spans="1:21" ht="12.5">
      <c r="A125" s="511" t="s">
        <v>1092</v>
      </c>
      <c r="B125" s="521"/>
      <c r="C125" s="511"/>
      <c r="D125" s="2547"/>
      <c r="E125" s="2547"/>
      <c r="F125" s="2547"/>
      <c r="G125" s="2547"/>
      <c r="H125" s="2547"/>
      <c r="I125" s="2547"/>
      <c r="J125" s="2547"/>
      <c r="K125" s="2547"/>
      <c r="L125" s="2547"/>
      <c r="M125" s="2547"/>
      <c r="N125" s="2547"/>
      <c r="O125" s="2547"/>
      <c r="P125" s="2547"/>
      <c r="Q125" s="2547"/>
      <c r="R125" s="2547"/>
      <c r="S125" s="2547"/>
      <c r="T125" s="512"/>
      <c r="U125" s="514"/>
    </row>
    <row r="126" spans="1:21" ht="12.5">
      <c r="A126" s="511" t="s">
        <v>1093</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5">
      <c r="A127" s="511" t="s">
        <v>1094</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5">
      <c r="A128" s="511" t="s">
        <v>1095</v>
      </c>
      <c r="B128" s="521"/>
      <c r="C128" s="511"/>
      <c r="D128" s="2540"/>
      <c r="E128" s="2540"/>
      <c r="F128" s="2540"/>
      <c r="G128" s="2540"/>
      <c r="H128" s="2540"/>
      <c r="I128" s="511"/>
      <c r="J128" s="2541"/>
      <c r="K128" s="2541"/>
      <c r="L128" s="511"/>
      <c r="M128" s="511"/>
      <c r="N128" s="511"/>
      <c r="O128" s="511"/>
      <c r="P128" s="511"/>
      <c r="Q128" s="511"/>
      <c r="R128" s="511"/>
      <c r="S128" s="511"/>
      <c r="T128" s="512"/>
      <c r="U128" s="514"/>
    </row>
    <row r="129" spans="1:21" ht="12.5">
      <c r="A129" s="511" t="s">
        <v>307</v>
      </c>
      <c r="B129" s="521"/>
      <c r="C129" s="511"/>
      <c r="D129" s="2542" t="s">
        <v>1096</v>
      </c>
      <c r="E129" s="2542"/>
      <c r="F129" s="2542"/>
      <c r="G129" s="2542"/>
      <c r="H129" s="2542"/>
      <c r="I129" s="511"/>
      <c r="J129" s="511" t="s">
        <v>1097</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
      <c r="A131" s="524" t="s">
        <v>1098</v>
      </c>
      <c r="B131" s="522">
        <f>SUM(B123:B129)</f>
        <v>0</v>
      </c>
      <c r="C131" s="511"/>
      <c r="D131" s="2450"/>
      <c r="E131" s="2450"/>
      <c r="F131" s="2450"/>
      <c r="G131" s="2450"/>
      <c r="H131" s="2450"/>
      <c r="I131" s="511"/>
      <c r="J131" s="2450"/>
      <c r="K131" s="2450"/>
      <c r="L131" s="2450"/>
      <c r="M131" s="2450"/>
      <c r="N131" s="511"/>
      <c r="O131" s="511"/>
      <c r="P131" s="511"/>
      <c r="Q131" s="511"/>
      <c r="R131" s="511"/>
      <c r="S131" s="511"/>
      <c r="T131" s="512"/>
      <c r="U131" s="514"/>
    </row>
    <row r="132" spans="1:21" ht="12" customHeight="1">
      <c r="A132" s="525"/>
      <c r="B132" s="511"/>
      <c r="C132" s="511"/>
      <c r="D132" s="2548" t="s">
        <v>1099</v>
      </c>
      <c r="E132" s="2548"/>
      <c r="F132" s="2548"/>
      <c r="G132" s="2548"/>
      <c r="H132" s="2548"/>
      <c r="I132" s="511"/>
      <c r="J132" s="2548" t="s">
        <v>1100</v>
      </c>
      <c r="K132" s="2548"/>
      <c r="L132" s="2548"/>
      <c r="M132" s="2548"/>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5">
      <c r="A134" s="526" t="s">
        <v>1101</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
      <c r="A135" s="485" t="s">
        <v>1102</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9"/>
      <c r="B138" s="2550"/>
      <c r="C138" s="2550"/>
      <c r="D138" s="516"/>
      <c r="E138" s="2541"/>
      <c r="F138" s="2541"/>
      <c r="G138" s="511"/>
      <c r="H138" s="511"/>
      <c r="I138" s="511"/>
      <c r="J138" s="511"/>
      <c r="K138" s="511"/>
      <c r="L138" s="511"/>
      <c r="M138" s="511"/>
      <c r="N138" s="511"/>
      <c r="O138" s="511"/>
      <c r="P138" s="511"/>
      <c r="Q138" s="511"/>
      <c r="R138" s="511"/>
      <c r="S138" s="511"/>
      <c r="T138" s="518"/>
      <c r="U138" s="519"/>
    </row>
    <row r="139" spans="1:21" ht="13">
      <c r="A139" s="2544" t="s">
        <v>1103</v>
      </c>
      <c r="B139" s="2545"/>
      <c r="C139" s="2545"/>
      <c r="D139" s="516"/>
      <c r="E139" s="511" t="s">
        <v>1097</v>
      </c>
      <c r="F139" s="511"/>
      <c r="G139" s="511"/>
      <c r="H139" s="511"/>
      <c r="I139" s="511"/>
      <c r="J139" s="511"/>
      <c r="K139" s="511"/>
      <c r="L139" s="511"/>
      <c r="M139" s="511"/>
      <c r="N139" s="511"/>
      <c r="O139" s="511"/>
      <c r="P139" s="511"/>
      <c r="Q139" s="511"/>
      <c r="R139" s="511"/>
      <c r="S139" s="511"/>
      <c r="T139" s="518"/>
      <c r="U139" s="519"/>
    </row>
    <row r="140" spans="1:21" ht="13">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58" stopIfTrue="1">
      <formula>T9&gt;C9</formula>
    </cfRule>
  </conditionalFormatting>
  <conditionalFormatting sqref="S10">
    <cfRule type="expression" dxfId="135" priority="257" stopIfTrue="1">
      <formula>(S10+T10)&gt;C10</formula>
    </cfRule>
  </conditionalFormatting>
  <conditionalFormatting sqref="R8">
    <cfRule type="cellIs" dxfId="134" priority="246" stopIfTrue="1" operator="notEqual">
      <formula>$B8</formula>
    </cfRule>
    <cfRule type="cellIs" priority="249" stopIfTrue="1" operator="notEqual">
      <formula>$B8</formula>
    </cfRule>
  </conditionalFormatting>
  <conditionalFormatting sqref="R4:R7 R56:R61 R45:R53 R83:R95 R99:R103">
    <cfRule type="cellIs" dxfId="133" priority="248" stopIfTrue="1" operator="notEqual">
      <formula>$B4</formula>
    </cfRule>
  </conditionalFormatting>
  <conditionalFormatting sqref="R9:R10">
    <cfRule type="cellIs" dxfId="132" priority="247" stopIfTrue="1" operator="notEqual">
      <formula>$B9</formula>
    </cfRule>
  </conditionalFormatting>
  <conditionalFormatting sqref="R11:R12">
    <cfRule type="cellIs" dxfId="131" priority="244" stopIfTrue="1" operator="notEqual">
      <formula>$B11</formula>
    </cfRule>
    <cfRule type="cellIs" priority="245" stopIfTrue="1" operator="notEqual">
      <formula>$B11</formula>
    </cfRule>
  </conditionalFormatting>
  <conditionalFormatting sqref="R13:R15">
    <cfRule type="cellIs" dxfId="130" priority="243" stopIfTrue="1" operator="notEqual">
      <formula>$B13</formula>
    </cfRule>
  </conditionalFormatting>
  <conditionalFormatting sqref="R26">
    <cfRule type="cellIs" dxfId="129" priority="241" stopIfTrue="1" operator="notEqual">
      <formula>$B26</formula>
    </cfRule>
    <cfRule type="cellIs" priority="242" stopIfTrue="1" operator="notEqual">
      <formula>$B26</formula>
    </cfRule>
  </conditionalFormatting>
  <conditionalFormatting sqref="R17:R25">
    <cfRule type="cellIs" dxfId="128" priority="240" stopIfTrue="1" operator="notEqual">
      <formula>$B17</formula>
    </cfRule>
  </conditionalFormatting>
  <conditionalFormatting sqref="R27">
    <cfRule type="cellIs" dxfId="127" priority="239" stopIfTrue="1" operator="notEqual">
      <formula>$B27</formula>
    </cfRule>
  </conditionalFormatting>
  <conditionalFormatting sqref="R38">
    <cfRule type="cellIs" dxfId="126" priority="237" stopIfTrue="1" operator="notEqual">
      <formula>$B38</formula>
    </cfRule>
    <cfRule type="cellIs" priority="238" stopIfTrue="1" operator="notEqual">
      <formula>$B38</formula>
    </cfRule>
  </conditionalFormatting>
  <conditionalFormatting sqref="R29:R37">
    <cfRule type="cellIs" dxfId="125" priority="236" stopIfTrue="1" operator="notEqual">
      <formula>$B29</formula>
    </cfRule>
  </conditionalFormatting>
  <conditionalFormatting sqref="R42">
    <cfRule type="cellIs" dxfId="124" priority="234" stopIfTrue="1" operator="notEqual">
      <formula>$B42</formula>
    </cfRule>
    <cfRule type="cellIs" priority="235" stopIfTrue="1" operator="notEqual">
      <formula>$B42</formula>
    </cfRule>
  </conditionalFormatting>
  <conditionalFormatting sqref="R40:R41">
    <cfRule type="cellIs" dxfId="123" priority="233" stopIfTrue="1" operator="notEqual">
      <formula>$B40</formula>
    </cfRule>
  </conditionalFormatting>
  <conditionalFormatting sqref="R43">
    <cfRule type="cellIs" dxfId="122" priority="232" stopIfTrue="1" operator="notEqual">
      <formula>$B43</formula>
    </cfRule>
  </conditionalFormatting>
  <conditionalFormatting sqref="R54">
    <cfRule type="cellIs" dxfId="121" priority="230" stopIfTrue="1" operator="notEqual">
      <formula>$B54</formula>
    </cfRule>
    <cfRule type="cellIs" priority="231" stopIfTrue="1" operator="notEqual">
      <formula>$B54</formula>
    </cfRule>
  </conditionalFormatting>
  <conditionalFormatting sqref="R62:R63">
    <cfRule type="cellIs" dxfId="120" priority="227" stopIfTrue="1" operator="notEqual">
      <formula>$B62</formula>
    </cfRule>
    <cfRule type="cellIs" priority="228" stopIfTrue="1" operator="notEqual">
      <formula>$B62</formula>
    </cfRule>
  </conditionalFormatting>
  <conditionalFormatting sqref="R70">
    <cfRule type="cellIs" dxfId="119" priority="224" stopIfTrue="1" operator="notEqual">
      <formula>$B70</formula>
    </cfRule>
    <cfRule type="cellIs" priority="225" stopIfTrue="1" operator="notEqual">
      <formula>$B70</formula>
    </cfRule>
  </conditionalFormatting>
  <conditionalFormatting sqref="R65:R69">
    <cfRule type="cellIs" dxfId="118" priority="223" stopIfTrue="1" operator="notEqual">
      <formula>$B65</formula>
    </cfRule>
  </conditionalFormatting>
  <conditionalFormatting sqref="R77">
    <cfRule type="cellIs" dxfId="117" priority="221" stopIfTrue="1" operator="notEqual">
      <formula>$B77</formula>
    </cfRule>
    <cfRule type="cellIs" priority="222" stopIfTrue="1" operator="notEqual">
      <formula>$B77</formula>
    </cfRule>
  </conditionalFormatting>
  <conditionalFormatting sqref="R96">
    <cfRule type="cellIs" dxfId="116" priority="219" stopIfTrue="1" operator="notEqual">
      <formula>$B96</formula>
    </cfRule>
    <cfRule type="cellIs" priority="220" stopIfTrue="1" operator="notEqual">
      <formula>$B96</formula>
    </cfRule>
  </conditionalFormatting>
  <conditionalFormatting sqref="R72:R76">
    <cfRule type="cellIs" dxfId="115" priority="218" stopIfTrue="1" operator="notEqual">
      <formula>$B72</formula>
    </cfRule>
  </conditionalFormatting>
  <conditionalFormatting sqref="R79:R80">
    <cfRule type="cellIs" dxfId="114" priority="217" stopIfTrue="1" operator="notEqual">
      <formula>$B79</formula>
    </cfRule>
  </conditionalFormatting>
  <conditionalFormatting sqref="R104:R105">
    <cfRule type="cellIs" dxfId="113" priority="214" stopIfTrue="1" operator="notEqual">
      <formula>$B104</formula>
    </cfRule>
    <cfRule type="cellIs" priority="215" stopIfTrue="1" operator="notEqual">
      <formula>$B104</formula>
    </cfRule>
  </conditionalFormatting>
  <conditionalFormatting sqref="E105:Q105">
    <cfRule type="cellIs" dxfId="112" priority="212" stopIfTrue="1" operator="notEqual">
      <formula>E$108</formula>
    </cfRule>
  </conditionalFormatting>
  <conditionalFormatting sqref="S13">
    <cfRule type="expression" dxfId="111" priority="209" stopIfTrue="1">
      <formula>(S13+T13)&gt;C13</formula>
    </cfRule>
  </conditionalFormatting>
  <conditionalFormatting sqref="S14">
    <cfRule type="expression" dxfId="110" priority="206" stopIfTrue="1">
      <formula>(S14+T14)&gt;C14</formula>
    </cfRule>
  </conditionalFormatting>
  <conditionalFormatting sqref="S17">
    <cfRule type="expression" dxfId="109" priority="205" stopIfTrue="1">
      <formula>(S17+T17)&gt;C17</formula>
    </cfRule>
  </conditionalFormatting>
  <conditionalFormatting sqref="S18">
    <cfRule type="expression" dxfId="108" priority="197" stopIfTrue="1">
      <formula>(S18+T18)&gt;C18</formula>
    </cfRule>
  </conditionalFormatting>
  <conditionalFormatting sqref="S19">
    <cfRule type="expression" dxfId="107" priority="195" stopIfTrue="1">
      <formula>(S19+T19)&gt;C19</formula>
    </cfRule>
  </conditionalFormatting>
  <conditionalFormatting sqref="S20">
    <cfRule type="expression" dxfId="106" priority="194" stopIfTrue="1">
      <formula>(S20+T20)&gt;C20</formula>
    </cfRule>
  </conditionalFormatting>
  <conditionalFormatting sqref="S21">
    <cfRule type="expression" dxfId="105" priority="193" stopIfTrue="1">
      <formula>(S21+T21)&gt;C21</formula>
    </cfRule>
  </conditionalFormatting>
  <conditionalFormatting sqref="S22">
    <cfRule type="expression" dxfId="104" priority="192" stopIfTrue="1">
      <formula>(S22+T22)&gt;C22</formula>
    </cfRule>
  </conditionalFormatting>
  <conditionalFormatting sqref="S23:S24">
    <cfRule type="expression" dxfId="103" priority="191" stopIfTrue="1">
      <formula>(S23+T23)&gt;C23</formula>
    </cfRule>
  </conditionalFormatting>
  <conditionalFormatting sqref="S25">
    <cfRule type="expression" dxfId="102" priority="190" stopIfTrue="1">
      <formula>(S25+T25)&gt;C25</formula>
    </cfRule>
  </conditionalFormatting>
  <conditionalFormatting sqref="S27">
    <cfRule type="expression" dxfId="101" priority="183" stopIfTrue="1">
      <formula>(S27+T27)&gt;C27</formula>
    </cfRule>
  </conditionalFormatting>
  <conditionalFormatting sqref="S29:S37">
    <cfRule type="expression" dxfId="100" priority="181" stopIfTrue="1">
      <formula>(S29+T29)&gt;C29</formula>
    </cfRule>
  </conditionalFormatting>
  <conditionalFormatting sqref="S45">
    <cfRule type="expression" dxfId="99" priority="159" stopIfTrue="1">
      <formula>(S45+T45)&gt;C45</formula>
    </cfRule>
  </conditionalFormatting>
  <conditionalFormatting sqref="S46">
    <cfRule type="expression" dxfId="98" priority="154" stopIfTrue="1">
      <formula>(S46+T46)&gt;C46</formula>
    </cfRule>
  </conditionalFormatting>
  <conditionalFormatting sqref="S47">
    <cfRule type="expression" dxfId="97" priority="153" stopIfTrue="1">
      <formula>(S47+T47)&gt;C47</formula>
    </cfRule>
  </conditionalFormatting>
  <conditionalFormatting sqref="S48">
    <cfRule type="expression" dxfId="96" priority="152" stopIfTrue="1">
      <formula>(S48+T48)&gt;C48</formula>
    </cfRule>
  </conditionalFormatting>
  <conditionalFormatting sqref="S49">
    <cfRule type="expression" dxfId="95" priority="151" stopIfTrue="1">
      <formula>(S49+T49)&gt;C49</formula>
    </cfRule>
  </conditionalFormatting>
  <conditionalFormatting sqref="S51">
    <cfRule type="expression" dxfId="94" priority="149" stopIfTrue="1">
      <formula>(S51+T51)&gt;C51</formula>
    </cfRule>
  </conditionalFormatting>
  <conditionalFormatting sqref="S53">
    <cfRule type="expression" dxfId="93" priority="146" stopIfTrue="1">
      <formula>(S53+T53)&gt;C53</formula>
    </cfRule>
  </conditionalFormatting>
  <conditionalFormatting sqref="S65:S66 S68">
    <cfRule type="expression" dxfId="92" priority="136" stopIfTrue="1">
      <formula>(S65+T65)&gt;C65</formula>
    </cfRule>
  </conditionalFormatting>
  <conditionalFormatting sqref="S69">
    <cfRule type="expression" dxfId="91" priority="135" stopIfTrue="1">
      <formula>(S69+T69)&gt;C69</formula>
    </cfRule>
  </conditionalFormatting>
  <conditionalFormatting sqref="S90">
    <cfRule type="expression" dxfId="90" priority="119" stopIfTrue="1">
      <formula>(S90+T90)&gt;C90</formula>
    </cfRule>
  </conditionalFormatting>
  <conditionalFormatting sqref="S91">
    <cfRule type="expression" dxfId="89" priority="118" stopIfTrue="1">
      <formula>(S91+T91)&gt;C91</formula>
    </cfRule>
  </conditionalFormatting>
  <conditionalFormatting sqref="S93">
    <cfRule type="expression" dxfId="88" priority="116" stopIfTrue="1">
      <formula>(S93+T93)&gt;C93</formula>
    </cfRule>
  </conditionalFormatting>
  <conditionalFormatting sqref="S100">
    <cfRule type="expression" dxfId="87" priority="101" stopIfTrue="1">
      <formula>(S100+T100)&gt;C100</formula>
    </cfRule>
  </conditionalFormatting>
  <conditionalFormatting sqref="S101">
    <cfRule type="expression" dxfId="86" priority="99" stopIfTrue="1">
      <formula>(S101+T101)&gt;C101</formula>
    </cfRule>
  </conditionalFormatting>
  <conditionalFormatting sqref="S102">
    <cfRule type="expression" dxfId="85" priority="98" stopIfTrue="1">
      <formula>(S102+T102)&gt;C102</formula>
    </cfRule>
  </conditionalFormatting>
  <conditionalFormatting sqref="S103">
    <cfRule type="expression" dxfId="84" priority="97" stopIfTrue="1">
      <formula>(S103+T103)&gt;C103</formula>
    </cfRule>
  </conditionalFormatting>
  <conditionalFormatting sqref="C10">
    <cfRule type="expression" dxfId="83" priority="89">
      <formula>"(S10+T10)&gt;C10 "</formula>
    </cfRule>
  </conditionalFormatting>
  <conditionalFormatting sqref="T10">
    <cfRule type="expression" dxfId="82" priority="87" stopIfTrue="1">
      <formula>(S10+T10)&gt;C10</formula>
    </cfRule>
  </conditionalFormatting>
  <conditionalFormatting sqref="T13">
    <cfRule type="expression" dxfId="81" priority="85" stopIfTrue="1">
      <formula>(S13+T13)&gt;C13</formula>
    </cfRule>
  </conditionalFormatting>
  <conditionalFormatting sqref="T14">
    <cfRule type="expression" dxfId="80" priority="84" stopIfTrue="1">
      <formula>(S14+T14)&gt;C14</formula>
    </cfRule>
  </conditionalFormatting>
  <conditionalFormatting sqref="T17">
    <cfRule type="expression" dxfId="79" priority="83" stopIfTrue="1">
      <formula>(S17+T17)&gt;C17</formula>
    </cfRule>
  </conditionalFormatting>
  <conditionalFormatting sqref="T18">
    <cfRule type="expression" dxfId="78" priority="66" stopIfTrue="1">
      <formula>(S18+T18)&gt;C18</formula>
    </cfRule>
  </conditionalFormatting>
  <conditionalFormatting sqref="T19">
    <cfRule type="expression" dxfId="77" priority="65" stopIfTrue="1">
      <formula>(S19+T19)&gt;C19</formula>
    </cfRule>
  </conditionalFormatting>
  <conditionalFormatting sqref="T20">
    <cfRule type="expression" dxfId="76" priority="64" stopIfTrue="1">
      <formula>(S20+T20)&gt;C20</formula>
    </cfRule>
  </conditionalFormatting>
  <conditionalFormatting sqref="T21">
    <cfRule type="expression" dxfId="75" priority="63" stopIfTrue="1">
      <formula>(S21+T21)&gt;C21</formula>
    </cfRule>
  </conditionalFormatting>
  <conditionalFormatting sqref="T22">
    <cfRule type="expression" dxfId="74" priority="62" stopIfTrue="1">
      <formula>(S22+T22)&gt;C22</formula>
    </cfRule>
  </conditionalFormatting>
  <conditionalFormatting sqref="T23:T24">
    <cfRule type="expression" dxfId="73" priority="61" stopIfTrue="1">
      <formula>(S23+T23)&gt;C23</formula>
    </cfRule>
  </conditionalFormatting>
  <conditionalFormatting sqref="T25">
    <cfRule type="expression" dxfId="72" priority="60" stopIfTrue="1">
      <formula>(S25+T25)&gt;C25</formula>
    </cfRule>
  </conditionalFormatting>
  <conditionalFormatting sqref="T27">
    <cfRule type="expression" dxfId="71" priority="58" stopIfTrue="1">
      <formula>(S27+T27)&gt;C27</formula>
    </cfRule>
  </conditionalFormatting>
  <conditionalFormatting sqref="T29">
    <cfRule type="expression" dxfId="70" priority="57" stopIfTrue="1">
      <formula>(S29+T29)&gt;C29</formula>
    </cfRule>
  </conditionalFormatting>
  <conditionalFormatting sqref="T30">
    <cfRule type="expression" dxfId="69" priority="55" stopIfTrue="1">
      <formula>(S30+T30)&gt;C30</formula>
    </cfRule>
  </conditionalFormatting>
  <conditionalFormatting sqref="T31">
    <cfRule type="expression" dxfId="68" priority="54" stopIfTrue="1">
      <formula>(S31+T31)&gt;C31</formula>
    </cfRule>
  </conditionalFormatting>
  <conditionalFormatting sqref="T32">
    <cfRule type="expression" dxfId="67" priority="53" stopIfTrue="1">
      <formula>(S32+T32)&gt;C32</formula>
    </cfRule>
  </conditionalFormatting>
  <conditionalFormatting sqref="T33">
    <cfRule type="expression" dxfId="66" priority="52" stopIfTrue="1">
      <formula>(S33+T33)&gt;C33</formula>
    </cfRule>
  </conditionalFormatting>
  <conditionalFormatting sqref="T34">
    <cfRule type="expression" dxfId="65" priority="51" stopIfTrue="1">
      <formula>(S34+T34)&gt;C34</formula>
    </cfRule>
  </conditionalFormatting>
  <conditionalFormatting sqref="T35:T36">
    <cfRule type="expression" dxfId="64" priority="50" stopIfTrue="1">
      <formula>(S35+T35)&gt;C35</formula>
    </cfRule>
  </conditionalFormatting>
  <conditionalFormatting sqref="T37">
    <cfRule type="expression" dxfId="63" priority="49" stopIfTrue="1">
      <formula>(S37+T37)&gt;C37</formula>
    </cfRule>
  </conditionalFormatting>
  <conditionalFormatting sqref="T40">
    <cfRule type="expression" dxfId="62" priority="48" stopIfTrue="1">
      <formula>(S40+T40)&gt;C40</formula>
    </cfRule>
  </conditionalFormatting>
  <conditionalFormatting sqref="T41">
    <cfRule type="expression" dxfId="61" priority="47" stopIfTrue="1">
      <formula>(S41+T41)&gt;C41</formula>
    </cfRule>
  </conditionalFormatting>
  <conditionalFormatting sqref="T43">
    <cfRule type="expression" dxfId="60" priority="46" stopIfTrue="1">
      <formula>(S43+T43)&gt;C43</formula>
    </cfRule>
  </conditionalFormatting>
  <conditionalFormatting sqref="T45">
    <cfRule type="expression" dxfId="59" priority="45" stopIfTrue="1">
      <formula>(S45+T45)&gt;C45</formula>
    </cfRule>
  </conditionalFormatting>
  <conditionalFormatting sqref="T46">
    <cfRule type="expression" dxfId="58" priority="44" stopIfTrue="1">
      <formula>(S46+T46)&gt;C46</formula>
    </cfRule>
  </conditionalFormatting>
  <conditionalFormatting sqref="T47">
    <cfRule type="expression" dxfId="57" priority="43" stopIfTrue="1">
      <formula>(S47+T47)&gt;C47</formula>
    </cfRule>
  </conditionalFormatting>
  <conditionalFormatting sqref="T48">
    <cfRule type="expression" dxfId="56" priority="42" stopIfTrue="1">
      <formula>(S48+T48)&gt;C48</formula>
    </cfRule>
  </conditionalFormatting>
  <conditionalFormatting sqref="T49">
    <cfRule type="expression" dxfId="55" priority="41" stopIfTrue="1">
      <formula>(S49+T49)&gt;C49</formula>
    </cfRule>
  </conditionalFormatting>
  <conditionalFormatting sqref="T50">
    <cfRule type="expression" dxfId="54" priority="40" stopIfTrue="1">
      <formula>(S50+T50)&gt;C50</formula>
    </cfRule>
  </conditionalFormatting>
  <conditionalFormatting sqref="T51">
    <cfRule type="expression" dxfId="53" priority="39" stopIfTrue="1">
      <formula>(S51+T51)&gt;C51</formula>
    </cfRule>
  </conditionalFormatting>
  <conditionalFormatting sqref="T52">
    <cfRule type="expression" dxfId="52" priority="38" stopIfTrue="1">
      <formula>(S52+T52)&gt;C52</formula>
    </cfRule>
  </conditionalFormatting>
  <conditionalFormatting sqref="T53">
    <cfRule type="expression" dxfId="51" priority="36" stopIfTrue="1">
      <formula>(S53+T53)&gt;C53</formula>
    </cfRule>
  </conditionalFormatting>
  <conditionalFormatting sqref="T65:T68">
    <cfRule type="expression" dxfId="50" priority="35" stopIfTrue="1">
      <formula>(S65+T65)&gt;C65</formula>
    </cfRule>
  </conditionalFormatting>
  <conditionalFormatting sqref="T69">
    <cfRule type="expression" dxfId="49" priority="34" stopIfTrue="1">
      <formula>(S69+T69)&gt;C69</formula>
    </cfRule>
  </conditionalFormatting>
  <conditionalFormatting sqref="T79">
    <cfRule type="expression" dxfId="48" priority="33" stopIfTrue="1">
      <formula>(S79+T79)&gt;C79</formula>
    </cfRule>
  </conditionalFormatting>
  <conditionalFormatting sqref="T80">
    <cfRule type="expression" dxfId="47" priority="32" stopIfTrue="1">
      <formula>(S80+T80)&gt;C80</formula>
    </cfRule>
  </conditionalFormatting>
  <conditionalFormatting sqref="T84">
    <cfRule type="expression" dxfId="46" priority="31" stopIfTrue="1">
      <formula>(S84+T84)&gt;C84</formula>
    </cfRule>
  </conditionalFormatting>
  <conditionalFormatting sqref="T85">
    <cfRule type="expression" dxfId="45" priority="30" stopIfTrue="1">
      <formula>(S85+T85)&gt;C85</formula>
    </cfRule>
  </conditionalFormatting>
  <conditionalFormatting sqref="T86">
    <cfRule type="expression" dxfId="44" priority="29" stopIfTrue="1">
      <formula>(S86+T86)&gt;C86</formula>
    </cfRule>
  </conditionalFormatting>
  <conditionalFormatting sqref="T87">
    <cfRule type="expression" dxfId="43" priority="28" stopIfTrue="1">
      <formula>(S87+T87)&gt;C87</formula>
    </cfRule>
  </conditionalFormatting>
  <conditionalFormatting sqref="T89">
    <cfRule type="expression" dxfId="42" priority="27" stopIfTrue="1">
      <formula>(S89+T89)&gt;C89</formula>
    </cfRule>
  </conditionalFormatting>
  <conditionalFormatting sqref="T90">
    <cfRule type="expression" dxfId="41" priority="26" stopIfTrue="1">
      <formula>(S90+T90)&gt;C90</formula>
    </cfRule>
  </conditionalFormatting>
  <conditionalFormatting sqref="T91">
    <cfRule type="expression" dxfId="40" priority="25" stopIfTrue="1">
      <formula>(S91+T91)&gt;C91</formula>
    </cfRule>
  </conditionalFormatting>
  <conditionalFormatting sqref="T92">
    <cfRule type="expression" dxfId="39" priority="24" stopIfTrue="1">
      <formula>(S92+T92)&gt;C92</formula>
    </cfRule>
  </conditionalFormatting>
  <conditionalFormatting sqref="T93">
    <cfRule type="expression" dxfId="38" priority="23" stopIfTrue="1">
      <formula>(S93+T93)&gt;C93</formula>
    </cfRule>
  </conditionalFormatting>
  <conditionalFormatting sqref="T94">
    <cfRule type="expression" dxfId="37" priority="22" stopIfTrue="1">
      <formula>(S94+T94)&gt;C94</formula>
    </cfRule>
  </conditionalFormatting>
  <conditionalFormatting sqref="T95">
    <cfRule type="expression" dxfId="36" priority="21" stopIfTrue="1">
      <formula>(S95+T95)&gt;C95</formula>
    </cfRule>
  </conditionalFormatting>
  <conditionalFormatting sqref="T99">
    <cfRule type="expression" dxfId="35" priority="18" stopIfTrue="1">
      <formula>(S99+T99)&gt;C99</formula>
    </cfRule>
  </conditionalFormatting>
  <conditionalFormatting sqref="T100">
    <cfRule type="expression" dxfId="34" priority="17" stopIfTrue="1">
      <formula>(S100+T100)&gt;C100</formula>
    </cfRule>
  </conditionalFormatting>
  <conditionalFormatting sqref="T101">
    <cfRule type="expression" dxfId="33" priority="15" stopIfTrue="1">
      <formula>(S101+T101)&gt;C101</formula>
    </cfRule>
  </conditionalFormatting>
  <conditionalFormatting sqref="T102">
    <cfRule type="expression" dxfId="32" priority="14" stopIfTrue="1">
      <formula>(S102+T102)&gt;C102</formula>
    </cfRule>
  </conditionalFormatting>
  <conditionalFormatting sqref="T103">
    <cfRule type="expression" dxfId="31" priority="13" stopIfTrue="1">
      <formula>(S103+T103)&gt;C103</formula>
    </cfRule>
  </conditionalFormatting>
  <conditionalFormatting sqref="S40:S41">
    <cfRule type="expression" dxfId="30" priority="12" stopIfTrue="1">
      <formula>(S40+T40)&gt;C40</formula>
    </cfRule>
  </conditionalFormatting>
  <conditionalFormatting sqref="S43">
    <cfRule type="expression" dxfId="29" priority="11" stopIfTrue="1">
      <formula>(S43+T43)&gt;C43</formula>
    </cfRule>
  </conditionalFormatting>
  <conditionalFormatting sqref="S50">
    <cfRule type="expression" dxfId="28" priority="10" stopIfTrue="1">
      <formula>(S50+T50)&gt;C50</formula>
    </cfRule>
  </conditionalFormatting>
  <conditionalFormatting sqref="S52">
    <cfRule type="expression" dxfId="27" priority="9" stopIfTrue="1">
      <formula>(S52+T52)&gt;C52</formula>
    </cfRule>
  </conditionalFormatting>
  <conditionalFormatting sqref="S67">
    <cfRule type="expression" dxfId="26" priority="8" stopIfTrue="1">
      <formula>(S67+T67)&gt;C67</formula>
    </cfRule>
  </conditionalFormatting>
  <conditionalFormatting sqref="S79:S80">
    <cfRule type="expression" dxfId="25" priority="7" stopIfTrue="1">
      <formula>(S79+T79)&gt;C79</formula>
    </cfRule>
  </conditionalFormatting>
  <conditionalFormatting sqref="S84:S87">
    <cfRule type="expression" dxfId="24" priority="6" stopIfTrue="1">
      <formula>(S84+T84)&gt;C84</formula>
    </cfRule>
  </conditionalFormatting>
  <conditionalFormatting sqref="S89">
    <cfRule type="expression" dxfId="23" priority="5" stopIfTrue="1">
      <formula>(S89+T89)&gt;C89</formula>
    </cfRule>
  </conditionalFormatting>
  <conditionalFormatting sqref="S92">
    <cfRule type="expression" dxfId="22" priority="4" stopIfTrue="1">
      <formula>(S92+T92)&gt;C92</formula>
    </cfRule>
  </conditionalFormatting>
  <conditionalFormatting sqref="S94">
    <cfRule type="expression" dxfId="21" priority="3" stopIfTrue="1">
      <formula>(S94+T94)&gt;C94</formula>
    </cfRule>
  </conditionalFormatting>
  <conditionalFormatting sqref="S95">
    <cfRule type="expression" dxfId="20" priority="2" stopIfTrue="1">
      <formula>(S95+T95)&gt;C95</formula>
    </cfRule>
  </conditionalFormatting>
  <conditionalFormatting sqref="S99">
    <cfRule type="expression" dxfId="19"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9" zoomScaleNormal="100" zoomScaleSheetLayoutView="100" workbookViewId="0">
      <selection activeCell="E107" sqref="E107"/>
    </sheetView>
  </sheetViews>
  <sheetFormatPr defaultColWidth="0" defaultRowHeight="11.5" zeroHeight="1"/>
  <cols>
    <col min="1" max="1" width="32.45312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45312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45312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45312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45312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45312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45312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45312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45312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45312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45312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45312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45312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45312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45312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45312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45312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45312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45312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45312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45312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45312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45312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45312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45312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45312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45312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45312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45312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45312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45312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45312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45312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45312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45312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45312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45312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45312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45312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45312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45312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45312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45312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45312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45312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45312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45312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45312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45312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45312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45312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45312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45312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45312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45312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45312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45312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45312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45312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45312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45312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45312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45312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45312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
      <c r="A1" s="2557" t="s">
        <v>1435</v>
      </c>
      <c r="B1" s="2558"/>
      <c r="C1" s="2558"/>
      <c r="D1" s="2558"/>
      <c r="E1" s="2558"/>
      <c r="F1" s="2558"/>
      <c r="G1" s="2558"/>
      <c r="H1" s="2558"/>
      <c r="I1" s="2558"/>
      <c r="J1" s="2559"/>
      <c r="K1" s="557"/>
    </row>
    <row r="2" spans="1:11" s="613" customFormat="1" ht="69">
      <c r="A2" s="609"/>
      <c r="B2" s="610" t="s">
        <v>1133</v>
      </c>
      <c r="C2" s="610" t="s">
        <v>1437</v>
      </c>
      <c r="D2" s="611" t="s">
        <v>1438</v>
      </c>
      <c r="E2" s="610" t="s">
        <v>1345</v>
      </c>
      <c r="F2" s="610" t="s">
        <v>1439</v>
      </c>
      <c r="G2" s="610" t="s">
        <v>1440</v>
      </c>
      <c r="H2" s="610" t="s">
        <v>1134</v>
      </c>
      <c r="I2" s="610" t="s">
        <v>1441</v>
      </c>
      <c r="J2" s="610" t="s">
        <v>1442</v>
      </c>
      <c r="K2" s="612"/>
    </row>
    <row r="3" spans="1:11" s="562" customFormat="1" ht="12">
      <c r="A3" s="559" t="s">
        <v>27</v>
      </c>
      <c r="B3" s="560"/>
      <c r="C3" s="560"/>
      <c r="D3" s="560"/>
      <c r="E3" s="560"/>
      <c r="F3" s="560"/>
      <c r="G3" s="560"/>
      <c r="H3" s="560"/>
      <c r="I3" s="560"/>
      <c r="J3" s="560"/>
      <c r="K3" s="561"/>
    </row>
    <row r="4" spans="1:11" s="562" customFormat="1">
      <c r="A4" s="566" t="s">
        <v>28</v>
      </c>
      <c r="B4" s="563">
        <f>'Sources and Uses Budget'!C4</f>
        <v>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626</v>
      </c>
      <c r="B8" s="563">
        <f>'Sources and Uses Budget'!C8</f>
        <v>0</v>
      </c>
      <c r="C8" s="563">
        <f>SUM(C4:C7)</f>
        <v>0</v>
      </c>
      <c r="D8" s="563">
        <f>SUM(D4:D7)</f>
        <v>0</v>
      </c>
      <c r="E8" s="565"/>
      <c r="F8" s="565"/>
      <c r="G8" s="565"/>
      <c r="H8" s="565"/>
      <c r="I8" s="565"/>
      <c r="J8" s="565"/>
      <c r="K8" s="561"/>
    </row>
    <row r="9" spans="1:11" s="562" customFormat="1">
      <c r="A9" s="566" t="s">
        <v>627</v>
      </c>
      <c r="B9" s="563">
        <f>'Sources and Uses Budget'!C9</f>
        <v>0</v>
      </c>
      <c r="C9" s="564"/>
      <c r="D9" s="564"/>
      <c r="E9" s="565"/>
      <c r="F9" s="565"/>
      <c r="G9" s="565"/>
      <c r="H9" s="563">
        <f>'Sources and Uses Budget'!T9</f>
        <v>0</v>
      </c>
      <c r="I9" s="564"/>
      <c r="J9" s="564"/>
      <c r="K9" s="561"/>
    </row>
    <row r="10" spans="1:11" s="562" customFormat="1">
      <c r="A10" s="566" t="s">
        <v>628</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629</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0</v>
      </c>
      <c r="C12" s="563">
        <f>SUM(C8+C11)</f>
        <v>0</v>
      </c>
      <c r="D12" s="563">
        <f>SUM(D8+D11)</f>
        <v>0</v>
      </c>
      <c r="E12" s="565"/>
      <c r="F12" s="565"/>
      <c r="G12" s="565"/>
      <c r="H12" s="565"/>
      <c r="I12" s="565"/>
      <c r="J12" s="565"/>
      <c r="K12" s="561"/>
    </row>
    <row r="13" spans="1:11" s="562" customFormat="1">
      <c r="A13" s="568" t="s">
        <v>969</v>
      </c>
      <c r="B13" s="563">
        <f>'Sources and Uses Budget'!C13</f>
        <v>24590</v>
      </c>
      <c r="C13" s="564"/>
      <c r="D13" s="564"/>
      <c r="E13" s="563">
        <f>'Sources and Uses Budget'!S13</f>
        <v>0</v>
      </c>
      <c r="F13" s="564"/>
      <c r="G13" s="564"/>
      <c r="H13" s="563">
        <f>'Sources and Uses Budget'!T13</f>
        <v>0</v>
      </c>
      <c r="I13" s="564"/>
      <c r="J13" s="564"/>
      <c r="K13" s="561"/>
    </row>
    <row r="14" spans="1:11" s="562" customFormat="1" ht="23">
      <c r="A14" s="569" t="s">
        <v>970</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1349</v>
      </c>
      <c r="B15" s="563">
        <f>'Sources and Uses Budget'!C15</f>
        <v>0</v>
      </c>
      <c r="C15" s="564"/>
      <c r="D15" s="564"/>
      <c r="E15" s="565">
        <f>'Sources and Uses Budget'!S15</f>
        <v>0</v>
      </c>
      <c r="F15" s="565"/>
      <c r="G15" s="565"/>
      <c r="H15" s="565">
        <f>'Sources and Uses Budget'!T15</f>
        <v>0</v>
      </c>
      <c r="I15" s="565"/>
      <c r="J15" s="565"/>
      <c r="K15" s="561"/>
    </row>
    <row r="16" spans="1:11" s="562" customFormat="1" ht="12">
      <c r="A16" s="559" t="s">
        <v>630</v>
      </c>
      <c r="B16" s="560"/>
      <c r="C16" s="560"/>
      <c r="D16" s="560"/>
      <c r="E16" s="560"/>
      <c r="F16" s="560"/>
      <c r="G16" s="560"/>
      <c r="H16" s="560"/>
      <c r="I16" s="560"/>
      <c r="J16" s="560"/>
      <c r="K16" s="561"/>
    </row>
    <row r="17" spans="1:11" s="562" customFormat="1">
      <c r="A17" s="566" t="s">
        <v>631</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632</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633</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1945</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49180</v>
      </c>
      <c r="C27" s="564"/>
      <c r="D27" s="564"/>
      <c r="E27" s="563">
        <f>'Sources and Uses Budget'!S27</f>
        <v>0</v>
      </c>
      <c r="F27" s="564"/>
      <c r="G27" s="564"/>
      <c r="H27" s="563">
        <f>'Sources and Uses Budget'!T27</f>
        <v>0</v>
      </c>
      <c r="I27" s="564"/>
      <c r="J27" s="564"/>
      <c r="K27" s="561"/>
    </row>
    <row r="28" spans="1:11" s="562" customFormat="1" ht="12">
      <c r="A28" s="559" t="s">
        <v>147</v>
      </c>
      <c r="B28" s="560"/>
      <c r="C28" s="560"/>
      <c r="D28" s="560"/>
      <c r="E28" s="560"/>
      <c r="F28" s="560"/>
      <c r="G28" s="560"/>
      <c r="H28" s="560"/>
      <c r="I28" s="560"/>
      <c r="J28" s="560"/>
      <c r="K28" s="561"/>
    </row>
    <row r="29" spans="1:11" s="562" customFormat="1">
      <c r="A29" s="215" t="s">
        <v>631</v>
      </c>
      <c r="B29" s="563">
        <f>'Sources and Uses Budget'!C29</f>
        <v>1692826</v>
      </c>
      <c r="C29" s="564"/>
      <c r="D29" s="564"/>
      <c r="E29" s="563">
        <f>'Sources and Uses Budget'!S29</f>
        <v>1692826</v>
      </c>
      <c r="F29" s="564"/>
      <c r="G29" s="564"/>
      <c r="H29" s="563">
        <f>'Sources and Uses Budget'!T29</f>
        <v>0</v>
      </c>
      <c r="I29" s="564"/>
      <c r="J29" s="564"/>
      <c r="K29" s="561"/>
    </row>
    <row r="30" spans="1:11" s="562" customFormat="1">
      <c r="A30" s="215" t="s">
        <v>632</v>
      </c>
      <c r="B30" s="563">
        <f>'Sources and Uses Budget'!C30</f>
        <v>50711485</v>
      </c>
      <c r="C30" s="564"/>
      <c r="D30" s="564"/>
      <c r="E30" s="563">
        <f>'Sources and Uses Budget'!S30</f>
        <v>50711485</v>
      </c>
      <c r="F30" s="564"/>
      <c r="G30" s="564"/>
      <c r="H30" s="563">
        <f>'Sources and Uses Budget'!T30</f>
        <v>0</v>
      </c>
      <c r="I30" s="564"/>
      <c r="J30" s="564"/>
      <c r="K30" s="561"/>
    </row>
    <row r="31" spans="1:11" s="562" customFormat="1">
      <c r="A31" s="215" t="s">
        <v>633</v>
      </c>
      <c r="B31" s="563">
        <f>'Sources and Uses Budget'!C31</f>
        <v>5083470</v>
      </c>
      <c r="C31" s="564"/>
      <c r="D31" s="564"/>
      <c r="E31" s="563">
        <f>'Sources and Uses Budget'!S31</f>
        <v>5083470</v>
      </c>
      <c r="F31" s="564"/>
      <c r="G31" s="564"/>
      <c r="H31" s="563">
        <f>'Sources and Uses Budget'!T31</f>
        <v>0</v>
      </c>
      <c r="I31" s="564"/>
      <c r="J31" s="564"/>
      <c r="K31" s="561"/>
    </row>
    <row r="32" spans="1:11" s="562" customFormat="1">
      <c r="A32" s="215" t="s">
        <v>142</v>
      </c>
      <c r="B32" s="563">
        <f>'Sources and Uses Budget'!C32</f>
        <v>1835851.5</v>
      </c>
      <c r="C32" s="564"/>
      <c r="D32" s="564"/>
      <c r="E32" s="563">
        <f>'Sources and Uses Budget'!S32</f>
        <v>1835851.5</v>
      </c>
      <c r="F32" s="564"/>
      <c r="G32" s="564"/>
      <c r="H32" s="563">
        <f>'Sources and Uses Budget'!T32</f>
        <v>0</v>
      </c>
      <c r="I32" s="564"/>
      <c r="J32" s="564"/>
      <c r="K32" s="561"/>
    </row>
    <row r="33" spans="1:11" s="562" customFormat="1">
      <c r="A33" s="215" t="s">
        <v>143</v>
      </c>
      <c r="B33" s="563">
        <f>'Sources and Uses Budget'!C33</f>
        <v>1835851.5</v>
      </c>
      <c r="C33" s="564"/>
      <c r="D33" s="564"/>
      <c r="E33" s="563">
        <f>'Sources and Uses Budget'!S33</f>
        <v>1835851.5</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0</v>
      </c>
      <c r="C35" s="564"/>
      <c r="D35" s="564"/>
      <c r="E35" s="563">
        <f>'Sources and Uses Budget'!S35</f>
        <v>0</v>
      </c>
      <c r="F35" s="564"/>
      <c r="G35" s="564"/>
      <c r="H35" s="563">
        <f>'Sources and Uses Budget'!T35</f>
        <v>0</v>
      </c>
      <c r="I35" s="564"/>
      <c r="J35" s="564"/>
      <c r="K35" s="561"/>
    </row>
    <row r="36" spans="1:11" s="562" customFormat="1">
      <c r="A36" s="856" t="s">
        <v>1945</v>
      </c>
      <c r="B36" s="563">
        <f>'Sources and Uses Budget'!C36</f>
        <v>289552</v>
      </c>
      <c r="C36" s="564"/>
      <c r="D36" s="564"/>
      <c r="E36" s="563">
        <f>'Sources and Uses Budget'!S36</f>
        <v>289552</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61449036</v>
      </c>
      <c r="C38" s="563">
        <f>SUM(C29:C37)</f>
        <v>0</v>
      </c>
      <c r="D38" s="563">
        <f>SUM(D29:D37)</f>
        <v>0</v>
      </c>
      <c r="E38" s="563">
        <f>'Sources and Uses Budget'!S38</f>
        <v>61449036</v>
      </c>
      <c r="F38" s="570">
        <f>SUM(F29:F37)</f>
        <v>0</v>
      </c>
      <c r="G38" s="570">
        <f>SUM(G29:G37)</f>
        <v>0</v>
      </c>
      <c r="H38" s="563">
        <f>'Sources and Uses Budget'!T38</f>
        <v>0</v>
      </c>
      <c r="I38" s="570">
        <f>SUM(I29:I37)</f>
        <v>0</v>
      </c>
      <c r="J38" s="570">
        <f>SUM(J29:J37)</f>
        <v>0</v>
      </c>
      <c r="K38" s="561"/>
    </row>
    <row r="39" spans="1:11" s="562" customFormat="1" ht="12">
      <c r="A39" s="559" t="s">
        <v>149</v>
      </c>
      <c r="B39" s="560"/>
      <c r="C39" s="560"/>
      <c r="D39" s="560"/>
      <c r="E39" s="560"/>
      <c r="F39" s="560"/>
      <c r="G39" s="560"/>
      <c r="H39" s="560"/>
      <c r="I39" s="560"/>
      <c r="J39" s="560"/>
      <c r="K39" s="561"/>
    </row>
    <row r="40" spans="1:11" s="562" customFormat="1">
      <c r="A40" s="566" t="s">
        <v>150</v>
      </c>
      <c r="B40" s="563">
        <f>'Sources and Uses Budget'!C40</f>
        <v>2587137</v>
      </c>
      <c r="C40" s="564"/>
      <c r="D40" s="564"/>
      <c r="E40" s="563">
        <f>'Sources and Uses Budget'!S40</f>
        <v>2587137</v>
      </c>
      <c r="F40" s="564"/>
      <c r="G40" s="564"/>
      <c r="H40" s="563">
        <f>'Sources and Uses Budget'!T40</f>
        <v>0</v>
      </c>
      <c r="I40" s="564"/>
      <c r="J40" s="564"/>
      <c r="K40" s="561"/>
    </row>
    <row r="41" spans="1:11" s="562" customFormat="1">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2587137</v>
      </c>
      <c r="C42" s="563">
        <f>SUM(C39:C41)</f>
        <v>0</v>
      </c>
      <c r="D42" s="563">
        <f>SUM(D39:D41)</f>
        <v>0</v>
      </c>
      <c r="E42" s="563">
        <f>'Sources and Uses Budget'!S42</f>
        <v>2587137</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590749</v>
      </c>
      <c r="C43" s="564"/>
      <c r="D43" s="564"/>
      <c r="E43" s="563">
        <f>'Sources and Uses Budget'!S43</f>
        <v>590749</v>
      </c>
      <c r="F43" s="564"/>
      <c r="G43" s="564"/>
      <c r="H43" s="563">
        <f>'Sources and Uses Budget'!T43</f>
        <v>0</v>
      </c>
      <c r="I43" s="564"/>
      <c r="J43" s="564"/>
      <c r="K43" s="561"/>
    </row>
    <row r="44" spans="1:11" s="562" customFormat="1" ht="12">
      <c r="A44" s="559" t="s">
        <v>154</v>
      </c>
      <c r="B44" s="560"/>
      <c r="C44" s="560"/>
      <c r="D44" s="560"/>
      <c r="E44" s="560"/>
      <c r="F44" s="560"/>
      <c r="G44" s="560"/>
      <c r="H44" s="560"/>
      <c r="I44" s="560"/>
      <c r="J44" s="560"/>
      <c r="K44" s="561"/>
    </row>
    <row r="45" spans="1:11" s="562" customFormat="1">
      <c r="A45" s="566" t="s">
        <v>155</v>
      </c>
      <c r="B45" s="563">
        <f>'Sources and Uses Budget'!C45</f>
        <v>3005670</v>
      </c>
      <c r="C45" s="564"/>
      <c r="D45" s="564"/>
      <c r="E45" s="563">
        <f>'Sources and Uses Budget'!S45</f>
        <v>1277418</v>
      </c>
      <c r="F45" s="564"/>
      <c r="G45" s="564"/>
      <c r="H45" s="563">
        <f>'Sources and Uses Budget'!T45</f>
        <v>0</v>
      </c>
      <c r="I45" s="564"/>
      <c r="J45" s="564"/>
      <c r="K45" s="561"/>
    </row>
    <row r="46" spans="1:11" s="562" customFormat="1">
      <c r="A46" s="566" t="s">
        <v>156</v>
      </c>
      <c r="B46" s="563">
        <f>'Sources and Uses Budget'!C46</f>
        <v>433318</v>
      </c>
      <c r="C46" s="564"/>
      <c r="D46" s="564"/>
      <c r="E46" s="563">
        <f>'Sources and Uses Budget'!S46</f>
        <v>188202</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377574</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122950</v>
      </c>
      <c r="C50" s="564"/>
      <c r="D50" s="564"/>
      <c r="E50" s="563">
        <f>'Sources and Uses Budget'!S50</f>
        <v>122950</v>
      </c>
      <c r="F50" s="564"/>
      <c r="G50" s="564"/>
      <c r="H50" s="563">
        <f>'Sources and Uses Budget'!T50</f>
        <v>0</v>
      </c>
      <c r="I50" s="564"/>
      <c r="J50" s="564"/>
      <c r="K50" s="561"/>
    </row>
    <row r="51" spans="1:11" s="562" customFormat="1">
      <c r="A51" s="566" t="s">
        <v>159</v>
      </c>
      <c r="B51" s="563">
        <f>'Sources and Uses Budget'!C51</f>
        <v>0</v>
      </c>
      <c r="C51" s="564"/>
      <c r="D51" s="564"/>
      <c r="E51" s="563">
        <f>'Sources and Uses Budget'!S51</f>
        <v>0</v>
      </c>
      <c r="F51" s="564"/>
      <c r="G51" s="564"/>
      <c r="H51" s="563">
        <f>'Sources and Uses Budget'!T51</f>
        <v>0</v>
      </c>
      <c r="I51" s="564"/>
      <c r="J51" s="564"/>
      <c r="K51" s="561"/>
    </row>
    <row r="52" spans="1:11" s="562" customFormat="1">
      <c r="A52" s="566" t="s">
        <v>160</v>
      </c>
      <c r="B52" s="563">
        <f>'Sources and Uses Budget'!C52</f>
        <v>737700</v>
      </c>
      <c r="C52" s="564"/>
      <c r="D52" s="564"/>
      <c r="E52" s="563">
        <f>'Sources and Uses Budget'!S52</f>
        <v>737700</v>
      </c>
      <c r="F52" s="564"/>
      <c r="G52" s="564"/>
      <c r="H52" s="563">
        <f>'Sources and Uses Budget'!T52</f>
        <v>0</v>
      </c>
      <c r="I52" s="564"/>
      <c r="J52" s="564"/>
      <c r="K52" s="561"/>
    </row>
    <row r="53" spans="1:11" s="562" customFormat="1">
      <c r="A53" s="569" t="str">
        <f>'Sources and Uses Budget'!$A53</f>
        <v>Other: Construction Lender Expenses</v>
      </c>
      <c r="B53" s="563">
        <f>'Sources and Uses Budget'!C53</f>
        <v>40000</v>
      </c>
      <c r="C53" s="564"/>
      <c r="D53" s="564"/>
      <c r="E53" s="563">
        <f>'Sources and Uses Budget'!S53</f>
        <v>17373</v>
      </c>
      <c r="F53" s="564"/>
      <c r="G53" s="564"/>
      <c r="H53" s="563">
        <f>'Sources and Uses Budget'!T53</f>
        <v>0</v>
      </c>
      <c r="I53" s="564"/>
      <c r="J53" s="564"/>
      <c r="K53" s="561"/>
    </row>
    <row r="54" spans="1:11" s="573" customFormat="1">
      <c r="A54" s="567" t="s">
        <v>162</v>
      </c>
      <c r="B54" s="563">
        <f>'Sources and Uses Budget'!C54</f>
        <v>4717212</v>
      </c>
      <c r="C54" s="570">
        <f>SUM(C45:C53)</f>
        <v>0</v>
      </c>
      <c r="D54" s="570">
        <f>SUM(D45:D53)</f>
        <v>0</v>
      </c>
      <c r="E54" s="563">
        <f>'Sources and Uses Budget'!S54</f>
        <v>2343643</v>
      </c>
      <c r="F54" s="570">
        <f>SUM(F45:F53)</f>
        <v>0</v>
      </c>
      <c r="G54" s="570">
        <f>SUM(G45:G53)</f>
        <v>0</v>
      </c>
      <c r="H54" s="563">
        <f>'Sources and Uses Budget'!T54</f>
        <v>0</v>
      </c>
      <c r="I54" s="570">
        <f>SUM(I45:I53)</f>
        <v>0</v>
      </c>
      <c r="J54" s="570">
        <f>SUM(J45:J53)</f>
        <v>0</v>
      </c>
      <c r="K54" s="572"/>
    </row>
    <row r="55" spans="1:11" s="562" customFormat="1" ht="12">
      <c r="A55" s="559" t="s">
        <v>438</v>
      </c>
      <c r="B55" s="560"/>
      <c r="C55" s="560"/>
      <c r="D55" s="560"/>
      <c r="E55" s="560"/>
      <c r="F55" s="560"/>
      <c r="G55" s="560"/>
      <c r="H55" s="560"/>
      <c r="I55" s="560"/>
      <c r="J55" s="560"/>
      <c r="K55" s="561"/>
    </row>
    <row r="56" spans="1:11" s="562" customFormat="1">
      <c r="A56" s="566" t="s">
        <v>163</v>
      </c>
      <c r="B56" s="563">
        <f>'Sources and Uses Budget'!C56</f>
        <v>68670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49180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Perm Lender Expenses</v>
      </c>
      <c r="B61" s="563">
        <f>'Sources and Uses Budget'!C61</f>
        <v>25000</v>
      </c>
      <c r="C61" s="564"/>
      <c r="D61" s="564"/>
      <c r="E61" s="565"/>
      <c r="F61" s="565"/>
      <c r="G61" s="565"/>
      <c r="H61" s="565"/>
      <c r="I61" s="565"/>
      <c r="J61" s="565"/>
      <c r="K61" s="561"/>
    </row>
    <row r="62" spans="1:11" s="562" customFormat="1" ht="13.75" customHeight="1">
      <c r="A62" s="567" t="s">
        <v>308</v>
      </c>
      <c r="B62" s="563">
        <f>'Sources and Uses Budget'!C62</f>
        <v>142850</v>
      </c>
      <c r="C62" s="563">
        <f>SUM(C56:C61)</f>
        <v>0</v>
      </c>
      <c r="D62" s="563">
        <f>SUM(D56:D61)</f>
        <v>0</v>
      </c>
      <c r="E62" s="565"/>
      <c r="F62" s="565"/>
      <c r="G62" s="565"/>
      <c r="H62" s="565"/>
      <c r="I62" s="565"/>
      <c r="J62" s="565"/>
      <c r="K62" s="561"/>
    </row>
    <row r="63" spans="1:11" s="562" customFormat="1">
      <c r="A63" s="574" t="s">
        <v>309</v>
      </c>
      <c r="B63" s="563">
        <f>'Sources and Uses Budget'!C63</f>
        <v>69560754</v>
      </c>
      <c r="C63" s="563">
        <f>SUM(C8+C11+C13+C14+C15+C26+C27+C38+C42+C43+C54+C62)</f>
        <v>0</v>
      </c>
      <c r="D63" s="563">
        <f>SUM(D8+D11+D13+D14+D15+D26+D27+D38+D42+D43+D54+D62)</f>
        <v>0</v>
      </c>
      <c r="E63" s="563">
        <f>'Sources and Uses Budget'!S63</f>
        <v>66970565</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1949</v>
      </c>
      <c r="B64" s="560"/>
      <c r="C64" s="560"/>
      <c r="D64" s="560"/>
      <c r="E64" s="560"/>
      <c r="F64" s="560"/>
      <c r="G64" s="560"/>
      <c r="H64" s="560"/>
      <c r="I64" s="560"/>
      <c r="J64" s="560"/>
      <c r="K64" s="561"/>
    </row>
    <row r="65" spans="1:11" s="562" customFormat="1">
      <c r="A65" s="215" t="s">
        <v>175</v>
      </c>
      <c r="B65" s="563">
        <f>'Sources and Uses Budget'!C65</f>
        <v>105000</v>
      </c>
      <c r="C65" s="564"/>
      <c r="D65" s="564"/>
      <c r="E65" s="563">
        <f>'Sources and Uses Budget'!S65</f>
        <v>28231</v>
      </c>
      <c r="F65" s="564"/>
      <c r="G65" s="564"/>
      <c r="H65" s="563">
        <f>'Sources and Uses Budget'!T65</f>
        <v>0</v>
      </c>
      <c r="I65" s="564"/>
      <c r="J65" s="564"/>
      <c r="K65" s="561"/>
    </row>
    <row r="66" spans="1:11" s="562" customFormat="1" ht="23">
      <c r="A66" s="440" t="s">
        <v>1946</v>
      </c>
      <c r="B66" s="563">
        <f>'Sources and Uses Budget'!C66</f>
        <v>0</v>
      </c>
      <c r="C66" s="564"/>
      <c r="D66" s="564"/>
      <c r="E66" s="563">
        <f>'Sources and Uses Budget'!S66</f>
        <v>0</v>
      </c>
      <c r="F66" s="564"/>
      <c r="G66" s="564"/>
      <c r="H66" s="563">
        <f>'Sources and Uses Budget'!T66</f>
        <v>0</v>
      </c>
      <c r="I66" s="564"/>
      <c r="J66" s="564"/>
      <c r="K66" s="561"/>
    </row>
    <row r="67" spans="1:11" s="562" customFormat="1" ht="23">
      <c r="A67" s="440" t="s">
        <v>1947</v>
      </c>
      <c r="B67" s="563">
        <f>'Sources and Uses Budget'!C67</f>
        <v>9900</v>
      </c>
      <c r="C67" s="564"/>
      <c r="D67" s="564"/>
      <c r="E67" s="563">
        <f>'Sources and Uses Budget'!S67</f>
        <v>9900</v>
      </c>
      <c r="F67" s="564"/>
      <c r="G67" s="564"/>
      <c r="H67" s="563">
        <f>'Sources and Uses Budget'!T67</f>
        <v>0</v>
      </c>
      <c r="I67" s="564"/>
      <c r="J67" s="564"/>
      <c r="K67" s="561"/>
    </row>
    <row r="68" spans="1:11" s="562" customFormat="1">
      <c r="A68" s="440" t="s">
        <v>1953</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Borrower Legal</v>
      </c>
      <c r="B69" s="563">
        <f>'Sources and Uses Budget'!C69</f>
        <v>118032</v>
      </c>
      <c r="C69" s="564"/>
      <c r="D69" s="564"/>
      <c r="E69" s="563">
        <f>'Sources and Uses Budget'!S69</f>
        <v>103278</v>
      </c>
      <c r="F69" s="564"/>
      <c r="G69" s="564"/>
      <c r="H69" s="563">
        <f>'Sources and Uses Budget'!T69</f>
        <v>0</v>
      </c>
      <c r="I69" s="564"/>
      <c r="J69" s="564"/>
      <c r="K69" s="561"/>
    </row>
    <row r="70" spans="1:11" s="562" customFormat="1">
      <c r="A70" s="567" t="s">
        <v>634</v>
      </c>
      <c r="B70" s="563">
        <f>'Sources and Uses Budget'!C70</f>
        <v>232932</v>
      </c>
      <c r="C70" s="563">
        <f>SUM(C64:C69)</f>
        <v>0</v>
      </c>
      <c r="D70" s="563">
        <f>SUM(D64:D69)</f>
        <v>0</v>
      </c>
      <c r="E70" s="563">
        <f>'Sources and Uses Budget'!S70</f>
        <v>141409</v>
      </c>
      <c r="F70" s="570">
        <f>SUM(F65:F69)</f>
        <v>0</v>
      </c>
      <c r="G70" s="570">
        <f>SUM(G65:G69)</f>
        <v>0</v>
      </c>
      <c r="H70" s="563">
        <f>'Sources and Uses Budget'!T70</f>
        <v>0</v>
      </c>
      <c r="I70" s="570">
        <f>SUM(I65:I69)</f>
        <v>0</v>
      </c>
      <c r="J70" s="570">
        <f>SUM(J65:J69)</f>
        <v>0</v>
      </c>
      <c r="K70" s="561"/>
    </row>
    <row r="71" spans="1:11" s="562" customFormat="1" ht="12">
      <c r="A71" s="559" t="s">
        <v>635</v>
      </c>
      <c r="B71" s="560"/>
      <c r="C71" s="560"/>
      <c r="D71" s="560"/>
      <c r="E71" s="560"/>
      <c r="F71" s="560"/>
      <c r="G71" s="560"/>
      <c r="H71" s="560"/>
      <c r="I71" s="560"/>
      <c r="J71" s="560"/>
      <c r="K71" s="561"/>
    </row>
    <row r="72" spans="1:11" s="562" customFormat="1">
      <c r="A72" s="566" t="s">
        <v>636</v>
      </c>
      <c r="B72" s="563">
        <f>'Sources and Uses Budget'!C72</f>
        <v>0</v>
      </c>
      <c r="C72" s="564"/>
      <c r="D72" s="564"/>
      <c r="E72" s="565"/>
      <c r="F72" s="565"/>
      <c r="G72" s="565"/>
      <c r="H72" s="565"/>
      <c r="I72" s="565"/>
      <c r="J72" s="565"/>
      <c r="K72" s="561"/>
    </row>
    <row r="73" spans="1:11" s="562" customFormat="1">
      <c r="A73" s="566" t="s">
        <v>637</v>
      </c>
      <c r="B73" s="563">
        <f>'Sources and Uses Budget'!C73</f>
        <v>0</v>
      </c>
      <c r="C73" s="564"/>
      <c r="D73" s="564"/>
      <c r="E73" s="565"/>
      <c r="F73" s="565"/>
      <c r="G73" s="565"/>
      <c r="H73" s="565"/>
      <c r="I73" s="565"/>
      <c r="J73" s="565"/>
      <c r="K73" s="561"/>
    </row>
    <row r="74" spans="1:11" s="562" customFormat="1">
      <c r="A74" s="737" t="s">
        <v>1079</v>
      </c>
      <c r="B74" s="563">
        <f>'Sources and Uses Budget'!C74</f>
        <v>0</v>
      </c>
      <c r="C74" s="564"/>
      <c r="D74" s="564"/>
      <c r="E74" s="565"/>
      <c r="F74" s="565"/>
      <c r="G74" s="565"/>
      <c r="H74" s="565"/>
      <c r="I74" s="565"/>
      <c r="J74" s="565"/>
      <c r="K74" s="561"/>
    </row>
    <row r="75" spans="1:11" s="562" customFormat="1">
      <c r="A75" s="566" t="s">
        <v>638</v>
      </c>
      <c r="B75" s="563">
        <f>'Sources and Uses Budget'!C75</f>
        <v>480435.74714785838</v>
      </c>
      <c r="C75" s="564"/>
      <c r="D75" s="564"/>
      <c r="E75" s="565"/>
      <c r="F75" s="565"/>
      <c r="G75" s="565"/>
      <c r="H75" s="565"/>
      <c r="I75" s="565"/>
      <c r="J75" s="565"/>
      <c r="K75" s="561"/>
    </row>
    <row r="76" spans="1:11" s="562" customFormat="1">
      <c r="A76" s="569" t="str">
        <f>'Sources and Uses Budget'!$A76</f>
        <v>Other: Additional Operating Reserve</v>
      </c>
      <c r="B76" s="563">
        <f>'Sources and Uses Budget'!C76</f>
        <v>480436.25285214162</v>
      </c>
      <c r="C76" s="564"/>
      <c r="D76" s="564"/>
      <c r="E76" s="565"/>
      <c r="F76" s="565"/>
      <c r="G76" s="565"/>
      <c r="H76" s="565"/>
      <c r="I76" s="565"/>
      <c r="J76" s="565"/>
      <c r="K76" s="561"/>
    </row>
    <row r="77" spans="1:11" s="562" customFormat="1">
      <c r="A77" s="567" t="s">
        <v>639</v>
      </c>
      <c r="B77" s="563">
        <f>'Sources and Uses Budget'!C77</f>
        <v>960872</v>
      </c>
      <c r="C77" s="563">
        <f>SUM(C72:C76)</f>
        <v>0</v>
      </c>
      <c r="D77" s="563">
        <f>SUM(D72:D76)</f>
        <v>0</v>
      </c>
      <c r="E77" s="565"/>
      <c r="F77" s="565"/>
      <c r="G77" s="565"/>
      <c r="H77" s="565"/>
      <c r="I77" s="565"/>
      <c r="J77" s="565"/>
      <c r="K77" s="561"/>
    </row>
    <row r="78" spans="1:11" s="562" customFormat="1" ht="12">
      <c r="A78" s="559" t="s">
        <v>1413</v>
      </c>
      <c r="B78" s="560"/>
      <c r="C78" s="560"/>
      <c r="D78" s="560"/>
      <c r="E78" s="560"/>
      <c r="F78" s="560"/>
      <c r="G78" s="560"/>
      <c r="H78" s="560"/>
      <c r="I78" s="560"/>
      <c r="J78" s="560"/>
      <c r="K78" s="561"/>
    </row>
    <row r="79" spans="1:11" s="562" customFormat="1">
      <c r="A79" s="566" t="s">
        <v>1415</v>
      </c>
      <c r="B79" s="563">
        <f>'Sources and Uses Budget'!C79</f>
        <v>3067905</v>
      </c>
      <c r="C79" s="564"/>
      <c r="D79" s="564"/>
      <c r="E79" s="563">
        <f>'Sources and Uses Budget'!S79</f>
        <v>3067905</v>
      </c>
      <c r="F79" s="564"/>
      <c r="G79" s="564"/>
      <c r="H79" s="563">
        <f>'Sources and Uses Budget'!T79</f>
        <v>0</v>
      </c>
      <c r="I79" s="564"/>
      <c r="J79" s="564"/>
      <c r="K79" s="561"/>
    </row>
    <row r="80" spans="1:11" s="562" customFormat="1">
      <c r="A80" s="566" t="s">
        <v>61</v>
      </c>
      <c r="B80" s="563">
        <f>'Sources and Uses Budget'!C80</f>
        <v>531585</v>
      </c>
      <c r="C80" s="564"/>
      <c r="D80" s="564"/>
      <c r="E80" s="563">
        <f>'Sources and Uses Budget'!S80</f>
        <v>531585</v>
      </c>
      <c r="F80" s="564"/>
      <c r="G80" s="564"/>
      <c r="H80" s="563">
        <f>'Sources and Uses Budget'!T80</f>
        <v>0</v>
      </c>
      <c r="I80" s="564"/>
      <c r="J80" s="564"/>
      <c r="K80" s="561"/>
    </row>
    <row r="81" spans="1:11" s="562" customFormat="1">
      <c r="A81" s="567" t="s">
        <v>1412</v>
      </c>
      <c r="B81" s="563">
        <f>'Sources and Uses Budget'!C81</f>
        <v>3599490</v>
      </c>
      <c r="C81" s="563">
        <f>SUM(C79:C80)</f>
        <v>0</v>
      </c>
      <c r="D81" s="563">
        <f>SUM(D79:D80)</f>
        <v>0</v>
      </c>
      <c r="E81" s="563">
        <f>'Sources and Uses Budget'!S81</f>
        <v>3599490</v>
      </c>
      <c r="F81" s="563">
        <f>SUM(F79:F80)</f>
        <v>0</v>
      </c>
      <c r="G81" s="563">
        <f>SUM(G79:G80)</f>
        <v>0</v>
      </c>
      <c r="H81" s="563">
        <f>'Sources and Uses Budget'!T81</f>
        <v>0</v>
      </c>
      <c r="I81" s="563">
        <f>SUM(I79:I80)</f>
        <v>0</v>
      </c>
      <c r="J81" s="563">
        <f>SUM(J79:J80)</f>
        <v>0</v>
      </c>
      <c r="K81" s="561"/>
    </row>
    <row r="82" spans="1:11" s="562" customFormat="1" ht="12">
      <c r="A82" s="559" t="s">
        <v>821</v>
      </c>
      <c r="B82" s="560"/>
      <c r="C82" s="560"/>
      <c r="D82" s="560"/>
      <c r="E82" s="560"/>
      <c r="F82" s="560"/>
      <c r="G82" s="560"/>
      <c r="H82" s="560"/>
      <c r="I82" s="560"/>
      <c r="J82" s="560"/>
      <c r="K82" s="561"/>
    </row>
    <row r="83" spans="1:11" s="562" customFormat="1" ht="13.75" customHeight="1">
      <c r="A83" s="215" t="s">
        <v>822</v>
      </c>
      <c r="B83" s="563">
        <f>'Sources and Uses Budget'!C83</f>
        <v>85825</v>
      </c>
      <c r="C83" s="564"/>
      <c r="D83" s="564"/>
      <c r="E83" s="565"/>
      <c r="F83" s="565"/>
      <c r="G83" s="565"/>
      <c r="H83" s="565"/>
      <c r="I83" s="565"/>
      <c r="J83" s="565"/>
      <c r="K83" s="561"/>
    </row>
    <row r="84" spans="1:11" s="562" customFormat="1">
      <c r="A84" s="215" t="s">
        <v>823</v>
      </c>
      <c r="B84" s="563">
        <f>'Sources and Uses Budget'!C84</f>
        <v>110163</v>
      </c>
      <c r="C84" s="564"/>
      <c r="D84" s="564"/>
      <c r="E84" s="563">
        <f>'Sources and Uses Budget'!S84</f>
        <v>110163</v>
      </c>
      <c r="F84" s="564"/>
      <c r="G84" s="564"/>
      <c r="H84" s="563">
        <f>'Sources and Uses Budget'!T84</f>
        <v>0</v>
      </c>
      <c r="I84" s="564"/>
      <c r="J84" s="564"/>
      <c r="K84" s="561"/>
    </row>
    <row r="85" spans="1:11" s="562" customFormat="1">
      <c r="A85" s="215" t="s">
        <v>824</v>
      </c>
      <c r="B85" s="563">
        <f>'Sources and Uses Budget'!C85</f>
        <v>373997</v>
      </c>
      <c r="C85" s="564"/>
      <c r="D85" s="564"/>
      <c r="E85" s="563">
        <f>'Sources and Uses Budget'!S85</f>
        <v>373997</v>
      </c>
      <c r="F85" s="564"/>
      <c r="G85" s="564"/>
      <c r="H85" s="563">
        <f>'Sources and Uses Budget'!T85</f>
        <v>0</v>
      </c>
      <c r="I85" s="564"/>
      <c r="J85" s="564"/>
      <c r="K85" s="561"/>
    </row>
    <row r="86" spans="1:11" s="562" customFormat="1">
      <c r="A86" s="215" t="s">
        <v>825</v>
      </c>
      <c r="B86" s="563">
        <f>'Sources and Uses Budget'!C86</f>
        <v>229673</v>
      </c>
      <c r="C86" s="564"/>
      <c r="D86" s="564"/>
      <c r="E86" s="563">
        <f>'Sources and Uses Budget'!S86</f>
        <v>229673</v>
      </c>
      <c r="F86" s="564"/>
      <c r="G86" s="564"/>
      <c r="H86" s="563">
        <f>'Sources and Uses Budget'!T86</f>
        <v>0</v>
      </c>
      <c r="I86" s="564"/>
      <c r="J86" s="564"/>
      <c r="K86" s="561"/>
    </row>
    <row r="87" spans="1:11" s="562" customFormat="1">
      <c r="A87" s="215" t="s">
        <v>826</v>
      </c>
      <c r="B87" s="563">
        <f>'Sources and Uses Budget'!C87</f>
        <v>276917</v>
      </c>
      <c r="C87" s="564"/>
      <c r="D87" s="564"/>
      <c r="E87" s="563">
        <f>'Sources and Uses Budget'!S87</f>
        <v>276917</v>
      </c>
      <c r="F87" s="564"/>
      <c r="G87" s="564"/>
      <c r="H87" s="563">
        <f>'Sources and Uses Budget'!T87</f>
        <v>0</v>
      </c>
      <c r="I87" s="564"/>
      <c r="J87" s="564"/>
      <c r="K87" s="561"/>
    </row>
    <row r="88" spans="1:11" s="562" customFormat="1">
      <c r="A88" s="215" t="s">
        <v>827</v>
      </c>
      <c r="B88" s="563">
        <f>'Sources and Uses Budget'!C88</f>
        <v>422738</v>
      </c>
      <c r="C88" s="564"/>
      <c r="D88" s="564"/>
      <c r="E88" s="565"/>
      <c r="F88" s="565"/>
      <c r="G88" s="565"/>
      <c r="H88" s="565"/>
      <c r="I88" s="565"/>
      <c r="J88" s="565"/>
      <c r="K88" s="561"/>
    </row>
    <row r="89" spans="1:11" s="562" customFormat="1">
      <c r="A89" s="215" t="s">
        <v>828</v>
      </c>
      <c r="B89" s="563">
        <f>'Sources and Uses Budget'!C89</f>
        <v>224000</v>
      </c>
      <c r="C89" s="564"/>
      <c r="D89" s="564"/>
      <c r="E89" s="563">
        <f>'Sources and Uses Budget'!S89</f>
        <v>224000</v>
      </c>
      <c r="F89" s="564"/>
      <c r="G89" s="564"/>
      <c r="H89" s="563">
        <f>'Sources and Uses Budget'!T89</f>
        <v>0</v>
      </c>
      <c r="I89" s="564"/>
      <c r="J89" s="564"/>
      <c r="K89" s="561"/>
    </row>
    <row r="90" spans="1:11" s="562" customFormat="1">
      <c r="A90" s="215" t="s">
        <v>829</v>
      </c>
      <c r="B90" s="563">
        <f>'Sources and Uses Budget'!C90</f>
        <v>23819</v>
      </c>
      <c r="C90" s="564"/>
      <c r="D90" s="564"/>
      <c r="E90" s="563">
        <f>'Sources and Uses Budget'!S90</f>
        <v>0</v>
      </c>
      <c r="F90" s="564"/>
      <c r="G90" s="564"/>
      <c r="H90" s="563">
        <f>'Sources and Uses Budget'!T90</f>
        <v>0</v>
      </c>
      <c r="I90" s="564"/>
      <c r="J90" s="564"/>
      <c r="K90" s="561"/>
    </row>
    <row r="91" spans="1:11" s="562" customFormat="1">
      <c r="A91" s="226" t="s">
        <v>389</v>
      </c>
      <c r="B91" s="563">
        <f>'Sources and Uses Budget'!C91</f>
        <v>0</v>
      </c>
      <c r="C91" s="564"/>
      <c r="D91" s="564"/>
      <c r="E91" s="563">
        <f>'Sources and Uses Budget'!S91</f>
        <v>0</v>
      </c>
      <c r="F91" s="564"/>
      <c r="G91" s="564"/>
      <c r="H91" s="563">
        <f>'Sources and Uses Budget'!T91</f>
        <v>0</v>
      </c>
      <c r="I91" s="564"/>
      <c r="J91" s="564"/>
      <c r="K91" s="561"/>
    </row>
    <row r="92" spans="1:11" s="562" customFormat="1">
      <c r="A92" s="856" t="s">
        <v>1414</v>
      </c>
      <c r="B92" s="563">
        <f>'Sources and Uses Budget'!C92</f>
        <v>14754</v>
      </c>
      <c r="C92" s="564"/>
      <c r="D92" s="564"/>
      <c r="E92" s="563">
        <f>'Sources and Uses Budget'!S92</f>
        <v>14754</v>
      </c>
      <c r="F92" s="564"/>
      <c r="G92" s="564"/>
      <c r="H92" s="563">
        <f>'Sources and Uses Budget'!T92</f>
        <v>0</v>
      </c>
      <c r="I92" s="564"/>
      <c r="J92" s="564"/>
      <c r="K92" s="561"/>
    </row>
    <row r="93" spans="1:11" s="562" customFormat="1" ht="23">
      <c r="A93" s="569" t="str">
        <f>'Sources and Uses Budget'!$A93</f>
        <v>Other: Accrued Interest on soft loans during construction</v>
      </c>
      <c r="B93" s="563">
        <f>'Sources and Uses Budget'!C93</f>
        <v>705448</v>
      </c>
      <c r="C93" s="564"/>
      <c r="D93" s="564"/>
      <c r="E93" s="563">
        <f>'Sources and Uses Budget'!S93</f>
        <v>466791</v>
      </c>
      <c r="F93" s="564"/>
      <c r="G93" s="564"/>
      <c r="H93" s="563">
        <f>'Sources and Uses Budget'!T93</f>
        <v>0</v>
      </c>
      <c r="I93" s="564"/>
      <c r="J93" s="564"/>
      <c r="K93" s="561"/>
    </row>
    <row r="94" spans="1:11" s="562" customFormat="1">
      <c r="A94" s="569" t="str">
        <f>'Sources and Uses Budget'!$A94</f>
        <v>Other: AHSC Consultant</v>
      </c>
      <c r="B94" s="563">
        <f>'Sources and Uses Budget'!C94</f>
        <v>24787</v>
      </c>
      <c r="C94" s="564"/>
      <c r="D94" s="564"/>
      <c r="E94" s="563">
        <f>'Sources and Uses Budget'!S94</f>
        <v>24787</v>
      </c>
      <c r="F94" s="564"/>
      <c r="G94" s="564"/>
      <c r="H94" s="563">
        <f>'Sources and Uses Budget'!T94</f>
        <v>0</v>
      </c>
      <c r="I94" s="564"/>
      <c r="J94" s="564"/>
      <c r="K94" s="561"/>
    </row>
    <row r="95" spans="1:11" s="562" customFormat="1">
      <c r="A95" s="569" t="str">
        <f>'Sources and Uses Budget'!$A95</f>
        <v>Other: Public Art</v>
      </c>
      <c r="B95" s="563">
        <f>'Sources and Uses Budget'!C95</f>
        <v>220000</v>
      </c>
      <c r="C95" s="564"/>
      <c r="D95" s="564"/>
      <c r="E95" s="563">
        <f>'Sources and Uses Budget'!S95</f>
        <v>220000</v>
      </c>
      <c r="F95" s="564"/>
      <c r="G95" s="564"/>
      <c r="H95" s="563">
        <f>'Sources and Uses Budget'!T95</f>
        <v>0</v>
      </c>
      <c r="I95" s="564"/>
      <c r="J95" s="564"/>
      <c r="K95" s="561"/>
    </row>
    <row r="96" spans="1:11" s="562" customFormat="1">
      <c r="A96" s="567" t="s">
        <v>830</v>
      </c>
      <c r="B96" s="563">
        <f>'Sources and Uses Budget'!C96</f>
        <v>2712121</v>
      </c>
      <c r="C96" s="563">
        <f>SUM(C83:C95)</f>
        <v>0</v>
      </c>
      <c r="D96" s="563">
        <f>SUM(D83:D95)</f>
        <v>0</v>
      </c>
      <c r="E96" s="563">
        <f>'Sources and Uses Budget'!S96</f>
        <v>1941082</v>
      </c>
      <c r="F96" s="570">
        <f>SUM(F84:F87,F89:F95)</f>
        <v>0</v>
      </c>
      <c r="G96" s="570">
        <f>SUM(G84:G87,G89:G95)</f>
        <v>0</v>
      </c>
      <c r="H96" s="563">
        <f>'Sources and Uses Budget'!T96</f>
        <v>0</v>
      </c>
      <c r="I96" s="563">
        <f>SUM(I84:I87,I89:I95)</f>
        <v>0</v>
      </c>
      <c r="J96" s="563">
        <f>SUM(J84:J87,J89:J95)</f>
        <v>0</v>
      </c>
      <c r="K96" s="561"/>
    </row>
    <row r="97" spans="1:11" s="562" customFormat="1">
      <c r="A97" s="567" t="s">
        <v>1135</v>
      </c>
      <c r="B97" s="563">
        <f>'Sources and Uses Budget'!C97</f>
        <v>77066169</v>
      </c>
      <c r="C97" s="563">
        <f>SUM(C63+C70+C77+C81+C96)</f>
        <v>0</v>
      </c>
      <c r="D97" s="563">
        <f>SUM(D63+D70+D77+D81+D96)</f>
        <v>0</v>
      </c>
      <c r="E97" s="563">
        <f>'Sources and Uses Budget'!S97</f>
        <v>72652546</v>
      </c>
      <c r="F97" s="570">
        <f>SUM(+F63+F70+F81+F96)</f>
        <v>0</v>
      </c>
      <c r="G97" s="570">
        <f>SUM(+G63+G70+G81+G96)</f>
        <v>0</v>
      </c>
      <c r="H97" s="563">
        <f>'Sources and Uses Budget'!T97</f>
        <v>0</v>
      </c>
      <c r="I97" s="570">
        <f>SUM(I63+I70+I81+I96)</f>
        <v>0</v>
      </c>
      <c r="J97" s="570">
        <f>SUM(J63+J70+J81+J96)</f>
        <v>0</v>
      </c>
      <c r="K97" s="561"/>
    </row>
    <row r="98" spans="1:11" s="562" customFormat="1" ht="12">
      <c r="A98" s="559" t="s">
        <v>832</v>
      </c>
      <c r="B98" s="560"/>
      <c r="C98" s="560"/>
      <c r="D98" s="560"/>
      <c r="E98" s="560"/>
      <c r="F98" s="560"/>
      <c r="G98" s="560"/>
      <c r="H98" s="560"/>
      <c r="I98" s="560"/>
      <c r="J98" s="560"/>
      <c r="K98" s="561"/>
    </row>
    <row r="99" spans="1:11" s="562" customFormat="1">
      <c r="A99" s="215" t="s">
        <v>833</v>
      </c>
      <c r="B99" s="563">
        <f>'Sources and Uses Budget'!C99</f>
        <v>2163919</v>
      </c>
      <c r="C99" s="564"/>
      <c r="D99" s="564"/>
      <c r="E99" s="563">
        <f>'Sources and Uses Budget'!S99</f>
        <v>2163919</v>
      </c>
      <c r="F99" s="564"/>
      <c r="G99" s="564"/>
      <c r="H99" s="563">
        <f>'Sources and Uses Budget'!T99</f>
        <v>0</v>
      </c>
      <c r="I99" s="564"/>
      <c r="J99" s="564"/>
      <c r="K99" s="561"/>
    </row>
    <row r="100" spans="1:11" s="562" customFormat="1">
      <c r="A100" s="440" t="s">
        <v>1951</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834</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1952</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835</v>
      </c>
      <c r="B104" s="563">
        <f>'Sources and Uses Budget'!C104</f>
        <v>2163919</v>
      </c>
      <c r="C104" s="563">
        <f>SUM(C99:C103)</f>
        <v>0</v>
      </c>
      <c r="D104" s="563">
        <f>SUM(D99:D103)</f>
        <v>0</v>
      </c>
      <c r="E104" s="563">
        <f>'Sources and Uses Budget'!S104</f>
        <v>2163919</v>
      </c>
      <c r="F104" s="570">
        <f>SUM(F99:F103)</f>
        <v>0</v>
      </c>
      <c r="G104" s="570">
        <f>SUM(G99:G103)</f>
        <v>0</v>
      </c>
      <c r="H104" s="563">
        <f>'Sources and Uses Budget'!T104</f>
        <v>0</v>
      </c>
      <c r="I104" s="570">
        <f>SUM(I99:I103)</f>
        <v>0</v>
      </c>
      <c r="J104" s="570">
        <f>SUM(J99:J103)</f>
        <v>0</v>
      </c>
      <c r="K104" s="561"/>
    </row>
    <row r="105" spans="1:11" s="562" customFormat="1">
      <c r="A105" s="567" t="s">
        <v>1136</v>
      </c>
      <c r="B105" s="563">
        <f>'Sources and Uses Budget'!C105</f>
        <v>79230088</v>
      </c>
      <c r="C105" s="570">
        <f>SUM(C97+C104)</f>
        <v>0</v>
      </c>
      <c r="D105" s="570">
        <f>SUM(D97+D104)</f>
        <v>0</v>
      </c>
      <c r="E105" s="563">
        <f>'Sources and Uses Budget'!S105</f>
        <v>74816465</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74816465</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
      <c r="A111" s="582"/>
      <c r="B111" s="580"/>
      <c r="C111" s="580"/>
      <c r="D111" s="580"/>
      <c r="J111" s="581"/>
      <c r="K111" s="561"/>
    </row>
    <row r="112" spans="1:11" s="562" customFormat="1" ht="13">
      <c r="A112" s="582"/>
      <c r="B112" s="580"/>
      <c r="C112" s="580"/>
      <c r="D112" s="580"/>
      <c r="J112" s="581"/>
      <c r="K112" s="561"/>
    </row>
    <row r="113" spans="1:11" s="562" customFormat="1" ht="15">
      <c r="A113" s="583"/>
      <c r="B113" s="580"/>
      <c r="C113" s="580"/>
      <c r="D113" s="580"/>
      <c r="J113" s="581"/>
      <c r="K113" s="561"/>
    </row>
    <row r="114" spans="1:11" s="562" customFormat="1" ht="13">
      <c r="A114" s="582"/>
      <c r="J114" s="581"/>
      <c r="K114" s="561"/>
    </row>
    <row r="115" spans="1:11" s="562" customFormat="1" ht="15">
      <c r="A115" s="583"/>
      <c r="J115" s="581"/>
      <c r="K115" s="561"/>
    </row>
    <row r="116" spans="1:11" s="562" customFormat="1" ht="1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
      <c r="A121" s="583"/>
      <c r="J121" s="581"/>
      <c r="K121" s="561"/>
    </row>
    <row r="122" spans="1:11" s="586" customFormat="1" ht="15.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51"/>
      <c r="E124" s="2552"/>
      <c r="F124" s="2552"/>
      <c r="G124" s="2552"/>
      <c r="H124" s="2552"/>
      <c r="I124" s="2552"/>
      <c r="J124" s="581"/>
      <c r="K124" s="561"/>
    </row>
    <row r="125" spans="1:11" s="562" customFormat="1" ht="12.5">
      <c r="A125" s="592"/>
      <c r="B125" s="591"/>
      <c r="C125" s="592"/>
      <c r="D125" s="2552"/>
      <c r="E125" s="2552"/>
      <c r="F125" s="2552"/>
      <c r="G125" s="2552"/>
      <c r="H125" s="2552"/>
      <c r="I125" s="2552"/>
      <c r="J125" s="581"/>
      <c r="K125" s="561"/>
    </row>
    <row r="126" spans="1:11" s="562" customFormat="1" ht="12.5">
      <c r="A126" s="592"/>
      <c r="B126" s="591"/>
      <c r="C126" s="592"/>
      <c r="D126" s="2552"/>
      <c r="E126" s="2552"/>
      <c r="F126" s="2552"/>
      <c r="G126" s="2552"/>
      <c r="H126" s="2552"/>
      <c r="I126" s="2552"/>
      <c r="J126" s="581"/>
      <c r="K126" s="561"/>
    </row>
    <row r="127" spans="1:11" s="562" customFormat="1" ht="12.5">
      <c r="A127" s="592"/>
      <c r="B127" s="591"/>
      <c r="C127" s="592"/>
      <c r="D127" s="593"/>
      <c r="E127" s="592"/>
      <c r="F127" s="592"/>
      <c r="G127" s="592"/>
      <c r="J127" s="581"/>
      <c r="K127" s="561"/>
    </row>
    <row r="128" spans="1:11" s="562" customFormat="1" ht="12.5">
      <c r="A128" s="592"/>
      <c r="B128" s="591"/>
      <c r="C128" s="592"/>
      <c r="D128" s="593"/>
      <c r="E128" s="592"/>
      <c r="F128" s="592"/>
      <c r="G128" s="592"/>
      <c r="J128" s="581"/>
      <c r="K128" s="561"/>
    </row>
    <row r="129" spans="1:11" s="562" customFormat="1" ht="12.5">
      <c r="A129" s="592"/>
      <c r="B129" s="591"/>
      <c r="C129" s="592"/>
      <c r="D129" s="592"/>
      <c r="E129" s="592"/>
      <c r="F129" s="592"/>
      <c r="G129" s="592"/>
      <c r="J129" s="581"/>
      <c r="K129" s="561"/>
    </row>
    <row r="130" spans="1:11" s="562" customFormat="1" ht="12.5">
      <c r="A130" s="592"/>
      <c r="B130" s="591"/>
      <c r="C130" s="592"/>
      <c r="D130" s="592"/>
      <c r="E130" s="592"/>
      <c r="F130" s="592"/>
      <c r="G130" s="592"/>
      <c r="J130" s="581"/>
      <c r="K130" s="561"/>
    </row>
    <row r="131" spans="1:11" s="562" customFormat="1" ht="12.5">
      <c r="A131" s="592"/>
      <c r="B131" s="594"/>
      <c r="C131" s="592"/>
      <c r="D131" s="592"/>
      <c r="E131" s="592"/>
      <c r="F131" s="592"/>
      <c r="G131" s="592"/>
      <c r="J131" s="581"/>
      <c r="K131" s="561"/>
    </row>
    <row r="132" spans="1:11" s="562" customFormat="1" ht="13">
      <c r="A132" s="595"/>
      <c r="B132" s="596"/>
      <c r="C132" s="592"/>
      <c r="D132" s="597"/>
      <c r="E132" s="592"/>
      <c r="F132" s="592"/>
      <c r="G132" s="592"/>
      <c r="J132" s="581"/>
      <c r="K132" s="561"/>
    </row>
    <row r="133" spans="1:11" s="562" customFormat="1" ht="12.5">
      <c r="A133" s="598"/>
      <c r="B133" s="592"/>
      <c r="C133" s="592"/>
      <c r="D133" s="592"/>
      <c r="E133" s="592"/>
      <c r="F133" s="592"/>
      <c r="G133" s="592"/>
      <c r="J133" s="581"/>
      <c r="K133" s="561"/>
    </row>
    <row r="134" spans="1:11" s="562" customFormat="1" ht="12.5">
      <c r="A134" s="598"/>
      <c r="B134" s="592"/>
      <c r="C134" s="592"/>
      <c r="D134" s="592"/>
      <c r="E134" s="592"/>
      <c r="F134" s="592"/>
      <c r="G134" s="592"/>
      <c r="J134" s="581"/>
      <c r="K134" s="561"/>
    </row>
    <row r="135" spans="1:11" s="562" customFormat="1" ht="12.5">
      <c r="A135" s="599"/>
      <c r="B135" s="592"/>
      <c r="C135" s="592"/>
      <c r="D135" s="592"/>
      <c r="E135" s="592"/>
      <c r="F135" s="592"/>
      <c r="G135" s="592"/>
      <c r="J135" s="581"/>
      <c r="K135" s="561"/>
    </row>
    <row r="136" spans="1:11" s="562" customFormat="1" ht="13">
      <c r="A136" s="600"/>
      <c r="B136" s="592"/>
      <c r="C136" s="592"/>
      <c r="D136" s="592"/>
      <c r="E136" s="592"/>
      <c r="F136" s="592"/>
      <c r="G136" s="592"/>
      <c r="J136" s="581"/>
      <c r="K136" s="561"/>
    </row>
    <row r="137" spans="1:11" ht="12.5">
      <c r="A137" s="598"/>
      <c r="B137" s="592"/>
      <c r="C137" s="592"/>
      <c r="D137" s="592"/>
      <c r="E137" s="592"/>
      <c r="F137" s="592"/>
      <c r="G137" s="592"/>
    </row>
    <row r="138" spans="1:11" ht="12" customHeight="1">
      <c r="A138" s="598"/>
      <c r="B138" s="592"/>
      <c r="C138" s="592"/>
      <c r="D138" s="592"/>
      <c r="E138" s="592"/>
      <c r="F138" s="592"/>
      <c r="G138" s="592"/>
    </row>
    <row r="139" spans="1:11" ht="12" customHeight="1">
      <c r="A139" s="2553"/>
      <c r="B139" s="2554"/>
      <c r="C139" s="2554"/>
      <c r="D139" s="604"/>
      <c r="E139" s="592"/>
      <c r="F139" s="592"/>
      <c r="G139" s="592"/>
    </row>
    <row r="140" spans="1:11" ht="12" customHeight="1">
      <c r="A140" s="2555"/>
      <c r="B140" s="2556"/>
      <c r="C140" s="2556"/>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69" zoomScale="85" zoomScaleNormal="85" workbookViewId="0">
      <selection activeCell="AL12" sqref="AL12:AP12"/>
    </sheetView>
  </sheetViews>
  <sheetFormatPr defaultColWidth="2.453125" defaultRowHeight="15.75" customHeight="1"/>
  <cols>
    <col min="1" max="37" width="2.453125" style="1763"/>
    <col min="38" max="38" width="3" style="1763" customWidth="1"/>
    <col min="39" max="64" width="2.453125" style="1763"/>
    <col min="65" max="65" width="6.1796875" style="1763" bestFit="1" customWidth="1"/>
    <col min="66" max="70" width="5.453125" style="1763" bestFit="1" customWidth="1"/>
    <col min="71" max="71" width="6.1796875" style="1763" bestFit="1" customWidth="1"/>
    <col min="72" max="76" width="5.453125" style="1763" bestFit="1" customWidth="1"/>
    <col min="77" max="77" width="6.1796875" style="1763" bestFit="1" customWidth="1"/>
    <col min="78" max="78" width="5.453125" style="1763" bestFit="1" customWidth="1"/>
    <col min="79" max="16384" width="2.453125" style="1763"/>
  </cols>
  <sheetData>
    <row r="1" spans="1:65" ht="15.75" customHeight="1">
      <c r="A1" s="3002" t="s">
        <v>1984</v>
      </c>
      <c r="B1" s="3003"/>
      <c r="C1" s="3003"/>
      <c r="D1" s="3003"/>
      <c r="E1" s="3003"/>
      <c r="F1" s="3003"/>
      <c r="G1" s="3003"/>
      <c r="H1" s="3003"/>
      <c r="I1" s="3003"/>
      <c r="J1" s="3003"/>
      <c r="K1" s="3003"/>
      <c r="L1" s="3003"/>
      <c r="M1" s="3003"/>
      <c r="N1" s="3003"/>
      <c r="O1" s="3003"/>
      <c r="P1" s="3003"/>
      <c r="Q1" s="3003"/>
      <c r="R1" s="3003"/>
      <c r="S1" s="3003"/>
      <c r="T1" s="3003"/>
      <c r="U1" s="3003"/>
      <c r="V1" s="3003"/>
      <c r="W1" s="3003"/>
      <c r="X1" s="3003"/>
      <c r="Y1" s="3003"/>
      <c r="Z1" s="3003"/>
      <c r="AA1" s="3003"/>
      <c r="AB1" s="3003"/>
      <c r="AC1" s="3003"/>
      <c r="AD1" s="3003"/>
      <c r="AE1" s="3003"/>
      <c r="AF1" s="3003"/>
      <c r="AG1" s="3003"/>
      <c r="AH1" s="3003"/>
      <c r="AI1" s="3003"/>
      <c r="AJ1" s="3003"/>
      <c r="AK1" s="3003"/>
      <c r="AL1" s="3003"/>
      <c r="AM1" s="3003"/>
      <c r="AN1" s="3003"/>
      <c r="AO1" s="3003"/>
      <c r="AP1" s="3003"/>
      <c r="AQ1" s="3003"/>
      <c r="AR1" s="3003"/>
      <c r="AS1" s="3003"/>
      <c r="AT1" s="3003"/>
      <c r="AU1" s="3003"/>
      <c r="AV1" s="3003"/>
      <c r="AW1" s="3003"/>
      <c r="AX1" s="3003"/>
      <c r="AY1" s="3003"/>
      <c r="AZ1" s="3003"/>
      <c r="BA1" s="3003"/>
      <c r="BB1" s="3003"/>
      <c r="BC1" s="3003"/>
      <c r="BD1" s="3003"/>
      <c r="BE1" s="3004"/>
    </row>
    <row r="2" spans="1:65" ht="15.75" customHeight="1">
      <c r="A2" s="3005" t="s">
        <v>1985</v>
      </c>
      <c r="B2" s="3006"/>
      <c r="C2" s="3006"/>
      <c r="D2" s="3006"/>
      <c r="E2" s="3006"/>
      <c r="F2" s="3006"/>
      <c r="G2" s="3006"/>
      <c r="H2" s="3006"/>
      <c r="I2" s="3006"/>
      <c r="J2" s="3006"/>
      <c r="K2" s="3006"/>
      <c r="L2" s="3006"/>
      <c r="M2" s="3006"/>
      <c r="N2" s="3006"/>
      <c r="O2" s="3006"/>
      <c r="P2" s="3006"/>
      <c r="Q2" s="3006"/>
      <c r="R2" s="3006"/>
      <c r="S2" s="3006"/>
      <c r="T2" s="3006"/>
      <c r="U2" s="3006"/>
      <c r="V2" s="3006"/>
      <c r="W2" s="3006"/>
      <c r="X2" s="3006"/>
      <c r="Y2" s="3006"/>
      <c r="Z2" s="3006"/>
      <c r="AA2" s="3006"/>
      <c r="AB2" s="3006"/>
      <c r="AC2" s="3006"/>
      <c r="AD2" s="3006"/>
      <c r="AE2" s="3006"/>
      <c r="AF2" s="3006"/>
      <c r="AG2" s="3006"/>
      <c r="AH2" s="3006"/>
      <c r="AI2" s="3006"/>
      <c r="AJ2" s="3006"/>
      <c r="AK2" s="3006"/>
      <c r="AL2" s="3006"/>
      <c r="AM2" s="3006"/>
      <c r="AN2" s="3006"/>
      <c r="AO2" s="3006"/>
      <c r="AP2" s="3006"/>
      <c r="AQ2" s="3006"/>
      <c r="AR2" s="3006"/>
      <c r="AS2" s="3006"/>
      <c r="AT2" s="3006"/>
      <c r="AU2" s="3006"/>
      <c r="AV2" s="3006"/>
      <c r="AW2" s="3006"/>
      <c r="AX2" s="3006"/>
      <c r="AY2" s="3006"/>
      <c r="AZ2" s="3006"/>
      <c r="BA2" s="3006"/>
      <c r="BB2" s="3006"/>
      <c r="BC2" s="3006"/>
      <c r="BD2" s="3006"/>
      <c r="BE2" s="3007"/>
      <c r="BF2" s="1764"/>
    </row>
    <row r="3" spans="1:65" ht="15.75" customHeight="1" thickBot="1">
      <c r="A3" s="1765"/>
      <c r="B3" s="1766"/>
      <c r="C3" s="1766"/>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766"/>
      <c r="AZ3" s="1766"/>
      <c r="BA3" s="1766"/>
      <c r="BB3" s="1766"/>
      <c r="BC3" s="1766"/>
      <c r="BD3" s="1766"/>
      <c r="BE3" s="1767"/>
    </row>
    <row r="4" spans="1:65" ht="15.75" customHeight="1" thickBot="1">
      <c r="A4" s="1765"/>
      <c r="B4" s="1768" t="s">
        <v>691</v>
      </c>
      <c r="C4" s="1768"/>
      <c r="D4" s="1768"/>
      <c r="E4" s="1768"/>
      <c r="F4" s="1768"/>
      <c r="G4" s="1766"/>
      <c r="H4" s="1766"/>
      <c r="I4" s="1766"/>
      <c r="J4" s="1766"/>
      <c r="K4" s="1766"/>
      <c r="L4" s="2933" t="str">
        <f>IF(Application!H18="","",Application!H18)</f>
        <v xml:space="preserve">The Kelsey Civic Center </v>
      </c>
      <c r="M4" s="2934"/>
      <c r="N4" s="2934"/>
      <c r="O4" s="2934"/>
      <c r="P4" s="2934"/>
      <c r="Q4" s="2934"/>
      <c r="R4" s="2934"/>
      <c r="S4" s="2934"/>
      <c r="T4" s="2934"/>
      <c r="U4" s="2934"/>
      <c r="V4" s="2934"/>
      <c r="W4" s="2934"/>
      <c r="X4" s="2934"/>
      <c r="Y4" s="2934"/>
      <c r="Z4" s="2934"/>
      <c r="AA4" s="2934"/>
      <c r="AB4" s="2934"/>
      <c r="AC4" s="2935"/>
      <c r="AD4" s="1766"/>
      <c r="AE4" s="1766"/>
      <c r="AF4" s="2624" t="s">
        <v>1986</v>
      </c>
      <c r="AG4" s="2625"/>
      <c r="AH4" s="2625"/>
      <c r="AI4" s="2625"/>
      <c r="AJ4" s="2625"/>
      <c r="AK4" s="2625"/>
      <c r="AL4" s="2625"/>
      <c r="AM4" s="2625"/>
      <c r="AN4" s="2625"/>
      <c r="AO4" s="2625"/>
      <c r="AP4" s="3008">
        <v>44696</v>
      </c>
      <c r="AQ4" s="2981"/>
      <c r="AR4" s="2981"/>
      <c r="AS4" s="2981"/>
      <c r="AT4" s="2981"/>
      <c r="AU4" s="2982"/>
      <c r="AV4" s="1766"/>
      <c r="AW4" s="1766"/>
      <c r="AX4" s="1766"/>
      <c r="AY4" s="1766"/>
      <c r="AZ4" s="1766"/>
      <c r="BA4" s="1766"/>
      <c r="BB4" s="1766"/>
      <c r="BC4" s="1766"/>
      <c r="BD4" s="1766"/>
      <c r="BE4" s="1767"/>
    </row>
    <row r="5" spans="1:65" ht="15.75" customHeight="1" thickBot="1">
      <c r="A5" s="1765"/>
      <c r="B5" s="1766"/>
      <c r="C5" s="1766"/>
      <c r="D5" s="1766"/>
      <c r="E5" s="1766"/>
      <c r="F5" s="1766"/>
      <c r="G5" s="1766"/>
      <c r="H5" s="1766"/>
      <c r="I5" s="1766"/>
      <c r="J5" s="1766"/>
      <c r="K5" s="1766"/>
      <c r="L5" s="1766"/>
      <c r="M5" s="1766"/>
      <c r="N5" s="1766"/>
      <c r="O5" s="1766"/>
      <c r="P5" s="1766"/>
      <c r="Q5" s="1766"/>
      <c r="R5" s="1766"/>
      <c r="S5" s="1766"/>
      <c r="T5" s="1766"/>
      <c r="U5" s="1766"/>
      <c r="V5" s="1766"/>
      <c r="W5" s="1766"/>
      <c r="X5" s="1766"/>
      <c r="Y5" s="1766"/>
      <c r="Z5" s="1766"/>
      <c r="AA5" s="1766"/>
      <c r="AB5" s="1766"/>
      <c r="AC5" s="1766"/>
      <c r="AD5" s="1766"/>
      <c r="AE5" s="1766"/>
      <c r="AF5" s="2681" t="s">
        <v>1987</v>
      </c>
      <c r="AG5" s="2682"/>
      <c r="AH5" s="2682"/>
      <c r="AI5" s="2682"/>
      <c r="AJ5" s="2682"/>
      <c r="AK5" s="2682"/>
      <c r="AL5" s="2682"/>
      <c r="AM5" s="2682"/>
      <c r="AN5" s="2682"/>
      <c r="AO5" s="2682"/>
      <c r="AP5" s="3008">
        <v>44696</v>
      </c>
      <c r="AQ5" s="2981"/>
      <c r="AR5" s="2981"/>
      <c r="AS5" s="2981"/>
      <c r="AT5" s="2981"/>
      <c r="AU5" s="2982"/>
      <c r="AV5" s="1766"/>
      <c r="AW5" s="1766"/>
      <c r="AX5" s="1766"/>
      <c r="AY5" s="1766"/>
      <c r="AZ5" s="1766"/>
      <c r="BA5" s="1766"/>
      <c r="BB5" s="1766"/>
      <c r="BC5" s="1766"/>
      <c r="BD5" s="1766"/>
      <c r="BE5" s="1767"/>
    </row>
    <row r="6" spans="1:65" ht="15.75" customHeight="1" thickBot="1">
      <c r="A6" s="1765"/>
      <c r="B6" s="1768" t="s">
        <v>1988</v>
      </c>
      <c r="C6" s="1766"/>
      <c r="D6" s="1766"/>
      <c r="E6" s="1766"/>
      <c r="F6" s="1766"/>
      <c r="G6" s="1766"/>
      <c r="H6" s="1766"/>
      <c r="I6" s="1766"/>
      <c r="J6" s="1766"/>
      <c r="K6" s="1766"/>
      <c r="L6" s="2987" t="str">
        <f>IF(Application!H16="","",Application!H16)</f>
        <v>The Kelsey Civic Center, L.P.</v>
      </c>
      <c r="M6" s="2988"/>
      <c r="N6" s="2988"/>
      <c r="O6" s="2988"/>
      <c r="P6" s="2988"/>
      <c r="Q6" s="2988"/>
      <c r="R6" s="2988"/>
      <c r="S6" s="2988"/>
      <c r="T6" s="2988"/>
      <c r="U6" s="2988"/>
      <c r="V6" s="2988"/>
      <c r="W6" s="2988"/>
      <c r="X6" s="2988"/>
      <c r="Y6" s="2988"/>
      <c r="Z6" s="2988"/>
      <c r="AA6" s="2988"/>
      <c r="AB6" s="2988"/>
      <c r="AC6" s="2989"/>
      <c r="AD6" s="1766"/>
      <c r="AE6" s="1766"/>
      <c r="AF6" s="1766"/>
      <c r="AG6" s="1766"/>
      <c r="AH6" s="1766"/>
      <c r="AI6" s="1766"/>
      <c r="AJ6" s="1766"/>
      <c r="AK6" s="1766"/>
      <c r="AL6" s="1766"/>
      <c r="AM6" s="1766"/>
      <c r="AN6" s="1766"/>
      <c r="AO6" s="1766"/>
      <c r="AP6" s="1766"/>
      <c r="AQ6" s="1766"/>
      <c r="AR6" s="1766"/>
      <c r="AS6" s="1766"/>
      <c r="AT6" s="1766"/>
      <c r="AU6" s="1766"/>
      <c r="AV6" s="1766"/>
      <c r="AW6" s="1766"/>
      <c r="AX6" s="1766"/>
      <c r="AY6" s="1766"/>
      <c r="AZ6" s="1766"/>
      <c r="BA6" s="1766"/>
      <c r="BB6" s="1766"/>
      <c r="BC6" s="1766"/>
      <c r="BD6" s="1766"/>
      <c r="BE6" s="1767"/>
    </row>
    <row r="7" spans="1:65" ht="15" thickBot="1">
      <c r="A7" s="1765"/>
      <c r="B7" s="1766"/>
      <c r="C7" s="1766"/>
      <c r="D7" s="1766"/>
      <c r="E7" s="1766"/>
      <c r="F7" s="1766"/>
      <c r="G7" s="1766"/>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766"/>
      <c r="AU7" s="1766"/>
      <c r="AV7" s="1766"/>
      <c r="AW7" s="1766"/>
      <c r="AX7" s="1766"/>
      <c r="AY7" s="1766"/>
      <c r="AZ7" s="1766"/>
      <c r="BA7" s="1766"/>
      <c r="BB7" s="1766"/>
      <c r="BC7" s="1766"/>
      <c r="BD7" s="1766"/>
      <c r="BE7" s="1767"/>
    </row>
    <row r="8" spans="1:65" ht="15" thickBot="1">
      <c r="A8" s="1765"/>
      <c r="B8" s="1768" t="s">
        <v>1989</v>
      </c>
      <c r="C8" s="1766"/>
      <c r="D8" s="1766"/>
      <c r="E8" s="1766"/>
      <c r="F8" s="1766"/>
      <c r="G8" s="1766"/>
      <c r="H8" s="1766"/>
      <c r="I8" s="1766"/>
      <c r="J8" s="1766"/>
      <c r="K8" s="1766"/>
      <c r="L8" s="1766"/>
      <c r="M8" s="1766"/>
      <c r="N8" s="1766"/>
      <c r="O8" s="1766"/>
      <c r="P8" s="1766"/>
      <c r="Q8" s="1766"/>
      <c r="R8" s="1766"/>
      <c r="S8" s="1766"/>
      <c r="T8" s="1766"/>
      <c r="U8" s="1766"/>
      <c r="V8" s="1766"/>
      <c r="W8" s="1766"/>
      <c r="X8" s="1766"/>
      <c r="Y8" s="1766"/>
      <c r="Z8" s="1766"/>
      <c r="AA8" s="1766"/>
      <c r="AB8" s="2990" t="str">
        <f>Application!T196</f>
        <v>No</v>
      </c>
      <c r="AC8" s="2991"/>
      <c r="AD8" s="2992"/>
      <c r="AE8" s="1766"/>
      <c r="AF8" s="1766"/>
      <c r="AG8" s="1766"/>
      <c r="AH8" s="1766"/>
      <c r="AI8" s="1766"/>
      <c r="AJ8" s="1766"/>
      <c r="AK8" s="1766"/>
      <c r="AL8" s="1766"/>
      <c r="AM8" s="1766"/>
      <c r="AN8" s="1766"/>
      <c r="AO8" s="1766"/>
      <c r="AP8" s="1766"/>
      <c r="AQ8" s="1766"/>
      <c r="AR8" s="1766"/>
      <c r="AS8" s="1766"/>
      <c r="AT8" s="1766"/>
      <c r="AU8" s="1766"/>
      <c r="AV8" s="1766"/>
      <c r="AW8" s="1766"/>
      <c r="AX8" s="1766"/>
      <c r="AY8" s="1766"/>
      <c r="AZ8" s="1766"/>
      <c r="BA8" s="1766"/>
      <c r="BB8" s="1766"/>
      <c r="BC8" s="1766"/>
      <c r="BD8" s="1766"/>
      <c r="BE8" s="1767"/>
      <c r="BM8" s="1763">
        <f>Application!AO714</f>
        <v>0</v>
      </c>
    </row>
    <row r="9" spans="1:65" ht="15" thickBot="1">
      <c r="A9" s="1766"/>
      <c r="B9" s="1766"/>
      <c r="C9" s="1766"/>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6"/>
      <c r="AB9" s="1766"/>
      <c r="AC9" s="1766"/>
      <c r="AD9" s="1766"/>
      <c r="AE9" s="1766"/>
      <c r="AF9" s="1766"/>
      <c r="AG9" s="1766"/>
      <c r="AH9" s="1766"/>
      <c r="AI9" s="1766"/>
      <c r="AJ9" s="1766"/>
      <c r="AK9" s="1766"/>
      <c r="AL9" s="1766"/>
      <c r="AM9" s="1766"/>
      <c r="AN9" s="1766"/>
      <c r="AO9" s="1766"/>
      <c r="AP9" s="1766"/>
      <c r="AQ9" s="1769"/>
      <c r="AR9" s="1769"/>
      <c r="AS9" s="1766"/>
      <c r="AT9" s="1766"/>
      <c r="AU9" s="1766"/>
      <c r="AV9" s="1766"/>
      <c r="AW9" s="1766"/>
      <c r="AX9" s="1766"/>
      <c r="AY9" s="1766"/>
      <c r="AZ9" s="1766"/>
      <c r="BA9" s="1766"/>
      <c r="BB9" s="1766"/>
      <c r="BC9" s="1766"/>
      <c r="BD9" s="1766"/>
      <c r="BE9" s="1767"/>
    </row>
    <row r="10" spans="1:65" ht="15" thickBot="1">
      <c r="A10" s="1765"/>
      <c r="B10" s="1768" t="s">
        <v>1990</v>
      </c>
      <c r="C10" s="1768"/>
      <c r="D10" s="1768"/>
      <c r="E10" s="1768"/>
      <c r="F10" s="1768"/>
      <c r="G10" s="1768"/>
      <c r="H10" s="1768"/>
      <c r="I10" s="1768"/>
      <c r="J10" s="1768"/>
      <c r="K10" s="1768"/>
      <c r="L10" s="1768"/>
      <c r="M10" s="1766"/>
      <c r="N10" s="2993">
        <f>Application!AO637</f>
        <v>6867000</v>
      </c>
      <c r="O10" s="2994"/>
      <c r="P10" s="2994"/>
      <c r="Q10" s="2994"/>
      <c r="R10" s="2994"/>
      <c r="S10" s="2994"/>
      <c r="T10" s="2995"/>
      <c r="U10" s="1766"/>
      <c r="V10" s="1766"/>
      <c r="W10" s="1766"/>
      <c r="X10" s="2665" t="s">
        <v>1991</v>
      </c>
      <c r="Y10" s="2666"/>
      <c r="Z10" s="2666"/>
      <c r="AA10" s="2666"/>
      <c r="AB10" s="2666"/>
      <c r="AC10" s="2666"/>
      <c r="AD10" s="2666"/>
      <c r="AE10" s="2666"/>
      <c r="AF10" s="2666"/>
      <c r="AG10" s="2666"/>
      <c r="AH10" s="2666"/>
      <c r="AI10" s="2666"/>
      <c r="AJ10" s="2666"/>
      <c r="AK10" s="2667"/>
      <c r="AL10" s="3012">
        <f>Application!W471</f>
        <v>17</v>
      </c>
      <c r="AM10" s="2991"/>
      <c r="AN10" s="2991"/>
      <c r="AO10" s="2991"/>
      <c r="AP10" s="2992"/>
      <c r="AQ10" s="1769"/>
      <c r="AR10" s="1769"/>
      <c r="AS10" s="1769"/>
      <c r="AT10" s="1769"/>
      <c r="AU10" s="1769"/>
      <c r="AV10" s="1769"/>
      <c r="AW10" s="1769"/>
      <c r="AX10" s="1766"/>
      <c r="AY10" s="1766"/>
      <c r="AZ10" s="1766"/>
      <c r="BA10" s="1766"/>
      <c r="BB10" s="1766"/>
      <c r="BC10" s="1766"/>
      <c r="BD10" s="1766"/>
      <c r="BE10" s="1767"/>
    </row>
    <row r="11" spans="1:65" ht="15" thickBot="1">
      <c r="A11" s="1765"/>
      <c r="B11" s="1768" t="s">
        <v>1992</v>
      </c>
      <c r="C11" s="1768"/>
      <c r="D11" s="1768"/>
      <c r="E11" s="1768"/>
      <c r="F11" s="1768"/>
      <c r="G11" s="1768"/>
      <c r="H11" s="1768"/>
      <c r="I11" s="1768"/>
      <c r="J11" s="1768"/>
      <c r="K11" s="1768"/>
      <c r="L11" s="1768"/>
      <c r="M11" s="1766"/>
      <c r="N11" s="2996">
        <f>Application!AA925</f>
        <v>0</v>
      </c>
      <c r="O11" s="2997"/>
      <c r="P11" s="2997"/>
      <c r="Q11" s="2997"/>
      <c r="R11" s="2997"/>
      <c r="S11" s="2997"/>
      <c r="T11" s="2998"/>
      <c r="U11" s="1766"/>
      <c r="V11" s="1766"/>
      <c r="W11" s="1766"/>
      <c r="X11" s="2999" t="s">
        <v>1993</v>
      </c>
      <c r="Y11" s="3000"/>
      <c r="Z11" s="3000"/>
      <c r="AA11" s="3000"/>
      <c r="AB11" s="3000"/>
      <c r="AC11" s="3000"/>
      <c r="AD11" s="3000"/>
      <c r="AE11" s="3000"/>
      <c r="AF11" s="3000"/>
      <c r="AG11" s="3000"/>
      <c r="AH11" s="3000"/>
      <c r="AI11" s="3000"/>
      <c r="AJ11" s="3000"/>
      <c r="AK11" s="3001"/>
      <c r="AL11" s="3009"/>
      <c r="AM11" s="3010"/>
      <c r="AN11" s="3010"/>
      <c r="AO11" s="3010"/>
      <c r="AP11" s="3011"/>
      <c r="AQ11" s="1770"/>
      <c r="AR11" s="1771"/>
      <c r="AS11" s="1769"/>
      <c r="AT11" s="1769"/>
      <c r="AU11" s="1769"/>
      <c r="AV11" s="1769"/>
      <c r="AW11" s="1769"/>
      <c r="AX11" s="1766"/>
      <c r="AY11" s="1766"/>
      <c r="AZ11" s="1766"/>
      <c r="BA11" s="1766"/>
      <c r="BB11" s="1766"/>
      <c r="BC11" s="1766"/>
      <c r="BD11" s="1766"/>
      <c r="BE11" s="1767"/>
    </row>
    <row r="12" spans="1:65" ht="15" thickBot="1">
      <c r="A12" s="1766"/>
      <c r="B12" s="1766"/>
      <c r="C12" s="1766"/>
      <c r="D12" s="1766"/>
      <c r="E12" s="1766"/>
      <c r="F12" s="1766"/>
      <c r="G12" s="1766"/>
      <c r="H12" s="1766"/>
      <c r="I12" s="1766"/>
      <c r="J12" s="1766"/>
      <c r="K12" s="1766"/>
      <c r="L12" s="1766"/>
      <c r="M12" s="1766"/>
      <c r="N12" s="1766"/>
      <c r="O12" s="1766"/>
      <c r="P12" s="1766"/>
      <c r="Q12" s="1766"/>
      <c r="R12" s="1766"/>
      <c r="S12" s="1766"/>
      <c r="T12" s="1766"/>
      <c r="U12" s="1766"/>
      <c r="V12" s="1766"/>
      <c r="W12" s="1766"/>
      <c r="X12" s="2665" t="s">
        <v>1994</v>
      </c>
      <c r="Y12" s="2666"/>
      <c r="Z12" s="2666"/>
      <c r="AA12" s="2666"/>
      <c r="AB12" s="2666"/>
      <c r="AC12" s="2666"/>
      <c r="AD12" s="2666"/>
      <c r="AE12" s="2666"/>
      <c r="AF12" s="2666"/>
      <c r="AG12" s="2666"/>
      <c r="AH12" s="2666"/>
      <c r="AI12" s="2666"/>
      <c r="AJ12" s="2666"/>
      <c r="AK12" s="2667"/>
      <c r="AL12" s="3009">
        <v>44636</v>
      </c>
      <c r="AM12" s="3010"/>
      <c r="AN12" s="3010"/>
      <c r="AO12" s="3010"/>
      <c r="AP12" s="3011"/>
      <c r="AQ12" s="1769"/>
      <c r="AR12" s="1769"/>
      <c r="AS12" s="1769"/>
      <c r="AT12" s="1769"/>
      <c r="AU12" s="1769"/>
      <c r="AV12" s="1766"/>
      <c r="AW12" s="1766"/>
      <c r="AX12" s="1766"/>
      <c r="AY12" s="1766"/>
      <c r="AZ12" s="1766"/>
      <c r="BA12" s="1766"/>
      <c r="BB12" s="1766"/>
      <c r="BC12" s="1766"/>
      <c r="BD12" s="1766"/>
      <c r="BE12" s="1772"/>
    </row>
    <row r="13" spans="1:65" ht="15" thickBot="1">
      <c r="A13" s="1766"/>
      <c r="B13" s="2665" t="s">
        <v>1995</v>
      </c>
      <c r="C13" s="2666"/>
      <c r="D13" s="2666"/>
      <c r="E13" s="2666"/>
      <c r="F13" s="2666"/>
      <c r="G13" s="2666"/>
      <c r="H13" s="2666"/>
      <c r="I13" s="2666"/>
      <c r="J13" s="2666"/>
      <c r="K13" s="2666"/>
      <c r="L13" s="2666"/>
      <c r="M13" s="2666"/>
      <c r="N13" s="2666"/>
      <c r="O13" s="2666"/>
      <c r="P13" s="2667"/>
      <c r="Q13" s="2980" t="s">
        <v>2577</v>
      </c>
      <c r="R13" s="2981"/>
      <c r="S13" s="2981"/>
      <c r="T13" s="2982"/>
      <c r="U13" s="1769"/>
      <c r="V13" s="1766"/>
      <c r="W13" s="1766"/>
      <c r="X13" s="1766"/>
      <c r="Y13" s="1766"/>
      <c r="Z13" s="1766"/>
      <c r="AA13" s="1769"/>
      <c r="AB13" s="1769"/>
      <c r="AC13" s="1769"/>
      <c r="AD13" s="1769"/>
      <c r="AE13" s="1769"/>
      <c r="AF13" s="1769"/>
      <c r="AG13" s="1769"/>
      <c r="AH13" s="1769"/>
      <c r="AI13" s="1769"/>
      <c r="AJ13" s="1769"/>
      <c r="AK13" s="1769"/>
      <c r="AL13" s="1769"/>
      <c r="AM13" s="1769"/>
      <c r="AN13" s="1769"/>
      <c r="AO13" s="1769"/>
      <c r="AP13" s="1769"/>
      <c r="AQ13" s="1769"/>
      <c r="AR13" s="1769"/>
      <c r="AS13" s="1769"/>
      <c r="AT13" s="1769"/>
      <c r="AU13" s="1769"/>
      <c r="AV13" s="1769"/>
      <c r="AW13" s="1769"/>
      <c r="AX13" s="1769"/>
      <c r="AY13" s="1769"/>
      <c r="AZ13" s="1769"/>
      <c r="BA13" s="1769"/>
      <c r="BB13" s="1769"/>
      <c r="BC13" s="1769"/>
      <c r="BD13" s="1769"/>
      <c r="BE13" s="1772"/>
    </row>
    <row r="14" spans="1:65" ht="15" thickBot="1">
      <c r="A14" s="1766"/>
      <c r="B14" s="1766"/>
      <c r="C14" s="1766"/>
      <c r="D14" s="1766"/>
      <c r="E14" s="1766"/>
      <c r="F14" s="1766"/>
      <c r="G14" s="1766"/>
      <c r="H14" s="1766"/>
      <c r="I14" s="1766"/>
      <c r="J14" s="1766"/>
      <c r="K14" s="1766"/>
      <c r="L14" s="1766"/>
      <c r="M14" s="1766"/>
      <c r="N14" s="1766"/>
      <c r="O14" s="1766"/>
      <c r="P14" s="1766"/>
      <c r="Q14" s="1766"/>
      <c r="R14" s="1766"/>
      <c r="S14" s="1766"/>
      <c r="T14" s="1766"/>
      <c r="U14" s="1766"/>
      <c r="V14" s="1766"/>
      <c r="W14" s="1766"/>
      <c r="X14" s="1766"/>
      <c r="Y14" s="1766"/>
      <c r="Z14" s="1766"/>
      <c r="AA14" s="1769"/>
      <c r="AB14" s="1769"/>
      <c r="AC14" s="1769"/>
      <c r="AD14" s="1769"/>
      <c r="AE14" s="1769"/>
      <c r="AF14" s="1769"/>
      <c r="AG14" s="1769"/>
      <c r="AH14" s="1769"/>
      <c r="AI14" s="1769"/>
      <c r="AJ14" s="1769"/>
      <c r="AK14" s="1769"/>
      <c r="AL14" s="1769"/>
      <c r="AM14" s="1769"/>
      <c r="AN14" s="1769"/>
      <c r="AO14" s="1769"/>
      <c r="AP14" s="1769"/>
      <c r="AQ14" s="1769"/>
      <c r="AR14" s="1769"/>
      <c r="AS14" s="1769"/>
      <c r="AT14" s="1769"/>
      <c r="AU14" s="1769"/>
      <c r="AV14" s="1769"/>
      <c r="AW14" s="1769"/>
      <c r="AX14" s="1769"/>
      <c r="AY14" s="1769"/>
      <c r="AZ14" s="1769"/>
      <c r="BA14" s="1769"/>
      <c r="BB14" s="1769"/>
      <c r="BC14" s="1769"/>
      <c r="BD14" s="1769"/>
      <c r="BE14" s="1772"/>
    </row>
    <row r="15" spans="1:65" ht="14.5">
      <c r="A15" s="1766"/>
      <c r="B15" s="2983" t="s">
        <v>1996</v>
      </c>
      <c r="C15" s="2983"/>
      <c r="D15" s="2983"/>
      <c r="E15" s="2983"/>
      <c r="F15" s="2983"/>
      <c r="G15" s="2983"/>
      <c r="H15" s="2983"/>
      <c r="I15" s="2983"/>
      <c r="J15" s="2983"/>
      <c r="K15" s="2983"/>
      <c r="L15" s="2984"/>
      <c r="M15" s="2624" t="s">
        <v>1997</v>
      </c>
      <c r="N15" s="2625"/>
      <c r="O15" s="2625"/>
      <c r="P15" s="2625"/>
      <c r="Q15" s="2625"/>
      <c r="R15" s="2625"/>
      <c r="S15" s="2985" t="str">
        <f>IF(Application!AB214="","",Application!AB214)</f>
        <v/>
      </c>
      <c r="T15" s="2985"/>
      <c r="U15" s="2985"/>
      <c r="V15" s="2985"/>
      <c r="W15" s="2986"/>
      <c r="X15" s="1769"/>
      <c r="Y15" s="1766"/>
      <c r="Z15" s="1766"/>
      <c r="AA15" s="1769"/>
      <c r="AB15" s="1769"/>
      <c r="AC15" s="1769"/>
      <c r="AD15" s="1769"/>
      <c r="AE15" s="1769"/>
      <c r="AF15" s="1769"/>
      <c r="AG15" s="1769"/>
      <c r="AH15" s="1769"/>
      <c r="AI15" s="1769"/>
      <c r="AJ15" s="1769"/>
      <c r="AK15" s="1769"/>
      <c r="AL15" s="1769"/>
      <c r="AM15" s="1769"/>
      <c r="AN15" s="1769"/>
      <c r="AO15" s="1769"/>
      <c r="AP15" s="1769"/>
      <c r="AQ15" s="1769"/>
      <c r="AR15" s="1769"/>
      <c r="AS15" s="1769"/>
      <c r="AT15" s="1769"/>
      <c r="AU15" s="1769"/>
      <c r="AV15" s="1769"/>
      <c r="AW15" s="1769"/>
      <c r="AX15" s="1769"/>
      <c r="AY15" s="1769"/>
      <c r="AZ15" s="1769"/>
      <c r="BA15" s="1769"/>
      <c r="BB15" s="1769"/>
      <c r="BC15" s="1769"/>
      <c r="BD15" s="1769"/>
      <c r="BE15" s="1772"/>
    </row>
    <row r="16" spans="1:65" ht="15" thickBot="1">
      <c r="A16" s="1765"/>
      <c r="B16" s="1766"/>
      <c r="C16" s="1766"/>
      <c r="D16" s="1766"/>
      <c r="E16" s="1766"/>
      <c r="F16" s="1766"/>
      <c r="G16" s="1766"/>
      <c r="H16" s="1766"/>
      <c r="I16" s="1766"/>
      <c r="J16" s="1766"/>
      <c r="K16" s="1766"/>
      <c r="L16" s="1766"/>
      <c r="M16" s="1766"/>
      <c r="N16" s="1766"/>
      <c r="O16" s="1766"/>
      <c r="P16" s="1766"/>
      <c r="Q16" s="1766"/>
      <c r="R16" s="1766"/>
      <c r="S16" s="1766"/>
      <c r="T16" s="1766"/>
      <c r="U16" s="1766"/>
      <c r="V16" s="1766"/>
      <c r="W16" s="1766"/>
      <c r="X16" s="1766"/>
      <c r="Y16" s="1766"/>
      <c r="Z16" s="1766"/>
      <c r="AA16" s="1766"/>
      <c r="AB16" s="1766"/>
      <c r="AC16" s="1766"/>
      <c r="AD16" s="1766"/>
      <c r="AE16" s="1766"/>
      <c r="AF16" s="1766"/>
      <c r="AG16" s="1766"/>
      <c r="AH16" s="1766"/>
      <c r="AI16" s="1766"/>
      <c r="AJ16" s="1766"/>
      <c r="AK16" s="1766"/>
      <c r="AL16" s="1766"/>
      <c r="AM16" s="1766"/>
      <c r="AN16" s="1766"/>
      <c r="AO16" s="1766"/>
      <c r="AP16" s="1766"/>
      <c r="AQ16" s="1766"/>
      <c r="AR16" s="1766"/>
      <c r="AS16" s="1766"/>
      <c r="AT16" s="1766"/>
      <c r="AU16" s="1766"/>
      <c r="AV16" s="1766"/>
      <c r="AW16" s="1766"/>
      <c r="AX16" s="1766"/>
      <c r="AY16" s="1766"/>
      <c r="AZ16" s="1766"/>
      <c r="BA16" s="1766"/>
      <c r="BB16" s="1766"/>
      <c r="BC16" s="1766"/>
      <c r="BD16" s="1766"/>
      <c r="BE16" s="1772"/>
    </row>
    <row r="17" spans="1:58" ht="14.5">
      <c r="A17" s="1766"/>
      <c r="B17" s="2709" t="s">
        <v>1998</v>
      </c>
      <c r="C17" s="2710"/>
      <c r="D17" s="2710"/>
      <c r="E17" s="2710"/>
      <c r="F17" s="2710"/>
      <c r="G17" s="2710"/>
      <c r="H17" s="2710"/>
      <c r="I17" s="2710"/>
      <c r="J17" s="2710"/>
      <c r="K17" s="2710"/>
      <c r="L17" s="2710"/>
      <c r="M17" s="2710"/>
      <c r="N17" s="2710"/>
      <c r="O17" s="2710"/>
      <c r="P17" s="2710"/>
      <c r="Q17" s="2710"/>
      <c r="R17" s="2710"/>
      <c r="S17" s="2710"/>
      <c r="T17" s="2710"/>
      <c r="U17" s="2710"/>
      <c r="V17" s="2710"/>
      <c r="W17" s="2710"/>
      <c r="X17" s="2710"/>
      <c r="Y17" s="2710"/>
      <c r="Z17" s="2710"/>
      <c r="AA17" s="2710"/>
      <c r="AB17" s="2710"/>
      <c r="AC17" s="2710"/>
      <c r="AD17" s="2710"/>
      <c r="AE17" s="2710"/>
      <c r="AF17" s="2710"/>
      <c r="AG17" s="2710"/>
      <c r="AH17" s="2710"/>
      <c r="AI17" s="2710"/>
      <c r="AJ17" s="2710"/>
      <c r="AK17" s="2710"/>
      <c r="AL17" s="2710"/>
      <c r="AM17" s="2710"/>
      <c r="AN17" s="2710"/>
      <c r="AO17" s="2710"/>
      <c r="AP17" s="2710"/>
      <c r="AQ17" s="2710"/>
      <c r="AR17" s="2710"/>
      <c r="AS17" s="2710"/>
      <c r="AT17" s="2710"/>
      <c r="AU17" s="2710"/>
      <c r="AV17" s="2710"/>
      <c r="AW17" s="2710"/>
      <c r="AX17" s="2710"/>
      <c r="AY17" s="2711"/>
      <c r="AZ17" s="1766"/>
      <c r="BA17" s="1766"/>
      <c r="BB17" s="1766"/>
      <c r="BC17" s="1766"/>
      <c r="BD17" s="1766"/>
      <c r="BE17" s="1772"/>
      <c r="BF17" s="1764"/>
    </row>
    <row r="18" spans="1:58" ht="15.75" customHeight="1">
      <c r="A18" s="1766"/>
      <c r="B18" s="2973" t="s">
        <v>1999</v>
      </c>
      <c r="C18" s="2974"/>
      <c r="D18" s="2974"/>
      <c r="E18" s="2974"/>
      <c r="F18" s="2974"/>
      <c r="G18" s="2974"/>
      <c r="H18" s="2974"/>
      <c r="I18" s="2975"/>
      <c r="J18" s="2976" t="s">
        <v>1873</v>
      </c>
      <c r="K18" s="2977"/>
      <c r="L18" s="2977"/>
      <c r="M18" s="2977"/>
      <c r="N18" s="2977"/>
      <c r="O18" s="2978"/>
      <c r="P18" s="2976" t="s">
        <v>332</v>
      </c>
      <c r="Q18" s="2977"/>
      <c r="R18" s="2977"/>
      <c r="S18" s="2977"/>
      <c r="T18" s="2977"/>
      <c r="U18" s="2978"/>
      <c r="V18" s="2976" t="s">
        <v>333</v>
      </c>
      <c r="W18" s="2977"/>
      <c r="X18" s="2977"/>
      <c r="Y18" s="2977"/>
      <c r="Z18" s="2977"/>
      <c r="AA18" s="2978"/>
      <c r="AB18" s="2976" t="s">
        <v>168</v>
      </c>
      <c r="AC18" s="2977"/>
      <c r="AD18" s="2977"/>
      <c r="AE18" s="2977"/>
      <c r="AF18" s="2977"/>
      <c r="AG18" s="2978"/>
      <c r="AH18" s="2976" t="s">
        <v>169</v>
      </c>
      <c r="AI18" s="2977"/>
      <c r="AJ18" s="2977"/>
      <c r="AK18" s="2977"/>
      <c r="AL18" s="2977"/>
      <c r="AM18" s="2978"/>
      <c r="AN18" s="2976" t="s">
        <v>170</v>
      </c>
      <c r="AO18" s="2977"/>
      <c r="AP18" s="2977"/>
      <c r="AQ18" s="2977"/>
      <c r="AR18" s="2977"/>
      <c r="AS18" s="2978"/>
      <c r="AT18" s="2976" t="s">
        <v>2000</v>
      </c>
      <c r="AU18" s="2977"/>
      <c r="AV18" s="2977"/>
      <c r="AW18" s="2977"/>
      <c r="AX18" s="2977"/>
      <c r="AY18" s="2979"/>
      <c r="AZ18" s="1766"/>
      <c r="BA18" s="1766"/>
      <c r="BB18" s="1766"/>
      <c r="BC18" s="1766"/>
      <c r="BD18" s="1766"/>
      <c r="BE18" s="1772"/>
    </row>
    <row r="19" spans="1:58" ht="14.5">
      <c r="A19" s="1766"/>
      <c r="B19" s="2971">
        <v>0.2</v>
      </c>
      <c r="C19" s="2972"/>
      <c r="D19" s="2972"/>
      <c r="E19" s="2972"/>
      <c r="F19" s="2972"/>
      <c r="G19" s="2972"/>
      <c r="H19" s="2972"/>
      <c r="I19" s="2972"/>
      <c r="J19" s="2962">
        <f>SUM(P19:AS19)</f>
        <v>24</v>
      </c>
      <c r="K19" s="2963"/>
      <c r="L19" s="2963"/>
      <c r="M19" s="2963"/>
      <c r="N19" s="2963"/>
      <c r="O19" s="2964"/>
      <c r="P19" s="2962" cm="1">
        <f t="array" ref="P19">SUMPRODUCT((Application!$B$728:$B$752 = 'CalHFA Addendum'!P$18)*(Application!$AH$728:$AH$752 = 'CalHFA Addendum'!$B19),Application!$G$728:$G$752)</f>
        <v>24</v>
      </c>
      <c r="Q19" s="2963"/>
      <c r="R19" s="2963"/>
      <c r="S19" s="2963"/>
      <c r="T19" s="2963"/>
      <c r="U19" s="2964"/>
      <c r="V19" s="2962" cm="1">
        <f t="array" ref="V19">SUMPRODUCT((Application!$B$728:$B$752 = 'CalHFA Addendum'!V$18)*(Application!$AH$728:$AH$752 = 'CalHFA Addendum'!$B19),Application!$G$728:$G$752)</f>
        <v>0</v>
      </c>
      <c r="W19" s="2963"/>
      <c r="X19" s="2963"/>
      <c r="Y19" s="2963"/>
      <c r="Z19" s="2963"/>
      <c r="AA19" s="2964"/>
      <c r="AB19" s="2962" cm="1">
        <f t="array" ref="AB19">SUMPRODUCT((Application!$B$728:$B$752 = 'CalHFA Addendum'!AB$18)*(Application!$AH$728:$AH$752 = 'CalHFA Addendum'!$B19),Application!$G$728:$G$752)</f>
        <v>0</v>
      </c>
      <c r="AC19" s="2963"/>
      <c r="AD19" s="2963"/>
      <c r="AE19" s="2963"/>
      <c r="AF19" s="2963"/>
      <c r="AG19" s="2964"/>
      <c r="AH19" s="2962" cm="1">
        <f t="array" ref="AH19">SUMPRODUCT((Application!$B$728:$B$752 = 'CalHFA Addendum'!AH$18)*(Application!$AH$728:$AH$752 = 'CalHFA Addendum'!$B19),Application!$G$728:$G$752)</f>
        <v>0</v>
      </c>
      <c r="AI19" s="2963"/>
      <c r="AJ19" s="2963"/>
      <c r="AK19" s="2963"/>
      <c r="AL19" s="2963"/>
      <c r="AM19" s="2964"/>
      <c r="AN19" s="2962" cm="1">
        <f t="array" ref="AN19">SUMPRODUCT((Application!$B$728:$B$752 = 'CalHFA Addendum'!AN$18)*(Application!$AH$728:$AH$752 = 'CalHFA Addendum'!$B19),Application!$G$728:$G$752)</f>
        <v>0</v>
      </c>
      <c r="AO19" s="2963"/>
      <c r="AP19" s="2963"/>
      <c r="AQ19" s="2963"/>
      <c r="AR19" s="2963"/>
      <c r="AS19" s="2964"/>
      <c r="AT19" s="2965">
        <f t="shared" ref="AT19:AT28" si="0">J19/$J$29</f>
        <v>0.21428571428571427</v>
      </c>
      <c r="AU19" s="2966"/>
      <c r="AV19" s="2966"/>
      <c r="AW19" s="2966"/>
      <c r="AX19" s="2966"/>
      <c r="AY19" s="2967"/>
      <c r="AZ19" s="1773"/>
      <c r="BA19" s="1766"/>
      <c r="BB19" s="1766"/>
      <c r="BC19" s="1766"/>
      <c r="BD19" s="1766"/>
      <c r="BE19" s="1772"/>
    </row>
    <row r="20" spans="1:58" ht="15" customHeight="1">
      <c r="A20" s="1766"/>
      <c r="B20" s="2971">
        <v>0.3</v>
      </c>
      <c r="C20" s="2972"/>
      <c r="D20" s="2972"/>
      <c r="E20" s="2972"/>
      <c r="F20" s="2972"/>
      <c r="G20" s="2972"/>
      <c r="H20" s="2972"/>
      <c r="I20" s="2972"/>
      <c r="J20" s="2962">
        <f t="shared" ref="J20:J28" si="1">SUM(P20:AS20)</f>
        <v>6</v>
      </c>
      <c r="K20" s="2963"/>
      <c r="L20" s="2963"/>
      <c r="M20" s="2963"/>
      <c r="N20" s="2963"/>
      <c r="O20" s="2964"/>
      <c r="P20" s="2962" cm="1">
        <f t="array" ref="P20">SUMPRODUCT((Application!$B$728:$B$752 = 'CalHFA Addendum'!P$18)*(Application!$AH$728:$AH$752 = 'CalHFA Addendum'!$B20),Application!$G$728:$G$752)</f>
        <v>2</v>
      </c>
      <c r="Q20" s="2963"/>
      <c r="R20" s="2963"/>
      <c r="S20" s="2963"/>
      <c r="T20" s="2963"/>
      <c r="U20" s="2964"/>
      <c r="V20" s="2962" cm="1">
        <f t="array" ref="V20">SUMPRODUCT((Application!$B$728:$B$752 = 'CalHFA Addendum'!V$18)*(Application!$AH$728:$AH$752 = 'CalHFA Addendum'!$B20),Application!$G$728:$G$752)</f>
        <v>0</v>
      </c>
      <c r="W20" s="2963"/>
      <c r="X20" s="2963"/>
      <c r="Y20" s="2963"/>
      <c r="Z20" s="2963"/>
      <c r="AA20" s="2964"/>
      <c r="AB20" s="2962" cm="1">
        <f t="array" ref="AB20">SUMPRODUCT((Application!$B$728:$B$752 = 'CalHFA Addendum'!AB$18)*(Application!$AH$728:$AH$752 = 'CalHFA Addendum'!$B20),Application!$G$728:$G$752)</f>
        <v>4</v>
      </c>
      <c r="AC20" s="2963"/>
      <c r="AD20" s="2963"/>
      <c r="AE20" s="2963"/>
      <c r="AF20" s="2963"/>
      <c r="AG20" s="2964"/>
      <c r="AH20" s="2962" cm="1">
        <f t="array" ref="AH20">SUMPRODUCT((Application!$B$728:$B$752 = 'CalHFA Addendum'!AH$18)*(Application!$AH$728:$AH$752 = 'CalHFA Addendum'!$B20),Application!$G$728:$G$752)</f>
        <v>0</v>
      </c>
      <c r="AI20" s="2963"/>
      <c r="AJ20" s="2963"/>
      <c r="AK20" s="2963"/>
      <c r="AL20" s="2963"/>
      <c r="AM20" s="2964"/>
      <c r="AN20" s="2962" cm="1">
        <f t="array" ref="AN20">SUMPRODUCT((Application!$B$728:$B$752 = 'CalHFA Addendum'!AN$18)*(Application!$AH$728:$AH$752 = 'CalHFA Addendum'!$B20),Application!$G$728:$G$752)</f>
        <v>0</v>
      </c>
      <c r="AO20" s="2963"/>
      <c r="AP20" s="2963"/>
      <c r="AQ20" s="2963"/>
      <c r="AR20" s="2963"/>
      <c r="AS20" s="2964"/>
      <c r="AT20" s="2965">
        <f t="shared" si="0"/>
        <v>5.3571428571428568E-2</v>
      </c>
      <c r="AU20" s="2966"/>
      <c r="AV20" s="2966"/>
      <c r="AW20" s="2966"/>
      <c r="AX20" s="2966"/>
      <c r="AY20" s="2967"/>
      <c r="AZ20" s="1766"/>
      <c r="BA20" s="1766"/>
      <c r="BB20" s="1766"/>
      <c r="BC20" s="1766"/>
      <c r="BD20" s="1766"/>
      <c r="BE20" s="1772"/>
    </row>
    <row r="21" spans="1:58" ht="14.5">
      <c r="A21" s="1766"/>
      <c r="B21" s="2971">
        <v>0.4</v>
      </c>
      <c r="C21" s="2972"/>
      <c r="D21" s="2972"/>
      <c r="E21" s="2972"/>
      <c r="F21" s="2972"/>
      <c r="G21" s="2972"/>
      <c r="H21" s="2972"/>
      <c r="I21" s="2972"/>
      <c r="J21" s="2962">
        <f t="shared" si="1"/>
        <v>0</v>
      </c>
      <c r="K21" s="2963"/>
      <c r="L21" s="2963"/>
      <c r="M21" s="2963"/>
      <c r="N21" s="2963"/>
      <c r="O21" s="2964"/>
      <c r="P21" s="2962" cm="1">
        <f t="array" ref="P21">SUMPRODUCT((Application!$B$728:$B$752 = 'CalHFA Addendum'!P$18)*(Application!$AH$728:$AH$752 = 'CalHFA Addendum'!$B21),Application!$G$728:$G$752)</f>
        <v>0</v>
      </c>
      <c r="Q21" s="2963"/>
      <c r="R21" s="2963"/>
      <c r="S21" s="2963"/>
      <c r="T21" s="2963"/>
      <c r="U21" s="2964"/>
      <c r="V21" s="2962" cm="1">
        <f t="array" ref="V21">SUMPRODUCT((Application!$B$728:$B$752 = 'CalHFA Addendum'!V$18)*(Application!$AH$728:$AH$752 = 'CalHFA Addendum'!$B21),Application!$G$728:$G$752)</f>
        <v>0</v>
      </c>
      <c r="W21" s="2963"/>
      <c r="X21" s="2963"/>
      <c r="Y21" s="2963"/>
      <c r="Z21" s="2963"/>
      <c r="AA21" s="2964"/>
      <c r="AB21" s="2962" cm="1">
        <f t="array" ref="AB21">SUMPRODUCT((Application!$B$728:$B$752 = 'CalHFA Addendum'!AB$18)*(Application!$AH$728:$AH$752 = 'CalHFA Addendum'!$B21),Application!$G$728:$G$752)</f>
        <v>0</v>
      </c>
      <c r="AC21" s="2963"/>
      <c r="AD21" s="2963"/>
      <c r="AE21" s="2963"/>
      <c r="AF21" s="2963"/>
      <c r="AG21" s="2964"/>
      <c r="AH21" s="2962" cm="1">
        <f t="array" ref="AH21">SUMPRODUCT((Application!$B$728:$B$752 = 'CalHFA Addendum'!AH$18)*(Application!$AH$728:$AH$752 = 'CalHFA Addendum'!$B21),Application!$G$728:$G$752)</f>
        <v>0</v>
      </c>
      <c r="AI21" s="2963"/>
      <c r="AJ21" s="2963"/>
      <c r="AK21" s="2963"/>
      <c r="AL21" s="2963"/>
      <c r="AM21" s="2964"/>
      <c r="AN21" s="2962" cm="1">
        <f t="array" ref="AN21">SUMPRODUCT((Application!$B$728:$B$752 = 'CalHFA Addendum'!AN$18)*(Application!$AH$728:$AH$752 = 'CalHFA Addendum'!$B21),Application!$G$728:$G$752)</f>
        <v>0</v>
      </c>
      <c r="AO21" s="2963"/>
      <c r="AP21" s="2963"/>
      <c r="AQ21" s="2963"/>
      <c r="AR21" s="2963"/>
      <c r="AS21" s="2964"/>
      <c r="AT21" s="2965">
        <f t="shared" si="0"/>
        <v>0</v>
      </c>
      <c r="AU21" s="2966"/>
      <c r="AV21" s="2966"/>
      <c r="AW21" s="2966"/>
      <c r="AX21" s="2966"/>
      <c r="AY21" s="2967"/>
      <c r="AZ21" s="1766"/>
      <c r="BA21" s="1766"/>
      <c r="BB21" s="1766"/>
      <c r="BC21" s="1766"/>
      <c r="BD21" s="1766"/>
      <c r="BE21" s="1772"/>
    </row>
    <row r="22" spans="1:58" ht="14.5">
      <c r="A22" s="1766"/>
      <c r="B22" s="2971">
        <v>0.5</v>
      </c>
      <c r="C22" s="2972"/>
      <c r="D22" s="2972"/>
      <c r="E22" s="2972"/>
      <c r="F22" s="2972"/>
      <c r="G22" s="2972"/>
      <c r="H22" s="2972"/>
      <c r="I22" s="2972"/>
      <c r="J22" s="2962">
        <f t="shared" si="1"/>
        <v>13</v>
      </c>
      <c r="K22" s="2963"/>
      <c r="L22" s="2963"/>
      <c r="M22" s="2963"/>
      <c r="N22" s="2963"/>
      <c r="O22" s="2964"/>
      <c r="P22" s="2962" cm="1">
        <f t="array" ref="P22">SUMPRODUCT((Application!$B$728:$B$752 = 'CalHFA Addendum'!P$18)*(Application!$AH$728:$AH$752 = 'CalHFA Addendum'!$B22),Application!$G$728:$G$752)</f>
        <v>0</v>
      </c>
      <c r="Q22" s="2963"/>
      <c r="R22" s="2963"/>
      <c r="S22" s="2963"/>
      <c r="T22" s="2963"/>
      <c r="U22" s="2964"/>
      <c r="V22" s="2962" cm="1">
        <f t="array" ref="V22">SUMPRODUCT((Application!$B$728:$B$752 = 'CalHFA Addendum'!V$18)*(Application!$AH$728:$AH$752 = 'CalHFA Addendum'!$B22),Application!$G$728:$G$752)</f>
        <v>0</v>
      </c>
      <c r="W22" s="2963"/>
      <c r="X22" s="2963"/>
      <c r="Y22" s="2963"/>
      <c r="Z22" s="2963"/>
      <c r="AA22" s="2964"/>
      <c r="AB22" s="2962" cm="1">
        <f t="array" ref="AB22">SUMPRODUCT((Application!$B$728:$B$752 = 'CalHFA Addendum'!AB$18)*(Application!$AH$728:$AH$752 = 'CalHFA Addendum'!$B22),Application!$G$728:$G$752)</f>
        <v>13</v>
      </c>
      <c r="AC22" s="2963"/>
      <c r="AD22" s="2963"/>
      <c r="AE22" s="2963"/>
      <c r="AF22" s="2963"/>
      <c r="AG22" s="2964"/>
      <c r="AH22" s="2962" cm="1">
        <f t="array" ref="AH22">SUMPRODUCT((Application!$B$728:$B$752 = 'CalHFA Addendum'!AH$18)*(Application!$AH$728:$AH$752 = 'CalHFA Addendum'!$B22),Application!$G$728:$G$752)</f>
        <v>0</v>
      </c>
      <c r="AI22" s="2963"/>
      <c r="AJ22" s="2963"/>
      <c r="AK22" s="2963"/>
      <c r="AL22" s="2963"/>
      <c r="AM22" s="2964"/>
      <c r="AN22" s="2962" cm="1">
        <f t="array" ref="AN22">SUMPRODUCT((Application!$B$728:$B$752 = 'CalHFA Addendum'!AN$18)*(Application!$AH$728:$AH$752 = 'CalHFA Addendum'!$B22),Application!$G$728:$G$752)</f>
        <v>0</v>
      </c>
      <c r="AO22" s="2963"/>
      <c r="AP22" s="2963"/>
      <c r="AQ22" s="2963"/>
      <c r="AR22" s="2963"/>
      <c r="AS22" s="2964"/>
      <c r="AT22" s="2965">
        <f t="shared" si="0"/>
        <v>0.11607142857142858</v>
      </c>
      <c r="AU22" s="2966"/>
      <c r="AV22" s="2966"/>
      <c r="AW22" s="2966"/>
      <c r="AX22" s="2966"/>
      <c r="AY22" s="2967"/>
      <c r="AZ22" s="1766"/>
      <c r="BA22" s="1766"/>
      <c r="BB22" s="1766"/>
      <c r="BC22" s="1766"/>
      <c r="BD22" s="1766"/>
      <c r="BE22" s="1772"/>
    </row>
    <row r="23" spans="1:58" ht="14.5">
      <c r="A23" s="1766"/>
      <c r="B23" s="2971">
        <v>0.6</v>
      </c>
      <c r="C23" s="2972"/>
      <c r="D23" s="2972"/>
      <c r="E23" s="2972"/>
      <c r="F23" s="2972"/>
      <c r="G23" s="2972"/>
      <c r="H23" s="2972"/>
      <c r="I23" s="2972"/>
      <c r="J23" s="2962">
        <f t="shared" si="1"/>
        <v>67</v>
      </c>
      <c r="K23" s="2963"/>
      <c r="L23" s="2963"/>
      <c r="M23" s="2963"/>
      <c r="N23" s="2963"/>
      <c r="O23" s="2964"/>
      <c r="P23" s="2962" cm="1">
        <f t="array" ref="P23">SUMPRODUCT((Application!$B$728:$B$752 = 'CalHFA Addendum'!P$18)*(Application!$AH$728:$AH$752 = 'CalHFA Addendum'!$B23),Application!$G$728:$G$752)</f>
        <v>53</v>
      </c>
      <c r="Q23" s="2963"/>
      <c r="R23" s="2963"/>
      <c r="S23" s="2963"/>
      <c r="T23" s="2963"/>
      <c r="U23" s="2964"/>
      <c r="V23" s="2962" cm="1">
        <f t="array" ref="V23">SUMPRODUCT((Application!$B$728:$B$752 = 'CalHFA Addendum'!V$18)*(Application!$AH$728:$AH$752 = 'CalHFA Addendum'!$B23),Application!$G$728:$G$752)</f>
        <v>0</v>
      </c>
      <c r="W23" s="2963"/>
      <c r="X23" s="2963"/>
      <c r="Y23" s="2963"/>
      <c r="Z23" s="2963"/>
      <c r="AA23" s="2964"/>
      <c r="AB23" s="2962" cm="1">
        <f t="array" ref="AB23">SUMPRODUCT((Application!$B$728:$B$752 = 'CalHFA Addendum'!AB$18)*(Application!$AH$728:$AH$752 = 'CalHFA Addendum'!$B23),Application!$G$728:$G$752)</f>
        <v>14</v>
      </c>
      <c r="AC23" s="2963"/>
      <c r="AD23" s="2963"/>
      <c r="AE23" s="2963"/>
      <c r="AF23" s="2963"/>
      <c r="AG23" s="2964"/>
      <c r="AH23" s="2962" cm="1">
        <f t="array" ref="AH23">SUMPRODUCT((Application!$B$728:$B$752 = 'CalHFA Addendum'!AH$18)*(Application!$AH$728:$AH$752 = 'CalHFA Addendum'!$B23),Application!$G$728:$G$752)</f>
        <v>0</v>
      </c>
      <c r="AI23" s="2963"/>
      <c r="AJ23" s="2963"/>
      <c r="AK23" s="2963"/>
      <c r="AL23" s="2963"/>
      <c r="AM23" s="2964"/>
      <c r="AN23" s="2962" cm="1">
        <f t="array" ref="AN23">SUMPRODUCT((Application!$B$728:$B$752 = 'CalHFA Addendum'!AN$18)*(Application!$AH$728:$AH$752 = 'CalHFA Addendum'!$B23),Application!$G$728:$G$752)</f>
        <v>0</v>
      </c>
      <c r="AO23" s="2963"/>
      <c r="AP23" s="2963"/>
      <c r="AQ23" s="2963"/>
      <c r="AR23" s="2963"/>
      <c r="AS23" s="2964"/>
      <c r="AT23" s="2965">
        <f t="shared" si="0"/>
        <v>0.5982142857142857</v>
      </c>
      <c r="AU23" s="2966"/>
      <c r="AV23" s="2966"/>
      <c r="AW23" s="2966"/>
      <c r="AX23" s="2966"/>
      <c r="AY23" s="2967"/>
      <c r="AZ23" s="1766"/>
      <c r="BA23" s="1766"/>
      <c r="BB23" s="1766"/>
      <c r="BC23" s="1766"/>
      <c r="BD23" s="1766"/>
      <c r="BE23" s="1772"/>
    </row>
    <row r="24" spans="1:58" ht="14.5">
      <c r="A24" s="1766"/>
      <c r="B24" s="2971">
        <v>0.7</v>
      </c>
      <c r="C24" s="2972"/>
      <c r="D24" s="2972"/>
      <c r="E24" s="2972"/>
      <c r="F24" s="2972"/>
      <c r="G24" s="2972"/>
      <c r="H24" s="2972"/>
      <c r="I24" s="2972"/>
      <c r="J24" s="2962">
        <f t="shared" si="1"/>
        <v>0</v>
      </c>
      <c r="K24" s="2963"/>
      <c r="L24" s="2963"/>
      <c r="M24" s="2963"/>
      <c r="N24" s="2963"/>
      <c r="O24" s="2964"/>
      <c r="P24" s="2962" cm="1">
        <f t="array" ref="P24">SUMPRODUCT((Application!$B$728:$B$752 = 'CalHFA Addendum'!P$18)*(Application!$AH$728:$AH$752 = 'CalHFA Addendum'!$B24),Application!$G$728:$G$752)</f>
        <v>0</v>
      </c>
      <c r="Q24" s="2963"/>
      <c r="R24" s="2963"/>
      <c r="S24" s="2963"/>
      <c r="T24" s="2963"/>
      <c r="U24" s="2964"/>
      <c r="V24" s="2962" cm="1">
        <f t="array" ref="V24">SUMPRODUCT((Application!$B$728:$B$752 = 'CalHFA Addendum'!V$18)*(Application!$AH$728:$AH$752 = 'CalHFA Addendum'!$B24),Application!$G$728:$G$752)</f>
        <v>0</v>
      </c>
      <c r="W24" s="2963"/>
      <c r="X24" s="2963"/>
      <c r="Y24" s="2963"/>
      <c r="Z24" s="2963"/>
      <c r="AA24" s="2964"/>
      <c r="AB24" s="2962" cm="1">
        <f t="array" ref="AB24">SUMPRODUCT((Application!$B$728:$B$752 = 'CalHFA Addendum'!AB$18)*(Application!$AH$728:$AH$752 = 'CalHFA Addendum'!$B24),Application!$G$728:$G$752)</f>
        <v>0</v>
      </c>
      <c r="AC24" s="2963"/>
      <c r="AD24" s="2963"/>
      <c r="AE24" s="2963"/>
      <c r="AF24" s="2963"/>
      <c r="AG24" s="2964"/>
      <c r="AH24" s="2962" cm="1">
        <f t="array" ref="AH24">SUMPRODUCT((Application!$B$728:$B$752 = 'CalHFA Addendum'!AH$18)*(Application!$AH$728:$AH$752 = 'CalHFA Addendum'!$B24),Application!$G$728:$G$752)</f>
        <v>0</v>
      </c>
      <c r="AI24" s="2963"/>
      <c r="AJ24" s="2963"/>
      <c r="AK24" s="2963"/>
      <c r="AL24" s="2963"/>
      <c r="AM24" s="2964"/>
      <c r="AN24" s="2962" cm="1">
        <f t="array" ref="AN24">SUMPRODUCT((Application!$B$728:$B$752 = 'CalHFA Addendum'!AN$18)*(Application!$AH$728:$AH$752 = 'CalHFA Addendum'!$B24),Application!$G$728:$G$752)</f>
        <v>0</v>
      </c>
      <c r="AO24" s="2963"/>
      <c r="AP24" s="2963"/>
      <c r="AQ24" s="2963"/>
      <c r="AR24" s="2963"/>
      <c r="AS24" s="2964"/>
      <c r="AT24" s="2965">
        <f t="shared" si="0"/>
        <v>0</v>
      </c>
      <c r="AU24" s="2966"/>
      <c r="AV24" s="2966"/>
      <c r="AW24" s="2966"/>
      <c r="AX24" s="2966"/>
      <c r="AY24" s="2967"/>
      <c r="AZ24" s="1766"/>
      <c r="BA24" s="1766"/>
      <c r="BB24" s="1766"/>
      <c r="BC24" s="1766"/>
      <c r="BD24" s="1766"/>
      <c r="BE24" s="1772"/>
    </row>
    <row r="25" spans="1:58" ht="14.5">
      <c r="A25" s="1766"/>
      <c r="B25" s="2971">
        <v>0.8</v>
      </c>
      <c r="C25" s="2972"/>
      <c r="D25" s="2972"/>
      <c r="E25" s="2972"/>
      <c r="F25" s="2972"/>
      <c r="G25" s="2972"/>
      <c r="H25" s="2972"/>
      <c r="I25" s="2972"/>
      <c r="J25" s="2962">
        <f t="shared" si="1"/>
        <v>0</v>
      </c>
      <c r="K25" s="2963"/>
      <c r="L25" s="2963"/>
      <c r="M25" s="2963"/>
      <c r="N25" s="2963"/>
      <c r="O25" s="2964"/>
      <c r="P25" s="2962" cm="1">
        <f t="array" ref="P25">SUMPRODUCT((Application!$B$728:$B$752 = 'CalHFA Addendum'!P$18)*(Application!$AH$728:$AH$752 = 'CalHFA Addendum'!$B25),Application!$G$728:$G$752)</f>
        <v>0</v>
      </c>
      <c r="Q25" s="2963"/>
      <c r="R25" s="2963"/>
      <c r="S25" s="2963"/>
      <c r="T25" s="2963"/>
      <c r="U25" s="2964"/>
      <c r="V25" s="2962" cm="1">
        <f t="array" ref="V25">SUMPRODUCT((Application!$B$728:$B$752 = 'CalHFA Addendum'!V$18)*(Application!$AH$728:$AH$752 = 'CalHFA Addendum'!$B25),Application!$G$728:$G$752)</f>
        <v>0</v>
      </c>
      <c r="W25" s="2963"/>
      <c r="X25" s="2963"/>
      <c r="Y25" s="2963"/>
      <c r="Z25" s="2963"/>
      <c r="AA25" s="2964"/>
      <c r="AB25" s="2962" cm="1">
        <f t="array" ref="AB25">SUMPRODUCT((Application!$B$728:$B$752 = 'CalHFA Addendum'!AB$18)*(Application!$AH$728:$AH$752 = 'CalHFA Addendum'!$B25),Application!$G$728:$G$752)</f>
        <v>0</v>
      </c>
      <c r="AC25" s="2963"/>
      <c r="AD25" s="2963"/>
      <c r="AE25" s="2963"/>
      <c r="AF25" s="2963"/>
      <c r="AG25" s="2964"/>
      <c r="AH25" s="2962" cm="1">
        <f t="array" ref="AH25">SUMPRODUCT((Application!$B$728:$B$752 = 'CalHFA Addendum'!AH$18)*(Application!$AH$728:$AH$752 = 'CalHFA Addendum'!$B25),Application!$G$728:$G$752)</f>
        <v>0</v>
      </c>
      <c r="AI25" s="2963"/>
      <c r="AJ25" s="2963"/>
      <c r="AK25" s="2963"/>
      <c r="AL25" s="2963"/>
      <c r="AM25" s="2964"/>
      <c r="AN25" s="2962" cm="1">
        <f t="array" ref="AN25">SUMPRODUCT((Application!$B$728:$B$752 = 'CalHFA Addendum'!AN$18)*(Application!$AH$728:$AH$752 = 'CalHFA Addendum'!$B25),Application!$G$728:$G$752)</f>
        <v>0</v>
      </c>
      <c r="AO25" s="2963"/>
      <c r="AP25" s="2963"/>
      <c r="AQ25" s="2963"/>
      <c r="AR25" s="2963"/>
      <c r="AS25" s="2964"/>
      <c r="AT25" s="2965">
        <f t="shared" si="0"/>
        <v>0</v>
      </c>
      <c r="AU25" s="2966"/>
      <c r="AV25" s="2966"/>
      <c r="AW25" s="2966"/>
      <c r="AX25" s="2966"/>
      <c r="AY25" s="2967"/>
      <c r="AZ25" s="1766"/>
      <c r="BA25" s="1766"/>
      <c r="BB25" s="1766"/>
      <c r="BC25" s="1766"/>
      <c r="BD25" s="1766"/>
      <c r="BE25" s="1772"/>
    </row>
    <row r="26" spans="1:58" ht="14.5">
      <c r="A26" s="1766"/>
      <c r="B26" s="2971">
        <v>0.9</v>
      </c>
      <c r="C26" s="2972"/>
      <c r="D26" s="2972"/>
      <c r="E26" s="2972"/>
      <c r="F26" s="2972"/>
      <c r="G26" s="2972"/>
      <c r="H26" s="2972"/>
      <c r="I26" s="2972"/>
      <c r="J26" s="2962">
        <f t="shared" si="1"/>
        <v>0</v>
      </c>
      <c r="K26" s="2963"/>
      <c r="L26" s="2963"/>
      <c r="M26" s="2963"/>
      <c r="N26" s="2963"/>
      <c r="O26" s="2964"/>
      <c r="P26" s="2962" cm="1">
        <f t="array" ref="P26">SUMPRODUCT((Application!$B$728:$B$752 = 'CalHFA Addendum'!P$18)*(Application!$AH$728:$AH$752 = 'CalHFA Addendum'!$B26),Application!$G$728:$G$752)</f>
        <v>0</v>
      </c>
      <c r="Q26" s="2963"/>
      <c r="R26" s="2963"/>
      <c r="S26" s="2963"/>
      <c r="T26" s="2963"/>
      <c r="U26" s="2964"/>
      <c r="V26" s="2962" cm="1">
        <f t="array" ref="V26">SUMPRODUCT((Application!$B$728:$B$752 = 'CalHFA Addendum'!V$18)*(Application!$AH$728:$AH$752 = 'CalHFA Addendum'!$B26),Application!$G$728:$G$752)</f>
        <v>0</v>
      </c>
      <c r="W26" s="2963"/>
      <c r="X26" s="2963"/>
      <c r="Y26" s="2963"/>
      <c r="Z26" s="2963"/>
      <c r="AA26" s="2964"/>
      <c r="AB26" s="2962" cm="1">
        <f t="array" ref="AB26">SUMPRODUCT((Application!$B$728:$B$752 = 'CalHFA Addendum'!AB$18)*(Application!$AH$728:$AH$752 = 'CalHFA Addendum'!$B26),Application!$G$728:$G$752)</f>
        <v>0</v>
      </c>
      <c r="AC26" s="2963"/>
      <c r="AD26" s="2963"/>
      <c r="AE26" s="2963"/>
      <c r="AF26" s="2963"/>
      <c r="AG26" s="2964"/>
      <c r="AH26" s="2962" cm="1">
        <f t="array" ref="AH26">SUMPRODUCT((Application!$B$728:$B$752 = 'CalHFA Addendum'!AH$18)*(Application!$AH$728:$AH$752 = 'CalHFA Addendum'!$B26),Application!$G$728:$G$752)</f>
        <v>0</v>
      </c>
      <c r="AI26" s="2963"/>
      <c r="AJ26" s="2963"/>
      <c r="AK26" s="2963"/>
      <c r="AL26" s="2963"/>
      <c r="AM26" s="2964"/>
      <c r="AN26" s="2962" cm="1">
        <f t="array" ref="AN26">SUMPRODUCT((Application!$B$728:$B$752 = 'CalHFA Addendum'!AN$18)*(Application!$AH$728:$AH$752 = 'CalHFA Addendum'!$B26),Application!$G$728:$G$752)</f>
        <v>0</v>
      </c>
      <c r="AO26" s="2963"/>
      <c r="AP26" s="2963"/>
      <c r="AQ26" s="2963"/>
      <c r="AR26" s="2963"/>
      <c r="AS26" s="2964"/>
      <c r="AT26" s="2965">
        <f t="shared" si="0"/>
        <v>0</v>
      </c>
      <c r="AU26" s="2966"/>
      <c r="AV26" s="2966"/>
      <c r="AW26" s="2966"/>
      <c r="AX26" s="2966"/>
      <c r="AY26" s="2967"/>
      <c r="AZ26" s="1766"/>
      <c r="BA26" s="1766"/>
      <c r="BB26" s="1766"/>
      <c r="BC26" s="1766"/>
      <c r="BD26" s="1766"/>
      <c r="BE26" s="1772"/>
    </row>
    <row r="27" spans="1:58" ht="14.5">
      <c r="A27" s="1766"/>
      <c r="B27" s="2971">
        <v>1</v>
      </c>
      <c r="C27" s="2972"/>
      <c r="D27" s="2972"/>
      <c r="E27" s="2972"/>
      <c r="F27" s="2972"/>
      <c r="G27" s="2972"/>
      <c r="H27" s="2972"/>
      <c r="I27" s="2972"/>
      <c r="J27" s="2962">
        <f t="shared" si="1"/>
        <v>0</v>
      </c>
      <c r="K27" s="2963"/>
      <c r="L27" s="2963"/>
      <c r="M27" s="2963"/>
      <c r="N27" s="2963"/>
      <c r="O27" s="2964"/>
      <c r="P27" s="2962" cm="1">
        <f t="array" ref="P27">SUMPRODUCT((Application!$B$728:$B$752 = 'CalHFA Addendum'!P$18)*(Application!$AH$728:$AH$752 = 'CalHFA Addendum'!$B27),Application!$G$728:$G$752)</f>
        <v>0</v>
      </c>
      <c r="Q27" s="2963"/>
      <c r="R27" s="2963"/>
      <c r="S27" s="2963"/>
      <c r="T27" s="2963"/>
      <c r="U27" s="2964"/>
      <c r="V27" s="2962" cm="1">
        <f t="array" ref="V27">SUMPRODUCT((Application!$B$728:$B$752 = 'CalHFA Addendum'!V$18)*(Application!$AH$728:$AH$752 = 'CalHFA Addendum'!$B27),Application!$G$728:$G$752)</f>
        <v>0</v>
      </c>
      <c r="W27" s="2963"/>
      <c r="X27" s="2963"/>
      <c r="Y27" s="2963"/>
      <c r="Z27" s="2963"/>
      <c r="AA27" s="2964"/>
      <c r="AB27" s="2962" cm="1">
        <f t="array" ref="AB27">SUMPRODUCT((Application!$B$728:$B$752 = 'CalHFA Addendum'!AB$18)*(Application!$AH$728:$AH$752 = 'CalHFA Addendum'!$B27),Application!$G$728:$G$752)</f>
        <v>0</v>
      </c>
      <c r="AC27" s="2963"/>
      <c r="AD27" s="2963"/>
      <c r="AE27" s="2963"/>
      <c r="AF27" s="2963"/>
      <c r="AG27" s="2964"/>
      <c r="AH27" s="2962" cm="1">
        <f t="array" ref="AH27">SUMPRODUCT((Application!$B$728:$B$752 = 'CalHFA Addendum'!AH$18)*(Application!$AH$728:$AH$752 = 'CalHFA Addendum'!$B27),Application!$G$728:$G$752)</f>
        <v>0</v>
      </c>
      <c r="AI27" s="2963"/>
      <c r="AJ27" s="2963"/>
      <c r="AK27" s="2963"/>
      <c r="AL27" s="2963"/>
      <c r="AM27" s="2964"/>
      <c r="AN27" s="2962" cm="1">
        <f t="array" ref="AN27">SUMPRODUCT((Application!$B$728:$B$752 = 'CalHFA Addendum'!AN$18)*(Application!$AH$728:$AH$752 = 'CalHFA Addendum'!$B27),Application!$G$728:$G$752)</f>
        <v>0</v>
      </c>
      <c r="AO27" s="2963"/>
      <c r="AP27" s="2963"/>
      <c r="AQ27" s="2963"/>
      <c r="AR27" s="2963"/>
      <c r="AS27" s="2964"/>
      <c r="AT27" s="2965">
        <f t="shared" si="0"/>
        <v>0</v>
      </c>
      <c r="AU27" s="2966"/>
      <c r="AV27" s="2966"/>
      <c r="AW27" s="2966"/>
      <c r="AX27" s="2966"/>
      <c r="AY27" s="2967"/>
      <c r="AZ27" s="1766"/>
      <c r="BA27" s="1766"/>
      <c r="BB27" s="1766"/>
      <c r="BC27" s="1766"/>
      <c r="BD27" s="1766"/>
      <c r="BE27" s="1772"/>
    </row>
    <row r="28" spans="1:58" ht="15" thickBot="1">
      <c r="A28" s="1766"/>
      <c r="B28" s="2968" t="s">
        <v>2001</v>
      </c>
      <c r="C28" s="2969"/>
      <c r="D28" s="2969"/>
      <c r="E28" s="2969"/>
      <c r="F28" s="2969"/>
      <c r="G28" s="2969"/>
      <c r="H28" s="2969"/>
      <c r="I28" s="2970"/>
      <c r="J28" s="2962">
        <f t="shared" si="1"/>
        <v>2</v>
      </c>
      <c r="K28" s="2963"/>
      <c r="L28" s="2963"/>
      <c r="M28" s="2963"/>
      <c r="N28" s="2963"/>
      <c r="O28" s="2964"/>
      <c r="P28" s="2962">
        <f>_xlfn.IFNA(VLOOKUP(P$18,Application!$J$772:$S$775,6,FALSE), 0)</f>
        <v>1</v>
      </c>
      <c r="Q28" s="2963"/>
      <c r="R28" s="2963"/>
      <c r="S28" s="2963"/>
      <c r="T28" s="2963"/>
      <c r="U28" s="2964"/>
      <c r="V28" s="2962">
        <f>_xlfn.IFNA(VLOOKUP(V$18,Application!$J$772:$S$775,6,FALSE), 0)</f>
        <v>0</v>
      </c>
      <c r="W28" s="2963"/>
      <c r="X28" s="2963"/>
      <c r="Y28" s="2963"/>
      <c r="Z28" s="2963"/>
      <c r="AA28" s="2964"/>
      <c r="AB28" s="2962">
        <f>_xlfn.IFNA(VLOOKUP(AB$18,Application!$J$772:$S$775,6,FALSE), 0)</f>
        <v>1</v>
      </c>
      <c r="AC28" s="2963"/>
      <c r="AD28" s="2963"/>
      <c r="AE28" s="2963"/>
      <c r="AF28" s="2963"/>
      <c r="AG28" s="2964"/>
      <c r="AH28" s="2962">
        <f>_xlfn.IFNA(VLOOKUP(AH$18,Application!$J$772:$S$775,6,FALSE), 0)</f>
        <v>0</v>
      </c>
      <c r="AI28" s="2963"/>
      <c r="AJ28" s="2963"/>
      <c r="AK28" s="2963"/>
      <c r="AL28" s="2963"/>
      <c r="AM28" s="2964"/>
      <c r="AN28" s="2962">
        <f>_xlfn.IFNA(VLOOKUP(AN$18,Application!$J$772:$S$775,6,FALSE), 0)</f>
        <v>0</v>
      </c>
      <c r="AO28" s="2963"/>
      <c r="AP28" s="2963"/>
      <c r="AQ28" s="2963"/>
      <c r="AR28" s="2963"/>
      <c r="AS28" s="2964"/>
      <c r="AT28" s="2965">
        <f t="shared" si="0"/>
        <v>1.7857142857142856E-2</v>
      </c>
      <c r="AU28" s="2966"/>
      <c r="AV28" s="2966"/>
      <c r="AW28" s="2966"/>
      <c r="AX28" s="2966"/>
      <c r="AY28" s="2967"/>
      <c r="AZ28" s="1766"/>
      <c r="BA28" s="1766"/>
      <c r="BB28" s="1766"/>
      <c r="BC28" s="1766"/>
      <c r="BD28" s="1766"/>
      <c r="BE28" s="1772"/>
    </row>
    <row r="29" spans="1:58" ht="15" thickBot="1">
      <c r="A29" s="1766"/>
      <c r="B29" s="2961" t="s">
        <v>1873</v>
      </c>
      <c r="C29" s="2937"/>
      <c r="D29" s="2937"/>
      <c r="E29" s="2937"/>
      <c r="F29" s="2937"/>
      <c r="G29" s="2937"/>
      <c r="H29" s="2937"/>
      <c r="I29" s="2938"/>
      <c r="J29" s="2936">
        <f>SUM(J19:O28)</f>
        <v>112</v>
      </c>
      <c r="K29" s="2937"/>
      <c r="L29" s="2937"/>
      <c r="M29" s="2937"/>
      <c r="N29" s="2937"/>
      <c r="O29" s="2938"/>
      <c r="P29" s="2936">
        <f>SUM(P19:U28)</f>
        <v>80</v>
      </c>
      <c r="Q29" s="2937"/>
      <c r="R29" s="2937"/>
      <c r="S29" s="2937"/>
      <c r="T29" s="2937"/>
      <c r="U29" s="2938"/>
      <c r="V29" s="2936">
        <f>SUM(V19:AA28)</f>
        <v>0</v>
      </c>
      <c r="W29" s="2937"/>
      <c r="X29" s="2937"/>
      <c r="Y29" s="2937"/>
      <c r="Z29" s="2937"/>
      <c r="AA29" s="2938"/>
      <c r="AB29" s="2936">
        <f>SUM(AB19:AG28)</f>
        <v>32</v>
      </c>
      <c r="AC29" s="2937"/>
      <c r="AD29" s="2937"/>
      <c r="AE29" s="2937"/>
      <c r="AF29" s="2937"/>
      <c r="AG29" s="2938"/>
      <c r="AH29" s="2936">
        <f>SUM(AH19:AM28)</f>
        <v>0</v>
      </c>
      <c r="AI29" s="2937"/>
      <c r="AJ29" s="2937"/>
      <c r="AK29" s="2937"/>
      <c r="AL29" s="2937"/>
      <c r="AM29" s="2938"/>
      <c r="AN29" s="2936">
        <f>SUM(AN19:AS28)</f>
        <v>0</v>
      </c>
      <c r="AO29" s="2937"/>
      <c r="AP29" s="2937"/>
      <c r="AQ29" s="2937"/>
      <c r="AR29" s="2937"/>
      <c r="AS29" s="2938"/>
      <c r="AT29" s="2939">
        <f>J29/$J$29</f>
        <v>1</v>
      </c>
      <c r="AU29" s="2940"/>
      <c r="AV29" s="2940"/>
      <c r="AW29" s="2940"/>
      <c r="AX29" s="2940"/>
      <c r="AY29" s="2941"/>
      <c r="AZ29" s="1766"/>
      <c r="BA29" s="1766"/>
      <c r="BB29" s="1766"/>
      <c r="BC29" s="1766"/>
      <c r="BD29" s="1766"/>
      <c r="BE29" s="1772"/>
    </row>
    <row r="30" spans="1:58" ht="15" thickBot="1">
      <c r="A30" s="1765"/>
      <c r="B30" s="1766"/>
      <c r="C30" s="1766"/>
      <c r="D30" s="1766"/>
      <c r="E30" s="1766"/>
      <c r="F30" s="1766"/>
      <c r="G30" s="1766"/>
      <c r="H30" s="1766"/>
      <c r="I30" s="1766"/>
      <c r="J30" s="1766"/>
      <c r="K30" s="1766"/>
      <c r="L30" s="1766"/>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c r="AS30" s="1766"/>
      <c r="AT30" s="1766"/>
      <c r="AU30" s="1766"/>
      <c r="AV30" s="1766"/>
      <c r="AW30" s="1766"/>
      <c r="AX30" s="1766"/>
      <c r="AY30" s="1766"/>
      <c r="AZ30" s="1766"/>
      <c r="BA30" s="1766"/>
      <c r="BB30" s="1766"/>
      <c r="BC30" s="1766"/>
      <c r="BD30" s="1766"/>
      <c r="BE30" s="1772"/>
    </row>
    <row r="31" spans="1:58" ht="15" thickBot="1">
      <c r="A31" s="1766"/>
      <c r="B31" s="2942" t="s">
        <v>2002</v>
      </c>
      <c r="C31" s="2943"/>
      <c r="D31" s="2943"/>
      <c r="E31" s="2943"/>
      <c r="F31" s="2943"/>
      <c r="G31" s="2943"/>
      <c r="H31" s="2943"/>
      <c r="I31" s="2943"/>
      <c r="J31" s="2943"/>
      <c r="K31" s="2943"/>
      <c r="L31" s="2943"/>
      <c r="M31" s="2943"/>
      <c r="N31" s="2943"/>
      <c r="O31" s="2943"/>
      <c r="P31" s="2943"/>
      <c r="Q31" s="2943"/>
      <c r="R31" s="2943"/>
      <c r="S31" s="2943"/>
      <c r="T31" s="2943"/>
      <c r="U31" s="2943"/>
      <c r="V31" s="2943"/>
      <c r="W31" s="2943"/>
      <c r="X31" s="2943"/>
      <c r="Y31" s="2943"/>
      <c r="Z31" s="2943"/>
      <c r="AA31" s="2943"/>
      <c r="AB31" s="2943"/>
      <c r="AC31" s="2943"/>
      <c r="AD31" s="2943"/>
      <c r="AE31" s="2943"/>
      <c r="AF31" s="2943"/>
      <c r="AG31" s="2943"/>
      <c r="AH31" s="2943"/>
      <c r="AI31" s="2943"/>
      <c r="AJ31" s="2943"/>
      <c r="AK31" s="2943"/>
      <c r="AL31" s="2943"/>
      <c r="AM31" s="2943"/>
      <c r="AN31" s="2943"/>
      <c r="AO31" s="2943"/>
      <c r="AP31" s="2943"/>
      <c r="AQ31" s="2943"/>
      <c r="AR31" s="2943"/>
      <c r="AS31" s="2943"/>
      <c r="AT31" s="2943"/>
      <c r="AU31" s="2943"/>
      <c r="AV31" s="2943"/>
      <c r="AW31" s="2943"/>
      <c r="AX31" s="2943"/>
      <c r="AY31" s="2943"/>
      <c r="AZ31" s="2944"/>
      <c r="BA31" s="1766"/>
      <c r="BB31" s="1766"/>
      <c r="BC31" s="1766"/>
      <c r="BD31" s="1766"/>
      <c r="BE31" s="1772"/>
    </row>
    <row r="32" spans="1:58" ht="15" thickBot="1">
      <c r="A32" s="1766"/>
      <c r="B32" s="2945" t="s">
        <v>2003</v>
      </c>
      <c r="C32" s="2946"/>
      <c r="D32" s="2946"/>
      <c r="E32" s="2946"/>
      <c r="F32" s="2946"/>
      <c r="G32" s="2946"/>
      <c r="H32" s="2946"/>
      <c r="I32" s="2947"/>
      <c r="J32" s="2949" t="s">
        <v>2004</v>
      </c>
      <c r="K32" s="2950"/>
      <c r="L32" s="2950"/>
      <c r="M32" s="2951"/>
      <c r="N32" s="2949" t="s">
        <v>2005</v>
      </c>
      <c r="O32" s="2950"/>
      <c r="P32" s="2950"/>
      <c r="Q32" s="2950"/>
      <c r="R32" s="2953" t="s">
        <v>2006</v>
      </c>
      <c r="S32" s="2954"/>
      <c r="T32" s="2954"/>
      <c r="U32" s="2954"/>
      <c r="V32" s="2954"/>
      <c r="W32" s="2954"/>
      <c r="X32" s="2954"/>
      <c r="Y32" s="2954"/>
      <c r="Z32" s="2954"/>
      <c r="AA32" s="2954"/>
      <c r="AB32" s="2954"/>
      <c r="AC32" s="2954"/>
      <c r="AD32" s="2954"/>
      <c r="AE32" s="2954"/>
      <c r="AF32" s="2954"/>
      <c r="AG32" s="2954"/>
      <c r="AH32" s="2954"/>
      <c r="AI32" s="2954"/>
      <c r="AJ32" s="2954"/>
      <c r="AK32" s="2954"/>
      <c r="AL32" s="2954"/>
      <c r="AM32" s="2954"/>
      <c r="AN32" s="2954"/>
      <c r="AO32" s="2954"/>
      <c r="AP32" s="2954"/>
      <c r="AQ32" s="2954"/>
      <c r="AR32" s="2954"/>
      <c r="AS32" s="2954"/>
      <c r="AT32" s="2954"/>
      <c r="AU32" s="2954"/>
      <c r="AV32" s="2954"/>
      <c r="AW32" s="2954"/>
      <c r="AX32" s="2954"/>
      <c r="AY32" s="2954"/>
      <c r="AZ32" s="2955"/>
      <c r="BA32" s="1766"/>
      <c r="BB32" s="1766"/>
      <c r="BC32" s="1766"/>
      <c r="BD32" s="1766"/>
      <c r="BE32" s="1772"/>
    </row>
    <row r="33" spans="1:58" ht="15" customHeight="1">
      <c r="A33" s="1766"/>
      <c r="B33" s="2948"/>
      <c r="C33" s="2946"/>
      <c r="D33" s="2946"/>
      <c r="E33" s="2946"/>
      <c r="F33" s="2946"/>
      <c r="G33" s="2946"/>
      <c r="H33" s="2946"/>
      <c r="I33" s="2947"/>
      <c r="J33" s="2952"/>
      <c r="K33" s="2950"/>
      <c r="L33" s="2950"/>
      <c r="M33" s="2951"/>
      <c r="N33" s="2952"/>
      <c r="O33" s="2950"/>
      <c r="P33" s="2950"/>
      <c r="Q33" s="2950"/>
      <c r="R33" s="2878" t="s">
        <v>2007</v>
      </c>
      <c r="S33" s="2956"/>
      <c r="T33" s="2956"/>
      <c r="U33" s="2956"/>
      <c r="V33" s="2956"/>
      <c r="W33" s="2956"/>
      <c r="X33" s="2956"/>
      <c r="Y33" s="2956"/>
      <c r="Z33" s="2956"/>
      <c r="AA33" s="2956"/>
      <c r="AB33" s="2956"/>
      <c r="AC33" s="2956"/>
      <c r="AD33" s="2956"/>
      <c r="AE33" s="2956"/>
      <c r="AF33" s="2956"/>
      <c r="AG33" s="2956"/>
      <c r="AH33" s="2956"/>
      <c r="AI33" s="2956"/>
      <c r="AJ33" s="2956"/>
      <c r="AK33" s="2956"/>
      <c r="AL33" s="2956"/>
      <c r="AM33" s="2956"/>
      <c r="AN33" s="2956"/>
      <c r="AO33" s="2956"/>
      <c r="AP33" s="2956"/>
      <c r="AQ33" s="2956"/>
      <c r="AR33" s="2956"/>
      <c r="AS33" s="2956"/>
      <c r="AT33" s="2956"/>
      <c r="AU33" s="2956"/>
      <c r="AV33" s="2956"/>
      <c r="AW33" s="2956"/>
      <c r="AX33" s="2956"/>
      <c r="AY33" s="2956"/>
      <c r="AZ33" s="2957"/>
      <c r="BA33" s="1773"/>
      <c r="BB33" s="1766"/>
      <c r="BC33" s="1766"/>
      <c r="BD33" s="1766"/>
      <c r="BE33" s="1772"/>
    </row>
    <row r="34" spans="1:58" ht="15.75" customHeight="1" thickBot="1">
      <c r="A34" s="1766"/>
      <c r="B34" s="2948"/>
      <c r="C34" s="2946"/>
      <c r="D34" s="2946"/>
      <c r="E34" s="2946"/>
      <c r="F34" s="2946"/>
      <c r="G34" s="2946"/>
      <c r="H34" s="2946"/>
      <c r="I34" s="2947"/>
      <c r="J34" s="2952"/>
      <c r="K34" s="2950"/>
      <c r="L34" s="2950"/>
      <c r="M34" s="2951"/>
      <c r="N34" s="2952"/>
      <c r="O34" s="2950"/>
      <c r="P34" s="2950"/>
      <c r="Q34" s="2950"/>
      <c r="R34" s="2958"/>
      <c r="S34" s="2959"/>
      <c r="T34" s="2959"/>
      <c r="U34" s="2959"/>
      <c r="V34" s="2959"/>
      <c r="W34" s="2959"/>
      <c r="X34" s="2959"/>
      <c r="Y34" s="2959"/>
      <c r="Z34" s="2959"/>
      <c r="AA34" s="2959"/>
      <c r="AB34" s="2959"/>
      <c r="AC34" s="2959"/>
      <c r="AD34" s="2959"/>
      <c r="AE34" s="2959"/>
      <c r="AF34" s="2959"/>
      <c r="AG34" s="2959"/>
      <c r="AH34" s="2959"/>
      <c r="AI34" s="2959"/>
      <c r="AJ34" s="2959"/>
      <c r="AK34" s="2959"/>
      <c r="AL34" s="2959"/>
      <c r="AM34" s="2959"/>
      <c r="AN34" s="2959"/>
      <c r="AO34" s="2959"/>
      <c r="AP34" s="2959"/>
      <c r="AQ34" s="2959"/>
      <c r="AR34" s="2959"/>
      <c r="AS34" s="2959"/>
      <c r="AT34" s="2959"/>
      <c r="AU34" s="2959"/>
      <c r="AV34" s="2959"/>
      <c r="AW34" s="2959"/>
      <c r="AX34" s="2959"/>
      <c r="AY34" s="2959"/>
      <c r="AZ34" s="2960"/>
      <c r="BA34" s="1773"/>
      <c r="BB34" s="1766"/>
      <c r="BC34" s="1766"/>
      <c r="BD34" s="1766"/>
      <c r="BE34" s="1772"/>
    </row>
    <row r="35" spans="1:58" ht="15.75" customHeight="1" thickBot="1">
      <c r="A35" s="1766"/>
      <c r="B35" s="2948"/>
      <c r="C35" s="2946"/>
      <c r="D35" s="2946"/>
      <c r="E35" s="2946"/>
      <c r="F35" s="2946"/>
      <c r="G35" s="2946"/>
      <c r="H35" s="2946"/>
      <c r="I35" s="2947"/>
      <c r="J35" s="2952"/>
      <c r="K35" s="2950"/>
      <c r="L35" s="2950"/>
      <c r="M35" s="2951"/>
      <c r="N35" s="2952"/>
      <c r="O35" s="2950"/>
      <c r="P35" s="2950"/>
      <c r="Q35" s="2950"/>
      <c r="R35" s="2929">
        <v>0.3</v>
      </c>
      <c r="S35" s="2930"/>
      <c r="T35" s="2930"/>
      <c r="U35" s="2931"/>
      <c r="V35" s="2929">
        <v>0.4</v>
      </c>
      <c r="W35" s="2930"/>
      <c r="X35" s="2930"/>
      <c r="Y35" s="2931"/>
      <c r="Z35" s="2929">
        <v>0.5</v>
      </c>
      <c r="AA35" s="2930"/>
      <c r="AB35" s="2930"/>
      <c r="AC35" s="2931"/>
      <c r="AD35" s="2929">
        <v>0.6</v>
      </c>
      <c r="AE35" s="2930"/>
      <c r="AF35" s="2930"/>
      <c r="AG35" s="2931"/>
      <c r="AH35" s="2929">
        <v>0.7</v>
      </c>
      <c r="AI35" s="2930"/>
      <c r="AJ35" s="2930"/>
      <c r="AK35" s="2931"/>
      <c r="AL35" s="2932" t="s">
        <v>2639</v>
      </c>
      <c r="AM35" s="2930"/>
      <c r="AN35" s="2931"/>
      <c r="AO35" s="2933" t="s">
        <v>2008</v>
      </c>
      <c r="AP35" s="2934"/>
      <c r="AQ35" s="2934"/>
      <c r="AR35" s="2934"/>
      <c r="AS35" s="2934"/>
      <c r="AT35" s="2935"/>
      <c r="AU35" s="2933" t="s">
        <v>2009</v>
      </c>
      <c r="AV35" s="2934"/>
      <c r="AW35" s="2934"/>
      <c r="AX35" s="2934"/>
      <c r="AY35" s="2934"/>
      <c r="AZ35" s="2935"/>
      <c r="BA35" s="1773"/>
      <c r="BB35" s="1766"/>
      <c r="BC35" s="1766"/>
      <c r="BD35" s="1766"/>
      <c r="BE35" s="1772"/>
      <c r="BF35" s="1764"/>
    </row>
    <row r="36" spans="1:58" ht="15.75" customHeight="1">
      <c r="A36" s="1766"/>
      <c r="B36" s="2920"/>
      <c r="C36" s="2921"/>
      <c r="D36" s="2921"/>
      <c r="E36" s="2921"/>
      <c r="F36" s="2921"/>
      <c r="G36" s="2921"/>
      <c r="H36" s="2921"/>
      <c r="I36" s="2922"/>
      <c r="J36" s="2923"/>
      <c r="K36" s="2924"/>
      <c r="L36" s="2924"/>
      <c r="M36" s="2925"/>
      <c r="N36" s="2926"/>
      <c r="O36" s="2927"/>
      <c r="P36" s="2927"/>
      <c r="Q36" s="2928"/>
      <c r="R36" s="2887"/>
      <c r="S36" s="2887"/>
      <c r="T36" s="2887"/>
      <c r="U36" s="2887"/>
      <c r="V36" s="2887"/>
      <c r="W36" s="2887"/>
      <c r="X36" s="2887"/>
      <c r="Y36" s="2887"/>
      <c r="Z36" s="2887"/>
      <c r="AA36" s="2887"/>
      <c r="AB36" s="2887"/>
      <c r="AC36" s="2887"/>
      <c r="AD36" s="2887"/>
      <c r="AE36" s="2887"/>
      <c r="AF36" s="2887"/>
      <c r="AG36" s="2887"/>
      <c r="AH36" s="2888"/>
      <c r="AI36" s="2888"/>
      <c r="AJ36" s="2888"/>
      <c r="AK36" s="2888"/>
      <c r="AL36" s="2888"/>
      <c r="AM36" s="2888"/>
      <c r="AN36" s="2888"/>
      <c r="AO36" s="2885">
        <f>SUM(R36:AN36)</f>
        <v>0</v>
      </c>
      <c r="AP36" s="2885"/>
      <c r="AQ36" s="2885"/>
      <c r="AR36" s="2885"/>
      <c r="AS36" s="2885"/>
      <c r="AT36" s="2885"/>
      <c r="AU36" s="2886">
        <f>AO36/$J$29</f>
        <v>0</v>
      </c>
      <c r="AV36" s="2886"/>
      <c r="AW36" s="2886"/>
      <c r="AX36" s="2886"/>
      <c r="AY36" s="2886"/>
      <c r="AZ36" s="2886"/>
      <c r="BA36" s="1766"/>
      <c r="BB36" s="1766"/>
      <c r="BC36" s="1766"/>
      <c r="BD36" s="1766"/>
      <c r="BE36" s="1772"/>
      <c r="BF36" s="1764"/>
    </row>
    <row r="37" spans="1:58" ht="15.75" customHeight="1">
      <c r="A37" s="1766"/>
      <c r="B37" s="2915"/>
      <c r="C37" s="2916"/>
      <c r="D37" s="2916"/>
      <c r="E37" s="2916"/>
      <c r="F37" s="2916"/>
      <c r="G37" s="2916"/>
      <c r="H37" s="2916"/>
      <c r="I37" s="2917"/>
      <c r="J37" s="2918"/>
      <c r="K37" s="2901"/>
      <c r="L37" s="2901"/>
      <c r="M37" s="2919"/>
      <c r="N37" s="2900"/>
      <c r="O37" s="2901"/>
      <c r="P37" s="2901"/>
      <c r="Q37" s="2902"/>
      <c r="R37" s="2887"/>
      <c r="S37" s="2887"/>
      <c r="T37" s="2887"/>
      <c r="U37" s="2887"/>
      <c r="V37" s="2887"/>
      <c r="W37" s="2887"/>
      <c r="X37" s="2887"/>
      <c r="Y37" s="2887"/>
      <c r="Z37" s="2887"/>
      <c r="AA37" s="2887"/>
      <c r="AB37" s="2887"/>
      <c r="AC37" s="2887"/>
      <c r="AD37" s="2887"/>
      <c r="AE37" s="2887"/>
      <c r="AF37" s="2887"/>
      <c r="AG37" s="2887"/>
      <c r="AH37" s="2888"/>
      <c r="AI37" s="2888"/>
      <c r="AJ37" s="2888"/>
      <c r="AK37" s="2888"/>
      <c r="AL37" s="2888"/>
      <c r="AM37" s="2888"/>
      <c r="AN37" s="2888"/>
      <c r="AO37" s="2885">
        <f t="shared" ref="AO37:AO47" si="2">SUM(R37:AN37)</f>
        <v>0</v>
      </c>
      <c r="AP37" s="2885"/>
      <c r="AQ37" s="2885"/>
      <c r="AR37" s="2885"/>
      <c r="AS37" s="2885"/>
      <c r="AT37" s="2885"/>
      <c r="AU37" s="2886">
        <f t="shared" ref="AU37:AU47" si="3">AO37/$J$29</f>
        <v>0</v>
      </c>
      <c r="AV37" s="2886"/>
      <c r="AW37" s="2886"/>
      <c r="AX37" s="2886"/>
      <c r="AY37" s="2886"/>
      <c r="AZ37" s="2886"/>
      <c r="BA37" s="1766"/>
      <c r="BB37" s="1766"/>
      <c r="BC37" s="1766"/>
      <c r="BD37" s="1766"/>
      <c r="BE37" s="1772"/>
      <c r="BF37" s="1764"/>
    </row>
    <row r="38" spans="1:58" ht="15.75" customHeight="1">
      <c r="A38" s="1766"/>
      <c r="B38" s="2915"/>
      <c r="C38" s="2916"/>
      <c r="D38" s="2916"/>
      <c r="E38" s="2916"/>
      <c r="F38" s="2916"/>
      <c r="G38" s="2916"/>
      <c r="H38" s="2916"/>
      <c r="I38" s="2917"/>
      <c r="J38" s="2918"/>
      <c r="K38" s="2901"/>
      <c r="L38" s="2901"/>
      <c r="M38" s="2919"/>
      <c r="N38" s="2900"/>
      <c r="O38" s="2901"/>
      <c r="P38" s="2901"/>
      <c r="Q38" s="2902"/>
      <c r="R38" s="2887"/>
      <c r="S38" s="2887"/>
      <c r="T38" s="2887"/>
      <c r="U38" s="2887"/>
      <c r="V38" s="2887"/>
      <c r="W38" s="2887"/>
      <c r="X38" s="2887"/>
      <c r="Y38" s="2887"/>
      <c r="Z38" s="2887"/>
      <c r="AA38" s="2887"/>
      <c r="AB38" s="2887"/>
      <c r="AC38" s="2887"/>
      <c r="AD38" s="2887"/>
      <c r="AE38" s="2887"/>
      <c r="AF38" s="2887"/>
      <c r="AG38" s="2887"/>
      <c r="AH38" s="2888"/>
      <c r="AI38" s="2888"/>
      <c r="AJ38" s="2888"/>
      <c r="AK38" s="2888"/>
      <c r="AL38" s="2888"/>
      <c r="AM38" s="2888"/>
      <c r="AN38" s="2888"/>
      <c r="AO38" s="2885">
        <f t="shared" si="2"/>
        <v>0</v>
      </c>
      <c r="AP38" s="2885"/>
      <c r="AQ38" s="2885"/>
      <c r="AR38" s="2885"/>
      <c r="AS38" s="2885"/>
      <c r="AT38" s="2885"/>
      <c r="AU38" s="2886">
        <f t="shared" si="3"/>
        <v>0</v>
      </c>
      <c r="AV38" s="2886"/>
      <c r="AW38" s="2886"/>
      <c r="AX38" s="2886"/>
      <c r="AY38" s="2886"/>
      <c r="AZ38" s="2886"/>
      <c r="BA38" s="1766"/>
      <c r="BB38" s="1766"/>
      <c r="BC38" s="1766"/>
      <c r="BD38" s="1766"/>
      <c r="BE38" s="1772"/>
      <c r="BF38" s="1764"/>
    </row>
    <row r="39" spans="1:58" ht="15.75" customHeight="1">
      <c r="A39" s="1766"/>
      <c r="B39" s="2910"/>
      <c r="C39" s="2911"/>
      <c r="D39" s="2911"/>
      <c r="E39" s="2911"/>
      <c r="F39" s="2911"/>
      <c r="G39" s="2911"/>
      <c r="H39" s="2911"/>
      <c r="I39" s="2912"/>
      <c r="J39" s="2914"/>
      <c r="K39" s="2655"/>
      <c r="L39" s="2655"/>
      <c r="M39" s="2899"/>
      <c r="N39" s="2827"/>
      <c r="O39" s="2655"/>
      <c r="P39" s="2655"/>
      <c r="Q39" s="2903"/>
      <c r="R39" s="2887"/>
      <c r="S39" s="2887"/>
      <c r="T39" s="2887"/>
      <c r="U39" s="2887"/>
      <c r="V39" s="2887"/>
      <c r="W39" s="2887"/>
      <c r="X39" s="2887"/>
      <c r="Y39" s="2887"/>
      <c r="Z39" s="2887"/>
      <c r="AA39" s="2887"/>
      <c r="AB39" s="2887"/>
      <c r="AC39" s="2887"/>
      <c r="AD39" s="2887"/>
      <c r="AE39" s="2887"/>
      <c r="AF39" s="2887"/>
      <c r="AG39" s="2887"/>
      <c r="AH39" s="2888"/>
      <c r="AI39" s="2888"/>
      <c r="AJ39" s="2888"/>
      <c r="AK39" s="2888"/>
      <c r="AL39" s="2888"/>
      <c r="AM39" s="2888"/>
      <c r="AN39" s="2888"/>
      <c r="AO39" s="2885">
        <f t="shared" si="2"/>
        <v>0</v>
      </c>
      <c r="AP39" s="2885"/>
      <c r="AQ39" s="2885"/>
      <c r="AR39" s="2885"/>
      <c r="AS39" s="2885"/>
      <c r="AT39" s="2885"/>
      <c r="AU39" s="2886">
        <f t="shared" si="3"/>
        <v>0</v>
      </c>
      <c r="AV39" s="2886"/>
      <c r="AW39" s="2886"/>
      <c r="AX39" s="2886"/>
      <c r="AY39" s="2886"/>
      <c r="AZ39" s="2886"/>
      <c r="BA39" s="1766"/>
      <c r="BB39" s="1766"/>
      <c r="BC39" s="1766"/>
      <c r="BD39" s="1766"/>
      <c r="BE39" s="1772"/>
    </row>
    <row r="40" spans="1:58" ht="15.75" customHeight="1">
      <c r="A40" s="1766"/>
      <c r="B40" s="2910"/>
      <c r="C40" s="2911"/>
      <c r="D40" s="2911"/>
      <c r="E40" s="2911"/>
      <c r="F40" s="2911"/>
      <c r="G40" s="2911"/>
      <c r="H40" s="2911"/>
      <c r="I40" s="2912"/>
      <c r="J40" s="2913"/>
      <c r="K40" s="2655"/>
      <c r="L40" s="2655"/>
      <c r="M40" s="2899"/>
      <c r="N40" s="2827"/>
      <c r="O40" s="2655"/>
      <c r="P40" s="2655"/>
      <c r="Q40" s="2903"/>
      <c r="R40" s="2887"/>
      <c r="S40" s="2887"/>
      <c r="T40" s="2887"/>
      <c r="U40" s="2887"/>
      <c r="V40" s="2887"/>
      <c r="W40" s="2887"/>
      <c r="X40" s="2887"/>
      <c r="Y40" s="2887"/>
      <c r="Z40" s="2887"/>
      <c r="AA40" s="2887"/>
      <c r="AB40" s="2887"/>
      <c r="AC40" s="2887"/>
      <c r="AD40" s="2887"/>
      <c r="AE40" s="2887"/>
      <c r="AF40" s="2887"/>
      <c r="AG40" s="2887"/>
      <c r="AH40" s="2888"/>
      <c r="AI40" s="2888"/>
      <c r="AJ40" s="2888"/>
      <c r="AK40" s="2888"/>
      <c r="AL40" s="2888"/>
      <c r="AM40" s="2888"/>
      <c r="AN40" s="2888"/>
      <c r="AO40" s="2885">
        <f t="shared" si="2"/>
        <v>0</v>
      </c>
      <c r="AP40" s="2885"/>
      <c r="AQ40" s="2885"/>
      <c r="AR40" s="2885"/>
      <c r="AS40" s="2885"/>
      <c r="AT40" s="2885"/>
      <c r="AU40" s="2886">
        <f t="shared" si="3"/>
        <v>0</v>
      </c>
      <c r="AV40" s="2886"/>
      <c r="AW40" s="2886"/>
      <c r="AX40" s="2886"/>
      <c r="AY40" s="2886"/>
      <c r="AZ40" s="2886"/>
      <c r="BA40" s="1766"/>
      <c r="BB40" s="1766"/>
      <c r="BC40" s="1766"/>
      <c r="BD40" s="1766"/>
      <c r="BE40" s="1772"/>
    </row>
    <row r="41" spans="1:58" ht="15.75" customHeight="1">
      <c r="A41" s="1766"/>
      <c r="B41" s="2907"/>
      <c r="C41" s="2908"/>
      <c r="D41" s="2908"/>
      <c r="E41" s="2908"/>
      <c r="F41" s="2908"/>
      <c r="G41" s="2908"/>
      <c r="H41" s="2908"/>
      <c r="I41" s="2909"/>
      <c r="J41" s="2898"/>
      <c r="K41" s="2655"/>
      <c r="L41" s="2655"/>
      <c r="M41" s="2899"/>
      <c r="N41" s="2827"/>
      <c r="O41" s="2655"/>
      <c r="P41" s="2655"/>
      <c r="Q41" s="2903"/>
      <c r="R41" s="2884"/>
      <c r="S41" s="2884"/>
      <c r="T41" s="2884"/>
      <c r="U41" s="2884"/>
      <c r="V41" s="2884"/>
      <c r="W41" s="2884"/>
      <c r="X41" s="2884"/>
      <c r="Y41" s="2884"/>
      <c r="Z41" s="2884"/>
      <c r="AA41" s="2884"/>
      <c r="AB41" s="2884"/>
      <c r="AC41" s="2884"/>
      <c r="AD41" s="2884"/>
      <c r="AE41" s="2884"/>
      <c r="AF41" s="2884"/>
      <c r="AG41" s="2884"/>
      <c r="AH41" s="2884"/>
      <c r="AI41" s="2884"/>
      <c r="AJ41" s="2884"/>
      <c r="AK41" s="2884"/>
      <c r="AL41" s="2884"/>
      <c r="AM41" s="2884"/>
      <c r="AN41" s="2884"/>
      <c r="AO41" s="2885">
        <f t="shared" si="2"/>
        <v>0</v>
      </c>
      <c r="AP41" s="2885"/>
      <c r="AQ41" s="2885"/>
      <c r="AR41" s="2885"/>
      <c r="AS41" s="2885"/>
      <c r="AT41" s="2885"/>
      <c r="AU41" s="2886">
        <f t="shared" si="3"/>
        <v>0</v>
      </c>
      <c r="AV41" s="2886"/>
      <c r="AW41" s="2886"/>
      <c r="AX41" s="2886"/>
      <c r="AY41" s="2886"/>
      <c r="AZ41" s="2886"/>
      <c r="BA41" s="1766"/>
      <c r="BB41" s="1766"/>
      <c r="BC41" s="1766"/>
      <c r="BD41" s="1766"/>
      <c r="BE41" s="1772"/>
    </row>
    <row r="42" spans="1:58" ht="15.75" customHeight="1">
      <c r="A42" s="1766"/>
      <c r="B42" s="2907"/>
      <c r="C42" s="2908"/>
      <c r="D42" s="2908"/>
      <c r="E42" s="2908"/>
      <c r="F42" s="2908"/>
      <c r="G42" s="2908"/>
      <c r="H42" s="2908"/>
      <c r="I42" s="2909"/>
      <c r="J42" s="2898"/>
      <c r="K42" s="2655"/>
      <c r="L42" s="2655"/>
      <c r="M42" s="2899"/>
      <c r="N42" s="2827"/>
      <c r="O42" s="2655"/>
      <c r="P42" s="2655"/>
      <c r="Q42" s="2903"/>
      <c r="R42" s="2884"/>
      <c r="S42" s="2884"/>
      <c r="T42" s="2884"/>
      <c r="U42" s="2884"/>
      <c r="V42" s="2884"/>
      <c r="W42" s="2884"/>
      <c r="X42" s="2884"/>
      <c r="Y42" s="2884"/>
      <c r="Z42" s="2884"/>
      <c r="AA42" s="2884"/>
      <c r="AB42" s="2884"/>
      <c r="AC42" s="2884"/>
      <c r="AD42" s="2884"/>
      <c r="AE42" s="2884"/>
      <c r="AF42" s="2884"/>
      <c r="AG42" s="2884"/>
      <c r="AH42" s="2884"/>
      <c r="AI42" s="2884"/>
      <c r="AJ42" s="2884"/>
      <c r="AK42" s="2884"/>
      <c r="AL42" s="2884"/>
      <c r="AM42" s="2884"/>
      <c r="AN42" s="2884"/>
      <c r="AO42" s="2885">
        <f t="shared" si="2"/>
        <v>0</v>
      </c>
      <c r="AP42" s="2885"/>
      <c r="AQ42" s="2885"/>
      <c r="AR42" s="2885"/>
      <c r="AS42" s="2885"/>
      <c r="AT42" s="2885"/>
      <c r="AU42" s="2886">
        <f t="shared" si="3"/>
        <v>0</v>
      </c>
      <c r="AV42" s="2886"/>
      <c r="AW42" s="2886"/>
      <c r="AX42" s="2886"/>
      <c r="AY42" s="2886"/>
      <c r="AZ42" s="2886"/>
      <c r="BA42" s="1766"/>
      <c r="BB42" s="1766"/>
      <c r="BC42" s="1766"/>
      <c r="BD42" s="1766"/>
      <c r="BE42" s="1772"/>
    </row>
    <row r="43" spans="1:58" ht="15.75" customHeight="1">
      <c r="A43" s="1766"/>
      <c r="B43" s="2904"/>
      <c r="C43" s="2905"/>
      <c r="D43" s="2905"/>
      <c r="E43" s="2905"/>
      <c r="F43" s="2905"/>
      <c r="G43" s="2905"/>
      <c r="H43" s="2905"/>
      <c r="I43" s="2906"/>
      <c r="J43" s="2898"/>
      <c r="K43" s="2655"/>
      <c r="L43" s="2655"/>
      <c r="M43" s="2899"/>
      <c r="N43" s="2827"/>
      <c r="O43" s="2655"/>
      <c r="P43" s="2655"/>
      <c r="Q43" s="2903"/>
      <c r="R43" s="2884"/>
      <c r="S43" s="2884"/>
      <c r="T43" s="2884"/>
      <c r="U43" s="2884"/>
      <c r="V43" s="2884"/>
      <c r="W43" s="2884"/>
      <c r="X43" s="2884"/>
      <c r="Y43" s="2884"/>
      <c r="Z43" s="2884"/>
      <c r="AA43" s="2884"/>
      <c r="AB43" s="2884"/>
      <c r="AC43" s="2884"/>
      <c r="AD43" s="2884"/>
      <c r="AE43" s="2884"/>
      <c r="AF43" s="2884"/>
      <c r="AG43" s="2884"/>
      <c r="AH43" s="2884"/>
      <c r="AI43" s="2884"/>
      <c r="AJ43" s="2884"/>
      <c r="AK43" s="2884"/>
      <c r="AL43" s="2884"/>
      <c r="AM43" s="2884"/>
      <c r="AN43" s="2884"/>
      <c r="AO43" s="2885">
        <f t="shared" si="2"/>
        <v>0</v>
      </c>
      <c r="AP43" s="2885"/>
      <c r="AQ43" s="2885"/>
      <c r="AR43" s="2885"/>
      <c r="AS43" s="2885"/>
      <c r="AT43" s="2885"/>
      <c r="AU43" s="2886">
        <f t="shared" si="3"/>
        <v>0</v>
      </c>
      <c r="AV43" s="2886"/>
      <c r="AW43" s="2886"/>
      <c r="AX43" s="2886"/>
      <c r="AY43" s="2886"/>
      <c r="AZ43" s="2886"/>
      <c r="BA43" s="1766"/>
      <c r="BB43" s="1766"/>
      <c r="BC43" s="1766"/>
      <c r="BD43" s="1766"/>
      <c r="BE43" s="1772"/>
    </row>
    <row r="44" spans="1:58" ht="15.75" customHeight="1">
      <c r="A44" s="1766"/>
      <c r="B44" s="2904"/>
      <c r="C44" s="2905"/>
      <c r="D44" s="2905"/>
      <c r="E44" s="2905"/>
      <c r="F44" s="2905"/>
      <c r="G44" s="2905"/>
      <c r="H44" s="2905"/>
      <c r="I44" s="2906"/>
      <c r="J44" s="2898"/>
      <c r="K44" s="2655"/>
      <c r="L44" s="2655"/>
      <c r="M44" s="2899"/>
      <c r="N44" s="2827"/>
      <c r="O44" s="2655"/>
      <c r="P44" s="2655"/>
      <c r="Q44" s="2903"/>
      <c r="R44" s="2884"/>
      <c r="S44" s="2884"/>
      <c r="T44" s="2884"/>
      <c r="U44" s="2884"/>
      <c r="V44" s="2884"/>
      <c r="W44" s="2884"/>
      <c r="X44" s="2884"/>
      <c r="Y44" s="2884"/>
      <c r="Z44" s="2884"/>
      <c r="AA44" s="2884"/>
      <c r="AB44" s="2884"/>
      <c r="AC44" s="2884"/>
      <c r="AD44" s="2884"/>
      <c r="AE44" s="2884"/>
      <c r="AF44" s="2884"/>
      <c r="AG44" s="2884"/>
      <c r="AH44" s="2884"/>
      <c r="AI44" s="2884"/>
      <c r="AJ44" s="2884"/>
      <c r="AK44" s="2884"/>
      <c r="AL44" s="2884"/>
      <c r="AM44" s="2884"/>
      <c r="AN44" s="2884"/>
      <c r="AO44" s="2885">
        <f t="shared" si="2"/>
        <v>0</v>
      </c>
      <c r="AP44" s="2885"/>
      <c r="AQ44" s="2885"/>
      <c r="AR44" s="2885"/>
      <c r="AS44" s="2885"/>
      <c r="AT44" s="2885"/>
      <c r="AU44" s="2886">
        <f t="shared" si="3"/>
        <v>0</v>
      </c>
      <c r="AV44" s="2886"/>
      <c r="AW44" s="2886"/>
      <c r="AX44" s="2886"/>
      <c r="AY44" s="2886"/>
      <c r="AZ44" s="2886"/>
      <c r="BA44" s="1766"/>
      <c r="BB44" s="1766"/>
      <c r="BC44" s="1766"/>
      <c r="BD44" s="1766"/>
      <c r="BE44" s="1772"/>
    </row>
    <row r="45" spans="1:58" ht="15.75" customHeight="1">
      <c r="A45" s="1766"/>
      <c r="B45" s="2895"/>
      <c r="C45" s="2896"/>
      <c r="D45" s="2896"/>
      <c r="E45" s="2896"/>
      <c r="F45" s="2896"/>
      <c r="G45" s="2896"/>
      <c r="H45" s="2896"/>
      <c r="I45" s="2897"/>
      <c r="J45" s="2898"/>
      <c r="K45" s="2655"/>
      <c r="L45" s="2655"/>
      <c r="M45" s="2899"/>
      <c r="N45" s="2827"/>
      <c r="O45" s="2655"/>
      <c r="P45" s="2655"/>
      <c r="Q45" s="2903"/>
      <c r="R45" s="2884"/>
      <c r="S45" s="2884"/>
      <c r="T45" s="2884"/>
      <c r="U45" s="2884"/>
      <c r="V45" s="2884"/>
      <c r="W45" s="2884"/>
      <c r="X45" s="2884"/>
      <c r="Y45" s="2884"/>
      <c r="Z45" s="2884"/>
      <c r="AA45" s="2884"/>
      <c r="AB45" s="2884"/>
      <c r="AC45" s="2884"/>
      <c r="AD45" s="2884"/>
      <c r="AE45" s="2884"/>
      <c r="AF45" s="2884"/>
      <c r="AG45" s="2884"/>
      <c r="AH45" s="2884"/>
      <c r="AI45" s="2884"/>
      <c r="AJ45" s="2884"/>
      <c r="AK45" s="2884"/>
      <c r="AL45" s="2884"/>
      <c r="AM45" s="2884"/>
      <c r="AN45" s="2884"/>
      <c r="AO45" s="2885">
        <f t="shared" si="2"/>
        <v>0</v>
      </c>
      <c r="AP45" s="2885"/>
      <c r="AQ45" s="2885"/>
      <c r="AR45" s="2885"/>
      <c r="AS45" s="2885"/>
      <c r="AT45" s="2885"/>
      <c r="AU45" s="2886">
        <f t="shared" si="3"/>
        <v>0</v>
      </c>
      <c r="AV45" s="2886"/>
      <c r="AW45" s="2886"/>
      <c r="AX45" s="2886"/>
      <c r="AY45" s="2886"/>
      <c r="AZ45" s="2886"/>
      <c r="BA45" s="1766"/>
      <c r="BB45" s="1766"/>
      <c r="BC45" s="1766"/>
      <c r="BD45" s="1766"/>
      <c r="BE45" s="1772"/>
    </row>
    <row r="46" spans="1:58" ht="15.75" customHeight="1">
      <c r="A46" s="1766"/>
      <c r="B46" s="2895"/>
      <c r="C46" s="2896"/>
      <c r="D46" s="2896"/>
      <c r="E46" s="2896"/>
      <c r="F46" s="2896"/>
      <c r="G46" s="2896"/>
      <c r="H46" s="2896"/>
      <c r="I46" s="2897"/>
      <c r="J46" s="2898"/>
      <c r="K46" s="2655"/>
      <c r="L46" s="2655"/>
      <c r="M46" s="2899"/>
      <c r="N46" s="2900"/>
      <c r="O46" s="2901"/>
      <c r="P46" s="2901"/>
      <c r="Q46" s="2902"/>
      <c r="R46" s="2887"/>
      <c r="S46" s="2887"/>
      <c r="T46" s="2887"/>
      <c r="U46" s="2887"/>
      <c r="V46" s="2887"/>
      <c r="W46" s="2887"/>
      <c r="X46" s="2887"/>
      <c r="Y46" s="2887"/>
      <c r="Z46" s="2887"/>
      <c r="AA46" s="2887"/>
      <c r="AB46" s="2887"/>
      <c r="AC46" s="2887"/>
      <c r="AD46" s="2887"/>
      <c r="AE46" s="2887"/>
      <c r="AF46" s="2887"/>
      <c r="AG46" s="2887"/>
      <c r="AH46" s="2888"/>
      <c r="AI46" s="2888"/>
      <c r="AJ46" s="2888"/>
      <c r="AK46" s="2888"/>
      <c r="AL46" s="2888"/>
      <c r="AM46" s="2888"/>
      <c r="AN46" s="2888"/>
      <c r="AO46" s="2885">
        <f t="shared" si="2"/>
        <v>0</v>
      </c>
      <c r="AP46" s="2885"/>
      <c r="AQ46" s="2885"/>
      <c r="AR46" s="2885"/>
      <c r="AS46" s="2885"/>
      <c r="AT46" s="2885"/>
      <c r="AU46" s="2886">
        <f t="shared" si="3"/>
        <v>0</v>
      </c>
      <c r="AV46" s="2886"/>
      <c r="AW46" s="2886"/>
      <c r="AX46" s="2886"/>
      <c r="AY46" s="2886"/>
      <c r="AZ46" s="2886"/>
      <c r="BA46" s="1766"/>
      <c r="BB46" s="1766"/>
      <c r="BC46" s="1766"/>
      <c r="BD46" s="1766"/>
      <c r="BE46" s="1772"/>
    </row>
    <row r="47" spans="1:58" ht="15.75" customHeight="1" thickBot="1">
      <c r="A47" s="1766"/>
      <c r="B47" s="2889"/>
      <c r="C47" s="2890"/>
      <c r="D47" s="2890"/>
      <c r="E47" s="2890"/>
      <c r="F47" s="2890"/>
      <c r="G47" s="2890"/>
      <c r="H47" s="2890"/>
      <c r="I47" s="2891"/>
      <c r="J47" s="2892"/>
      <c r="K47" s="2792"/>
      <c r="L47" s="2792"/>
      <c r="M47" s="2793"/>
      <c r="N47" s="2893"/>
      <c r="O47" s="2792"/>
      <c r="P47" s="2792"/>
      <c r="Q47" s="2894"/>
      <c r="R47" s="2884"/>
      <c r="S47" s="2884"/>
      <c r="T47" s="2884"/>
      <c r="U47" s="2884"/>
      <c r="V47" s="2884"/>
      <c r="W47" s="2884"/>
      <c r="X47" s="2884"/>
      <c r="Y47" s="2884"/>
      <c r="Z47" s="2884"/>
      <c r="AA47" s="2884"/>
      <c r="AB47" s="2884"/>
      <c r="AC47" s="2884"/>
      <c r="AD47" s="2884"/>
      <c r="AE47" s="2884"/>
      <c r="AF47" s="2884"/>
      <c r="AG47" s="2884"/>
      <c r="AH47" s="2884"/>
      <c r="AI47" s="2884"/>
      <c r="AJ47" s="2884"/>
      <c r="AK47" s="2884"/>
      <c r="AL47" s="2884"/>
      <c r="AM47" s="2884"/>
      <c r="AN47" s="2884"/>
      <c r="AO47" s="2885">
        <f t="shared" si="2"/>
        <v>0</v>
      </c>
      <c r="AP47" s="2885"/>
      <c r="AQ47" s="2885"/>
      <c r="AR47" s="2885"/>
      <c r="AS47" s="2885"/>
      <c r="AT47" s="2885"/>
      <c r="AU47" s="2886">
        <f t="shared" si="3"/>
        <v>0</v>
      </c>
      <c r="AV47" s="2886"/>
      <c r="AW47" s="2886"/>
      <c r="AX47" s="2886"/>
      <c r="AY47" s="2886"/>
      <c r="AZ47" s="2886"/>
      <c r="BA47" s="1766"/>
      <c r="BB47" s="1766"/>
      <c r="BC47" s="1766"/>
      <c r="BD47" s="1766"/>
      <c r="BE47" s="1772"/>
    </row>
    <row r="48" spans="1:58" ht="15.75" customHeight="1">
      <c r="A48" s="1766"/>
      <c r="B48" s="1774" t="s">
        <v>2011</v>
      </c>
      <c r="C48" s="1766"/>
      <c r="D48" s="1766"/>
      <c r="E48" s="1766"/>
      <c r="F48" s="1766"/>
      <c r="G48" s="1766"/>
      <c r="H48" s="1766"/>
      <c r="I48" s="1766"/>
      <c r="J48" s="1766"/>
      <c r="K48" s="1766"/>
      <c r="L48" s="1766"/>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6"/>
      <c r="AR48" s="1766"/>
      <c r="AS48" s="1766"/>
      <c r="AT48" s="1766"/>
      <c r="AU48" s="1766"/>
      <c r="AV48" s="1766"/>
      <c r="AW48" s="1766"/>
      <c r="AX48" s="1766"/>
      <c r="AY48" s="1766"/>
      <c r="AZ48" s="1766"/>
      <c r="BA48" s="1766"/>
      <c r="BB48" s="1766"/>
      <c r="BC48" s="1766"/>
      <c r="BD48" s="1766"/>
      <c r="BE48" s="1772"/>
      <c r="BF48" s="1764"/>
    </row>
    <row r="49" spans="1:58" ht="15.75" customHeight="1" thickBot="1">
      <c r="A49" s="1766"/>
      <c r="B49" s="1774" t="s">
        <v>2455</v>
      </c>
      <c r="C49" s="1766"/>
      <c r="D49" s="1766"/>
      <c r="E49" s="1766"/>
      <c r="F49" s="1766"/>
      <c r="G49" s="1766"/>
      <c r="H49" s="1766"/>
      <c r="I49" s="1766"/>
      <c r="J49" s="1766"/>
      <c r="K49" s="1766"/>
      <c r="L49" s="1766"/>
      <c r="M49" s="1766"/>
      <c r="N49" s="1766"/>
      <c r="O49" s="1766"/>
      <c r="P49" s="1766"/>
      <c r="Q49" s="1766"/>
      <c r="R49" s="1766"/>
      <c r="S49" s="1766"/>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8"/>
      <c r="AQ49" s="1768"/>
      <c r="AR49" s="1768"/>
      <c r="AS49" s="1768"/>
      <c r="AT49" s="1768"/>
      <c r="AU49" s="1768"/>
      <c r="AV49" s="1768"/>
      <c r="AW49" s="1768"/>
      <c r="AX49" s="1766"/>
      <c r="AY49" s="1766"/>
      <c r="AZ49" s="1766"/>
      <c r="BA49" s="1766"/>
      <c r="BB49" s="1766"/>
      <c r="BC49" s="1766"/>
      <c r="BD49" s="1766"/>
      <c r="BE49" s="1772"/>
      <c r="BF49" s="1764"/>
    </row>
    <row r="50" spans="1:58" ht="15.75" customHeight="1" thickBot="1">
      <c r="A50" s="1766"/>
      <c r="B50" s="2738" t="s">
        <v>2012</v>
      </c>
      <c r="C50" s="2739"/>
      <c r="D50" s="2739"/>
      <c r="E50" s="2739"/>
      <c r="F50" s="2739"/>
      <c r="G50" s="2739"/>
      <c r="H50" s="2739"/>
      <c r="I50" s="2739"/>
      <c r="J50" s="2739"/>
      <c r="K50" s="2739"/>
      <c r="L50" s="2739"/>
      <c r="M50" s="2739"/>
      <c r="N50" s="2739"/>
      <c r="O50" s="2739"/>
      <c r="P50" s="2739"/>
      <c r="Q50" s="2739"/>
      <c r="R50" s="2739"/>
      <c r="S50" s="2739"/>
      <c r="T50" s="2739"/>
      <c r="U50" s="2739"/>
      <c r="V50" s="2739"/>
      <c r="W50" s="2739"/>
      <c r="X50" s="2739"/>
      <c r="Y50" s="2739"/>
      <c r="Z50" s="2739"/>
      <c r="AA50" s="2739"/>
      <c r="AB50" s="2739"/>
      <c r="AC50" s="2739"/>
      <c r="AD50" s="2739"/>
      <c r="AE50" s="2739"/>
      <c r="AF50" s="2739"/>
      <c r="AG50" s="2739"/>
      <c r="AH50" s="2739"/>
      <c r="AI50" s="2739"/>
      <c r="AJ50" s="2739"/>
      <c r="AK50" s="2739"/>
      <c r="AL50" s="2739"/>
      <c r="AM50" s="2739"/>
      <c r="AN50" s="2739"/>
      <c r="AO50" s="2874"/>
      <c r="AP50" s="1768"/>
      <c r="AQ50" s="1768"/>
      <c r="AR50" s="1768"/>
      <c r="AS50" s="1768"/>
      <c r="AT50" s="1768"/>
      <c r="AU50" s="1768"/>
      <c r="AV50" s="1768"/>
      <c r="AW50" s="1768"/>
      <c r="AX50" s="1766"/>
      <c r="AY50" s="1766"/>
      <c r="AZ50" s="1766"/>
      <c r="BA50" s="1766"/>
      <c r="BB50" s="1766"/>
      <c r="BC50" s="1766"/>
      <c r="BD50" s="1766"/>
      <c r="BE50" s="1772"/>
    </row>
    <row r="51" spans="1:58" ht="33.75" customHeight="1">
      <c r="A51" s="1766"/>
      <c r="B51" s="2875" t="s">
        <v>2013</v>
      </c>
      <c r="C51" s="2876"/>
      <c r="D51" s="2876"/>
      <c r="E51" s="2876"/>
      <c r="F51" s="2876"/>
      <c r="G51" s="2876"/>
      <c r="H51" s="2876"/>
      <c r="I51" s="2877"/>
      <c r="J51" s="2875" t="s">
        <v>2014</v>
      </c>
      <c r="K51" s="2876"/>
      <c r="L51" s="2876"/>
      <c r="M51" s="2876"/>
      <c r="N51" s="2876"/>
      <c r="O51" s="2876"/>
      <c r="P51" s="2876"/>
      <c r="Q51" s="2877"/>
      <c r="R51" s="2878" t="s">
        <v>2015</v>
      </c>
      <c r="S51" s="2879"/>
      <c r="T51" s="2879"/>
      <c r="U51" s="2879"/>
      <c r="V51" s="2879"/>
      <c r="W51" s="2879"/>
      <c r="X51" s="2879"/>
      <c r="Y51" s="2880"/>
      <c r="Z51" s="2881" t="s">
        <v>2016</v>
      </c>
      <c r="AA51" s="2882"/>
      <c r="AB51" s="2882"/>
      <c r="AC51" s="2882"/>
      <c r="AD51" s="2882"/>
      <c r="AE51" s="2882"/>
      <c r="AF51" s="2882"/>
      <c r="AG51" s="2883"/>
      <c r="AH51" s="2881" t="s">
        <v>2017</v>
      </c>
      <c r="AI51" s="2882"/>
      <c r="AJ51" s="2882"/>
      <c r="AK51" s="2882"/>
      <c r="AL51" s="2882"/>
      <c r="AM51" s="2882"/>
      <c r="AN51" s="2882"/>
      <c r="AO51" s="2883"/>
      <c r="AP51" s="1768"/>
      <c r="AQ51" s="1768"/>
      <c r="AR51" s="1768"/>
      <c r="AS51" s="1768"/>
      <c r="AT51" s="1768"/>
      <c r="AU51" s="1768"/>
      <c r="AV51" s="1768"/>
      <c r="AW51" s="1768"/>
      <c r="AX51" s="1773"/>
      <c r="AY51" s="1766"/>
      <c r="AZ51" s="1766"/>
      <c r="BA51" s="1766"/>
      <c r="BB51" s="1766"/>
      <c r="BC51" s="1766"/>
      <c r="BD51" s="1766"/>
      <c r="BE51" s="1772"/>
    </row>
    <row r="52" spans="1:58" ht="15.75" customHeight="1">
      <c r="A52" s="1766"/>
      <c r="B52" s="2850"/>
      <c r="C52" s="2851"/>
      <c r="D52" s="2851"/>
      <c r="E52" s="2851"/>
      <c r="F52" s="2851"/>
      <c r="G52" s="2851"/>
      <c r="H52" s="2851"/>
      <c r="I52" s="2851"/>
      <c r="J52" s="2851"/>
      <c r="K52" s="2851"/>
      <c r="L52" s="2851"/>
      <c r="M52" s="2851"/>
      <c r="N52" s="2851"/>
      <c r="O52" s="2851"/>
      <c r="P52" s="2851"/>
      <c r="Q52" s="2851"/>
      <c r="R52" s="2870"/>
      <c r="S52" s="2870"/>
      <c r="T52" s="2870"/>
      <c r="U52" s="2870"/>
      <c r="V52" s="2870"/>
      <c r="W52" s="2870"/>
      <c r="X52" s="2870"/>
      <c r="Y52" s="2870"/>
      <c r="Z52" s="2871"/>
      <c r="AA52" s="2871"/>
      <c r="AB52" s="2871"/>
      <c r="AC52" s="2871"/>
      <c r="AD52" s="2871"/>
      <c r="AE52" s="2871"/>
      <c r="AF52" s="2871"/>
      <c r="AG52" s="2871"/>
      <c r="AH52" s="2872">
        <v>0</v>
      </c>
      <c r="AI52" s="2872"/>
      <c r="AJ52" s="2872"/>
      <c r="AK52" s="2872"/>
      <c r="AL52" s="2872"/>
      <c r="AM52" s="2872"/>
      <c r="AN52" s="2872"/>
      <c r="AO52" s="2873"/>
      <c r="AP52" s="1768"/>
      <c r="AQ52" s="1768"/>
      <c r="AR52" s="1768"/>
      <c r="AS52" s="1768"/>
      <c r="AT52" s="1768"/>
      <c r="AU52" s="1768"/>
      <c r="AV52" s="1768"/>
      <c r="AW52" s="1768"/>
      <c r="AX52" s="1773"/>
      <c r="AY52" s="1766"/>
      <c r="AZ52" s="1766"/>
      <c r="BA52" s="1766"/>
      <c r="BB52" s="1766"/>
      <c r="BC52" s="1766"/>
      <c r="BD52" s="1766"/>
      <c r="BE52" s="1772"/>
    </row>
    <row r="53" spans="1:58" ht="15.75" customHeight="1">
      <c r="A53" s="1766"/>
      <c r="B53" s="2850"/>
      <c r="C53" s="2851"/>
      <c r="D53" s="2851"/>
      <c r="E53" s="2851"/>
      <c r="F53" s="2851"/>
      <c r="G53" s="2851"/>
      <c r="H53" s="2851"/>
      <c r="I53" s="2851"/>
      <c r="J53" s="2851"/>
      <c r="K53" s="2851"/>
      <c r="L53" s="2851"/>
      <c r="M53" s="2851"/>
      <c r="N53" s="2851"/>
      <c r="O53" s="2851"/>
      <c r="P53" s="2851"/>
      <c r="Q53" s="2851"/>
      <c r="R53" s="2870">
        <v>0</v>
      </c>
      <c r="S53" s="2870"/>
      <c r="T53" s="2870"/>
      <c r="U53" s="2870"/>
      <c r="V53" s="2870"/>
      <c r="W53" s="2870"/>
      <c r="X53" s="2870"/>
      <c r="Y53" s="2870"/>
      <c r="Z53" s="2871"/>
      <c r="AA53" s="2871"/>
      <c r="AB53" s="2871"/>
      <c r="AC53" s="2871"/>
      <c r="AD53" s="2871"/>
      <c r="AE53" s="2871"/>
      <c r="AF53" s="2871"/>
      <c r="AG53" s="2871"/>
      <c r="AH53" s="2872">
        <v>0</v>
      </c>
      <c r="AI53" s="2872"/>
      <c r="AJ53" s="2872"/>
      <c r="AK53" s="2872"/>
      <c r="AL53" s="2872"/>
      <c r="AM53" s="2872"/>
      <c r="AN53" s="2872"/>
      <c r="AO53" s="2873"/>
      <c r="AP53" s="1768"/>
      <c r="AQ53" s="1768"/>
      <c r="AR53" s="1768"/>
      <c r="AS53" s="1768"/>
      <c r="AT53" s="1768"/>
      <c r="AU53" s="1768"/>
      <c r="AV53" s="1768"/>
      <c r="AW53" s="1768"/>
      <c r="AX53" s="1766"/>
      <c r="AY53" s="1766"/>
      <c r="AZ53" s="1766"/>
      <c r="BA53" s="1766"/>
      <c r="BB53" s="1766"/>
      <c r="BC53" s="1766"/>
      <c r="BD53" s="1766"/>
      <c r="BE53" s="1772"/>
    </row>
    <row r="54" spans="1:58" ht="15.75" customHeight="1">
      <c r="A54" s="1766"/>
      <c r="B54" s="2850"/>
      <c r="C54" s="2851"/>
      <c r="D54" s="2851"/>
      <c r="E54" s="2851"/>
      <c r="F54" s="2851"/>
      <c r="G54" s="2851"/>
      <c r="H54" s="2851"/>
      <c r="I54" s="2851"/>
      <c r="J54" s="2851"/>
      <c r="K54" s="2851"/>
      <c r="L54" s="2851"/>
      <c r="M54" s="2851"/>
      <c r="N54" s="2851"/>
      <c r="O54" s="2851"/>
      <c r="P54" s="2851"/>
      <c r="Q54" s="2851"/>
      <c r="R54" s="2870">
        <v>0</v>
      </c>
      <c r="S54" s="2870"/>
      <c r="T54" s="2870"/>
      <c r="U54" s="2870"/>
      <c r="V54" s="2870"/>
      <c r="W54" s="2870"/>
      <c r="X54" s="2870"/>
      <c r="Y54" s="2870"/>
      <c r="Z54" s="2871"/>
      <c r="AA54" s="2871"/>
      <c r="AB54" s="2871"/>
      <c r="AC54" s="2871"/>
      <c r="AD54" s="2871"/>
      <c r="AE54" s="2871"/>
      <c r="AF54" s="2871"/>
      <c r="AG54" s="2871"/>
      <c r="AH54" s="2872">
        <v>0</v>
      </c>
      <c r="AI54" s="2872"/>
      <c r="AJ54" s="2872"/>
      <c r="AK54" s="2872"/>
      <c r="AL54" s="2872"/>
      <c r="AM54" s="2872"/>
      <c r="AN54" s="2872"/>
      <c r="AO54" s="2873"/>
      <c r="AP54" s="1768"/>
      <c r="AQ54" s="1768"/>
      <c r="AR54" s="1768"/>
      <c r="AS54" s="1768"/>
      <c r="AT54" s="1768"/>
      <c r="AU54" s="1768"/>
      <c r="AV54" s="1768"/>
      <c r="AW54" s="1768"/>
      <c r="AX54" s="1766"/>
      <c r="AY54" s="1766"/>
      <c r="AZ54" s="1766"/>
      <c r="BA54" s="1766"/>
      <c r="BB54" s="1766"/>
      <c r="BC54" s="1766"/>
      <c r="BD54" s="1766"/>
      <c r="BE54" s="1772"/>
    </row>
    <row r="55" spans="1:58" ht="15.75" customHeight="1">
      <c r="A55" s="1766"/>
      <c r="B55" s="2850"/>
      <c r="C55" s="2851"/>
      <c r="D55" s="2851"/>
      <c r="E55" s="2851"/>
      <c r="F55" s="2851"/>
      <c r="G55" s="2851"/>
      <c r="H55" s="2851"/>
      <c r="I55" s="2851"/>
      <c r="J55" s="2851"/>
      <c r="K55" s="2851"/>
      <c r="L55" s="2851"/>
      <c r="M55" s="2851"/>
      <c r="N55" s="2851"/>
      <c r="O55" s="2851"/>
      <c r="P55" s="2851"/>
      <c r="Q55" s="2851"/>
      <c r="R55" s="2870">
        <v>0</v>
      </c>
      <c r="S55" s="2870"/>
      <c r="T55" s="2870"/>
      <c r="U55" s="2870"/>
      <c r="V55" s="2870"/>
      <c r="W55" s="2870"/>
      <c r="X55" s="2870"/>
      <c r="Y55" s="2870"/>
      <c r="Z55" s="2871"/>
      <c r="AA55" s="2871"/>
      <c r="AB55" s="2871"/>
      <c r="AC55" s="2871"/>
      <c r="AD55" s="2871"/>
      <c r="AE55" s="2871"/>
      <c r="AF55" s="2871"/>
      <c r="AG55" s="2871"/>
      <c r="AH55" s="2872">
        <v>0</v>
      </c>
      <c r="AI55" s="2872"/>
      <c r="AJ55" s="2872"/>
      <c r="AK55" s="2872"/>
      <c r="AL55" s="2872"/>
      <c r="AM55" s="2872"/>
      <c r="AN55" s="2872"/>
      <c r="AO55" s="2873"/>
      <c r="AP55" s="1768"/>
      <c r="AQ55" s="1768"/>
      <c r="AR55" s="1768"/>
      <c r="AS55" s="1768"/>
      <c r="AT55" s="1768" t="s">
        <v>255</v>
      </c>
      <c r="AU55" s="1768"/>
      <c r="AV55" s="1768"/>
      <c r="AW55" s="1768"/>
      <c r="AX55" s="1766"/>
      <c r="AY55" s="1766"/>
      <c r="AZ55" s="1766"/>
      <c r="BA55" s="1766"/>
      <c r="BB55" s="1766"/>
      <c r="BC55" s="1766"/>
      <c r="BD55" s="1766"/>
      <c r="BE55" s="1772"/>
    </row>
    <row r="56" spans="1:58" ht="15.75" customHeight="1" thickBot="1">
      <c r="A56" s="1766"/>
      <c r="B56" s="2854"/>
      <c r="C56" s="2855"/>
      <c r="D56" s="2855"/>
      <c r="E56" s="2855"/>
      <c r="F56" s="2855"/>
      <c r="G56" s="2855"/>
      <c r="H56" s="2855"/>
      <c r="I56" s="2855"/>
      <c r="J56" s="2855"/>
      <c r="K56" s="2855"/>
      <c r="L56" s="2855"/>
      <c r="M56" s="2855"/>
      <c r="N56" s="2855"/>
      <c r="O56" s="2855"/>
      <c r="P56" s="2855"/>
      <c r="Q56" s="2855"/>
      <c r="R56" s="2861">
        <v>0</v>
      </c>
      <c r="S56" s="2861"/>
      <c r="T56" s="2861"/>
      <c r="U56" s="2861"/>
      <c r="V56" s="2861"/>
      <c r="W56" s="2861"/>
      <c r="X56" s="2861"/>
      <c r="Y56" s="2861"/>
      <c r="Z56" s="2862"/>
      <c r="AA56" s="2862"/>
      <c r="AB56" s="2862"/>
      <c r="AC56" s="2862"/>
      <c r="AD56" s="2862"/>
      <c r="AE56" s="2862"/>
      <c r="AF56" s="2862"/>
      <c r="AG56" s="2862"/>
      <c r="AH56" s="2863"/>
      <c r="AI56" s="2863"/>
      <c r="AJ56" s="2863"/>
      <c r="AK56" s="2863"/>
      <c r="AL56" s="2863"/>
      <c r="AM56" s="2863"/>
      <c r="AN56" s="2863"/>
      <c r="AO56" s="2864"/>
      <c r="AP56" s="1768"/>
      <c r="AQ56" s="1768"/>
      <c r="AR56" s="1768"/>
      <c r="AS56" s="1768"/>
      <c r="AT56" s="1768"/>
      <c r="AU56" s="1768"/>
      <c r="AV56" s="1768"/>
      <c r="AW56" s="1768"/>
      <c r="AX56" s="1766"/>
      <c r="AY56" s="1766"/>
      <c r="AZ56" s="1766"/>
      <c r="BA56" s="1766"/>
      <c r="BB56" s="1766"/>
      <c r="BC56" s="1766"/>
      <c r="BD56" s="1766"/>
      <c r="BE56" s="1772"/>
    </row>
    <row r="57" spans="1:58" s="1776" customFormat="1" ht="15.75" customHeight="1" thickBot="1">
      <c r="A57" s="1768"/>
      <c r="B57" s="2865" t="s">
        <v>1873</v>
      </c>
      <c r="C57" s="2866"/>
      <c r="D57" s="2866"/>
      <c r="E57" s="2866"/>
      <c r="F57" s="2866"/>
      <c r="G57" s="2866"/>
      <c r="H57" s="2866"/>
      <c r="I57" s="2866"/>
      <c r="J57" s="2866"/>
      <c r="K57" s="2866"/>
      <c r="L57" s="2866"/>
      <c r="M57" s="2866"/>
      <c r="N57" s="2866"/>
      <c r="O57" s="2866"/>
      <c r="P57" s="2866"/>
      <c r="Q57" s="2866"/>
      <c r="R57" s="2867">
        <f>SUM(R52:Y56)</f>
        <v>0</v>
      </c>
      <c r="S57" s="2867"/>
      <c r="T57" s="2867"/>
      <c r="U57" s="2867"/>
      <c r="V57" s="2867"/>
      <c r="W57" s="2867"/>
      <c r="X57" s="2867"/>
      <c r="Y57" s="2867"/>
      <c r="Z57" s="2868">
        <f>SUM(Z52:AG56)</f>
        <v>0</v>
      </c>
      <c r="AA57" s="2868"/>
      <c r="AB57" s="2868"/>
      <c r="AC57" s="2868"/>
      <c r="AD57" s="2868"/>
      <c r="AE57" s="2868"/>
      <c r="AF57" s="2868"/>
      <c r="AG57" s="2868"/>
      <c r="AH57" s="2869">
        <f>SUM(AH52:AO56)</f>
        <v>0</v>
      </c>
      <c r="AI57" s="2869"/>
      <c r="AJ57" s="2869"/>
      <c r="AK57" s="2869"/>
      <c r="AL57" s="2869"/>
      <c r="AM57" s="2869"/>
      <c r="AN57" s="2869"/>
      <c r="AO57" s="2869"/>
      <c r="AP57" s="1768"/>
      <c r="AQ57" s="1768"/>
      <c r="AR57" s="1768"/>
      <c r="AS57" s="1768"/>
      <c r="AT57" s="1768"/>
      <c r="AU57" s="1768"/>
      <c r="AV57" s="1768"/>
      <c r="AW57" s="1768"/>
      <c r="AX57" s="1768"/>
      <c r="AY57" s="1768"/>
      <c r="AZ57" s="1768"/>
      <c r="BA57" s="1768"/>
      <c r="BB57" s="1768"/>
      <c r="BC57" s="1768"/>
      <c r="BD57" s="1768"/>
      <c r="BE57" s="1775"/>
    </row>
    <row r="58" spans="1:58" ht="15.75" customHeight="1" thickBot="1">
      <c r="A58" s="1766"/>
      <c r="B58" s="1766"/>
      <c r="C58" s="1766"/>
      <c r="D58" s="1766"/>
      <c r="E58" s="1766"/>
      <c r="F58" s="1766"/>
      <c r="G58" s="1766"/>
      <c r="H58" s="1766"/>
      <c r="I58" s="1766"/>
      <c r="J58" s="1766"/>
      <c r="K58" s="1766"/>
      <c r="L58" s="1766"/>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c r="AS58" s="1766"/>
      <c r="AT58" s="1766"/>
      <c r="AU58" s="1766"/>
      <c r="AV58" s="1766"/>
      <c r="AW58" s="1766"/>
      <c r="AX58" s="1766"/>
      <c r="AY58" s="1766"/>
      <c r="AZ58" s="1766"/>
      <c r="BA58" s="1766"/>
      <c r="BB58" s="1766"/>
      <c r="BC58" s="1766"/>
      <c r="BD58" s="1766"/>
      <c r="BE58" s="1772"/>
    </row>
    <row r="59" spans="1:58" ht="15.75" customHeight="1">
      <c r="A59" s="1766"/>
      <c r="B59" s="2858" t="s">
        <v>2013</v>
      </c>
      <c r="C59" s="2859"/>
      <c r="D59" s="2859"/>
      <c r="E59" s="2859"/>
      <c r="F59" s="2859"/>
      <c r="G59" s="2859"/>
      <c r="H59" s="2859"/>
      <c r="I59" s="2860"/>
      <c r="J59" s="2663" t="s">
        <v>2018</v>
      </c>
      <c r="K59" s="2663"/>
      <c r="L59" s="2663"/>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c r="AS59" s="2663"/>
      <c r="AT59" s="2663"/>
      <c r="AU59" s="2663"/>
      <c r="AV59" s="2663"/>
      <c r="AW59" s="2664"/>
      <c r="AX59" s="1766"/>
      <c r="AY59" s="1766"/>
      <c r="AZ59" s="1766"/>
      <c r="BA59" s="1766"/>
      <c r="BB59" s="1766"/>
      <c r="BC59" s="1766"/>
      <c r="BD59" s="1766"/>
      <c r="BE59" s="1772"/>
    </row>
    <row r="60" spans="1:58" ht="15.75" customHeight="1">
      <c r="A60" s="1766"/>
      <c r="B60" s="2850"/>
      <c r="C60" s="2851"/>
      <c r="D60" s="2851"/>
      <c r="E60" s="2851"/>
      <c r="F60" s="2851"/>
      <c r="G60" s="2851"/>
      <c r="H60" s="2851"/>
      <c r="I60" s="2852"/>
      <c r="J60" s="2853"/>
      <c r="K60" s="2851"/>
      <c r="L60" s="2851"/>
      <c r="M60" s="2851"/>
      <c r="N60" s="2851"/>
      <c r="O60" s="2851"/>
      <c r="P60" s="2851"/>
      <c r="Q60" s="2851"/>
      <c r="R60" s="2851"/>
      <c r="S60" s="2851"/>
      <c r="T60" s="2851"/>
      <c r="U60" s="2851"/>
      <c r="V60" s="2851"/>
      <c r="W60" s="2851"/>
      <c r="X60" s="2851"/>
      <c r="Y60" s="2851"/>
      <c r="Z60" s="2851"/>
      <c r="AA60" s="2851"/>
      <c r="AB60" s="2851"/>
      <c r="AC60" s="2851"/>
      <c r="AD60" s="2851"/>
      <c r="AE60" s="2851"/>
      <c r="AF60" s="2851"/>
      <c r="AG60" s="2851"/>
      <c r="AH60" s="2851"/>
      <c r="AI60" s="2851"/>
      <c r="AJ60" s="2851"/>
      <c r="AK60" s="2851"/>
      <c r="AL60" s="2851"/>
      <c r="AM60" s="2851"/>
      <c r="AN60" s="2851"/>
      <c r="AO60" s="2851"/>
      <c r="AP60" s="2851"/>
      <c r="AQ60" s="2851"/>
      <c r="AR60" s="2851"/>
      <c r="AS60" s="2851"/>
      <c r="AT60" s="2851"/>
      <c r="AU60" s="2851"/>
      <c r="AV60" s="2851"/>
      <c r="AW60" s="2852"/>
      <c r="AX60" s="1766"/>
      <c r="AY60" s="1766"/>
      <c r="AZ60" s="1766"/>
      <c r="BA60" s="1766"/>
      <c r="BB60" s="1766"/>
      <c r="BC60" s="1766"/>
      <c r="BD60" s="1766"/>
      <c r="BE60" s="1772"/>
    </row>
    <row r="61" spans="1:58" ht="15.75" customHeight="1">
      <c r="A61" s="1766"/>
      <c r="B61" s="2850" t="str">
        <f>IF(B53="", "", B53)</f>
        <v/>
      </c>
      <c r="C61" s="2851"/>
      <c r="D61" s="2851"/>
      <c r="E61" s="2851"/>
      <c r="F61" s="2851"/>
      <c r="G61" s="2851"/>
      <c r="H61" s="2851"/>
      <c r="I61" s="2852"/>
      <c r="J61" s="2853"/>
      <c r="K61" s="2851"/>
      <c r="L61" s="2851"/>
      <c r="M61" s="2851"/>
      <c r="N61" s="2851"/>
      <c r="O61" s="2851"/>
      <c r="P61" s="2851"/>
      <c r="Q61" s="2851"/>
      <c r="R61" s="2851"/>
      <c r="S61" s="2851"/>
      <c r="T61" s="2851"/>
      <c r="U61" s="2851"/>
      <c r="V61" s="2851"/>
      <c r="W61" s="2851"/>
      <c r="X61" s="2851"/>
      <c r="Y61" s="2851"/>
      <c r="Z61" s="2851"/>
      <c r="AA61" s="2851"/>
      <c r="AB61" s="2851"/>
      <c r="AC61" s="2851"/>
      <c r="AD61" s="2851"/>
      <c r="AE61" s="2851"/>
      <c r="AF61" s="2851"/>
      <c r="AG61" s="2851"/>
      <c r="AH61" s="2851"/>
      <c r="AI61" s="2851"/>
      <c r="AJ61" s="2851"/>
      <c r="AK61" s="2851"/>
      <c r="AL61" s="2851"/>
      <c r="AM61" s="2851"/>
      <c r="AN61" s="2851"/>
      <c r="AO61" s="2851"/>
      <c r="AP61" s="2851"/>
      <c r="AQ61" s="2851"/>
      <c r="AR61" s="2851"/>
      <c r="AS61" s="2851"/>
      <c r="AT61" s="2851"/>
      <c r="AU61" s="2851"/>
      <c r="AV61" s="2851"/>
      <c r="AW61" s="2852"/>
      <c r="AX61" s="1766"/>
      <c r="AY61" s="1766"/>
      <c r="AZ61" s="1766"/>
      <c r="BA61" s="1766"/>
      <c r="BB61" s="1766"/>
      <c r="BC61" s="1766"/>
      <c r="BD61" s="1766"/>
      <c r="BE61" s="1772"/>
    </row>
    <row r="62" spans="1:58" ht="15.75" customHeight="1">
      <c r="A62" s="1766"/>
      <c r="B62" s="2850" t="str">
        <f>IF(B54="", "", B54)</f>
        <v/>
      </c>
      <c r="C62" s="2851"/>
      <c r="D62" s="2851"/>
      <c r="E62" s="2851"/>
      <c r="F62" s="2851"/>
      <c r="G62" s="2851"/>
      <c r="H62" s="2851"/>
      <c r="I62" s="2852"/>
      <c r="J62" s="2853"/>
      <c r="K62" s="2851"/>
      <c r="L62" s="2851"/>
      <c r="M62" s="2851"/>
      <c r="N62" s="2851"/>
      <c r="O62" s="2851"/>
      <c r="P62" s="2851"/>
      <c r="Q62" s="2851"/>
      <c r="R62" s="2851"/>
      <c r="S62" s="2851"/>
      <c r="T62" s="2851"/>
      <c r="U62" s="2851"/>
      <c r="V62" s="2851"/>
      <c r="W62" s="2851"/>
      <c r="X62" s="2851"/>
      <c r="Y62" s="2851"/>
      <c r="Z62" s="2851"/>
      <c r="AA62" s="2851"/>
      <c r="AB62" s="2851"/>
      <c r="AC62" s="2851"/>
      <c r="AD62" s="2851"/>
      <c r="AE62" s="2851"/>
      <c r="AF62" s="2851"/>
      <c r="AG62" s="2851"/>
      <c r="AH62" s="2851"/>
      <c r="AI62" s="2851"/>
      <c r="AJ62" s="2851"/>
      <c r="AK62" s="2851"/>
      <c r="AL62" s="2851"/>
      <c r="AM62" s="2851"/>
      <c r="AN62" s="2851"/>
      <c r="AO62" s="2851"/>
      <c r="AP62" s="2851"/>
      <c r="AQ62" s="2851"/>
      <c r="AR62" s="2851"/>
      <c r="AS62" s="2851"/>
      <c r="AT62" s="2851"/>
      <c r="AU62" s="2851"/>
      <c r="AV62" s="2851"/>
      <c r="AW62" s="2852"/>
      <c r="AX62" s="1766"/>
      <c r="AY62" s="1766"/>
      <c r="AZ62" s="1766"/>
      <c r="BA62" s="1766"/>
      <c r="BB62" s="1766"/>
      <c r="BC62" s="1766"/>
      <c r="BD62" s="1766"/>
      <c r="BE62" s="1772"/>
    </row>
    <row r="63" spans="1:58" ht="15.75" customHeight="1">
      <c r="A63" s="1766"/>
      <c r="B63" s="2850" t="str">
        <f>IF(B55="", "", B55)</f>
        <v/>
      </c>
      <c r="C63" s="2851"/>
      <c r="D63" s="2851"/>
      <c r="E63" s="2851"/>
      <c r="F63" s="2851"/>
      <c r="G63" s="2851"/>
      <c r="H63" s="2851"/>
      <c r="I63" s="2852"/>
      <c r="J63" s="2853"/>
      <c r="K63" s="2851"/>
      <c r="L63" s="2851"/>
      <c r="M63" s="2851"/>
      <c r="N63" s="2851"/>
      <c r="O63" s="2851"/>
      <c r="P63" s="2851"/>
      <c r="Q63" s="2851"/>
      <c r="R63" s="2851"/>
      <c r="S63" s="2851"/>
      <c r="T63" s="2851"/>
      <c r="U63" s="2851"/>
      <c r="V63" s="2851"/>
      <c r="W63" s="2851"/>
      <c r="X63" s="2851"/>
      <c r="Y63" s="2851"/>
      <c r="Z63" s="2851"/>
      <c r="AA63" s="2851"/>
      <c r="AB63" s="2851"/>
      <c r="AC63" s="2851"/>
      <c r="AD63" s="2851"/>
      <c r="AE63" s="2851"/>
      <c r="AF63" s="2851"/>
      <c r="AG63" s="2851"/>
      <c r="AH63" s="2851"/>
      <c r="AI63" s="2851"/>
      <c r="AJ63" s="2851"/>
      <c r="AK63" s="2851"/>
      <c r="AL63" s="2851"/>
      <c r="AM63" s="2851"/>
      <c r="AN63" s="2851"/>
      <c r="AO63" s="2851"/>
      <c r="AP63" s="2851"/>
      <c r="AQ63" s="2851"/>
      <c r="AR63" s="2851"/>
      <c r="AS63" s="2851"/>
      <c r="AT63" s="2851"/>
      <c r="AU63" s="2851"/>
      <c r="AV63" s="2851"/>
      <c r="AW63" s="2852"/>
      <c r="AX63" s="1766"/>
      <c r="AY63" s="1766"/>
      <c r="AZ63" s="1766"/>
      <c r="BA63" s="1766"/>
      <c r="BB63" s="1766"/>
      <c r="BC63" s="1766"/>
      <c r="BD63" s="1766"/>
      <c r="BE63" s="1772"/>
    </row>
    <row r="64" spans="1:58" ht="15.75" customHeight="1" thickBot="1">
      <c r="A64" s="1766"/>
      <c r="B64" s="2854" t="str">
        <f>IF(B56="", "", B56)</f>
        <v/>
      </c>
      <c r="C64" s="2855"/>
      <c r="D64" s="2855"/>
      <c r="E64" s="2855"/>
      <c r="F64" s="2855"/>
      <c r="G64" s="2855"/>
      <c r="H64" s="2855"/>
      <c r="I64" s="2856"/>
      <c r="J64" s="2857"/>
      <c r="K64" s="2855"/>
      <c r="L64" s="2855"/>
      <c r="M64" s="2855"/>
      <c r="N64" s="2855"/>
      <c r="O64" s="2855"/>
      <c r="P64" s="2855"/>
      <c r="Q64" s="2855"/>
      <c r="R64" s="2855"/>
      <c r="S64" s="2855"/>
      <c r="T64" s="2855"/>
      <c r="U64" s="2855"/>
      <c r="V64" s="2855"/>
      <c r="W64" s="2855"/>
      <c r="X64" s="2855"/>
      <c r="Y64" s="2855"/>
      <c r="Z64" s="2855"/>
      <c r="AA64" s="2855"/>
      <c r="AB64" s="2855"/>
      <c r="AC64" s="2855"/>
      <c r="AD64" s="2855"/>
      <c r="AE64" s="2855"/>
      <c r="AF64" s="2855"/>
      <c r="AG64" s="2855"/>
      <c r="AH64" s="2855"/>
      <c r="AI64" s="2855"/>
      <c r="AJ64" s="2855"/>
      <c r="AK64" s="2855"/>
      <c r="AL64" s="2855"/>
      <c r="AM64" s="2855"/>
      <c r="AN64" s="2855"/>
      <c r="AO64" s="2855"/>
      <c r="AP64" s="2855"/>
      <c r="AQ64" s="2855"/>
      <c r="AR64" s="2855"/>
      <c r="AS64" s="2855"/>
      <c r="AT64" s="2855"/>
      <c r="AU64" s="2855"/>
      <c r="AV64" s="2855"/>
      <c r="AW64" s="2856"/>
      <c r="AX64" s="1766"/>
      <c r="AY64" s="1766"/>
      <c r="AZ64" s="1766"/>
      <c r="BA64" s="1766"/>
      <c r="BB64" s="1766"/>
      <c r="BC64" s="1766"/>
      <c r="BD64" s="1766"/>
      <c r="BE64" s="1772"/>
    </row>
    <row r="65" spans="1:57" ht="15.75" customHeight="1">
      <c r="A65" s="1766"/>
      <c r="B65" s="1766"/>
      <c r="C65" s="1766"/>
      <c r="D65" s="1766"/>
      <c r="E65" s="1766"/>
      <c r="F65" s="1766"/>
      <c r="G65" s="1766"/>
      <c r="H65" s="1766"/>
      <c r="I65" s="1766"/>
      <c r="J65" s="1766"/>
      <c r="K65" s="1766"/>
      <c r="L65" s="1766"/>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c r="AS65" s="1766"/>
      <c r="AT65" s="1766"/>
      <c r="AU65" s="1766"/>
      <c r="AV65" s="1766"/>
      <c r="AW65" s="1766"/>
      <c r="AX65" s="1766"/>
      <c r="AY65" s="1766"/>
      <c r="AZ65" s="1766"/>
      <c r="BA65" s="1766"/>
      <c r="BB65" s="1766"/>
      <c r="BC65" s="1766"/>
      <c r="BD65" s="1766"/>
      <c r="BE65" s="1772"/>
    </row>
    <row r="66" spans="1:57" ht="15.75" customHeight="1">
      <c r="B66" s="1776" t="s">
        <v>2019</v>
      </c>
      <c r="C66" s="1776"/>
      <c r="D66" s="1776"/>
      <c r="E66" s="1776"/>
      <c r="F66" s="1776"/>
      <c r="G66" s="1776"/>
      <c r="H66" s="1776"/>
      <c r="I66" s="1776"/>
      <c r="J66" s="1776"/>
      <c r="K66" s="177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72"/>
    </row>
    <row r="67" spans="1:57" ht="15.75" customHeight="1" thickBot="1">
      <c r="A67" s="1766"/>
      <c r="B67" s="1766"/>
      <c r="C67" s="1766"/>
      <c r="D67" s="1766"/>
      <c r="E67" s="1766"/>
      <c r="F67" s="1766"/>
      <c r="G67" s="1766"/>
      <c r="H67" s="1766"/>
      <c r="I67" s="1766"/>
      <c r="J67" s="1766"/>
      <c r="K67" s="1766"/>
      <c r="L67" s="1766"/>
      <c r="M67" s="1766"/>
      <c r="N67" s="1766"/>
      <c r="O67" s="1766"/>
      <c r="P67" s="1766"/>
      <c r="Q67" s="1766"/>
      <c r="R67" s="1766"/>
      <c r="S67" s="1766"/>
      <c r="T67" s="1766"/>
      <c r="U67" s="1766"/>
      <c r="V67" s="1766"/>
      <c r="W67" s="1766"/>
      <c r="X67" s="1766"/>
      <c r="Y67" s="1766"/>
      <c r="Z67" s="1766"/>
      <c r="AA67" s="1766"/>
      <c r="AB67" s="1766"/>
      <c r="AC67" s="1766"/>
      <c r="AD67" s="1766"/>
      <c r="AE67" s="1766"/>
      <c r="AF67" s="1766"/>
      <c r="AG67" s="1766"/>
      <c r="AH67" s="1766"/>
      <c r="AI67" s="1766"/>
      <c r="AJ67" s="1766"/>
      <c r="AK67" s="1766"/>
      <c r="AL67" s="1766"/>
      <c r="AM67" s="1766"/>
      <c r="AN67" s="1766"/>
      <c r="AO67" s="1766"/>
      <c r="AP67" s="1766"/>
      <c r="AQ67" s="1766"/>
      <c r="AR67" s="1766"/>
      <c r="AS67" s="1766"/>
      <c r="AT67" s="1766"/>
      <c r="AU67" s="1766"/>
      <c r="AV67" s="1766"/>
      <c r="AW67" s="1766"/>
      <c r="AX67" s="1766"/>
      <c r="AY67" s="1766"/>
      <c r="AZ67" s="1766"/>
      <c r="BA67" s="1766"/>
      <c r="BB67" s="1766"/>
      <c r="BC67" s="1766"/>
      <c r="BD67" s="1766"/>
      <c r="BE67" s="1772"/>
    </row>
    <row r="68" spans="1:57" ht="15.75" customHeight="1">
      <c r="A68" s="1766"/>
      <c r="B68" s="2709" t="s">
        <v>2020</v>
      </c>
      <c r="C68" s="2710"/>
      <c r="D68" s="2710"/>
      <c r="E68" s="2710"/>
      <c r="F68" s="2710"/>
      <c r="G68" s="2710"/>
      <c r="H68" s="2710"/>
      <c r="I68" s="2710"/>
      <c r="J68" s="2710"/>
      <c r="K68" s="2710"/>
      <c r="L68" s="2710"/>
      <c r="M68" s="2710"/>
      <c r="N68" s="2710"/>
      <c r="O68" s="2710"/>
      <c r="P68" s="2710"/>
      <c r="Q68" s="2710"/>
      <c r="R68" s="2710"/>
      <c r="S68" s="2710"/>
      <c r="T68" s="2710"/>
      <c r="U68" s="2710"/>
      <c r="V68" s="2710"/>
      <c r="W68" s="2710"/>
      <c r="X68" s="2710"/>
      <c r="Y68" s="2710"/>
      <c r="Z68" s="2710"/>
      <c r="AA68" s="2711"/>
      <c r="AB68" s="1766"/>
      <c r="AC68" s="2810" t="s">
        <v>2021</v>
      </c>
      <c r="AD68" s="2811"/>
      <c r="AE68" s="2811"/>
      <c r="AF68" s="2811"/>
      <c r="AG68" s="2811"/>
      <c r="AH68" s="2811"/>
      <c r="AI68" s="2811"/>
      <c r="AJ68" s="2811"/>
      <c r="AK68" s="2811"/>
      <c r="AL68" s="2811"/>
      <c r="AM68" s="2811"/>
      <c r="AN68" s="2811"/>
      <c r="AO68" s="2811"/>
      <c r="AP68" s="2811"/>
      <c r="AQ68" s="2811"/>
      <c r="AR68" s="2811"/>
      <c r="AS68" s="2811"/>
      <c r="AT68" s="2811"/>
      <c r="AU68" s="2811"/>
      <c r="AV68" s="2844" t="s">
        <v>2622</v>
      </c>
      <c r="AW68" s="2844"/>
      <c r="AX68" s="2844"/>
      <c r="AY68" s="2844"/>
      <c r="AZ68" s="2844"/>
      <c r="BA68" s="2844"/>
      <c r="BB68" s="2844"/>
      <c r="BC68" s="2845"/>
      <c r="BD68" s="1766"/>
      <c r="BE68" s="1772"/>
    </row>
    <row r="69" spans="1:57" ht="15.75" customHeight="1" thickBot="1">
      <c r="A69" s="1766"/>
      <c r="B69" s="2846" t="s">
        <v>2022</v>
      </c>
      <c r="C69" s="2818"/>
      <c r="D69" s="2818"/>
      <c r="E69" s="2818"/>
      <c r="F69" s="2818"/>
      <c r="G69" s="2818"/>
      <c r="H69" s="2818"/>
      <c r="I69" s="2818"/>
      <c r="J69" s="2818"/>
      <c r="K69" s="2818"/>
      <c r="L69" s="2818"/>
      <c r="M69" s="2818"/>
      <c r="N69" s="2818"/>
      <c r="O69" s="2847" t="s">
        <v>2023</v>
      </c>
      <c r="P69" s="2641"/>
      <c r="Q69" s="2641"/>
      <c r="R69" s="2641"/>
      <c r="S69" s="2641"/>
      <c r="T69" s="2641"/>
      <c r="U69" s="2641"/>
      <c r="V69" s="2641"/>
      <c r="W69" s="2641"/>
      <c r="X69" s="2641"/>
      <c r="Y69" s="2641"/>
      <c r="Z69" s="2641"/>
      <c r="AA69" s="2642"/>
      <c r="AB69" s="1766"/>
      <c r="AC69" s="2583" t="s">
        <v>2024</v>
      </c>
      <c r="AD69" s="2584"/>
      <c r="AE69" s="2584"/>
      <c r="AF69" s="2584"/>
      <c r="AG69" s="2584"/>
      <c r="AH69" s="2584"/>
      <c r="AI69" s="2584"/>
      <c r="AJ69" s="2584"/>
      <c r="AK69" s="2584"/>
      <c r="AL69" s="2584"/>
      <c r="AM69" s="2584"/>
      <c r="AN69" s="2584"/>
      <c r="AO69" s="2584"/>
      <c r="AP69" s="2584"/>
      <c r="AQ69" s="2584"/>
      <c r="AR69" s="2584"/>
      <c r="AS69" s="2584"/>
      <c r="AT69" s="2584"/>
      <c r="AU69" s="2584"/>
      <c r="AV69" s="2690" t="s">
        <v>624</v>
      </c>
      <c r="AW69" s="2848"/>
      <c r="AX69" s="2848"/>
      <c r="AY69" s="2848"/>
      <c r="AZ69" s="2848"/>
      <c r="BA69" s="2848"/>
      <c r="BB69" s="2848"/>
      <c r="BC69" s="2849"/>
      <c r="BD69" s="1766"/>
      <c r="BE69" s="1772"/>
    </row>
    <row r="70" spans="1:57" ht="15.75" customHeight="1">
      <c r="A70" s="1766"/>
      <c r="B70" s="2838"/>
      <c r="C70" s="2839"/>
      <c r="D70" s="2839"/>
      <c r="E70" s="2839"/>
      <c r="F70" s="2839"/>
      <c r="G70" s="2839"/>
      <c r="H70" s="2839"/>
      <c r="I70" s="2839"/>
      <c r="J70" s="2839"/>
      <c r="K70" s="2839"/>
      <c r="L70" s="2839"/>
      <c r="M70" s="2839"/>
      <c r="N70" s="2839"/>
      <c r="O70" s="2828"/>
      <c r="P70" s="2828"/>
      <c r="Q70" s="2828"/>
      <c r="R70" s="2828"/>
      <c r="S70" s="2828"/>
      <c r="T70" s="2828"/>
      <c r="U70" s="2828"/>
      <c r="V70" s="2828"/>
      <c r="W70" s="2828"/>
      <c r="X70" s="2828"/>
      <c r="Y70" s="2828"/>
      <c r="Z70" s="2828"/>
      <c r="AA70" s="2829"/>
      <c r="AB70" s="1766"/>
      <c r="AC70" s="2840" t="s">
        <v>2025</v>
      </c>
      <c r="AD70" s="2841"/>
      <c r="AE70" s="2841"/>
      <c r="AF70" s="2842" t="s">
        <v>624</v>
      </c>
      <c r="AG70" s="2798"/>
      <c r="AH70" s="2798"/>
      <c r="AI70" s="2798"/>
      <c r="AJ70" s="2798"/>
      <c r="AK70" s="2798"/>
      <c r="AL70" s="2798"/>
      <c r="AM70" s="2798"/>
      <c r="AN70" s="2798"/>
      <c r="AO70" s="2798"/>
      <c r="AP70" s="2798"/>
      <c r="AQ70" s="2798"/>
      <c r="AR70" s="2798"/>
      <c r="AS70" s="2798"/>
      <c r="AT70" s="2798"/>
      <c r="AU70" s="2799"/>
      <c r="AV70" s="1766"/>
      <c r="AW70" s="1766"/>
      <c r="AX70" s="1766"/>
      <c r="AY70" s="1766"/>
      <c r="AZ70" s="1766"/>
      <c r="BA70" s="1766"/>
      <c r="BB70" s="1766"/>
      <c r="BC70" s="1766"/>
      <c r="BD70" s="1766"/>
      <c r="BE70" s="1772"/>
    </row>
    <row r="71" spans="1:57" ht="15.75" customHeight="1" thickBot="1">
      <c r="A71" s="1766"/>
      <c r="B71" s="2827"/>
      <c r="C71" s="2655"/>
      <c r="D71" s="2655"/>
      <c r="E71" s="2655"/>
      <c r="F71" s="2655"/>
      <c r="G71" s="2655"/>
      <c r="H71" s="2655"/>
      <c r="I71" s="2655"/>
      <c r="J71" s="2655"/>
      <c r="K71" s="2655"/>
      <c r="L71" s="2655"/>
      <c r="M71" s="2655"/>
      <c r="N71" s="2655"/>
      <c r="O71" s="2828"/>
      <c r="P71" s="2828"/>
      <c r="Q71" s="2828"/>
      <c r="R71" s="2828"/>
      <c r="S71" s="2828"/>
      <c r="T71" s="2828"/>
      <c r="U71" s="2828"/>
      <c r="V71" s="2828"/>
      <c r="W71" s="2828"/>
      <c r="X71" s="2828"/>
      <c r="Y71" s="2828"/>
      <c r="Z71" s="2828"/>
      <c r="AA71" s="2829"/>
      <c r="AB71" s="1766"/>
      <c r="AC71" s="2591" t="s">
        <v>2026</v>
      </c>
      <c r="AD71" s="2592"/>
      <c r="AE71" s="2592"/>
      <c r="AF71" s="2843" t="s">
        <v>624</v>
      </c>
      <c r="AG71" s="2792"/>
      <c r="AH71" s="2792"/>
      <c r="AI71" s="2792"/>
      <c r="AJ71" s="2792"/>
      <c r="AK71" s="2792"/>
      <c r="AL71" s="2792"/>
      <c r="AM71" s="2792"/>
      <c r="AN71" s="2792"/>
      <c r="AO71" s="2792"/>
      <c r="AP71" s="2792"/>
      <c r="AQ71" s="2792"/>
      <c r="AR71" s="2792"/>
      <c r="AS71" s="2792"/>
      <c r="AT71" s="2792"/>
      <c r="AU71" s="2793"/>
      <c r="AV71" s="1766"/>
      <c r="AW71" s="1766"/>
      <c r="AX71" s="1766"/>
      <c r="AY71" s="1766"/>
      <c r="AZ71" s="1766"/>
      <c r="BA71" s="1766"/>
      <c r="BB71" s="1766"/>
      <c r="BC71" s="1766"/>
      <c r="BD71" s="1766"/>
      <c r="BE71" s="1772"/>
    </row>
    <row r="72" spans="1:57" ht="15.75" customHeight="1">
      <c r="A72" s="1766"/>
      <c r="B72" s="2827"/>
      <c r="C72" s="2655"/>
      <c r="D72" s="2655"/>
      <c r="E72" s="2655"/>
      <c r="F72" s="2655"/>
      <c r="G72" s="2655"/>
      <c r="H72" s="2655"/>
      <c r="I72" s="2655"/>
      <c r="J72" s="2655"/>
      <c r="K72" s="2655"/>
      <c r="L72" s="2655"/>
      <c r="M72" s="2655"/>
      <c r="N72" s="2655"/>
      <c r="O72" s="2828"/>
      <c r="P72" s="2828"/>
      <c r="Q72" s="2828"/>
      <c r="R72" s="2828"/>
      <c r="S72" s="2828"/>
      <c r="T72" s="2828"/>
      <c r="U72" s="2828"/>
      <c r="V72" s="2828"/>
      <c r="W72" s="2828"/>
      <c r="X72" s="2828"/>
      <c r="Y72" s="2828"/>
      <c r="Z72" s="2828"/>
      <c r="AA72" s="2829"/>
      <c r="AB72" s="1766"/>
      <c r="AC72" s="2830" t="s">
        <v>2027</v>
      </c>
      <c r="AD72" s="2816"/>
      <c r="AE72" s="2816"/>
      <c r="AF72" s="2816"/>
      <c r="AG72" s="2816"/>
      <c r="AH72" s="2816"/>
      <c r="AI72" s="2816"/>
      <c r="AJ72" s="2816"/>
      <c r="AK72" s="2816"/>
      <c r="AL72" s="2816"/>
      <c r="AM72" s="2816"/>
      <c r="AN72" s="2816"/>
      <c r="AO72" s="2816"/>
      <c r="AP72" s="2816"/>
      <c r="AQ72" s="2816"/>
      <c r="AR72" s="2816"/>
      <c r="AS72" s="2816"/>
      <c r="AT72" s="2816"/>
      <c r="AU72" s="2816"/>
      <c r="AV72" s="2816"/>
      <c r="AW72" s="2816"/>
      <c r="AX72" s="2816"/>
      <c r="AY72" s="2816"/>
      <c r="AZ72" s="2816"/>
      <c r="BA72" s="2816"/>
      <c r="BB72" s="2816"/>
      <c r="BC72" s="2817"/>
      <c r="BD72" s="1766"/>
      <c r="BE72" s="1772"/>
    </row>
    <row r="73" spans="1:57" ht="15.75" customHeight="1">
      <c r="A73" s="1766"/>
      <c r="B73" s="2827"/>
      <c r="C73" s="2655"/>
      <c r="D73" s="2655"/>
      <c r="E73" s="2655"/>
      <c r="F73" s="2655"/>
      <c r="G73" s="2655"/>
      <c r="H73" s="2655"/>
      <c r="I73" s="2655"/>
      <c r="J73" s="2655"/>
      <c r="K73" s="2655"/>
      <c r="L73" s="2655"/>
      <c r="M73" s="2655"/>
      <c r="N73" s="2655"/>
      <c r="O73" s="2828"/>
      <c r="P73" s="2828"/>
      <c r="Q73" s="2828"/>
      <c r="R73" s="2828"/>
      <c r="S73" s="2828"/>
      <c r="T73" s="2828"/>
      <c r="U73" s="2828"/>
      <c r="V73" s="2828"/>
      <c r="W73" s="2828"/>
      <c r="X73" s="2828"/>
      <c r="Y73" s="2828"/>
      <c r="Z73" s="2828"/>
      <c r="AA73" s="2829"/>
      <c r="AB73" s="1766"/>
      <c r="AC73" s="2772" t="s">
        <v>624</v>
      </c>
      <c r="AD73" s="2773"/>
      <c r="AE73" s="2773"/>
      <c r="AF73" s="2773"/>
      <c r="AG73" s="2773"/>
      <c r="AH73" s="2773"/>
      <c r="AI73" s="2773"/>
      <c r="AJ73" s="2773"/>
      <c r="AK73" s="2773"/>
      <c r="AL73" s="2773"/>
      <c r="AM73" s="2773"/>
      <c r="AN73" s="2773"/>
      <c r="AO73" s="2773"/>
      <c r="AP73" s="2773"/>
      <c r="AQ73" s="2773"/>
      <c r="AR73" s="2773"/>
      <c r="AS73" s="2773"/>
      <c r="AT73" s="2773"/>
      <c r="AU73" s="2773"/>
      <c r="AV73" s="2773"/>
      <c r="AW73" s="2773"/>
      <c r="AX73" s="2773"/>
      <c r="AY73" s="2773"/>
      <c r="AZ73" s="2773"/>
      <c r="BA73" s="2773"/>
      <c r="BB73" s="2773"/>
      <c r="BC73" s="2774"/>
      <c r="BD73" s="1766"/>
      <c r="BE73" s="1772"/>
    </row>
    <row r="74" spans="1:57" ht="15.75" customHeight="1" thickBot="1">
      <c r="A74" s="1766"/>
      <c r="B74" s="2827"/>
      <c r="C74" s="2655"/>
      <c r="D74" s="2655"/>
      <c r="E74" s="2655"/>
      <c r="F74" s="2655"/>
      <c r="G74" s="2655"/>
      <c r="H74" s="2655"/>
      <c r="I74" s="2655"/>
      <c r="J74" s="2655"/>
      <c r="K74" s="2655"/>
      <c r="L74" s="2655"/>
      <c r="M74" s="2655"/>
      <c r="N74" s="2655"/>
      <c r="O74" s="2831"/>
      <c r="P74" s="2831"/>
      <c r="Q74" s="2831"/>
      <c r="R74" s="2831"/>
      <c r="S74" s="2831"/>
      <c r="T74" s="2831"/>
      <c r="U74" s="2831"/>
      <c r="V74" s="2831"/>
      <c r="W74" s="2831"/>
      <c r="X74" s="2831"/>
      <c r="Y74" s="2831"/>
      <c r="Z74" s="2831"/>
      <c r="AA74" s="2832"/>
      <c r="AB74" s="1766"/>
      <c r="AC74" s="2772"/>
      <c r="AD74" s="2773"/>
      <c r="AE74" s="2773"/>
      <c r="AF74" s="2773"/>
      <c r="AG74" s="2773"/>
      <c r="AH74" s="2773"/>
      <c r="AI74" s="2773"/>
      <c r="AJ74" s="2773"/>
      <c r="AK74" s="2773"/>
      <c r="AL74" s="2773"/>
      <c r="AM74" s="2773"/>
      <c r="AN74" s="2773"/>
      <c r="AO74" s="2773"/>
      <c r="AP74" s="2773"/>
      <c r="AQ74" s="2773"/>
      <c r="AR74" s="2773"/>
      <c r="AS74" s="2773"/>
      <c r="AT74" s="2773"/>
      <c r="AU74" s="2773"/>
      <c r="AV74" s="2773"/>
      <c r="AW74" s="2773"/>
      <c r="AX74" s="2773"/>
      <c r="AY74" s="2773"/>
      <c r="AZ74" s="2773"/>
      <c r="BA74" s="2773"/>
      <c r="BB74" s="2773"/>
      <c r="BC74" s="2774"/>
      <c r="BD74" s="1766"/>
      <c r="BE74" s="1772"/>
    </row>
    <row r="75" spans="1:57" ht="15.75" customHeight="1" thickTop="1" thickBot="1">
      <c r="A75" s="1766"/>
      <c r="B75" s="2833" t="s">
        <v>129</v>
      </c>
      <c r="C75" s="2834"/>
      <c r="D75" s="2834"/>
      <c r="E75" s="2834"/>
      <c r="F75" s="2834"/>
      <c r="G75" s="2834"/>
      <c r="H75" s="2834"/>
      <c r="I75" s="2834"/>
      <c r="J75" s="2834"/>
      <c r="K75" s="2834"/>
      <c r="L75" s="2834"/>
      <c r="M75" s="2834"/>
      <c r="N75" s="2834"/>
      <c r="O75" s="2835">
        <f>SUM(O70:AA74)</f>
        <v>0</v>
      </c>
      <c r="P75" s="2836"/>
      <c r="Q75" s="2836"/>
      <c r="R75" s="2836"/>
      <c r="S75" s="2836"/>
      <c r="T75" s="2836"/>
      <c r="U75" s="2836"/>
      <c r="V75" s="2836"/>
      <c r="W75" s="2836"/>
      <c r="X75" s="2836"/>
      <c r="Y75" s="2836"/>
      <c r="Z75" s="2836"/>
      <c r="AA75" s="2837"/>
      <c r="AB75" s="1766"/>
      <c r="AC75" s="2772"/>
      <c r="AD75" s="2773"/>
      <c r="AE75" s="2773"/>
      <c r="AF75" s="2773"/>
      <c r="AG75" s="2773"/>
      <c r="AH75" s="2773"/>
      <c r="AI75" s="2773"/>
      <c r="AJ75" s="2773"/>
      <c r="AK75" s="2773"/>
      <c r="AL75" s="2773"/>
      <c r="AM75" s="2773"/>
      <c r="AN75" s="2773"/>
      <c r="AO75" s="2773"/>
      <c r="AP75" s="2773"/>
      <c r="AQ75" s="2773"/>
      <c r="AR75" s="2773"/>
      <c r="AS75" s="2773"/>
      <c r="AT75" s="2773"/>
      <c r="AU75" s="2773"/>
      <c r="AV75" s="2773"/>
      <c r="AW75" s="2773"/>
      <c r="AX75" s="2773"/>
      <c r="AY75" s="2773"/>
      <c r="AZ75" s="2773"/>
      <c r="BA75" s="2773"/>
      <c r="BB75" s="2773"/>
      <c r="BC75" s="2774"/>
      <c r="BD75" s="1766"/>
      <c r="BE75" s="1772"/>
    </row>
    <row r="76" spans="1:57" ht="15.75" customHeight="1">
      <c r="A76" s="1766"/>
      <c r="B76" s="1766"/>
      <c r="C76" s="1766"/>
      <c r="D76" s="1766"/>
      <c r="E76" s="1766"/>
      <c r="F76" s="1766"/>
      <c r="G76" s="1766"/>
      <c r="H76" s="1766"/>
      <c r="I76" s="1766"/>
      <c r="J76" s="1766"/>
      <c r="K76" s="1766"/>
      <c r="L76" s="1766"/>
      <c r="M76" s="1766"/>
      <c r="N76" s="1766"/>
      <c r="O76" s="1766"/>
      <c r="P76" s="1766"/>
      <c r="Q76" s="1766"/>
      <c r="R76" s="1766"/>
      <c r="S76" s="1766"/>
      <c r="T76" s="1766"/>
      <c r="U76" s="1766"/>
      <c r="V76" s="1766"/>
      <c r="W76" s="1766"/>
      <c r="X76" s="1766"/>
      <c r="Y76" s="1766"/>
      <c r="Z76" s="1766"/>
      <c r="AA76" s="1766"/>
      <c r="AB76" s="1766"/>
      <c r="AC76" s="2772"/>
      <c r="AD76" s="2773"/>
      <c r="AE76" s="2773"/>
      <c r="AF76" s="2773"/>
      <c r="AG76" s="2773"/>
      <c r="AH76" s="2773"/>
      <c r="AI76" s="2773"/>
      <c r="AJ76" s="2773"/>
      <c r="AK76" s="2773"/>
      <c r="AL76" s="2773"/>
      <c r="AM76" s="2773"/>
      <c r="AN76" s="2773"/>
      <c r="AO76" s="2773"/>
      <c r="AP76" s="2773"/>
      <c r="AQ76" s="2773"/>
      <c r="AR76" s="2773"/>
      <c r="AS76" s="2773"/>
      <c r="AT76" s="2773"/>
      <c r="AU76" s="2773"/>
      <c r="AV76" s="2773"/>
      <c r="AW76" s="2773"/>
      <c r="AX76" s="2773"/>
      <c r="AY76" s="2773"/>
      <c r="AZ76" s="2773"/>
      <c r="BA76" s="2773"/>
      <c r="BB76" s="2773"/>
      <c r="BC76" s="2774"/>
      <c r="BD76" s="1766"/>
      <c r="BE76" s="1772"/>
    </row>
    <row r="77" spans="1:57" ht="15.75" customHeight="1" thickBot="1">
      <c r="A77" s="1766"/>
      <c r="B77" s="1777" t="s">
        <v>2028</v>
      </c>
      <c r="C77" s="1778"/>
      <c r="D77" s="1778"/>
      <c r="E77" s="1778"/>
      <c r="F77" s="1778"/>
      <c r="G77" s="1778"/>
      <c r="H77" s="1778"/>
      <c r="I77" s="1778"/>
      <c r="J77" s="1778"/>
      <c r="K77" s="1778"/>
      <c r="L77" s="1778"/>
      <c r="M77" s="1778"/>
      <c r="N77" s="1778"/>
      <c r="O77" s="1778"/>
      <c r="P77" s="1778"/>
      <c r="Q77" s="1766"/>
      <c r="R77" s="1766"/>
      <c r="S77" s="1766"/>
      <c r="T77" s="1766"/>
      <c r="U77" s="1766"/>
      <c r="V77" s="1766"/>
      <c r="W77" s="1766"/>
      <c r="X77" s="1766"/>
      <c r="Y77" s="1766"/>
      <c r="Z77" s="1766"/>
      <c r="AA77" s="1766"/>
      <c r="AB77" s="1766"/>
      <c r="AC77" s="2775"/>
      <c r="AD77" s="2776"/>
      <c r="AE77" s="2776"/>
      <c r="AF77" s="2776"/>
      <c r="AG77" s="2776"/>
      <c r="AH77" s="2776"/>
      <c r="AI77" s="2776"/>
      <c r="AJ77" s="2776"/>
      <c r="AK77" s="2776"/>
      <c r="AL77" s="2776"/>
      <c r="AM77" s="2776"/>
      <c r="AN77" s="2776"/>
      <c r="AO77" s="2776"/>
      <c r="AP77" s="2776"/>
      <c r="AQ77" s="2776"/>
      <c r="AR77" s="2776"/>
      <c r="AS77" s="2776"/>
      <c r="AT77" s="2776"/>
      <c r="AU77" s="2776"/>
      <c r="AV77" s="2776"/>
      <c r="AW77" s="2776"/>
      <c r="AX77" s="2776"/>
      <c r="AY77" s="2776"/>
      <c r="AZ77" s="2776"/>
      <c r="BA77" s="2776"/>
      <c r="BB77" s="2776"/>
      <c r="BC77" s="2777"/>
      <c r="BD77" s="1766"/>
      <c r="BE77" s="1772"/>
    </row>
    <row r="78" spans="1:57" ht="15.75" customHeight="1" thickBot="1">
      <c r="A78" s="1766"/>
      <c r="B78" s="1766"/>
      <c r="C78" s="1766"/>
      <c r="D78" s="1766"/>
      <c r="E78" s="1766"/>
      <c r="F78" s="1766"/>
      <c r="G78" s="1766"/>
      <c r="H78" s="1766"/>
      <c r="I78" s="1766"/>
      <c r="J78" s="1766"/>
      <c r="K78" s="1766"/>
      <c r="L78" s="1766"/>
      <c r="M78" s="1766"/>
      <c r="N78" s="1766"/>
      <c r="O78" s="1766"/>
      <c r="P78" s="1766"/>
      <c r="Q78" s="1766"/>
      <c r="R78" s="1766"/>
      <c r="S78" s="1766"/>
      <c r="T78" s="1766"/>
      <c r="U78" s="1766"/>
      <c r="V78" s="1766"/>
      <c r="W78" s="1766"/>
      <c r="X78" s="1766"/>
      <c r="Y78" s="1766"/>
      <c r="Z78" s="1766"/>
      <c r="AA78" s="1766"/>
      <c r="AB78" s="1766"/>
      <c r="AC78" s="1766"/>
      <c r="AD78" s="1766"/>
      <c r="AE78" s="1766"/>
      <c r="AF78" s="1766"/>
      <c r="AG78" s="1766"/>
      <c r="AH78" s="1766"/>
      <c r="AI78" s="1766"/>
      <c r="AJ78" s="1766"/>
      <c r="AK78" s="1766"/>
      <c r="AL78" s="1766"/>
      <c r="AM78" s="1766"/>
      <c r="AN78" s="1766"/>
      <c r="AO78" s="1766"/>
      <c r="AP78" s="1766"/>
      <c r="AQ78" s="1766"/>
      <c r="AR78" s="1766"/>
      <c r="AS78" s="1766"/>
      <c r="AT78" s="1766"/>
      <c r="AU78" s="1766"/>
      <c r="AV78" s="1766"/>
      <c r="AW78" s="1766"/>
      <c r="AX78" s="1766"/>
      <c r="AY78" s="1766"/>
      <c r="AZ78" s="1766"/>
      <c r="BA78" s="1766"/>
      <c r="BB78" s="1766"/>
      <c r="BC78" s="1766"/>
      <c r="BD78" s="1766"/>
      <c r="BE78" s="1772"/>
    </row>
    <row r="79" spans="1:57" ht="15.75" customHeight="1" thickBot="1">
      <c r="A79" s="1766"/>
      <c r="B79" s="2823" t="s">
        <v>2435</v>
      </c>
      <c r="C79" s="2824"/>
      <c r="D79" s="2824"/>
      <c r="E79" s="2824"/>
      <c r="F79" s="2824"/>
      <c r="G79" s="2824"/>
      <c r="H79" s="2824"/>
      <c r="I79" s="2824"/>
      <c r="J79" s="2824"/>
      <c r="K79" s="2824"/>
      <c r="L79" s="2824"/>
      <c r="M79" s="2824"/>
      <c r="N79" s="2824"/>
      <c r="O79" s="2824"/>
      <c r="P79" s="2824"/>
      <c r="Q79" s="2824"/>
      <c r="R79" s="2824"/>
      <c r="S79" s="2824"/>
      <c r="T79" s="2824"/>
      <c r="U79" s="2824"/>
      <c r="V79" s="2824"/>
      <c r="W79" s="2824"/>
      <c r="X79" s="2824"/>
      <c r="Y79" s="2824"/>
      <c r="Z79" s="2824"/>
      <c r="AA79" s="2824"/>
      <c r="AB79" s="2824"/>
      <c r="AC79" s="2824"/>
      <c r="AD79" s="2824"/>
      <c r="AE79" s="2824"/>
      <c r="AF79" s="2824"/>
      <c r="AG79" s="2824"/>
      <c r="AH79" s="2825"/>
      <c r="AI79" s="1766"/>
      <c r="AJ79" s="2800" t="s">
        <v>2457</v>
      </c>
      <c r="AK79" s="2801"/>
      <c r="AL79" s="2801"/>
      <c r="AM79" s="2801"/>
      <c r="AN79" s="2801"/>
      <c r="AO79" s="2801"/>
      <c r="AP79" s="2801"/>
      <c r="AQ79" s="2801"/>
      <c r="AR79" s="2801"/>
      <c r="AS79" s="2801"/>
      <c r="AT79" s="2801"/>
      <c r="AU79" s="2801"/>
      <c r="AV79" s="2801"/>
      <c r="AW79" s="2801"/>
      <c r="AX79" s="2801"/>
      <c r="AY79" s="2741" t="s">
        <v>2577</v>
      </c>
      <c r="AZ79" s="2741"/>
      <c r="BA79" s="2741"/>
      <c r="BB79" s="2742"/>
      <c r="BC79" s="1766"/>
      <c r="BD79" s="1766"/>
      <c r="BE79" s="1772"/>
    </row>
    <row r="80" spans="1:57" ht="15.75" customHeight="1">
      <c r="A80" s="1766"/>
      <c r="B80" s="2671"/>
      <c r="C80" s="2672"/>
      <c r="D80" s="2672"/>
      <c r="E80" s="2672"/>
      <c r="F80" s="2672"/>
      <c r="G80" s="2672"/>
      <c r="H80" s="2673"/>
      <c r="I80" s="2810" t="s">
        <v>2029</v>
      </c>
      <c r="J80" s="2811"/>
      <c r="K80" s="2811"/>
      <c r="L80" s="2811"/>
      <c r="M80" s="2811"/>
      <c r="N80" s="2811"/>
      <c r="O80" s="2811" t="s">
        <v>2030</v>
      </c>
      <c r="P80" s="2811"/>
      <c r="Q80" s="2811"/>
      <c r="R80" s="2811"/>
      <c r="S80" s="2811"/>
      <c r="T80" s="2811"/>
      <c r="U80" s="2811"/>
      <c r="V80" s="2814" t="s">
        <v>2458</v>
      </c>
      <c r="W80" s="2814"/>
      <c r="X80" s="2814"/>
      <c r="Y80" s="2814"/>
      <c r="Z80" s="2814"/>
      <c r="AA80" s="2814"/>
      <c r="AB80" s="2816" t="s">
        <v>2031</v>
      </c>
      <c r="AC80" s="2816"/>
      <c r="AD80" s="2816"/>
      <c r="AE80" s="2816"/>
      <c r="AF80" s="2816"/>
      <c r="AG80" s="2816"/>
      <c r="AH80" s="2817"/>
      <c r="AI80" s="1766"/>
      <c r="AJ80" s="2802"/>
      <c r="AK80" s="2803"/>
      <c r="AL80" s="2803"/>
      <c r="AM80" s="2803"/>
      <c r="AN80" s="2803"/>
      <c r="AO80" s="2803"/>
      <c r="AP80" s="2803"/>
      <c r="AQ80" s="2803"/>
      <c r="AR80" s="2803"/>
      <c r="AS80" s="2803"/>
      <c r="AT80" s="2803"/>
      <c r="AU80" s="2803"/>
      <c r="AV80" s="2803"/>
      <c r="AW80" s="2803"/>
      <c r="AX80" s="2803"/>
      <c r="AY80" s="2806"/>
      <c r="AZ80" s="2806"/>
      <c r="BA80" s="2806"/>
      <c r="BB80" s="2807"/>
      <c r="BC80" s="1766"/>
      <c r="BD80" s="1766"/>
      <c r="BE80" s="1772"/>
    </row>
    <row r="81" spans="1:57" ht="15.75" customHeight="1" thickBot="1">
      <c r="A81" s="1766"/>
      <c r="B81" s="2723"/>
      <c r="C81" s="2724"/>
      <c r="D81" s="2724"/>
      <c r="E81" s="2724"/>
      <c r="F81" s="2724"/>
      <c r="G81" s="2724"/>
      <c r="H81" s="2826"/>
      <c r="I81" s="2812"/>
      <c r="J81" s="2813"/>
      <c r="K81" s="2813"/>
      <c r="L81" s="2813"/>
      <c r="M81" s="2813"/>
      <c r="N81" s="2813"/>
      <c r="O81" s="2813"/>
      <c r="P81" s="2813"/>
      <c r="Q81" s="2813"/>
      <c r="R81" s="2813"/>
      <c r="S81" s="2813"/>
      <c r="T81" s="2813"/>
      <c r="U81" s="2813"/>
      <c r="V81" s="2815"/>
      <c r="W81" s="2815"/>
      <c r="X81" s="2815"/>
      <c r="Y81" s="2815"/>
      <c r="Z81" s="2815"/>
      <c r="AA81" s="2815"/>
      <c r="AB81" s="2818"/>
      <c r="AC81" s="2818"/>
      <c r="AD81" s="2818"/>
      <c r="AE81" s="2818"/>
      <c r="AF81" s="2818"/>
      <c r="AG81" s="2818"/>
      <c r="AH81" s="2819"/>
      <c r="AI81" s="1766"/>
      <c r="AJ81" s="2802"/>
      <c r="AK81" s="2803"/>
      <c r="AL81" s="2803"/>
      <c r="AM81" s="2803"/>
      <c r="AN81" s="2803"/>
      <c r="AO81" s="2803"/>
      <c r="AP81" s="2803"/>
      <c r="AQ81" s="2803"/>
      <c r="AR81" s="2803"/>
      <c r="AS81" s="2803"/>
      <c r="AT81" s="2803"/>
      <c r="AU81" s="2803"/>
      <c r="AV81" s="2803"/>
      <c r="AW81" s="2803"/>
      <c r="AX81" s="2803"/>
      <c r="AY81" s="2806"/>
      <c r="AZ81" s="2806"/>
      <c r="BA81" s="2806"/>
      <c r="BB81" s="2807"/>
      <c r="BC81" s="1766"/>
      <c r="BD81" s="1766"/>
      <c r="BE81" s="1772"/>
    </row>
    <row r="82" spans="1:57" ht="15.75" customHeight="1" thickBot="1">
      <c r="A82" s="1766"/>
      <c r="B82" s="2665" t="s">
        <v>2436</v>
      </c>
      <c r="C82" s="2666"/>
      <c r="D82" s="2666"/>
      <c r="E82" s="2666"/>
      <c r="F82" s="2666"/>
      <c r="G82" s="2666"/>
      <c r="H82" s="2667"/>
      <c r="I82" s="2790">
        <v>4528</v>
      </c>
      <c r="J82" s="2760"/>
      <c r="K82" s="2760"/>
      <c r="L82" s="2760"/>
      <c r="M82" s="2760"/>
      <c r="N82" s="2760"/>
      <c r="O82" s="2760">
        <v>1244</v>
      </c>
      <c r="P82" s="2760"/>
      <c r="Q82" s="2760"/>
      <c r="R82" s="2760"/>
      <c r="S82" s="2760"/>
      <c r="T82" s="2760"/>
      <c r="U82" s="2760"/>
      <c r="V82" s="2760">
        <v>2830</v>
      </c>
      <c r="W82" s="2760"/>
      <c r="X82" s="2760"/>
      <c r="Y82" s="2760"/>
      <c r="Z82" s="2760"/>
      <c r="AA82" s="2791"/>
      <c r="AB82" s="2760">
        <v>1328</v>
      </c>
      <c r="AC82" s="2760"/>
      <c r="AD82" s="2760"/>
      <c r="AE82" s="2760"/>
      <c r="AF82" s="2760"/>
      <c r="AG82" s="2760"/>
      <c r="AH82" s="2794"/>
      <c r="AI82" s="1766"/>
      <c r="AJ82" s="2804"/>
      <c r="AK82" s="2805"/>
      <c r="AL82" s="2805"/>
      <c r="AM82" s="2805"/>
      <c r="AN82" s="2805"/>
      <c r="AO82" s="2805"/>
      <c r="AP82" s="2805"/>
      <c r="AQ82" s="2805"/>
      <c r="AR82" s="2805"/>
      <c r="AS82" s="2805"/>
      <c r="AT82" s="2805"/>
      <c r="AU82" s="2805"/>
      <c r="AV82" s="2805"/>
      <c r="AW82" s="2805"/>
      <c r="AX82" s="2805"/>
      <c r="AY82" s="2808"/>
      <c r="AZ82" s="2808"/>
      <c r="BA82" s="2808"/>
      <c r="BB82" s="2809"/>
      <c r="BC82" s="1766"/>
      <c r="BD82" s="1766"/>
      <c r="BE82" s="1772"/>
    </row>
    <row r="83" spans="1:57" ht="15.75" customHeight="1" thickBot="1">
      <c r="A83" s="1766"/>
      <c r="B83" s="2665" t="s">
        <v>2437</v>
      </c>
      <c r="C83" s="2666"/>
      <c r="D83" s="2666"/>
      <c r="E83" s="2666"/>
      <c r="F83" s="2666"/>
      <c r="G83" s="2666"/>
      <c r="H83" s="2667"/>
      <c r="I83" s="2795">
        <v>0</v>
      </c>
      <c r="J83" s="2779"/>
      <c r="K83" s="2779"/>
      <c r="L83" s="2779"/>
      <c r="M83" s="2779"/>
      <c r="N83" s="2779"/>
      <c r="O83" s="2779">
        <v>0</v>
      </c>
      <c r="P83" s="2779"/>
      <c r="Q83" s="2779"/>
      <c r="R83" s="2779"/>
      <c r="S83" s="2779"/>
      <c r="T83" s="2779"/>
      <c r="U83" s="2779"/>
      <c r="V83" s="2779">
        <v>0</v>
      </c>
      <c r="W83" s="2779"/>
      <c r="X83" s="2779"/>
      <c r="Y83" s="2779"/>
      <c r="Z83" s="2779"/>
      <c r="AA83" s="2796"/>
      <c r="AB83" s="2821" t="s">
        <v>624</v>
      </c>
      <c r="AC83" s="2821"/>
      <c r="AD83" s="2821"/>
      <c r="AE83" s="2821"/>
      <c r="AF83" s="2821"/>
      <c r="AG83" s="2821"/>
      <c r="AH83" s="2822"/>
      <c r="AI83" s="1766"/>
      <c r="AJ83" s="2781" t="s">
        <v>2459</v>
      </c>
      <c r="AK83" s="2782"/>
      <c r="AL83" s="2782"/>
      <c r="AM83" s="2782"/>
      <c r="AN83" s="2782"/>
      <c r="AO83" s="2782"/>
      <c r="AP83" s="2782"/>
      <c r="AQ83" s="2782"/>
      <c r="AR83" s="2782"/>
      <c r="AS83" s="2782"/>
      <c r="AT83" s="2782"/>
      <c r="AU83" s="2782"/>
      <c r="AV83" s="2782"/>
      <c r="AW83" s="2782"/>
      <c r="AX83" s="2782"/>
      <c r="AY83" s="2782"/>
      <c r="AZ83" s="2782"/>
      <c r="BA83" s="2782"/>
      <c r="BB83" s="2783"/>
      <c r="BC83" s="1766"/>
      <c r="BD83" s="1766"/>
      <c r="BE83" s="1772"/>
    </row>
    <row r="84" spans="1:57" ht="15.75" customHeight="1" thickBot="1">
      <c r="A84" s="1766"/>
      <c r="B84" s="2787" t="s">
        <v>2032</v>
      </c>
      <c r="C84" s="2788"/>
      <c r="D84" s="2788"/>
      <c r="E84" s="2788"/>
      <c r="F84" s="2788"/>
      <c r="G84" s="2788"/>
      <c r="H84" s="2820"/>
      <c r="I84" s="2790">
        <v>4528</v>
      </c>
      <c r="J84" s="2760"/>
      <c r="K84" s="2760"/>
      <c r="L84" s="2760"/>
      <c r="M84" s="2760"/>
      <c r="N84" s="2760"/>
      <c r="O84" s="2760">
        <v>1244</v>
      </c>
      <c r="P84" s="2760"/>
      <c r="Q84" s="2760"/>
      <c r="R84" s="2760"/>
      <c r="S84" s="2760"/>
      <c r="T84" s="2760"/>
      <c r="U84" s="2760"/>
      <c r="V84" s="2760">
        <v>2830</v>
      </c>
      <c r="W84" s="2760"/>
      <c r="X84" s="2760"/>
      <c r="Y84" s="2760"/>
      <c r="Z84" s="2760"/>
      <c r="AA84" s="2791"/>
      <c r="AB84" s="2760">
        <v>1328</v>
      </c>
      <c r="AC84" s="2760"/>
      <c r="AD84" s="2760"/>
      <c r="AE84" s="2760"/>
      <c r="AF84" s="2760"/>
      <c r="AG84" s="2760"/>
      <c r="AH84" s="2794"/>
      <c r="AI84" s="1766"/>
      <c r="AJ84" s="2784"/>
      <c r="AK84" s="2785"/>
      <c r="AL84" s="2785"/>
      <c r="AM84" s="2785"/>
      <c r="AN84" s="2785"/>
      <c r="AO84" s="2785"/>
      <c r="AP84" s="2785"/>
      <c r="AQ84" s="2785"/>
      <c r="AR84" s="2785"/>
      <c r="AS84" s="2785"/>
      <c r="AT84" s="2785"/>
      <c r="AU84" s="2785"/>
      <c r="AV84" s="2785"/>
      <c r="AW84" s="2785"/>
      <c r="AX84" s="2785"/>
      <c r="AY84" s="2785"/>
      <c r="AZ84" s="2785"/>
      <c r="BA84" s="2785"/>
      <c r="BB84" s="2786"/>
      <c r="BC84" s="1766"/>
      <c r="BD84" s="1766"/>
      <c r="BE84" s="1772"/>
    </row>
    <row r="85" spans="1:57" ht="15.75" customHeight="1">
      <c r="A85" s="1766"/>
      <c r="B85" s="1766"/>
      <c r="C85" s="1766"/>
      <c r="D85" s="1766"/>
      <c r="E85" s="1766"/>
      <c r="F85" s="1766"/>
      <c r="G85" s="1766"/>
      <c r="H85" s="1766"/>
      <c r="I85" s="1766"/>
      <c r="J85" s="1766"/>
      <c r="K85" s="1766"/>
      <c r="L85" s="1766"/>
      <c r="M85" s="1766"/>
      <c r="N85" s="1766"/>
      <c r="O85" s="1766"/>
      <c r="P85" s="1766"/>
      <c r="Q85" s="1766"/>
      <c r="R85" s="1766"/>
      <c r="S85" s="1766"/>
      <c r="T85" s="1766"/>
      <c r="U85" s="1766"/>
      <c r="V85" s="1766"/>
      <c r="W85" s="1766"/>
      <c r="X85" s="1766"/>
      <c r="Y85" s="1766"/>
      <c r="Z85" s="1766"/>
      <c r="AA85" s="1766"/>
      <c r="AB85" s="1766"/>
      <c r="AC85" s="1766"/>
      <c r="AD85" s="1766"/>
      <c r="AE85" s="1766"/>
      <c r="AF85" s="1766"/>
      <c r="AG85" s="1766"/>
      <c r="AH85" s="1766"/>
      <c r="AI85" s="1766"/>
      <c r="AJ85" s="1766"/>
      <c r="AK85" s="1766"/>
      <c r="AL85" s="1766"/>
      <c r="AM85" s="1766"/>
      <c r="AN85" s="1766"/>
      <c r="AO85" s="1766"/>
      <c r="AP85" s="1766"/>
      <c r="AQ85" s="1766"/>
      <c r="AR85" s="1766"/>
      <c r="AS85" s="1766"/>
      <c r="AT85" s="1766"/>
      <c r="AU85" s="1766"/>
      <c r="AV85" s="1766"/>
      <c r="AW85" s="1766"/>
      <c r="AX85" s="1766"/>
      <c r="AY85" s="1766"/>
      <c r="AZ85" s="1766"/>
      <c r="BA85" s="1766"/>
      <c r="BB85" s="1766"/>
      <c r="BC85" s="1766"/>
      <c r="BD85" s="1766"/>
      <c r="BE85" s="1772"/>
    </row>
    <row r="86" spans="1:57" ht="15.75" customHeight="1">
      <c r="A86" s="1766"/>
      <c r="B86" s="1776" t="s">
        <v>2033</v>
      </c>
      <c r="P86" s="1766"/>
      <c r="Q86" s="1766"/>
      <c r="R86" s="1766"/>
      <c r="S86" s="1766"/>
      <c r="T86" s="1766"/>
      <c r="U86" s="1766"/>
      <c r="V86" s="1766"/>
      <c r="W86" s="1766"/>
      <c r="X86" s="1766"/>
      <c r="Y86" s="1766"/>
      <c r="Z86" s="1766"/>
      <c r="AA86" s="1766"/>
      <c r="AB86" s="1766"/>
      <c r="AC86" s="1766"/>
      <c r="AD86" s="1766"/>
      <c r="AE86" s="1766"/>
      <c r="AF86" s="1766"/>
      <c r="AG86" s="1766"/>
      <c r="AH86" s="1766"/>
      <c r="AI86" s="1766"/>
      <c r="AJ86" s="1766"/>
      <c r="AK86" s="1766"/>
      <c r="AL86" s="1766"/>
      <c r="AM86" s="1766"/>
      <c r="AN86" s="1766"/>
      <c r="AO86" s="1766"/>
      <c r="AP86" s="1766"/>
      <c r="AQ86" s="1766"/>
      <c r="AR86" s="1766"/>
      <c r="AS86" s="1766"/>
      <c r="AT86" s="1766"/>
      <c r="AU86" s="1766"/>
      <c r="AV86" s="1766"/>
      <c r="AW86" s="1766"/>
      <c r="AX86" s="1766"/>
      <c r="AY86" s="1766"/>
      <c r="AZ86" s="1766"/>
      <c r="BA86" s="1766"/>
      <c r="BB86" s="1766"/>
      <c r="BC86" s="1766"/>
      <c r="BD86" s="1766"/>
      <c r="BE86" s="1772"/>
    </row>
    <row r="87" spans="1:57" ht="15.75" customHeight="1" thickBot="1">
      <c r="A87" s="1766"/>
      <c r="B87" s="1766"/>
      <c r="C87" s="1766"/>
      <c r="D87" s="1766"/>
      <c r="E87" s="1766"/>
      <c r="F87" s="1766"/>
      <c r="G87" s="1766"/>
      <c r="H87" s="1766"/>
      <c r="I87" s="1766"/>
      <c r="J87" s="1766"/>
      <c r="K87" s="1766"/>
      <c r="L87" s="1766"/>
      <c r="M87" s="1766"/>
      <c r="N87" s="1766"/>
      <c r="O87" s="1766"/>
      <c r="P87" s="1779"/>
      <c r="Q87" s="1766"/>
      <c r="R87" s="1766"/>
      <c r="S87" s="1766"/>
      <c r="T87" s="1766"/>
      <c r="U87" s="1766"/>
      <c r="V87" s="1766"/>
      <c r="W87" s="1766"/>
      <c r="X87" s="1766"/>
      <c r="Y87" s="1766"/>
      <c r="Z87" s="1766"/>
      <c r="AA87" s="1766"/>
      <c r="AB87" s="1766"/>
      <c r="AC87" s="1766"/>
      <c r="AD87" s="1766"/>
      <c r="AE87" s="1766"/>
      <c r="AF87" s="1766"/>
      <c r="AG87" s="1766"/>
      <c r="AH87" s="1766"/>
      <c r="AI87" s="1766"/>
      <c r="AJ87" s="1766"/>
      <c r="AK87" s="1766"/>
      <c r="AL87" s="1766"/>
      <c r="AM87" s="1766"/>
      <c r="AN87" s="1766"/>
      <c r="AO87" s="1766"/>
      <c r="AP87" s="1766"/>
      <c r="AQ87" s="1766"/>
      <c r="AR87" s="1766"/>
      <c r="AS87" s="1766"/>
      <c r="AT87" s="1766"/>
      <c r="AU87" s="1766"/>
      <c r="AV87" s="1766"/>
      <c r="AW87" s="1766"/>
      <c r="AX87" s="1766"/>
      <c r="AY87" s="1766"/>
      <c r="AZ87" s="1766"/>
      <c r="BA87" s="1766"/>
      <c r="BB87" s="1766"/>
      <c r="BC87" s="1766"/>
      <c r="BD87" s="1766"/>
      <c r="BE87" s="1772"/>
    </row>
    <row r="88" spans="1:57" ht="15.75" customHeight="1" thickBot="1">
      <c r="A88" s="1766"/>
      <c r="B88" s="2671" t="s">
        <v>2034</v>
      </c>
      <c r="C88" s="2672"/>
      <c r="D88" s="2672"/>
      <c r="E88" s="2672"/>
      <c r="F88" s="2672"/>
      <c r="G88" s="2672"/>
      <c r="H88" s="2672"/>
      <c r="I88" s="2672"/>
      <c r="J88" s="2672"/>
      <c r="K88" s="2672"/>
      <c r="L88" s="2672"/>
      <c r="M88" s="2672"/>
      <c r="N88" s="2672"/>
      <c r="O88" s="2672"/>
      <c r="P88" s="2672"/>
      <c r="Q88" s="2672"/>
      <c r="R88" s="2672"/>
      <c r="S88" s="2672"/>
      <c r="T88" s="2672"/>
      <c r="U88" s="2672"/>
      <c r="V88" s="2672"/>
      <c r="W88" s="2672"/>
      <c r="X88" s="2672"/>
      <c r="Y88" s="2672"/>
      <c r="Z88" s="2672"/>
      <c r="AA88" s="2672"/>
      <c r="AB88" s="2672"/>
      <c r="AC88" s="2672"/>
      <c r="AD88" s="2672"/>
      <c r="AE88" s="2672"/>
      <c r="AF88" s="2672"/>
      <c r="AG88" s="2672"/>
      <c r="AH88" s="2673"/>
      <c r="AI88" s="1766"/>
      <c r="AJ88" s="2800" t="s">
        <v>2460</v>
      </c>
      <c r="AK88" s="2801"/>
      <c r="AL88" s="2801"/>
      <c r="AM88" s="2801"/>
      <c r="AN88" s="2801"/>
      <c r="AO88" s="2801"/>
      <c r="AP88" s="2801"/>
      <c r="AQ88" s="2801"/>
      <c r="AR88" s="2801"/>
      <c r="AS88" s="2801"/>
      <c r="AT88" s="2801"/>
      <c r="AU88" s="2801"/>
      <c r="AV88" s="2801"/>
      <c r="AW88" s="2801"/>
      <c r="AX88" s="2801"/>
      <c r="AY88" s="2741" t="s">
        <v>2577</v>
      </c>
      <c r="AZ88" s="2741"/>
      <c r="BA88" s="2741"/>
      <c r="BB88" s="2742"/>
      <c r="BC88" s="1766"/>
      <c r="BD88" s="1766"/>
      <c r="BE88" s="1772"/>
    </row>
    <row r="89" spans="1:57" ht="16.5" customHeight="1">
      <c r="A89" s="1766"/>
      <c r="B89" s="2671"/>
      <c r="C89" s="2672"/>
      <c r="D89" s="2672"/>
      <c r="E89" s="2672"/>
      <c r="F89" s="2672"/>
      <c r="G89" s="2672"/>
      <c r="H89" s="2672"/>
      <c r="I89" s="2810" t="s">
        <v>2029</v>
      </c>
      <c r="J89" s="2811"/>
      <c r="K89" s="2811"/>
      <c r="L89" s="2811"/>
      <c r="M89" s="2811"/>
      <c r="N89" s="2811"/>
      <c r="O89" s="2811" t="s">
        <v>2030</v>
      </c>
      <c r="P89" s="2811"/>
      <c r="Q89" s="2811"/>
      <c r="R89" s="2811"/>
      <c r="S89" s="2811"/>
      <c r="T89" s="2811"/>
      <c r="U89" s="2811"/>
      <c r="V89" s="2814" t="s">
        <v>2458</v>
      </c>
      <c r="W89" s="2814"/>
      <c r="X89" s="2814"/>
      <c r="Y89" s="2814"/>
      <c r="Z89" s="2814"/>
      <c r="AA89" s="2814"/>
      <c r="AB89" s="2816" t="s">
        <v>2031</v>
      </c>
      <c r="AC89" s="2816"/>
      <c r="AD89" s="2816"/>
      <c r="AE89" s="2816"/>
      <c r="AF89" s="2816"/>
      <c r="AG89" s="2816"/>
      <c r="AH89" s="2817"/>
      <c r="AI89" s="1766"/>
      <c r="AJ89" s="2802"/>
      <c r="AK89" s="2803"/>
      <c r="AL89" s="2803"/>
      <c r="AM89" s="2803"/>
      <c r="AN89" s="2803"/>
      <c r="AO89" s="2803"/>
      <c r="AP89" s="2803"/>
      <c r="AQ89" s="2803"/>
      <c r="AR89" s="2803"/>
      <c r="AS89" s="2803"/>
      <c r="AT89" s="2803"/>
      <c r="AU89" s="2803"/>
      <c r="AV89" s="2803"/>
      <c r="AW89" s="2803"/>
      <c r="AX89" s="2803"/>
      <c r="AY89" s="2806"/>
      <c r="AZ89" s="2806"/>
      <c r="BA89" s="2806"/>
      <c r="BB89" s="2807"/>
      <c r="BC89" s="1766"/>
      <c r="BD89" s="1766"/>
      <c r="BE89" s="1772"/>
    </row>
    <row r="90" spans="1:57" ht="16.5" customHeight="1" thickBot="1">
      <c r="A90" s="1766"/>
      <c r="B90" s="2723"/>
      <c r="C90" s="2724"/>
      <c r="D90" s="2724"/>
      <c r="E90" s="2724"/>
      <c r="F90" s="2724"/>
      <c r="G90" s="2724"/>
      <c r="H90" s="2724"/>
      <c r="I90" s="2812"/>
      <c r="J90" s="2813"/>
      <c r="K90" s="2813"/>
      <c r="L90" s="2813"/>
      <c r="M90" s="2813"/>
      <c r="N90" s="2813"/>
      <c r="O90" s="2813"/>
      <c r="P90" s="2813"/>
      <c r="Q90" s="2813"/>
      <c r="R90" s="2813"/>
      <c r="S90" s="2813"/>
      <c r="T90" s="2813"/>
      <c r="U90" s="2813"/>
      <c r="V90" s="2815"/>
      <c r="W90" s="2815"/>
      <c r="X90" s="2815"/>
      <c r="Y90" s="2815"/>
      <c r="Z90" s="2815"/>
      <c r="AA90" s="2815"/>
      <c r="AB90" s="2818"/>
      <c r="AC90" s="2818"/>
      <c r="AD90" s="2818"/>
      <c r="AE90" s="2818"/>
      <c r="AF90" s="2818"/>
      <c r="AG90" s="2818"/>
      <c r="AH90" s="2819"/>
      <c r="AI90" s="1766"/>
      <c r="AJ90" s="2802"/>
      <c r="AK90" s="2803"/>
      <c r="AL90" s="2803"/>
      <c r="AM90" s="2803"/>
      <c r="AN90" s="2803"/>
      <c r="AO90" s="2803"/>
      <c r="AP90" s="2803"/>
      <c r="AQ90" s="2803"/>
      <c r="AR90" s="2803"/>
      <c r="AS90" s="2803"/>
      <c r="AT90" s="2803"/>
      <c r="AU90" s="2803"/>
      <c r="AV90" s="2803"/>
      <c r="AW90" s="2803"/>
      <c r="AX90" s="2803"/>
      <c r="AY90" s="2806"/>
      <c r="AZ90" s="2806"/>
      <c r="BA90" s="2806"/>
      <c r="BB90" s="2807"/>
      <c r="BC90" s="1766"/>
      <c r="BD90" s="1766"/>
      <c r="BE90" s="1772"/>
    </row>
    <row r="91" spans="1:57" ht="15.75" customHeight="1" thickBot="1">
      <c r="A91" s="1766"/>
      <c r="B91" s="2665" t="s">
        <v>2436</v>
      </c>
      <c r="C91" s="2666"/>
      <c r="D91" s="2666"/>
      <c r="E91" s="2666"/>
      <c r="F91" s="2666"/>
      <c r="G91" s="2666"/>
      <c r="H91" s="2666"/>
      <c r="I91" s="2790">
        <v>4528</v>
      </c>
      <c r="J91" s="2760"/>
      <c r="K91" s="2760"/>
      <c r="L91" s="2760"/>
      <c r="M91" s="2760"/>
      <c r="N91" s="2760"/>
      <c r="O91" s="2760">
        <v>1244</v>
      </c>
      <c r="P91" s="2760"/>
      <c r="Q91" s="2760"/>
      <c r="R91" s="2760"/>
      <c r="S91" s="2760"/>
      <c r="T91" s="2760"/>
      <c r="U91" s="2760"/>
      <c r="V91" s="2760">
        <v>2830</v>
      </c>
      <c r="W91" s="2760"/>
      <c r="X91" s="2760"/>
      <c r="Y91" s="2760"/>
      <c r="Z91" s="2760"/>
      <c r="AA91" s="2791"/>
      <c r="AB91" s="2760">
        <v>1328</v>
      </c>
      <c r="AC91" s="2760"/>
      <c r="AD91" s="2760"/>
      <c r="AE91" s="2760"/>
      <c r="AF91" s="2760"/>
      <c r="AG91" s="2760"/>
      <c r="AH91" s="2794"/>
      <c r="AI91" s="1766"/>
      <c r="AJ91" s="2804"/>
      <c r="AK91" s="2805"/>
      <c r="AL91" s="2805"/>
      <c r="AM91" s="2805"/>
      <c r="AN91" s="2805"/>
      <c r="AO91" s="2805"/>
      <c r="AP91" s="2805"/>
      <c r="AQ91" s="2805"/>
      <c r="AR91" s="2805"/>
      <c r="AS91" s="2805"/>
      <c r="AT91" s="2805"/>
      <c r="AU91" s="2805"/>
      <c r="AV91" s="2805"/>
      <c r="AW91" s="2805"/>
      <c r="AX91" s="2805"/>
      <c r="AY91" s="2808"/>
      <c r="AZ91" s="2808"/>
      <c r="BA91" s="2808"/>
      <c r="BB91" s="2809"/>
      <c r="BC91" s="1766"/>
      <c r="BD91" s="1766"/>
      <c r="BE91" s="1772"/>
    </row>
    <row r="92" spans="1:57" ht="15.75" customHeight="1" thickBot="1">
      <c r="A92" s="1766"/>
      <c r="B92" s="2665" t="s">
        <v>2437</v>
      </c>
      <c r="C92" s="2666"/>
      <c r="D92" s="2666"/>
      <c r="E92" s="2666"/>
      <c r="F92" s="2666"/>
      <c r="G92" s="2666"/>
      <c r="H92" s="2666"/>
      <c r="I92" s="2795">
        <v>0</v>
      </c>
      <c r="J92" s="2779"/>
      <c r="K92" s="2779"/>
      <c r="L92" s="2779"/>
      <c r="M92" s="2779"/>
      <c r="N92" s="2779"/>
      <c r="O92" s="2779">
        <v>0</v>
      </c>
      <c r="P92" s="2779"/>
      <c r="Q92" s="2779"/>
      <c r="R92" s="2779"/>
      <c r="S92" s="2779"/>
      <c r="T92" s="2779"/>
      <c r="U92" s="2779"/>
      <c r="V92" s="2779">
        <v>0</v>
      </c>
      <c r="W92" s="2779"/>
      <c r="X92" s="2779"/>
      <c r="Y92" s="2779"/>
      <c r="Z92" s="2779"/>
      <c r="AA92" s="2796"/>
      <c r="AB92" s="2797" t="s">
        <v>624</v>
      </c>
      <c r="AC92" s="2798"/>
      <c r="AD92" s="2798"/>
      <c r="AE92" s="2798"/>
      <c r="AF92" s="2798"/>
      <c r="AG92" s="2798"/>
      <c r="AH92" s="2799"/>
      <c r="AI92" s="1766"/>
      <c r="AJ92" s="2781" t="s">
        <v>2459</v>
      </c>
      <c r="AK92" s="2782"/>
      <c r="AL92" s="2782"/>
      <c r="AM92" s="2782"/>
      <c r="AN92" s="2782"/>
      <c r="AO92" s="2782"/>
      <c r="AP92" s="2782"/>
      <c r="AQ92" s="2782"/>
      <c r="AR92" s="2782"/>
      <c r="AS92" s="2782"/>
      <c r="AT92" s="2782"/>
      <c r="AU92" s="2782"/>
      <c r="AV92" s="2782"/>
      <c r="AW92" s="2782"/>
      <c r="AX92" s="2782"/>
      <c r="AY92" s="2782"/>
      <c r="AZ92" s="2782"/>
      <c r="BA92" s="2782"/>
      <c r="BB92" s="2783"/>
      <c r="BC92" s="1766"/>
      <c r="BD92" s="1766"/>
      <c r="BE92" s="1772"/>
    </row>
    <row r="93" spans="1:57" ht="15.75" customHeight="1" thickBot="1">
      <c r="A93" s="1766"/>
      <c r="B93" s="2787" t="s">
        <v>2032</v>
      </c>
      <c r="C93" s="2788"/>
      <c r="D93" s="2788"/>
      <c r="E93" s="2788"/>
      <c r="F93" s="2788"/>
      <c r="G93" s="2788"/>
      <c r="H93" s="2789"/>
      <c r="I93" s="2790">
        <v>4528</v>
      </c>
      <c r="J93" s="2760"/>
      <c r="K93" s="2760"/>
      <c r="L93" s="2760"/>
      <c r="M93" s="2760"/>
      <c r="N93" s="2760"/>
      <c r="O93" s="2760">
        <v>1244</v>
      </c>
      <c r="P93" s="2760"/>
      <c r="Q93" s="2760"/>
      <c r="R93" s="2760"/>
      <c r="S93" s="2760"/>
      <c r="T93" s="2760"/>
      <c r="U93" s="2760"/>
      <c r="V93" s="2760">
        <v>2830</v>
      </c>
      <c r="W93" s="2760"/>
      <c r="X93" s="2760"/>
      <c r="Y93" s="2760"/>
      <c r="Z93" s="2760"/>
      <c r="AA93" s="2791"/>
      <c r="AB93" s="2792">
        <v>1328</v>
      </c>
      <c r="AC93" s="2792"/>
      <c r="AD93" s="2792"/>
      <c r="AE93" s="2792"/>
      <c r="AF93" s="2792"/>
      <c r="AG93" s="2792"/>
      <c r="AH93" s="2793"/>
      <c r="AI93" s="1766"/>
      <c r="AJ93" s="2784"/>
      <c r="AK93" s="2785"/>
      <c r="AL93" s="2785"/>
      <c r="AM93" s="2785"/>
      <c r="AN93" s="2785"/>
      <c r="AO93" s="2785"/>
      <c r="AP93" s="2785"/>
      <c r="AQ93" s="2785"/>
      <c r="AR93" s="2785"/>
      <c r="AS93" s="2785"/>
      <c r="AT93" s="2785"/>
      <c r="AU93" s="2785"/>
      <c r="AV93" s="2785"/>
      <c r="AW93" s="2785"/>
      <c r="AX93" s="2785"/>
      <c r="AY93" s="2785"/>
      <c r="AZ93" s="2785"/>
      <c r="BA93" s="2785"/>
      <c r="BB93" s="2786"/>
      <c r="BC93" s="1766"/>
      <c r="BD93" s="1766"/>
      <c r="BE93" s="1772"/>
    </row>
    <row r="94" spans="1:57" ht="15.75" customHeight="1">
      <c r="A94" s="1766"/>
      <c r="B94" s="1766"/>
      <c r="C94" s="1766"/>
      <c r="D94" s="1766"/>
      <c r="E94" s="1766"/>
      <c r="F94" s="1766"/>
      <c r="G94" s="1766"/>
      <c r="H94" s="1766"/>
      <c r="I94" s="1766"/>
      <c r="J94" s="1766"/>
      <c r="K94" s="1766"/>
      <c r="L94" s="1766"/>
      <c r="M94" s="1766"/>
      <c r="N94" s="1766"/>
      <c r="O94" s="1766"/>
      <c r="P94" s="1766"/>
      <c r="Q94" s="1766"/>
      <c r="R94" s="1766"/>
      <c r="S94" s="1766"/>
      <c r="T94" s="1766"/>
      <c r="U94" s="1766" t="s">
        <v>255</v>
      </c>
      <c r="V94" s="1766"/>
      <c r="W94" s="1766"/>
      <c r="X94" s="1766"/>
      <c r="Y94" s="1766"/>
      <c r="Z94" s="1766"/>
      <c r="AA94" s="1766"/>
      <c r="AB94" s="1766"/>
      <c r="AC94" s="1766"/>
      <c r="AD94" s="1766"/>
      <c r="AE94" s="1766"/>
      <c r="AF94" s="1766"/>
      <c r="AG94" s="1766"/>
      <c r="AH94" s="1766"/>
      <c r="AI94" s="1766"/>
      <c r="AJ94" s="1766"/>
      <c r="AK94" s="1766"/>
      <c r="AL94" s="1766"/>
      <c r="AM94" s="1766"/>
      <c r="AN94" s="1766"/>
      <c r="AO94" s="1766"/>
      <c r="AP94" s="1766"/>
      <c r="AQ94" s="1766"/>
      <c r="AR94" s="1766"/>
      <c r="AS94" s="1766"/>
      <c r="AT94" s="1766"/>
      <c r="AU94" s="1766"/>
      <c r="AV94" s="1766"/>
      <c r="AW94" s="1766"/>
      <c r="AX94" s="1766"/>
      <c r="AY94" s="1766"/>
      <c r="AZ94" s="1766"/>
      <c r="BA94" s="1766"/>
      <c r="BB94" s="1766"/>
      <c r="BC94" s="1766"/>
      <c r="BD94" s="1766"/>
      <c r="BE94" s="1772"/>
    </row>
    <row r="95" spans="1:57" ht="15.75" customHeight="1" thickBot="1">
      <c r="A95" s="1766"/>
      <c r="B95" s="1776" t="s">
        <v>2035</v>
      </c>
      <c r="R95" s="1766"/>
      <c r="S95" s="1766"/>
      <c r="T95" s="1766"/>
      <c r="U95" s="1766"/>
      <c r="V95" s="1766"/>
      <c r="W95" s="1766"/>
      <c r="X95" s="1766"/>
      <c r="Y95" s="1766"/>
      <c r="Z95" s="1766"/>
      <c r="AA95" s="1766"/>
      <c r="AB95" s="1766"/>
      <c r="AC95" s="1766"/>
      <c r="AD95" s="1766"/>
      <c r="AE95" s="1766"/>
      <c r="AF95" s="1766"/>
      <c r="AG95" s="1766"/>
      <c r="AH95" s="1766"/>
      <c r="AI95" s="1766"/>
      <c r="AJ95" s="1766"/>
      <c r="AK95" s="1766"/>
      <c r="AL95" s="1766"/>
      <c r="AM95" s="1766"/>
      <c r="AN95" s="1766"/>
      <c r="AO95" s="1766"/>
      <c r="AP95" s="1766"/>
      <c r="AQ95" s="1766"/>
      <c r="AR95" s="1766"/>
      <c r="AS95" s="1766"/>
      <c r="AT95" s="1766"/>
      <c r="AU95" s="1766"/>
      <c r="AV95" s="1766"/>
      <c r="AW95" s="1766"/>
      <c r="AX95" s="1766"/>
      <c r="AY95" s="1766"/>
      <c r="AZ95" s="1766"/>
      <c r="BA95" s="1766"/>
      <c r="BB95" s="1766"/>
      <c r="BC95" s="1766"/>
      <c r="BD95" s="1766"/>
      <c r="BE95" s="1772"/>
    </row>
    <row r="96" spans="1:57" ht="15.75" customHeight="1" thickBot="1">
      <c r="A96" s="1766"/>
      <c r="B96" s="1766"/>
      <c r="C96" s="1766"/>
      <c r="D96" s="1766"/>
      <c r="E96" s="1766"/>
      <c r="F96" s="1766"/>
      <c r="G96" s="1766"/>
      <c r="H96" s="1766"/>
      <c r="I96" s="1766"/>
      <c r="J96" s="1766"/>
      <c r="K96" s="1766"/>
      <c r="L96" s="1766"/>
      <c r="M96" s="1766"/>
      <c r="N96" s="1766"/>
      <c r="O96" s="1766"/>
      <c r="P96" s="1779"/>
      <c r="Q96" s="1766"/>
      <c r="R96" s="1766"/>
      <c r="S96" s="1766"/>
      <c r="T96" s="1766"/>
      <c r="U96" s="1766"/>
      <c r="V96" s="1766"/>
      <c r="W96" s="1766"/>
      <c r="X96" s="2763" t="s">
        <v>2438</v>
      </c>
      <c r="Y96" s="2764"/>
      <c r="Z96" s="2764"/>
      <c r="AA96" s="2764"/>
      <c r="AB96" s="2764"/>
      <c r="AC96" s="2764"/>
      <c r="AD96" s="2764"/>
      <c r="AE96" s="2764"/>
      <c r="AF96" s="2764"/>
      <c r="AG96" s="2764"/>
      <c r="AH96" s="2764"/>
      <c r="AI96" s="2764"/>
      <c r="AJ96" s="2764"/>
      <c r="AK96" s="2764"/>
      <c r="AL96" s="2764"/>
      <c r="AM96" s="2764"/>
      <c r="AN96" s="2764"/>
      <c r="AO96" s="2764"/>
      <c r="AP96" s="2764"/>
      <c r="AQ96" s="2764"/>
      <c r="AR96" s="2764"/>
      <c r="AS96" s="2764"/>
      <c r="AT96" s="2764"/>
      <c r="AU96" s="2764"/>
      <c r="AV96" s="2764"/>
      <c r="AW96" s="2764"/>
      <c r="AX96" s="2764"/>
      <c r="AY96" s="2764"/>
      <c r="AZ96" s="2764"/>
      <c r="BA96" s="2764"/>
      <c r="BB96" s="2764"/>
      <c r="BC96" s="2764"/>
      <c r="BD96" s="2765"/>
      <c r="BE96" s="1772"/>
    </row>
    <row r="97" spans="1:57" ht="15.75" customHeight="1" thickBot="1">
      <c r="A97" s="1766"/>
      <c r="B97" s="2665" t="s">
        <v>1862</v>
      </c>
      <c r="C97" s="2666"/>
      <c r="D97" s="2666"/>
      <c r="E97" s="2666"/>
      <c r="F97" s="2666"/>
      <c r="G97" s="2666"/>
      <c r="H97" s="2666"/>
      <c r="I97" s="2666"/>
      <c r="J97" s="2666"/>
      <c r="K97" s="2666"/>
      <c r="L97" s="2666"/>
      <c r="M97" s="2666"/>
      <c r="N97" s="2666"/>
      <c r="O97" s="2666"/>
      <c r="P97" s="2666"/>
      <c r="Q97" s="2666"/>
      <c r="R97" s="2666"/>
      <c r="S97" s="2666"/>
      <c r="T97" s="2666"/>
      <c r="U97" s="2667"/>
      <c r="V97" s="1766"/>
      <c r="W97" s="1766"/>
      <c r="X97" s="2766"/>
      <c r="Y97" s="2767"/>
      <c r="Z97" s="2767"/>
      <c r="AA97" s="2767"/>
      <c r="AB97" s="2767"/>
      <c r="AC97" s="2767"/>
      <c r="AD97" s="2767"/>
      <c r="AE97" s="2767"/>
      <c r="AF97" s="2767"/>
      <c r="AG97" s="2767"/>
      <c r="AH97" s="2767"/>
      <c r="AI97" s="2767"/>
      <c r="AJ97" s="2767"/>
      <c r="AK97" s="2767"/>
      <c r="AL97" s="2767"/>
      <c r="AM97" s="2767"/>
      <c r="AN97" s="2767"/>
      <c r="AO97" s="2767"/>
      <c r="AP97" s="2767"/>
      <c r="AQ97" s="2767"/>
      <c r="AR97" s="2767"/>
      <c r="AS97" s="2767"/>
      <c r="AT97" s="2767"/>
      <c r="AU97" s="2767"/>
      <c r="AV97" s="2767"/>
      <c r="AW97" s="2767"/>
      <c r="AX97" s="2767"/>
      <c r="AY97" s="2767"/>
      <c r="AZ97" s="2767"/>
      <c r="BA97" s="2767"/>
      <c r="BB97" s="2767"/>
      <c r="BC97" s="2767"/>
      <c r="BD97" s="2768"/>
      <c r="BE97" s="1772"/>
    </row>
    <row r="98" spans="1:57" ht="15.75" customHeight="1" thickBot="1">
      <c r="A98" s="1766"/>
      <c r="B98" s="2665"/>
      <c r="C98" s="2666"/>
      <c r="D98" s="2666"/>
      <c r="E98" s="2666"/>
      <c r="F98" s="2666"/>
      <c r="G98" s="2666"/>
      <c r="H98" s="2667"/>
      <c r="I98" s="2665" t="s">
        <v>2439</v>
      </c>
      <c r="J98" s="2666"/>
      <c r="K98" s="2666"/>
      <c r="L98" s="2666"/>
      <c r="M98" s="2666"/>
      <c r="N98" s="2667"/>
      <c r="O98" s="2769" t="s">
        <v>2440</v>
      </c>
      <c r="P98" s="2770"/>
      <c r="Q98" s="2770"/>
      <c r="R98" s="2770"/>
      <c r="S98" s="2770"/>
      <c r="T98" s="2770"/>
      <c r="U98" s="2771"/>
      <c r="V98" s="1766"/>
      <c r="W98" s="1766"/>
      <c r="X98" s="2772" t="s">
        <v>2456</v>
      </c>
      <c r="Y98" s="2773"/>
      <c r="Z98" s="2773"/>
      <c r="AA98" s="2773"/>
      <c r="AB98" s="2773"/>
      <c r="AC98" s="2773"/>
      <c r="AD98" s="2773"/>
      <c r="AE98" s="2773"/>
      <c r="AF98" s="2773"/>
      <c r="AG98" s="2773"/>
      <c r="AH98" s="2773"/>
      <c r="AI98" s="2773"/>
      <c r="AJ98" s="2773"/>
      <c r="AK98" s="2773"/>
      <c r="AL98" s="2773"/>
      <c r="AM98" s="2773"/>
      <c r="AN98" s="2773"/>
      <c r="AO98" s="2773"/>
      <c r="AP98" s="2773"/>
      <c r="AQ98" s="2773"/>
      <c r="AR98" s="2773"/>
      <c r="AS98" s="2773"/>
      <c r="AT98" s="2773"/>
      <c r="AU98" s="2773"/>
      <c r="AV98" s="2773"/>
      <c r="AW98" s="2773"/>
      <c r="AX98" s="2773"/>
      <c r="AY98" s="2773"/>
      <c r="AZ98" s="2773"/>
      <c r="BA98" s="2773"/>
      <c r="BB98" s="2773"/>
      <c r="BC98" s="2773"/>
      <c r="BD98" s="2774"/>
      <c r="BE98" s="1772"/>
    </row>
    <row r="99" spans="1:57" ht="15.75" customHeight="1" thickBot="1">
      <c r="A99" s="1766"/>
      <c r="B99" s="2703" t="s">
        <v>2441</v>
      </c>
      <c r="C99" s="2704"/>
      <c r="D99" s="2704"/>
      <c r="E99" s="2704"/>
      <c r="F99" s="2704"/>
      <c r="G99" s="2704"/>
      <c r="H99" s="2705"/>
      <c r="I99" s="2778">
        <v>155</v>
      </c>
      <c r="J99" s="2779"/>
      <c r="K99" s="2779"/>
      <c r="L99" s="2779"/>
      <c r="M99" s="2779"/>
      <c r="N99" s="2779"/>
      <c r="O99" s="2779">
        <v>16</v>
      </c>
      <c r="P99" s="2779"/>
      <c r="Q99" s="2779"/>
      <c r="R99" s="2779"/>
      <c r="S99" s="2779"/>
      <c r="T99" s="2779"/>
      <c r="U99" s="2780"/>
      <c r="V99" s="1766"/>
      <c r="W99" s="1766"/>
      <c r="X99" s="2772"/>
      <c r="Y99" s="2773"/>
      <c r="Z99" s="2773"/>
      <c r="AA99" s="2773"/>
      <c r="AB99" s="2773"/>
      <c r="AC99" s="2773"/>
      <c r="AD99" s="2773"/>
      <c r="AE99" s="2773"/>
      <c r="AF99" s="2773"/>
      <c r="AG99" s="2773"/>
      <c r="AH99" s="2773"/>
      <c r="AI99" s="2773"/>
      <c r="AJ99" s="2773"/>
      <c r="AK99" s="2773"/>
      <c r="AL99" s="2773"/>
      <c r="AM99" s="2773"/>
      <c r="AN99" s="2773"/>
      <c r="AO99" s="2773"/>
      <c r="AP99" s="2773"/>
      <c r="AQ99" s="2773"/>
      <c r="AR99" s="2773"/>
      <c r="AS99" s="2773"/>
      <c r="AT99" s="2773"/>
      <c r="AU99" s="2773"/>
      <c r="AV99" s="2773"/>
      <c r="AW99" s="2773"/>
      <c r="AX99" s="2773"/>
      <c r="AY99" s="2773"/>
      <c r="AZ99" s="2773"/>
      <c r="BA99" s="2773"/>
      <c r="BB99" s="2773"/>
      <c r="BC99" s="2773"/>
      <c r="BD99" s="2774"/>
      <c r="BE99" s="1772"/>
    </row>
    <row r="100" spans="1:57" ht="15.75" customHeight="1" thickBot="1">
      <c r="A100" s="1766"/>
      <c r="B100" s="2703" t="s">
        <v>2442</v>
      </c>
      <c r="C100" s="2704"/>
      <c r="D100" s="2704"/>
      <c r="E100" s="2704"/>
      <c r="F100" s="2704"/>
      <c r="G100" s="2704"/>
      <c r="H100" s="2705"/>
      <c r="I100" s="2759">
        <v>0</v>
      </c>
      <c r="J100" s="2760"/>
      <c r="K100" s="2760"/>
      <c r="L100" s="2760"/>
      <c r="M100" s="2760"/>
      <c r="N100" s="2760"/>
      <c r="O100" s="2761"/>
      <c r="P100" s="2761"/>
      <c r="Q100" s="2761"/>
      <c r="R100" s="2761"/>
      <c r="S100" s="2761"/>
      <c r="T100" s="2761"/>
      <c r="U100" s="2762"/>
      <c r="V100" s="1766"/>
      <c r="W100" s="1766"/>
      <c r="X100" s="2772"/>
      <c r="Y100" s="2773"/>
      <c r="Z100" s="2773"/>
      <c r="AA100" s="2773"/>
      <c r="AB100" s="2773"/>
      <c r="AC100" s="2773"/>
      <c r="AD100" s="2773"/>
      <c r="AE100" s="2773"/>
      <c r="AF100" s="2773"/>
      <c r="AG100" s="2773"/>
      <c r="AH100" s="2773"/>
      <c r="AI100" s="2773"/>
      <c r="AJ100" s="2773"/>
      <c r="AK100" s="2773"/>
      <c r="AL100" s="2773"/>
      <c r="AM100" s="2773"/>
      <c r="AN100" s="2773"/>
      <c r="AO100" s="2773"/>
      <c r="AP100" s="2773"/>
      <c r="AQ100" s="2773"/>
      <c r="AR100" s="2773"/>
      <c r="AS100" s="2773"/>
      <c r="AT100" s="2773"/>
      <c r="AU100" s="2773"/>
      <c r="AV100" s="2773"/>
      <c r="AW100" s="2773"/>
      <c r="AX100" s="2773"/>
      <c r="AY100" s="2773"/>
      <c r="AZ100" s="2773"/>
      <c r="BA100" s="2773"/>
      <c r="BB100" s="2773"/>
      <c r="BC100" s="2773"/>
      <c r="BD100" s="2774"/>
      <c r="BE100" s="1772"/>
    </row>
    <row r="101" spans="1:57" ht="15.75" customHeight="1">
      <c r="A101" s="1766"/>
      <c r="B101" s="1766"/>
      <c r="C101" s="1766"/>
      <c r="D101" s="1766"/>
      <c r="E101" s="1766"/>
      <c r="F101" s="1766"/>
      <c r="G101" s="1766"/>
      <c r="H101" s="1766"/>
      <c r="I101" s="1766"/>
      <c r="J101" s="1766"/>
      <c r="K101" s="1766"/>
      <c r="L101" s="1766"/>
      <c r="M101" s="1766"/>
      <c r="N101" s="1766"/>
      <c r="O101" s="1766"/>
      <c r="P101" s="1766"/>
      <c r="Q101" s="1766"/>
      <c r="R101" s="1766"/>
      <c r="S101" s="1766"/>
      <c r="T101" s="1766"/>
      <c r="U101" s="1766"/>
      <c r="V101" s="1766"/>
      <c r="W101" s="1766"/>
      <c r="X101" s="2772"/>
      <c r="Y101" s="2773"/>
      <c r="Z101" s="2773"/>
      <c r="AA101" s="2773"/>
      <c r="AB101" s="2773"/>
      <c r="AC101" s="2773"/>
      <c r="AD101" s="2773"/>
      <c r="AE101" s="2773"/>
      <c r="AF101" s="2773"/>
      <c r="AG101" s="2773"/>
      <c r="AH101" s="2773"/>
      <c r="AI101" s="2773"/>
      <c r="AJ101" s="2773"/>
      <c r="AK101" s="2773"/>
      <c r="AL101" s="2773"/>
      <c r="AM101" s="2773"/>
      <c r="AN101" s="2773"/>
      <c r="AO101" s="2773"/>
      <c r="AP101" s="2773"/>
      <c r="AQ101" s="2773"/>
      <c r="AR101" s="2773"/>
      <c r="AS101" s="2773"/>
      <c r="AT101" s="2773"/>
      <c r="AU101" s="2773"/>
      <c r="AV101" s="2773"/>
      <c r="AW101" s="2773"/>
      <c r="AX101" s="2773"/>
      <c r="AY101" s="2773"/>
      <c r="AZ101" s="2773"/>
      <c r="BA101" s="2773"/>
      <c r="BB101" s="2773"/>
      <c r="BC101" s="2773"/>
      <c r="BD101" s="2774"/>
      <c r="BE101" s="1772"/>
    </row>
    <row r="102" spans="1:57" ht="15.75" customHeight="1">
      <c r="A102" s="1766"/>
      <c r="B102" s="1777" t="s">
        <v>2036</v>
      </c>
      <c r="C102" s="1777"/>
      <c r="D102" s="1777"/>
      <c r="E102" s="1777"/>
      <c r="F102" s="1777"/>
      <c r="G102" s="1777"/>
      <c r="H102" s="1777"/>
      <c r="I102" s="1777"/>
      <c r="J102" s="1777"/>
      <c r="K102" s="1777"/>
      <c r="L102" s="1777"/>
      <c r="M102" s="1777"/>
      <c r="N102" s="1777"/>
      <c r="O102" s="1777"/>
      <c r="P102" s="1777"/>
      <c r="Q102" s="1773"/>
      <c r="R102" s="1773"/>
      <c r="S102" s="1766"/>
      <c r="T102" s="1766"/>
      <c r="U102" s="1766"/>
      <c r="V102" s="1766" t="s">
        <v>255</v>
      </c>
      <c r="W102" s="1766"/>
      <c r="X102" s="2772"/>
      <c r="Y102" s="2773"/>
      <c r="Z102" s="2773"/>
      <c r="AA102" s="2773"/>
      <c r="AB102" s="2773"/>
      <c r="AC102" s="2773"/>
      <c r="AD102" s="2773"/>
      <c r="AE102" s="2773"/>
      <c r="AF102" s="2773"/>
      <c r="AG102" s="2773"/>
      <c r="AH102" s="2773"/>
      <c r="AI102" s="2773"/>
      <c r="AJ102" s="2773"/>
      <c r="AK102" s="2773"/>
      <c r="AL102" s="2773"/>
      <c r="AM102" s="2773"/>
      <c r="AN102" s="2773"/>
      <c r="AO102" s="2773"/>
      <c r="AP102" s="2773"/>
      <c r="AQ102" s="2773"/>
      <c r="AR102" s="2773"/>
      <c r="AS102" s="2773"/>
      <c r="AT102" s="2773"/>
      <c r="AU102" s="2773"/>
      <c r="AV102" s="2773"/>
      <c r="AW102" s="2773"/>
      <c r="AX102" s="2773"/>
      <c r="AY102" s="2773"/>
      <c r="AZ102" s="2773"/>
      <c r="BA102" s="2773"/>
      <c r="BB102" s="2773"/>
      <c r="BC102" s="2773"/>
      <c r="BD102" s="2774"/>
      <c r="BE102" s="1772"/>
    </row>
    <row r="103" spans="1:57" ht="15.75" customHeight="1" thickBot="1">
      <c r="A103" s="1766"/>
      <c r="B103" s="1766"/>
      <c r="C103" s="1766"/>
      <c r="D103" s="1766"/>
      <c r="E103" s="1766"/>
      <c r="F103" s="1766"/>
      <c r="G103" s="1766"/>
      <c r="H103" s="1766"/>
      <c r="I103" s="1766"/>
      <c r="J103" s="1766"/>
      <c r="K103" s="1766"/>
      <c r="L103" s="1766"/>
      <c r="M103" s="1766"/>
      <c r="N103" s="1766"/>
      <c r="O103" s="1766"/>
      <c r="P103" s="1766"/>
      <c r="Q103" s="1766"/>
      <c r="R103" s="1766"/>
      <c r="S103" s="1766"/>
      <c r="T103" s="1766"/>
      <c r="U103" s="1766"/>
      <c r="V103" s="1766"/>
      <c r="W103" s="1766"/>
      <c r="X103" s="2772"/>
      <c r="Y103" s="2773"/>
      <c r="Z103" s="2773"/>
      <c r="AA103" s="2773"/>
      <c r="AB103" s="2773"/>
      <c r="AC103" s="2773"/>
      <c r="AD103" s="2773"/>
      <c r="AE103" s="2773"/>
      <c r="AF103" s="2773"/>
      <c r="AG103" s="2773"/>
      <c r="AH103" s="2773"/>
      <c r="AI103" s="2773"/>
      <c r="AJ103" s="2773"/>
      <c r="AK103" s="2773"/>
      <c r="AL103" s="2773"/>
      <c r="AM103" s="2773"/>
      <c r="AN103" s="2773"/>
      <c r="AO103" s="2773"/>
      <c r="AP103" s="2773"/>
      <c r="AQ103" s="2773"/>
      <c r="AR103" s="2773"/>
      <c r="AS103" s="2773"/>
      <c r="AT103" s="2773"/>
      <c r="AU103" s="2773"/>
      <c r="AV103" s="2773"/>
      <c r="AW103" s="2773"/>
      <c r="AX103" s="2773"/>
      <c r="AY103" s="2773"/>
      <c r="AZ103" s="2773"/>
      <c r="BA103" s="2773"/>
      <c r="BB103" s="2773"/>
      <c r="BC103" s="2773"/>
      <c r="BD103" s="2774"/>
      <c r="BE103" s="1772"/>
    </row>
    <row r="104" spans="1:57" ht="15.75" customHeight="1">
      <c r="A104" s="1766"/>
      <c r="B104" s="2709" t="s">
        <v>2037</v>
      </c>
      <c r="C104" s="2710"/>
      <c r="D104" s="2710"/>
      <c r="E104" s="2710"/>
      <c r="F104" s="2710"/>
      <c r="G104" s="2710"/>
      <c r="H104" s="2710"/>
      <c r="I104" s="2710"/>
      <c r="J104" s="2710"/>
      <c r="K104" s="2710"/>
      <c r="L104" s="2710"/>
      <c r="M104" s="2710"/>
      <c r="N104" s="2710"/>
      <c r="O104" s="2710"/>
      <c r="P104" s="2710"/>
      <c r="Q104" s="2710"/>
      <c r="R104" s="2710"/>
      <c r="S104" s="2710"/>
      <c r="T104" s="2710"/>
      <c r="U104" s="2758"/>
      <c r="V104" s="1766"/>
      <c r="W104" s="1766"/>
      <c r="X104" s="2772"/>
      <c r="Y104" s="2773"/>
      <c r="Z104" s="2773"/>
      <c r="AA104" s="2773"/>
      <c r="AB104" s="2773"/>
      <c r="AC104" s="2773"/>
      <c r="AD104" s="2773"/>
      <c r="AE104" s="2773"/>
      <c r="AF104" s="2773"/>
      <c r="AG104" s="2773"/>
      <c r="AH104" s="2773"/>
      <c r="AI104" s="2773"/>
      <c r="AJ104" s="2773"/>
      <c r="AK104" s="2773"/>
      <c r="AL104" s="2773"/>
      <c r="AM104" s="2773"/>
      <c r="AN104" s="2773"/>
      <c r="AO104" s="2773"/>
      <c r="AP104" s="2773"/>
      <c r="AQ104" s="2773"/>
      <c r="AR104" s="2773"/>
      <c r="AS104" s="2773"/>
      <c r="AT104" s="2773"/>
      <c r="AU104" s="2773"/>
      <c r="AV104" s="2773"/>
      <c r="AW104" s="2773"/>
      <c r="AX104" s="2773"/>
      <c r="AY104" s="2773"/>
      <c r="AZ104" s="2773"/>
      <c r="BA104" s="2773"/>
      <c r="BB104" s="2773"/>
      <c r="BC104" s="2773"/>
      <c r="BD104" s="2774"/>
      <c r="BE104" s="1772"/>
    </row>
    <row r="105" spans="1:57" ht="15.75" customHeight="1">
      <c r="A105" s="1766"/>
      <c r="B105" s="2720"/>
      <c r="C105" s="2721"/>
      <c r="D105" s="2721"/>
      <c r="E105" s="2721"/>
      <c r="F105" s="2721"/>
      <c r="G105" s="2721"/>
      <c r="H105" s="2722"/>
      <c r="I105" s="2726" t="s">
        <v>2030</v>
      </c>
      <c r="J105" s="2727"/>
      <c r="K105" s="2727"/>
      <c r="L105" s="2727"/>
      <c r="M105" s="2727"/>
      <c r="N105" s="2727"/>
      <c r="O105" s="2728"/>
      <c r="P105" s="2732" t="s">
        <v>2458</v>
      </c>
      <c r="Q105" s="2733"/>
      <c r="R105" s="2733"/>
      <c r="S105" s="2733"/>
      <c r="T105" s="2733"/>
      <c r="U105" s="2734"/>
      <c r="V105" s="1766"/>
      <c r="W105" s="1766"/>
      <c r="X105" s="2772"/>
      <c r="Y105" s="2773"/>
      <c r="Z105" s="2773"/>
      <c r="AA105" s="2773"/>
      <c r="AB105" s="2773"/>
      <c r="AC105" s="2773"/>
      <c r="AD105" s="2773"/>
      <c r="AE105" s="2773"/>
      <c r="AF105" s="2773"/>
      <c r="AG105" s="2773"/>
      <c r="AH105" s="2773"/>
      <c r="AI105" s="2773"/>
      <c r="AJ105" s="2773"/>
      <c r="AK105" s="2773"/>
      <c r="AL105" s="2773"/>
      <c r="AM105" s="2773"/>
      <c r="AN105" s="2773"/>
      <c r="AO105" s="2773"/>
      <c r="AP105" s="2773"/>
      <c r="AQ105" s="2773"/>
      <c r="AR105" s="2773"/>
      <c r="AS105" s="2773"/>
      <c r="AT105" s="2773"/>
      <c r="AU105" s="2773"/>
      <c r="AV105" s="2773"/>
      <c r="AW105" s="2773"/>
      <c r="AX105" s="2773"/>
      <c r="AY105" s="2773"/>
      <c r="AZ105" s="2773"/>
      <c r="BA105" s="2773"/>
      <c r="BB105" s="2773"/>
      <c r="BC105" s="2773"/>
      <c r="BD105" s="2774"/>
      <c r="BE105" s="1772"/>
    </row>
    <row r="106" spans="1:57" ht="15.75" customHeight="1" thickBot="1">
      <c r="A106" s="1766"/>
      <c r="B106" s="2723"/>
      <c r="C106" s="2724"/>
      <c r="D106" s="2724"/>
      <c r="E106" s="2724"/>
      <c r="F106" s="2724"/>
      <c r="G106" s="2724"/>
      <c r="H106" s="2725"/>
      <c r="I106" s="2729"/>
      <c r="J106" s="2730"/>
      <c r="K106" s="2730"/>
      <c r="L106" s="2730"/>
      <c r="M106" s="2730"/>
      <c r="N106" s="2730"/>
      <c r="O106" s="2731"/>
      <c r="P106" s="2735"/>
      <c r="Q106" s="2736"/>
      <c r="R106" s="2736"/>
      <c r="S106" s="2736"/>
      <c r="T106" s="2736"/>
      <c r="U106" s="2737"/>
      <c r="V106" s="1766"/>
      <c r="W106" s="1766"/>
      <c r="X106" s="2772"/>
      <c r="Y106" s="2773"/>
      <c r="Z106" s="2773"/>
      <c r="AA106" s="2773"/>
      <c r="AB106" s="2773"/>
      <c r="AC106" s="2773"/>
      <c r="AD106" s="2773"/>
      <c r="AE106" s="2773"/>
      <c r="AF106" s="2773"/>
      <c r="AG106" s="2773"/>
      <c r="AH106" s="2773"/>
      <c r="AI106" s="2773"/>
      <c r="AJ106" s="2773"/>
      <c r="AK106" s="2773"/>
      <c r="AL106" s="2773"/>
      <c r="AM106" s="2773"/>
      <c r="AN106" s="2773"/>
      <c r="AO106" s="2773"/>
      <c r="AP106" s="2773"/>
      <c r="AQ106" s="2773"/>
      <c r="AR106" s="2773"/>
      <c r="AS106" s="2773"/>
      <c r="AT106" s="2773"/>
      <c r="AU106" s="2773"/>
      <c r="AV106" s="2773"/>
      <c r="AW106" s="2773"/>
      <c r="AX106" s="2773"/>
      <c r="AY106" s="2773"/>
      <c r="AZ106" s="2773"/>
      <c r="BA106" s="2773"/>
      <c r="BB106" s="2773"/>
      <c r="BC106" s="2773"/>
      <c r="BD106" s="2774"/>
      <c r="BE106" s="1772"/>
    </row>
    <row r="107" spans="1:57" ht="15.75" customHeight="1" thickBot="1">
      <c r="A107" s="1766"/>
      <c r="B107" s="2703" t="s">
        <v>2441</v>
      </c>
      <c r="C107" s="2704"/>
      <c r="D107" s="2704"/>
      <c r="E107" s="2704"/>
      <c r="F107" s="2704"/>
      <c r="G107" s="2704"/>
      <c r="H107" s="2705"/>
      <c r="I107" s="2706">
        <v>10</v>
      </c>
      <c r="J107" s="2707"/>
      <c r="K107" s="2707"/>
      <c r="L107" s="2707"/>
      <c r="M107" s="2707"/>
      <c r="N107" s="2707"/>
      <c r="O107" s="2708"/>
      <c r="P107" s="2706">
        <v>18</v>
      </c>
      <c r="Q107" s="2707"/>
      <c r="R107" s="2707"/>
      <c r="S107" s="2707"/>
      <c r="T107" s="2707"/>
      <c r="U107" s="2708"/>
      <c r="V107" s="1766"/>
      <c r="W107" s="1766"/>
      <c r="X107" s="2772"/>
      <c r="Y107" s="2773"/>
      <c r="Z107" s="2773"/>
      <c r="AA107" s="2773"/>
      <c r="AB107" s="2773"/>
      <c r="AC107" s="2773"/>
      <c r="AD107" s="2773"/>
      <c r="AE107" s="2773"/>
      <c r="AF107" s="2773"/>
      <c r="AG107" s="2773"/>
      <c r="AH107" s="2773"/>
      <c r="AI107" s="2773"/>
      <c r="AJ107" s="2773"/>
      <c r="AK107" s="2773"/>
      <c r="AL107" s="2773"/>
      <c r="AM107" s="2773"/>
      <c r="AN107" s="2773"/>
      <c r="AO107" s="2773"/>
      <c r="AP107" s="2773"/>
      <c r="AQ107" s="2773"/>
      <c r="AR107" s="2773"/>
      <c r="AS107" s="2773"/>
      <c r="AT107" s="2773"/>
      <c r="AU107" s="2773"/>
      <c r="AV107" s="2773"/>
      <c r="AW107" s="2773"/>
      <c r="AX107" s="2773"/>
      <c r="AY107" s="2773"/>
      <c r="AZ107" s="2773"/>
      <c r="BA107" s="2773"/>
      <c r="BB107" s="2773"/>
      <c r="BC107" s="2773"/>
      <c r="BD107" s="2774"/>
      <c r="BE107" s="1772"/>
    </row>
    <row r="108" spans="1:57" ht="15.75" customHeight="1" thickBot="1">
      <c r="A108" s="1766"/>
      <c r="B108" s="2703" t="s">
        <v>2442</v>
      </c>
      <c r="C108" s="2704"/>
      <c r="D108" s="2704"/>
      <c r="E108" s="2704"/>
      <c r="F108" s="2704"/>
      <c r="G108" s="2704"/>
      <c r="H108" s="2705"/>
      <c r="I108" s="2706">
        <v>3</v>
      </c>
      <c r="J108" s="2707"/>
      <c r="K108" s="2707"/>
      <c r="L108" s="2707"/>
      <c r="M108" s="2707"/>
      <c r="N108" s="2707"/>
      <c r="O108" s="2708"/>
      <c r="P108" s="2706">
        <v>5</v>
      </c>
      <c r="Q108" s="2707"/>
      <c r="R108" s="2707"/>
      <c r="S108" s="2707"/>
      <c r="T108" s="2707"/>
      <c r="U108" s="2708"/>
      <c r="V108" s="1766"/>
      <c r="W108" s="1766"/>
      <c r="X108" s="2775"/>
      <c r="Y108" s="2776"/>
      <c r="Z108" s="2776"/>
      <c r="AA108" s="2776"/>
      <c r="AB108" s="2776"/>
      <c r="AC108" s="2776"/>
      <c r="AD108" s="2776"/>
      <c r="AE108" s="2776"/>
      <c r="AF108" s="2776"/>
      <c r="AG108" s="2776"/>
      <c r="AH108" s="2776"/>
      <c r="AI108" s="2776"/>
      <c r="AJ108" s="2776"/>
      <c r="AK108" s="2776"/>
      <c r="AL108" s="2776"/>
      <c r="AM108" s="2776"/>
      <c r="AN108" s="2776"/>
      <c r="AO108" s="2776"/>
      <c r="AP108" s="2776"/>
      <c r="AQ108" s="2776"/>
      <c r="AR108" s="2776"/>
      <c r="AS108" s="2776"/>
      <c r="AT108" s="2776"/>
      <c r="AU108" s="2776"/>
      <c r="AV108" s="2776"/>
      <c r="AW108" s="2776"/>
      <c r="AX108" s="2776"/>
      <c r="AY108" s="2776"/>
      <c r="AZ108" s="2776"/>
      <c r="BA108" s="2776"/>
      <c r="BB108" s="2776"/>
      <c r="BC108" s="2776"/>
      <c r="BD108" s="2777"/>
      <c r="BE108" s="1772"/>
    </row>
    <row r="109" spans="1:57" ht="15.75" customHeight="1" thickBot="1">
      <c r="A109" s="1766"/>
      <c r="B109" s="1766"/>
      <c r="C109" s="1766"/>
      <c r="D109" s="1766"/>
      <c r="E109" s="1766"/>
      <c r="F109" s="1766"/>
      <c r="G109" s="1766"/>
      <c r="H109" s="1766"/>
      <c r="I109" s="1766"/>
      <c r="J109" s="1766"/>
      <c r="K109" s="1766"/>
      <c r="L109" s="1766"/>
      <c r="M109" s="1766"/>
      <c r="N109" s="1766"/>
      <c r="O109" s="1766"/>
      <c r="P109" s="1766"/>
      <c r="Q109" s="1766"/>
      <c r="R109" s="1766"/>
      <c r="S109" s="1766"/>
      <c r="T109" s="1766"/>
      <c r="U109" s="1766"/>
      <c r="V109" s="1766"/>
      <c r="W109" s="1766"/>
      <c r="X109" s="1766"/>
      <c r="Y109" s="1766"/>
      <c r="Z109" s="1766"/>
      <c r="AA109" s="1766"/>
      <c r="AB109" s="1766"/>
      <c r="AC109" s="1766"/>
      <c r="AD109" s="1766"/>
      <c r="AE109" s="1766"/>
      <c r="AF109" s="1766"/>
      <c r="AG109" s="1766"/>
      <c r="AH109" s="1766"/>
      <c r="AI109" s="1766"/>
      <c r="AJ109" s="1766"/>
      <c r="AK109" s="1766"/>
      <c r="AL109" s="1766"/>
      <c r="AM109" s="1766"/>
      <c r="AN109" s="1766"/>
      <c r="AO109" s="1766"/>
      <c r="AP109" s="1766"/>
      <c r="AQ109" s="1766"/>
      <c r="AR109" s="1766"/>
      <c r="AS109" s="1766"/>
      <c r="AT109" s="1766"/>
      <c r="AU109" s="1766"/>
      <c r="AV109" s="1766"/>
      <c r="AW109" s="1766"/>
      <c r="AX109" s="1766"/>
      <c r="AY109" s="1766"/>
      <c r="AZ109" s="1766"/>
      <c r="BA109" s="1766"/>
      <c r="BB109" s="1766"/>
      <c r="BC109" s="1766"/>
      <c r="BD109" s="1766"/>
      <c r="BE109" s="1772"/>
    </row>
    <row r="110" spans="1:57" ht="15.75" customHeight="1" thickBot="1">
      <c r="A110" s="1766"/>
      <c r="B110" s="2738" t="s">
        <v>2038</v>
      </c>
      <c r="C110" s="2739"/>
      <c r="D110" s="2739"/>
      <c r="E110" s="2739"/>
      <c r="F110" s="2739"/>
      <c r="G110" s="2739"/>
      <c r="H110" s="2739"/>
      <c r="I110" s="2739"/>
      <c r="J110" s="2739"/>
      <c r="K110" s="2739"/>
      <c r="L110" s="2739"/>
      <c r="M110" s="2739"/>
      <c r="N110" s="2739"/>
      <c r="O110" s="2739"/>
      <c r="P110" s="2739"/>
      <c r="Q110" s="2739"/>
      <c r="R110" s="2740"/>
      <c r="S110" s="2740"/>
      <c r="T110" s="2740"/>
      <c r="U110" s="2740"/>
      <c r="V110" s="2740"/>
      <c r="W110" s="2740"/>
      <c r="X110" s="2740"/>
      <c r="Y110" s="2740"/>
      <c r="Z110" s="2740"/>
      <c r="AA110" s="2740"/>
      <c r="AB110" s="2740"/>
      <c r="AC110" s="2740"/>
      <c r="AD110" s="2740"/>
      <c r="AE110" s="2740"/>
      <c r="AF110" s="2740"/>
      <c r="AG110" s="2741" t="s">
        <v>2577</v>
      </c>
      <c r="AH110" s="2741"/>
      <c r="AI110" s="2741"/>
      <c r="AJ110" s="2742"/>
      <c r="AK110" s="1766"/>
      <c r="AL110" s="1766"/>
      <c r="AM110" s="1766"/>
      <c r="AN110" s="1766"/>
      <c r="AO110" s="1766"/>
      <c r="AP110" s="1766"/>
      <c r="AQ110" s="1766"/>
      <c r="AR110" s="1766"/>
      <c r="AS110" s="1766"/>
      <c r="AT110" s="1766"/>
      <c r="AU110" s="1766"/>
      <c r="AV110" s="1766"/>
      <c r="AW110" s="1766"/>
      <c r="AX110" s="1766"/>
      <c r="AY110" s="1766"/>
      <c r="AZ110" s="1766"/>
      <c r="BA110" s="1766"/>
      <c r="BB110" s="1766"/>
      <c r="BC110" s="1766"/>
      <c r="BD110" s="1766"/>
      <c r="BE110" s="1772"/>
    </row>
    <row r="111" spans="1:57" ht="15.75" customHeight="1" thickBot="1">
      <c r="A111" s="1766"/>
      <c r="B111" s="2743" t="s">
        <v>2039</v>
      </c>
      <c r="C111" s="2744"/>
      <c r="D111" s="2744"/>
      <c r="E111" s="2744"/>
      <c r="F111" s="2744"/>
      <c r="G111" s="2744"/>
      <c r="H111" s="2744"/>
      <c r="I111" s="2744"/>
      <c r="J111" s="2744"/>
      <c r="K111" s="2744"/>
      <c r="L111" s="2744"/>
      <c r="M111" s="2744"/>
      <c r="N111" s="2744"/>
      <c r="O111" s="2744"/>
      <c r="P111" s="2744"/>
      <c r="Q111" s="2745"/>
      <c r="R111" s="2746" t="s">
        <v>2627</v>
      </c>
      <c r="S111" s="2747"/>
      <c r="T111" s="2747"/>
      <c r="U111" s="2747"/>
      <c r="V111" s="2747"/>
      <c r="W111" s="2747"/>
      <c r="X111" s="2747"/>
      <c r="Y111" s="2747"/>
      <c r="Z111" s="2747"/>
      <c r="AA111" s="2747"/>
      <c r="AB111" s="2747"/>
      <c r="AC111" s="2747"/>
      <c r="AD111" s="2747"/>
      <c r="AE111" s="2747"/>
      <c r="AF111" s="2747"/>
      <c r="AG111" s="2747"/>
      <c r="AH111" s="2747"/>
      <c r="AI111" s="2747"/>
      <c r="AJ111" s="2747"/>
      <c r="AK111" s="2747"/>
      <c r="AL111" s="2747"/>
      <c r="AM111" s="2747"/>
      <c r="AN111" s="2747"/>
      <c r="AO111" s="2747"/>
      <c r="AP111" s="2747"/>
      <c r="AQ111" s="2747"/>
      <c r="AR111" s="2747"/>
      <c r="AS111" s="2747"/>
      <c r="AT111" s="2747"/>
      <c r="AU111" s="2747"/>
      <c r="AV111" s="2747"/>
      <c r="AW111" s="2747"/>
      <c r="AX111" s="2748"/>
      <c r="AY111" s="1766"/>
      <c r="AZ111" s="1766"/>
      <c r="BA111" s="1766"/>
      <c r="BB111" s="1766"/>
      <c r="BC111" s="1766" t="s">
        <v>255</v>
      </c>
      <c r="BD111" s="1766"/>
      <c r="BE111" s="1772"/>
    </row>
    <row r="112" spans="1:57" ht="15.75" customHeight="1">
      <c r="A112" s="1766"/>
      <c r="B112" s="2749" t="s">
        <v>2461</v>
      </c>
      <c r="C112" s="2750"/>
      <c r="D112" s="2750"/>
      <c r="E112" s="2750"/>
      <c r="F112" s="2750"/>
      <c r="G112" s="2750"/>
      <c r="H112" s="2750"/>
      <c r="I112" s="2750"/>
      <c r="J112" s="2750"/>
      <c r="K112" s="2750"/>
      <c r="L112" s="2750"/>
      <c r="M112" s="2750"/>
      <c r="N112" s="2750"/>
      <c r="O112" s="2750"/>
      <c r="P112" s="2750"/>
      <c r="Q112" s="2750"/>
      <c r="R112" s="2750"/>
      <c r="S112" s="2750"/>
      <c r="T112" s="2750"/>
      <c r="U112" s="2750"/>
      <c r="V112" s="2750"/>
      <c r="W112" s="2750"/>
      <c r="X112" s="2750"/>
      <c r="Y112" s="2750"/>
      <c r="Z112" s="2750"/>
      <c r="AA112" s="2750"/>
      <c r="AB112" s="2750"/>
      <c r="AC112" s="2750"/>
      <c r="AD112" s="2750"/>
      <c r="AE112" s="2750"/>
      <c r="AF112" s="2750"/>
      <c r="AG112" s="2750"/>
      <c r="AH112" s="2750"/>
      <c r="AI112" s="2750"/>
      <c r="AJ112" s="2750"/>
      <c r="AK112" s="2750"/>
      <c r="AL112" s="2750"/>
      <c r="AM112" s="2750"/>
      <c r="AN112" s="2750"/>
      <c r="AO112" s="2750"/>
      <c r="AP112" s="2750"/>
      <c r="AQ112" s="2750"/>
      <c r="AR112" s="2750"/>
      <c r="AS112" s="2750"/>
      <c r="AT112" s="2750"/>
      <c r="AU112" s="2750"/>
      <c r="AV112" s="2750"/>
      <c r="AW112" s="2750"/>
      <c r="AX112" s="2751"/>
      <c r="AY112" s="1766"/>
      <c r="AZ112" s="1766"/>
      <c r="BA112" s="1766"/>
      <c r="BB112" s="1766"/>
      <c r="BC112" s="1766"/>
      <c r="BD112" s="1766"/>
      <c r="BE112" s="1772"/>
    </row>
    <row r="113" spans="1:57" ht="15.75" customHeight="1">
      <c r="A113" s="1766"/>
      <c r="B113" s="2752"/>
      <c r="C113" s="2753"/>
      <c r="D113" s="2753"/>
      <c r="E113" s="2753"/>
      <c r="F113" s="2753"/>
      <c r="G113" s="2753"/>
      <c r="H113" s="2753"/>
      <c r="I113" s="2753"/>
      <c r="J113" s="2753"/>
      <c r="K113" s="2753"/>
      <c r="L113" s="2753"/>
      <c r="M113" s="2753"/>
      <c r="N113" s="2753"/>
      <c r="O113" s="2753"/>
      <c r="P113" s="2753"/>
      <c r="Q113" s="2753"/>
      <c r="R113" s="2753"/>
      <c r="S113" s="2753"/>
      <c r="T113" s="2753"/>
      <c r="U113" s="2753"/>
      <c r="V113" s="2753"/>
      <c r="W113" s="2753"/>
      <c r="X113" s="2753"/>
      <c r="Y113" s="2753"/>
      <c r="Z113" s="2753"/>
      <c r="AA113" s="2753"/>
      <c r="AB113" s="2753"/>
      <c r="AC113" s="2753"/>
      <c r="AD113" s="2753"/>
      <c r="AE113" s="2753"/>
      <c r="AF113" s="2753"/>
      <c r="AG113" s="2753"/>
      <c r="AH113" s="2753"/>
      <c r="AI113" s="2753"/>
      <c r="AJ113" s="2753"/>
      <c r="AK113" s="2753"/>
      <c r="AL113" s="2753"/>
      <c r="AM113" s="2753"/>
      <c r="AN113" s="2753"/>
      <c r="AO113" s="2753"/>
      <c r="AP113" s="2753"/>
      <c r="AQ113" s="2753"/>
      <c r="AR113" s="2753"/>
      <c r="AS113" s="2753"/>
      <c r="AT113" s="2753"/>
      <c r="AU113" s="2753"/>
      <c r="AV113" s="2753"/>
      <c r="AW113" s="2753"/>
      <c r="AX113" s="2754"/>
      <c r="AY113" s="1766"/>
      <c r="AZ113" s="1766"/>
      <c r="BA113" s="1766"/>
      <c r="BB113" s="1766"/>
      <c r="BC113" s="1766"/>
      <c r="BD113" s="1766"/>
      <c r="BE113" s="1772"/>
    </row>
    <row r="114" spans="1:57" ht="15.75" customHeight="1">
      <c r="A114" s="1766"/>
      <c r="B114" s="2752"/>
      <c r="C114" s="2753"/>
      <c r="D114" s="2753"/>
      <c r="E114" s="2753"/>
      <c r="F114" s="2753"/>
      <c r="G114" s="2753"/>
      <c r="H114" s="2753"/>
      <c r="I114" s="2753"/>
      <c r="J114" s="2753"/>
      <c r="K114" s="2753"/>
      <c r="L114" s="2753"/>
      <c r="M114" s="2753"/>
      <c r="N114" s="2753"/>
      <c r="O114" s="2753"/>
      <c r="P114" s="2753"/>
      <c r="Q114" s="2753"/>
      <c r="R114" s="2753"/>
      <c r="S114" s="2753"/>
      <c r="T114" s="2753"/>
      <c r="U114" s="2753"/>
      <c r="V114" s="2753"/>
      <c r="W114" s="2753"/>
      <c r="X114" s="2753"/>
      <c r="Y114" s="2753"/>
      <c r="Z114" s="2753"/>
      <c r="AA114" s="2753"/>
      <c r="AB114" s="2753"/>
      <c r="AC114" s="2753"/>
      <c r="AD114" s="2753"/>
      <c r="AE114" s="2753"/>
      <c r="AF114" s="2753"/>
      <c r="AG114" s="2753"/>
      <c r="AH114" s="2753"/>
      <c r="AI114" s="2753"/>
      <c r="AJ114" s="2753"/>
      <c r="AK114" s="2753"/>
      <c r="AL114" s="2753"/>
      <c r="AM114" s="2753"/>
      <c r="AN114" s="2753"/>
      <c r="AO114" s="2753"/>
      <c r="AP114" s="2753"/>
      <c r="AQ114" s="2753"/>
      <c r="AR114" s="2753"/>
      <c r="AS114" s="2753"/>
      <c r="AT114" s="2753"/>
      <c r="AU114" s="2753"/>
      <c r="AV114" s="2753"/>
      <c r="AW114" s="2753"/>
      <c r="AX114" s="2754"/>
      <c r="AY114" s="1766"/>
      <c r="AZ114" s="1766"/>
      <c r="BA114" s="1766"/>
      <c r="BB114" s="1766"/>
      <c r="BC114" s="1766"/>
      <c r="BD114" s="1766"/>
      <c r="BE114" s="1772"/>
    </row>
    <row r="115" spans="1:57" ht="15.75" customHeight="1">
      <c r="A115" s="1766"/>
      <c r="B115" s="2752"/>
      <c r="C115" s="2753"/>
      <c r="D115" s="2753"/>
      <c r="E115" s="2753"/>
      <c r="F115" s="2753"/>
      <c r="G115" s="2753"/>
      <c r="H115" s="2753"/>
      <c r="I115" s="2753"/>
      <c r="J115" s="2753"/>
      <c r="K115" s="2753"/>
      <c r="L115" s="2753"/>
      <c r="M115" s="2753"/>
      <c r="N115" s="2753"/>
      <c r="O115" s="2753"/>
      <c r="P115" s="2753"/>
      <c r="Q115" s="2753"/>
      <c r="R115" s="2753"/>
      <c r="S115" s="2753"/>
      <c r="T115" s="2753"/>
      <c r="U115" s="2753"/>
      <c r="V115" s="2753"/>
      <c r="W115" s="2753"/>
      <c r="X115" s="2753"/>
      <c r="Y115" s="2753"/>
      <c r="Z115" s="2753"/>
      <c r="AA115" s="2753"/>
      <c r="AB115" s="2753"/>
      <c r="AC115" s="2753"/>
      <c r="AD115" s="2753"/>
      <c r="AE115" s="2753"/>
      <c r="AF115" s="2753"/>
      <c r="AG115" s="2753"/>
      <c r="AH115" s="2753"/>
      <c r="AI115" s="2753"/>
      <c r="AJ115" s="2753"/>
      <c r="AK115" s="2753"/>
      <c r="AL115" s="2753"/>
      <c r="AM115" s="2753"/>
      <c r="AN115" s="2753"/>
      <c r="AO115" s="2753"/>
      <c r="AP115" s="2753"/>
      <c r="AQ115" s="2753"/>
      <c r="AR115" s="2753"/>
      <c r="AS115" s="2753"/>
      <c r="AT115" s="2753"/>
      <c r="AU115" s="2753"/>
      <c r="AV115" s="2753"/>
      <c r="AW115" s="2753"/>
      <c r="AX115" s="2754"/>
      <c r="AY115" s="1766"/>
      <c r="AZ115" s="1766"/>
      <c r="BA115" s="1766"/>
      <c r="BB115" s="1766"/>
      <c r="BC115" s="1766"/>
      <c r="BD115" s="1766"/>
      <c r="BE115" s="1772"/>
    </row>
    <row r="116" spans="1:57" ht="15.75" customHeight="1">
      <c r="A116" s="1766"/>
      <c r="B116" s="2752"/>
      <c r="C116" s="2753"/>
      <c r="D116" s="2753"/>
      <c r="E116" s="2753"/>
      <c r="F116" s="2753"/>
      <c r="G116" s="2753"/>
      <c r="H116" s="2753"/>
      <c r="I116" s="2753"/>
      <c r="J116" s="2753"/>
      <c r="K116" s="2753"/>
      <c r="L116" s="2753"/>
      <c r="M116" s="2753"/>
      <c r="N116" s="2753"/>
      <c r="O116" s="2753"/>
      <c r="P116" s="2753"/>
      <c r="Q116" s="2753"/>
      <c r="R116" s="2753"/>
      <c r="S116" s="2753"/>
      <c r="T116" s="2753"/>
      <c r="U116" s="2753"/>
      <c r="V116" s="2753"/>
      <c r="W116" s="2753"/>
      <c r="X116" s="2753"/>
      <c r="Y116" s="2753"/>
      <c r="Z116" s="2753"/>
      <c r="AA116" s="2753"/>
      <c r="AB116" s="2753"/>
      <c r="AC116" s="2753"/>
      <c r="AD116" s="2753"/>
      <c r="AE116" s="2753"/>
      <c r="AF116" s="2753"/>
      <c r="AG116" s="2753"/>
      <c r="AH116" s="2753"/>
      <c r="AI116" s="2753"/>
      <c r="AJ116" s="2753"/>
      <c r="AK116" s="2753"/>
      <c r="AL116" s="2753"/>
      <c r="AM116" s="2753"/>
      <c r="AN116" s="2753"/>
      <c r="AO116" s="2753"/>
      <c r="AP116" s="2753"/>
      <c r="AQ116" s="2753"/>
      <c r="AR116" s="2753"/>
      <c r="AS116" s="2753"/>
      <c r="AT116" s="2753"/>
      <c r="AU116" s="2753"/>
      <c r="AV116" s="2753"/>
      <c r="AW116" s="2753"/>
      <c r="AX116" s="2754"/>
      <c r="AY116" s="1766"/>
      <c r="AZ116" s="1766"/>
      <c r="BA116" s="1766"/>
      <c r="BB116" s="1766"/>
      <c r="BC116" s="1766"/>
      <c r="BD116" s="1766"/>
      <c r="BE116" s="1772"/>
    </row>
    <row r="117" spans="1:57" ht="15.75" customHeight="1">
      <c r="A117" s="1766"/>
      <c r="B117" s="2752"/>
      <c r="C117" s="2753"/>
      <c r="D117" s="2753"/>
      <c r="E117" s="2753"/>
      <c r="F117" s="2753"/>
      <c r="G117" s="2753"/>
      <c r="H117" s="2753"/>
      <c r="I117" s="2753"/>
      <c r="J117" s="2753"/>
      <c r="K117" s="2753"/>
      <c r="L117" s="2753"/>
      <c r="M117" s="2753"/>
      <c r="N117" s="2753"/>
      <c r="O117" s="2753"/>
      <c r="P117" s="2753"/>
      <c r="Q117" s="2753"/>
      <c r="R117" s="2753"/>
      <c r="S117" s="2753"/>
      <c r="T117" s="2753"/>
      <c r="U117" s="2753"/>
      <c r="V117" s="2753"/>
      <c r="W117" s="2753"/>
      <c r="X117" s="2753"/>
      <c r="Y117" s="2753"/>
      <c r="Z117" s="2753"/>
      <c r="AA117" s="2753"/>
      <c r="AB117" s="2753"/>
      <c r="AC117" s="2753"/>
      <c r="AD117" s="2753"/>
      <c r="AE117" s="2753"/>
      <c r="AF117" s="2753"/>
      <c r="AG117" s="2753"/>
      <c r="AH117" s="2753"/>
      <c r="AI117" s="2753"/>
      <c r="AJ117" s="2753"/>
      <c r="AK117" s="2753"/>
      <c r="AL117" s="2753"/>
      <c r="AM117" s="2753"/>
      <c r="AN117" s="2753"/>
      <c r="AO117" s="2753"/>
      <c r="AP117" s="2753"/>
      <c r="AQ117" s="2753"/>
      <c r="AR117" s="2753"/>
      <c r="AS117" s="2753"/>
      <c r="AT117" s="2753"/>
      <c r="AU117" s="2753"/>
      <c r="AV117" s="2753"/>
      <c r="AW117" s="2753"/>
      <c r="AX117" s="2754"/>
      <c r="AY117" s="1766"/>
      <c r="AZ117" s="1766"/>
      <c r="BA117" s="1766"/>
      <c r="BB117" s="1766"/>
      <c r="BC117" s="1766"/>
      <c r="BD117" s="1766"/>
      <c r="BE117" s="1772"/>
    </row>
    <row r="118" spans="1:57" ht="15.75" customHeight="1">
      <c r="A118" s="1766"/>
      <c r="B118" s="2752"/>
      <c r="C118" s="2753"/>
      <c r="D118" s="2753"/>
      <c r="E118" s="2753"/>
      <c r="F118" s="2753"/>
      <c r="G118" s="2753"/>
      <c r="H118" s="2753"/>
      <c r="I118" s="2753"/>
      <c r="J118" s="2753"/>
      <c r="K118" s="2753"/>
      <c r="L118" s="2753"/>
      <c r="M118" s="2753"/>
      <c r="N118" s="2753"/>
      <c r="O118" s="2753"/>
      <c r="P118" s="2753"/>
      <c r="Q118" s="2753"/>
      <c r="R118" s="2753"/>
      <c r="S118" s="2753"/>
      <c r="T118" s="2753"/>
      <c r="U118" s="2753"/>
      <c r="V118" s="2753"/>
      <c r="W118" s="2753"/>
      <c r="X118" s="2753"/>
      <c r="Y118" s="2753"/>
      <c r="Z118" s="2753"/>
      <c r="AA118" s="2753"/>
      <c r="AB118" s="2753"/>
      <c r="AC118" s="2753"/>
      <c r="AD118" s="2753"/>
      <c r="AE118" s="2753"/>
      <c r="AF118" s="2753"/>
      <c r="AG118" s="2753"/>
      <c r="AH118" s="2753"/>
      <c r="AI118" s="2753"/>
      <c r="AJ118" s="2753"/>
      <c r="AK118" s="2753"/>
      <c r="AL118" s="2753"/>
      <c r="AM118" s="2753"/>
      <c r="AN118" s="2753"/>
      <c r="AO118" s="2753"/>
      <c r="AP118" s="2753"/>
      <c r="AQ118" s="2753"/>
      <c r="AR118" s="2753"/>
      <c r="AS118" s="2753"/>
      <c r="AT118" s="2753"/>
      <c r="AU118" s="2753"/>
      <c r="AV118" s="2753"/>
      <c r="AW118" s="2753"/>
      <c r="AX118" s="2754"/>
      <c r="AY118" s="1766"/>
      <c r="AZ118" s="1766"/>
      <c r="BA118" s="1766"/>
      <c r="BB118" s="1766"/>
      <c r="BC118" s="1766"/>
      <c r="BD118" s="1766"/>
      <c r="BE118" s="1772"/>
    </row>
    <row r="119" spans="1:57" ht="15.75" customHeight="1">
      <c r="A119" s="1766"/>
      <c r="B119" s="2752"/>
      <c r="C119" s="2753"/>
      <c r="D119" s="2753"/>
      <c r="E119" s="2753"/>
      <c r="F119" s="2753"/>
      <c r="G119" s="2753"/>
      <c r="H119" s="2753"/>
      <c r="I119" s="2753"/>
      <c r="J119" s="2753"/>
      <c r="K119" s="2753"/>
      <c r="L119" s="2753"/>
      <c r="M119" s="2753"/>
      <c r="N119" s="2753"/>
      <c r="O119" s="2753"/>
      <c r="P119" s="2753"/>
      <c r="Q119" s="2753"/>
      <c r="R119" s="2753"/>
      <c r="S119" s="2753"/>
      <c r="T119" s="2753"/>
      <c r="U119" s="2753"/>
      <c r="V119" s="2753"/>
      <c r="W119" s="2753"/>
      <c r="X119" s="2753"/>
      <c r="Y119" s="2753"/>
      <c r="Z119" s="2753"/>
      <c r="AA119" s="2753"/>
      <c r="AB119" s="2753"/>
      <c r="AC119" s="2753"/>
      <c r="AD119" s="2753"/>
      <c r="AE119" s="2753"/>
      <c r="AF119" s="2753"/>
      <c r="AG119" s="2753"/>
      <c r="AH119" s="2753"/>
      <c r="AI119" s="2753"/>
      <c r="AJ119" s="2753"/>
      <c r="AK119" s="2753"/>
      <c r="AL119" s="2753"/>
      <c r="AM119" s="2753"/>
      <c r="AN119" s="2753"/>
      <c r="AO119" s="2753"/>
      <c r="AP119" s="2753"/>
      <c r="AQ119" s="2753"/>
      <c r="AR119" s="2753"/>
      <c r="AS119" s="2753"/>
      <c r="AT119" s="2753"/>
      <c r="AU119" s="2753"/>
      <c r="AV119" s="2753"/>
      <c r="AW119" s="2753"/>
      <c r="AX119" s="2754"/>
      <c r="AY119" s="1766"/>
      <c r="AZ119" s="1766"/>
      <c r="BA119" s="1766"/>
      <c r="BB119" s="1766"/>
      <c r="BC119" s="1766"/>
      <c r="BD119" s="1766"/>
      <c r="BE119" s="1772"/>
    </row>
    <row r="120" spans="1:57" ht="15.75" customHeight="1">
      <c r="A120" s="1766"/>
      <c r="B120" s="2752"/>
      <c r="C120" s="2753"/>
      <c r="D120" s="2753"/>
      <c r="E120" s="2753"/>
      <c r="F120" s="2753"/>
      <c r="G120" s="2753"/>
      <c r="H120" s="2753"/>
      <c r="I120" s="2753"/>
      <c r="J120" s="2753"/>
      <c r="K120" s="2753"/>
      <c r="L120" s="2753"/>
      <c r="M120" s="2753"/>
      <c r="N120" s="2753"/>
      <c r="O120" s="2753"/>
      <c r="P120" s="2753"/>
      <c r="Q120" s="2753"/>
      <c r="R120" s="2753"/>
      <c r="S120" s="2753"/>
      <c r="T120" s="2753"/>
      <c r="U120" s="2753"/>
      <c r="V120" s="2753"/>
      <c r="W120" s="2753"/>
      <c r="X120" s="2753"/>
      <c r="Y120" s="2753"/>
      <c r="Z120" s="2753"/>
      <c r="AA120" s="2753"/>
      <c r="AB120" s="2753"/>
      <c r="AC120" s="2753"/>
      <c r="AD120" s="2753"/>
      <c r="AE120" s="2753"/>
      <c r="AF120" s="2753"/>
      <c r="AG120" s="2753"/>
      <c r="AH120" s="2753"/>
      <c r="AI120" s="2753"/>
      <c r="AJ120" s="2753"/>
      <c r="AK120" s="2753"/>
      <c r="AL120" s="2753"/>
      <c r="AM120" s="2753"/>
      <c r="AN120" s="2753"/>
      <c r="AO120" s="2753"/>
      <c r="AP120" s="2753"/>
      <c r="AQ120" s="2753"/>
      <c r="AR120" s="2753"/>
      <c r="AS120" s="2753"/>
      <c r="AT120" s="2753"/>
      <c r="AU120" s="2753"/>
      <c r="AV120" s="2753"/>
      <c r="AW120" s="2753"/>
      <c r="AX120" s="2754"/>
      <c r="AY120" s="1766"/>
      <c r="AZ120" s="1766"/>
      <c r="BA120" s="1766"/>
      <c r="BB120" s="1766"/>
      <c r="BC120" s="1766"/>
      <c r="BD120" s="1766"/>
      <c r="BE120" s="1772"/>
    </row>
    <row r="121" spans="1:57" ht="15.75" customHeight="1" thickBot="1">
      <c r="A121" s="1766"/>
      <c r="B121" s="2755"/>
      <c r="C121" s="2756"/>
      <c r="D121" s="2756"/>
      <c r="E121" s="2756"/>
      <c r="F121" s="2756"/>
      <c r="G121" s="2756"/>
      <c r="H121" s="2756"/>
      <c r="I121" s="2756"/>
      <c r="J121" s="2756"/>
      <c r="K121" s="2756"/>
      <c r="L121" s="2756"/>
      <c r="M121" s="2756"/>
      <c r="N121" s="2756"/>
      <c r="O121" s="2756"/>
      <c r="P121" s="2756"/>
      <c r="Q121" s="2756"/>
      <c r="R121" s="2756"/>
      <c r="S121" s="2756"/>
      <c r="T121" s="2756"/>
      <c r="U121" s="2756"/>
      <c r="V121" s="2756"/>
      <c r="W121" s="2756"/>
      <c r="X121" s="2756"/>
      <c r="Y121" s="2756"/>
      <c r="Z121" s="2756"/>
      <c r="AA121" s="2756"/>
      <c r="AB121" s="2756"/>
      <c r="AC121" s="2756"/>
      <c r="AD121" s="2756"/>
      <c r="AE121" s="2756"/>
      <c r="AF121" s="2756"/>
      <c r="AG121" s="2756"/>
      <c r="AH121" s="2756"/>
      <c r="AI121" s="2756"/>
      <c r="AJ121" s="2756"/>
      <c r="AK121" s="2756"/>
      <c r="AL121" s="2756"/>
      <c r="AM121" s="2756"/>
      <c r="AN121" s="2756"/>
      <c r="AO121" s="2756"/>
      <c r="AP121" s="2756"/>
      <c r="AQ121" s="2756"/>
      <c r="AR121" s="2756"/>
      <c r="AS121" s="2756"/>
      <c r="AT121" s="2756"/>
      <c r="AU121" s="2756"/>
      <c r="AV121" s="2756"/>
      <c r="AW121" s="2756"/>
      <c r="AX121" s="2757"/>
      <c r="AY121" s="1766"/>
      <c r="AZ121" s="1766"/>
      <c r="BA121" s="1766"/>
      <c r="BB121" s="1766"/>
      <c r="BC121" s="1766"/>
      <c r="BD121" s="1766"/>
      <c r="BE121" s="1772"/>
    </row>
    <row r="122" spans="1:57" ht="15.75" customHeight="1">
      <c r="A122" s="1766"/>
      <c r="B122" s="1766"/>
      <c r="C122" s="1766"/>
      <c r="D122" s="1766"/>
      <c r="E122" s="1766"/>
      <c r="F122" s="1766"/>
      <c r="G122" s="1766"/>
      <c r="H122" s="1766"/>
      <c r="I122" s="1766"/>
      <c r="J122" s="1766"/>
      <c r="K122" s="1766"/>
      <c r="L122" s="1766"/>
      <c r="M122" s="1766"/>
      <c r="N122" s="1766"/>
      <c r="O122" s="1766"/>
      <c r="P122" s="1766"/>
      <c r="Q122" s="1766"/>
      <c r="R122" s="1766"/>
      <c r="S122" s="1766"/>
      <c r="T122" s="1766"/>
      <c r="U122" s="1766"/>
      <c r="V122" s="1766"/>
      <c r="W122" s="1766"/>
      <c r="X122" s="1766"/>
      <c r="Y122" s="1766"/>
      <c r="Z122" s="1766"/>
      <c r="AA122" s="1766"/>
      <c r="AB122" s="1766"/>
      <c r="AC122" s="1766"/>
      <c r="AD122" s="1766"/>
      <c r="AE122" s="1766"/>
      <c r="AF122" s="1766"/>
      <c r="AG122" s="1766"/>
      <c r="AH122" s="1766"/>
      <c r="AI122" s="1766"/>
      <c r="AJ122" s="1766"/>
      <c r="AK122" s="1766"/>
      <c r="AL122" s="1766"/>
      <c r="AM122" s="1766"/>
      <c r="AN122" s="1766"/>
      <c r="AO122" s="1766"/>
      <c r="AP122" s="1766"/>
      <c r="AQ122" s="1766"/>
      <c r="AR122" s="1766"/>
      <c r="AS122" s="1766"/>
      <c r="AT122" s="1766"/>
      <c r="AU122" s="1766"/>
      <c r="AV122" s="1766"/>
      <c r="AW122" s="1766"/>
      <c r="AX122" s="1766"/>
      <c r="AY122" s="1766"/>
      <c r="AZ122" s="1766"/>
      <c r="BA122" s="1766"/>
      <c r="BB122" s="1766"/>
      <c r="BC122" s="1766"/>
      <c r="BD122" s="1766"/>
      <c r="BE122" s="1772"/>
    </row>
    <row r="123" spans="1:57" ht="15.75" customHeight="1">
      <c r="B123" s="1776" t="s">
        <v>2040</v>
      </c>
      <c r="C123" s="1776"/>
      <c r="D123" s="1776"/>
      <c r="E123" s="1776"/>
      <c r="F123" s="1776"/>
      <c r="G123" s="1776"/>
      <c r="H123" s="1776"/>
      <c r="I123" s="1776"/>
      <c r="J123" s="1776"/>
      <c r="K123" s="1776"/>
      <c r="L123" s="1776"/>
      <c r="M123" s="1776"/>
      <c r="N123" s="1773"/>
      <c r="O123" s="1773"/>
      <c r="P123" s="1766"/>
      <c r="Q123" s="1766"/>
      <c r="R123" s="1766"/>
      <c r="S123" s="1766"/>
      <c r="T123" s="1766"/>
      <c r="U123" s="1766"/>
      <c r="V123" s="1766"/>
      <c r="W123" s="1766"/>
      <c r="X123" s="1777" t="s">
        <v>2462</v>
      </c>
      <c r="Y123" s="1777"/>
      <c r="Z123" s="1777"/>
      <c r="AA123" s="1777"/>
      <c r="AB123" s="1777"/>
      <c r="AC123" s="1777"/>
      <c r="AD123" s="1777"/>
      <c r="AE123" s="1777"/>
      <c r="AF123" s="1777"/>
      <c r="AG123" s="1777"/>
      <c r="AH123" s="1777"/>
      <c r="AI123" s="1777"/>
      <c r="AJ123" s="1777"/>
      <c r="AK123" s="1778"/>
      <c r="AL123" s="1778"/>
      <c r="AM123" s="1778"/>
      <c r="AN123" s="1778"/>
      <c r="AO123" s="1766"/>
      <c r="AP123" s="1766"/>
      <c r="AQ123" s="1766"/>
      <c r="AR123" s="1766"/>
      <c r="AS123" s="1766"/>
      <c r="AT123" s="1766"/>
      <c r="AU123" s="1766"/>
      <c r="AV123" s="1766"/>
      <c r="AW123" s="1766"/>
      <c r="AX123" s="1766"/>
      <c r="AY123" s="1766"/>
      <c r="AZ123" s="1766"/>
      <c r="BA123" s="1766"/>
      <c r="BB123" s="1766"/>
      <c r="BC123" s="1766"/>
      <c r="BD123" s="1766"/>
      <c r="BE123" s="1772"/>
    </row>
    <row r="124" spans="1:57" ht="15.75" customHeight="1" thickBot="1">
      <c r="A124" s="1766"/>
      <c r="B124" s="1766"/>
      <c r="C124" s="1766"/>
      <c r="D124" s="1766"/>
      <c r="E124" s="1766"/>
      <c r="F124" s="1766"/>
      <c r="G124" s="1766"/>
      <c r="H124" s="1766"/>
      <c r="I124" s="1766"/>
      <c r="J124" s="1766"/>
      <c r="K124" s="1766"/>
      <c r="L124" s="1766"/>
      <c r="M124" s="1766"/>
      <c r="N124" s="1766"/>
      <c r="O124" s="1766"/>
      <c r="P124" s="1773"/>
      <c r="Q124" s="1766"/>
      <c r="R124" s="1766"/>
      <c r="S124" s="1766"/>
      <c r="T124" s="1766"/>
      <c r="U124" s="1766"/>
      <c r="V124" s="1766"/>
      <c r="W124" s="1766"/>
      <c r="X124" s="1766"/>
      <c r="Y124" s="1766"/>
      <c r="Z124" s="1766"/>
      <c r="AA124" s="1766"/>
      <c r="AB124" s="1766"/>
      <c r="AC124" s="1766"/>
      <c r="AD124" s="1766"/>
      <c r="AE124" s="1766"/>
      <c r="AF124" s="1766"/>
      <c r="AG124" s="1766"/>
      <c r="AH124" s="1766"/>
      <c r="AI124" s="1766"/>
      <c r="AJ124" s="1766"/>
      <c r="AK124" s="1766"/>
      <c r="AL124" s="1766"/>
      <c r="AM124" s="1766"/>
      <c r="AN124" s="1766"/>
      <c r="AO124" s="1766"/>
      <c r="AP124" s="1766"/>
      <c r="AQ124" s="1766"/>
      <c r="AR124" s="1766"/>
      <c r="AS124" s="1766"/>
      <c r="AT124" s="1766"/>
      <c r="AU124" s="1766"/>
      <c r="AV124" s="1766"/>
      <c r="AW124" s="1766"/>
      <c r="AX124" s="1766"/>
      <c r="AY124" s="1766"/>
      <c r="AZ124" s="1766"/>
      <c r="BA124" s="1766"/>
      <c r="BB124" s="1766"/>
      <c r="BC124" s="1766"/>
      <c r="BD124" s="1766"/>
      <c r="BE124" s="1772"/>
    </row>
    <row r="125" spans="1:57" ht="15.75" customHeight="1">
      <c r="A125" s="1766"/>
      <c r="B125" s="2709" t="s">
        <v>2041</v>
      </c>
      <c r="C125" s="2710"/>
      <c r="D125" s="2710"/>
      <c r="E125" s="2710"/>
      <c r="F125" s="2710"/>
      <c r="G125" s="2710"/>
      <c r="H125" s="2710"/>
      <c r="I125" s="2710"/>
      <c r="J125" s="2710"/>
      <c r="K125" s="2710"/>
      <c r="L125" s="2710"/>
      <c r="M125" s="2710"/>
      <c r="N125" s="2710"/>
      <c r="O125" s="2710"/>
      <c r="P125" s="2710"/>
      <c r="Q125" s="2710"/>
      <c r="R125" s="2710"/>
      <c r="S125" s="2710"/>
      <c r="T125" s="2710"/>
      <c r="U125" s="2758"/>
      <c r="V125" s="1766"/>
      <c r="W125" s="1768"/>
      <c r="X125" s="2709" t="s">
        <v>2463</v>
      </c>
      <c r="Y125" s="2710"/>
      <c r="Z125" s="2710"/>
      <c r="AA125" s="2710"/>
      <c r="AB125" s="2710"/>
      <c r="AC125" s="2710"/>
      <c r="AD125" s="2710"/>
      <c r="AE125" s="2710"/>
      <c r="AF125" s="2710"/>
      <c r="AG125" s="2710"/>
      <c r="AH125" s="2710"/>
      <c r="AI125" s="2710"/>
      <c r="AJ125" s="2710"/>
      <c r="AK125" s="2710"/>
      <c r="AL125" s="2710"/>
      <c r="AM125" s="2710"/>
      <c r="AN125" s="2710"/>
      <c r="AO125" s="2710"/>
      <c r="AP125" s="2710"/>
      <c r="AQ125" s="2758"/>
      <c r="AR125" s="1766"/>
      <c r="AS125" s="1766"/>
      <c r="AT125" s="1766"/>
      <c r="AU125" s="1766"/>
      <c r="AV125" s="1766"/>
      <c r="AW125" s="1766"/>
      <c r="AX125" s="1766"/>
      <c r="AY125" s="1766"/>
      <c r="AZ125" s="1766"/>
      <c r="BA125" s="1766"/>
      <c r="BB125" s="1766"/>
      <c r="BC125" s="1766"/>
      <c r="BD125" s="1766"/>
      <c r="BE125" s="1772"/>
    </row>
    <row r="126" spans="1:57" ht="15.75" customHeight="1">
      <c r="A126" s="1766"/>
      <c r="B126" s="2720"/>
      <c r="C126" s="2721"/>
      <c r="D126" s="2721"/>
      <c r="E126" s="2721"/>
      <c r="F126" s="2721"/>
      <c r="G126" s="2721"/>
      <c r="H126" s="2722"/>
      <c r="I126" s="2726" t="s">
        <v>2030</v>
      </c>
      <c r="J126" s="2727"/>
      <c r="K126" s="2727"/>
      <c r="L126" s="2727"/>
      <c r="M126" s="2727"/>
      <c r="N126" s="2727"/>
      <c r="O126" s="2728"/>
      <c r="P126" s="2732" t="s">
        <v>2464</v>
      </c>
      <c r="Q126" s="2733"/>
      <c r="R126" s="2733"/>
      <c r="S126" s="2733"/>
      <c r="T126" s="2733"/>
      <c r="U126" s="2734"/>
      <c r="V126" s="1766"/>
      <c r="W126" s="1766"/>
      <c r="X126" s="2720"/>
      <c r="Y126" s="2721"/>
      <c r="Z126" s="2721"/>
      <c r="AA126" s="2721"/>
      <c r="AB126" s="2721"/>
      <c r="AC126" s="2721"/>
      <c r="AD126" s="2722"/>
      <c r="AE126" s="2726" t="s">
        <v>2030</v>
      </c>
      <c r="AF126" s="2727"/>
      <c r="AG126" s="2727"/>
      <c r="AH126" s="2727"/>
      <c r="AI126" s="2727"/>
      <c r="AJ126" s="2727"/>
      <c r="AK126" s="2728"/>
      <c r="AL126" s="2732" t="s">
        <v>2458</v>
      </c>
      <c r="AM126" s="2733"/>
      <c r="AN126" s="2733"/>
      <c r="AO126" s="2733"/>
      <c r="AP126" s="2733"/>
      <c r="AQ126" s="2734"/>
      <c r="AR126" s="1766"/>
      <c r="AS126" s="1766"/>
      <c r="AT126" s="1766"/>
      <c r="AU126" s="1766"/>
      <c r="AV126" s="1766"/>
      <c r="AW126" s="1766"/>
      <c r="AX126" s="1766"/>
      <c r="AY126" s="1766"/>
      <c r="AZ126" s="1766"/>
      <c r="BA126" s="1766"/>
      <c r="BB126" s="1766"/>
      <c r="BC126" s="1766"/>
      <c r="BD126" s="1766"/>
      <c r="BE126" s="1772"/>
    </row>
    <row r="127" spans="1:57" ht="15.75" customHeight="1" thickBot="1">
      <c r="A127" s="1766"/>
      <c r="B127" s="2723"/>
      <c r="C127" s="2724"/>
      <c r="D127" s="2724"/>
      <c r="E127" s="2724"/>
      <c r="F127" s="2724"/>
      <c r="G127" s="2724"/>
      <c r="H127" s="2725"/>
      <c r="I127" s="2729"/>
      <c r="J127" s="2730"/>
      <c r="K127" s="2730"/>
      <c r="L127" s="2730"/>
      <c r="M127" s="2730"/>
      <c r="N127" s="2730"/>
      <c r="O127" s="2731"/>
      <c r="P127" s="2735"/>
      <c r="Q127" s="2736"/>
      <c r="R127" s="2736"/>
      <c r="S127" s="2736"/>
      <c r="T127" s="2736"/>
      <c r="U127" s="2737"/>
      <c r="V127" s="1766"/>
      <c r="W127" s="1766"/>
      <c r="X127" s="2723"/>
      <c r="Y127" s="2724"/>
      <c r="Z127" s="2724"/>
      <c r="AA127" s="2724"/>
      <c r="AB127" s="2724"/>
      <c r="AC127" s="2724"/>
      <c r="AD127" s="2725"/>
      <c r="AE127" s="2729"/>
      <c r="AF127" s="2730"/>
      <c r="AG127" s="2730"/>
      <c r="AH127" s="2730"/>
      <c r="AI127" s="2730"/>
      <c r="AJ127" s="2730"/>
      <c r="AK127" s="2731"/>
      <c r="AL127" s="2735"/>
      <c r="AM127" s="2736"/>
      <c r="AN127" s="2736"/>
      <c r="AO127" s="2736"/>
      <c r="AP127" s="2736"/>
      <c r="AQ127" s="2737"/>
      <c r="AR127" s="1766"/>
      <c r="AS127" s="1766"/>
      <c r="AT127" s="1766"/>
      <c r="AU127" s="1766"/>
      <c r="AV127" s="1766"/>
      <c r="AW127" s="1766"/>
      <c r="AX127" s="1766"/>
      <c r="AY127" s="1766"/>
      <c r="AZ127" s="1766"/>
      <c r="BA127" s="1766"/>
      <c r="BB127" s="1766"/>
      <c r="BC127" s="1766"/>
      <c r="BD127" s="1766"/>
      <c r="BE127" s="1772"/>
    </row>
    <row r="128" spans="1:57" ht="15.75" customHeight="1" thickBot="1">
      <c r="A128" s="1766"/>
      <c r="B128" s="2703" t="s">
        <v>2441</v>
      </c>
      <c r="C128" s="2704"/>
      <c r="D128" s="2704"/>
      <c r="E128" s="2704"/>
      <c r="F128" s="2704"/>
      <c r="G128" s="2704"/>
      <c r="H128" s="2705"/>
      <c r="I128" s="2706">
        <v>1</v>
      </c>
      <c r="J128" s="2707"/>
      <c r="K128" s="2707"/>
      <c r="L128" s="2707"/>
      <c r="M128" s="2707"/>
      <c r="N128" s="2707"/>
      <c r="O128" s="2708"/>
      <c r="P128" s="2706">
        <v>3</v>
      </c>
      <c r="Q128" s="2707"/>
      <c r="R128" s="2707"/>
      <c r="S128" s="2707"/>
      <c r="T128" s="2707"/>
      <c r="U128" s="2708"/>
      <c r="V128" s="1766"/>
      <c r="W128" s="1766"/>
      <c r="X128" s="2703" t="s">
        <v>2441</v>
      </c>
      <c r="Y128" s="2704"/>
      <c r="Z128" s="2704"/>
      <c r="AA128" s="2704"/>
      <c r="AB128" s="2704"/>
      <c r="AC128" s="2704"/>
      <c r="AD128" s="2705"/>
      <c r="AE128" s="2706" t="s">
        <v>2558</v>
      </c>
      <c r="AF128" s="2707"/>
      <c r="AG128" s="2707"/>
      <c r="AH128" s="2707"/>
      <c r="AI128" s="2707"/>
      <c r="AJ128" s="2707"/>
      <c r="AK128" s="2708"/>
      <c r="AL128" s="2706" t="s">
        <v>2558</v>
      </c>
      <c r="AM128" s="2707"/>
      <c r="AN128" s="2707"/>
      <c r="AO128" s="2707"/>
      <c r="AP128" s="2707"/>
      <c r="AQ128" s="2708"/>
      <c r="AR128" s="1766"/>
      <c r="AS128" s="1766"/>
      <c r="AT128" s="1766"/>
      <c r="AU128" s="1766"/>
      <c r="AV128" s="1766"/>
      <c r="AW128" s="1766"/>
      <c r="AX128" s="1766"/>
      <c r="AY128" s="1766"/>
      <c r="AZ128" s="1766"/>
      <c r="BA128" s="1766"/>
      <c r="BB128" s="1766"/>
      <c r="BC128" s="1766"/>
      <c r="BD128" s="1766"/>
      <c r="BE128" s="1772"/>
    </row>
    <row r="129" spans="1:57" ht="15.75" customHeight="1" thickBot="1">
      <c r="A129" s="1766"/>
      <c r="B129" s="2703" t="s">
        <v>2442</v>
      </c>
      <c r="C129" s="2704"/>
      <c r="D129" s="2704"/>
      <c r="E129" s="2704"/>
      <c r="F129" s="2704"/>
      <c r="G129" s="2704"/>
      <c r="H129" s="2705"/>
      <c r="I129" s="2706">
        <v>1</v>
      </c>
      <c r="J129" s="2707"/>
      <c r="K129" s="2707"/>
      <c r="L129" s="2707"/>
      <c r="M129" s="2707"/>
      <c r="N129" s="2707"/>
      <c r="O129" s="2708"/>
      <c r="P129" s="2706">
        <v>2</v>
      </c>
      <c r="Q129" s="2707"/>
      <c r="R129" s="2707"/>
      <c r="S129" s="2707"/>
      <c r="T129" s="2707"/>
      <c r="U129" s="2708"/>
      <c r="V129" s="1766"/>
      <c r="W129" s="1766"/>
      <c r="X129" s="1766"/>
      <c r="Y129" s="1766"/>
      <c r="Z129" s="1766"/>
      <c r="AA129" s="1766"/>
      <c r="AB129" s="1766"/>
      <c r="AC129" s="1766"/>
      <c r="AD129" s="1766"/>
      <c r="AE129" s="1766"/>
      <c r="AF129" s="1766"/>
      <c r="AG129" s="1766"/>
      <c r="AH129" s="1766"/>
      <c r="AI129" s="1766"/>
      <c r="AJ129" s="1766"/>
      <c r="AK129" s="1766"/>
      <c r="AL129" s="1766"/>
      <c r="AM129" s="1766"/>
      <c r="AN129" s="1766"/>
      <c r="AO129" s="1766"/>
      <c r="AP129" s="1766"/>
      <c r="AQ129" s="1766"/>
      <c r="AR129" s="1766"/>
      <c r="AS129" s="1766"/>
      <c r="AT129" s="1766"/>
      <c r="AU129" s="1766"/>
      <c r="AV129" s="1766"/>
      <c r="AW129" s="1766"/>
      <c r="AX129" s="1766"/>
      <c r="AY129" s="1766"/>
      <c r="AZ129" s="1766"/>
      <c r="BA129" s="1766"/>
      <c r="BB129" s="1766"/>
      <c r="BC129" s="1766"/>
      <c r="BD129" s="1766"/>
      <c r="BE129" s="1772"/>
    </row>
    <row r="130" spans="1:57" ht="15.75" customHeight="1" thickBot="1">
      <c r="A130" s="1766"/>
      <c r="B130" s="1766"/>
      <c r="C130" s="1766"/>
      <c r="D130" s="1766"/>
      <c r="E130" s="1766"/>
      <c r="F130" s="1766"/>
      <c r="G130" s="1766"/>
      <c r="H130" s="1766"/>
      <c r="I130" s="1766"/>
      <c r="J130" s="1766"/>
      <c r="K130" s="1766"/>
      <c r="L130" s="1766"/>
      <c r="M130" s="1766"/>
      <c r="N130" s="1766"/>
      <c r="O130" s="1766"/>
      <c r="P130" s="1766"/>
      <c r="Q130" s="1766"/>
      <c r="R130" s="1766"/>
      <c r="S130" s="1766"/>
      <c r="T130" s="1766"/>
      <c r="U130" s="1766"/>
      <c r="V130" s="1766"/>
      <c r="W130" s="1766"/>
      <c r="X130" s="1766"/>
      <c r="Y130" s="1766"/>
      <c r="Z130" s="1766"/>
      <c r="AA130" s="1766"/>
      <c r="AB130" s="1766"/>
      <c r="AC130" s="1766"/>
      <c r="AD130" s="1766"/>
      <c r="AE130" s="1766"/>
      <c r="AF130" s="1766"/>
      <c r="AG130" s="1766"/>
      <c r="AH130" s="1766"/>
      <c r="AI130" s="1766"/>
      <c r="AJ130" s="1766"/>
      <c r="AK130" s="1766"/>
      <c r="AL130" s="1766"/>
      <c r="AM130" s="1766"/>
      <c r="AN130" s="1766"/>
      <c r="AO130" s="1766"/>
      <c r="AP130" s="1766"/>
      <c r="AQ130" s="1766"/>
      <c r="AR130" s="1766"/>
      <c r="AS130" s="1766"/>
      <c r="AT130" s="1766"/>
      <c r="AU130" s="1766"/>
      <c r="AV130" s="1766"/>
      <c r="AW130" s="1766"/>
      <c r="AX130" s="1766"/>
      <c r="AY130" s="1766"/>
      <c r="AZ130" s="1766"/>
      <c r="BA130" s="1766"/>
      <c r="BB130" s="1766"/>
      <c r="BC130" s="1766"/>
      <c r="BD130" s="1766"/>
      <c r="BE130" s="1772"/>
    </row>
    <row r="131" spans="1:57" ht="15.75" customHeight="1">
      <c r="A131" s="1766"/>
      <c r="B131" s="1766"/>
      <c r="C131" s="2709" t="s">
        <v>2443</v>
      </c>
      <c r="D131" s="2710"/>
      <c r="E131" s="2710"/>
      <c r="F131" s="2710"/>
      <c r="G131" s="2710"/>
      <c r="H131" s="2710"/>
      <c r="I131" s="2710"/>
      <c r="J131" s="2710"/>
      <c r="K131" s="2710"/>
      <c r="L131" s="2710"/>
      <c r="M131" s="2710"/>
      <c r="N131" s="2710"/>
      <c r="O131" s="2710"/>
      <c r="P131" s="2710"/>
      <c r="Q131" s="2710"/>
      <c r="R131" s="2710"/>
      <c r="S131" s="2710"/>
      <c r="T131" s="2710"/>
      <c r="U131" s="2710"/>
      <c r="V131" s="2710"/>
      <c r="W131" s="2710"/>
      <c r="X131" s="2710"/>
      <c r="Y131" s="2710"/>
      <c r="Z131" s="2710"/>
      <c r="AA131" s="2710"/>
      <c r="AB131" s="2710"/>
      <c r="AC131" s="2710"/>
      <c r="AD131" s="2710"/>
      <c r="AE131" s="2710"/>
      <c r="AF131" s="2710"/>
      <c r="AG131" s="2711"/>
      <c r="AH131" s="1766"/>
      <c r="AI131" s="1766"/>
      <c r="AJ131" s="1766"/>
      <c r="AK131" s="1766"/>
      <c r="AL131" s="1766"/>
      <c r="AM131" s="1766"/>
      <c r="AN131" s="1766"/>
      <c r="AO131" s="1766"/>
      <c r="AP131" s="1766"/>
      <c r="AQ131" s="1766"/>
      <c r="AR131" s="1766"/>
      <c r="AS131" s="1766"/>
      <c r="AT131" s="1766"/>
      <c r="AU131" s="1766"/>
      <c r="AV131" s="1766"/>
      <c r="AW131" s="1766"/>
      <c r="AX131" s="1766"/>
      <c r="AY131" s="1766"/>
      <c r="AZ131" s="1766"/>
      <c r="BA131" s="1766"/>
      <c r="BB131" s="1766"/>
      <c r="BC131" s="1766"/>
      <c r="BD131" s="1766"/>
      <c r="BE131" s="1772"/>
    </row>
    <row r="132" spans="1:57" ht="15.75" customHeight="1" thickBot="1">
      <c r="A132" s="1766"/>
      <c r="B132" s="1766"/>
      <c r="C132" s="2633" t="s">
        <v>2042</v>
      </c>
      <c r="D132" s="2634"/>
      <c r="E132" s="2634"/>
      <c r="F132" s="2634"/>
      <c r="G132" s="2634"/>
      <c r="H132" s="2634"/>
      <c r="I132" s="2634"/>
      <c r="J132" s="2634"/>
      <c r="K132" s="2634"/>
      <c r="L132" s="2634"/>
      <c r="M132" s="2634"/>
      <c r="N132" s="2634"/>
      <c r="O132" s="2634"/>
      <c r="P132" s="2712"/>
      <c r="Q132" s="2713" t="s">
        <v>2043</v>
      </c>
      <c r="R132" s="2634"/>
      <c r="S132" s="2712"/>
      <c r="T132" s="2714" t="s">
        <v>2444</v>
      </c>
      <c r="U132" s="2715"/>
      <c r="V132" s="2715"/>
      <c r="W132" s="2715"/>
      <c r="X132" s="2715"/>
      <c r="Y132" s="2715"/>
      <c r="Z132" s="2715"/>
      <c r="AA132" s="2716"/>
      <c r="AB132" s="2717" t="s">
        <v>2044</v>
      </c>
      <c r="AC132" s="2718"/>
      <c r="AD132" s="2718"/>
      <c r="AE132" s="2718"/>
      <c r="AF132" s="2718"/>
      <c r="AG132" s="2719"/>
      <c r="AH132" s="1766"/>
      <c r="AI132" s="1766"/>
      <c r="AJ132" s="1766"/>
      <c r="AK132" s="1766"/>
      <c r="AL132" s="1766"/>
      <c r="AM132" s="1766"/>
      <c r="AN132" s="1766"/>
      <c r="AO132" s="1766"/>
      <c r="AP132" s="1766"/>
      <c r="AQ132" s="1766"/>
      <c r="AR132" s="1766"/>
      <c r="AS132" s="1766"/>
      <c r="AT132" s="1766"/>
      <c r="AU132" s="1766"/>
      <c r="AV132" s="1766"/>
      <c r="AW132" s="1766"/>
      <c r="AX132" s="1766"/>
      <c r="AY132" s="1766"/>
      <c r="AZ132" s="1766"/>
      <c r="BA132" s="1766"/>
      <c r="BB132" s="1766"/>
      <c r="BC132" s="1766"/>
      <c r="BD132" s="1766"/>
      <c r="BE132" s="1772"/>
    </row>
    <row r="133" spans="1:57" ht="15.75" customHeight="1">
      <c r="A133" s="1766"/>
      <c r="B133" s="1766"/>
      <c r="C133" s="2621" t="s">
        <v>2045</v>
      </c>
      <c r="D133" s="2622"/>
      <c r="E133" s="2622"/>
      <c r="F133" s="2622"/>
      <c r="G133" s="2622"/>
      <c r="H133" s="2622"/>
      <c r="I133" s="2622"/>
      <c r="J133" s="2622"/>
      <c r="K133" s="2622"/>
      <c r="L133" s="2622"/>
      <c r="M133" s="2622"/>
      <c r="N133" s="2622"/>
      <c r="O133" s="2622"/>
      <c r="P133" s="2638"/>
      <c r="Q133" s="2683" t="s">
        <v>624</v>
      </c>
      <c r="R133" s="2684"/>
      <c r="S133" s="2685"/>
      <c r="T133" s="2697"/>
      <c r="U133" s="2698"/>
      <c r="V133" s="2698"/>
      <c r="W133" s="2698"/>
      <c r="X133" s="2698"/>
      <c r="Y133" s="2698"/>
      <c r="Z133" s="2698"/>
      <c r="AA133" s="2698"/>
      <c r="AB133" s="1780"/>
      <c r="AC133" s="1781"/>
      <c r="AD133" s="1781"/>
      <c r="AE133" s="1781"/>
      <c r="AF133" s="1781"/>
      <c r="AG133" s="1782"/>
      <c r="AH133" s="1766"/>
      <c r="AI133" s="1766"/>
      <c r="AJ133" s="1766"/>
      <c r="AK133" s="1766"/>
      <c r="AL133" s="1766"/>
      <c r="AM133" s="1766"/>
      <c r="AN133" s="1766"/>
      <c r="AO133" s="1766"/>
      <c r="AP133" s="1766"/>
      <c r="AQ133" s="1766"/>
      <c r="AR133" s="1766"/>
      <c r="AS133" s="1766"/>
      <c r="AT133" s="1766"/>
      <c r="AU133" s="1766"/>
      <c r="AV133" s="1766"/>
      <c r="AW133" s="1766"/>
      <c r="AX133" s="1766"/>
      <c r="AY133" s="1766"/>
      <c r="AZ133" s="1766"/>
      <c r="BA133" s="1766"/>
      <c r="BB133" s="1766"/>
      <c r="BC133" s="1766"/>
      <c r="BD133" s="1766"/>
      <c r="BE133" s="1772"/>
    </row>
    <row r="134" spans="1:57" ht="15.75" customHeight="1">
      <c r="A134" s="1766"/>
      <c r="B134" s="1766"/>
      <c r="C134" s="2621" t="s">
        <v>2046</v>
      </c>
      <c r="D134" s="2622"/>
      <c r="E134" s="2622"/>
      <c r="F134" s="2622"/>
      <c r="G134" s="2622"/>
      <c r="H134" s="2622"/>
      <c r="I134" s="2622"/>
      <c r="J134" s="2622"/>
      <c r="K134" s="2622"/>
      <c r="L134" s="2622"/>
      <c r="M134" s="2622"/>
      <c r="N134" s="2622"/>
      <c r="O134" s="2622"/>
      <c r="P134" s="2638"/>
      <c r="Q134" s="2683" t="s">
        <v>2629</v>
      </c>
      <c r="R134" s="2684"/>
      <c r="S134" s="2685"/>
      <c r="T134" s="2701">
        <v>44350</v>
      </c>
      <c r="U134" s="2702"/>
      <c r="V134" s="2702"/>
      <c r="W134" s="2702"/>
      <c r="X134" s="2702"/>
      <c r="Y134" s="2702"/>
      <c r="Z134" s="2702"/>
      <c r="AA134" s="2702"/>
      <c r="AB134" s="1783"/>
      <c r="AC134" s="1784"/>
      <c r="AD134" s="1784"/>
      <c r="AE134" s="1784"/>
      <c r="AF134" s="1784"/>
      <c r="AG134" s="1785"/>
      <c r="AH134" s="1766"/>
      <c r="AI134" s="1766"/>
      <c r="AJ134" s="1766"/>
      <c r="AK134" s="1766"/>
      <c r="AL134" s="1766"/>
      <c r="AM134" s="1766"/>
      <c r="AN134" s="1766"/>
      <c r="AO134" s="1766"/>
      <c r="AP134" s="1766"/>
      <c r="AQ134" s="1766"/>
      <c r="AR134" s="1766"/>
      <c r="AS134" s="1766"/>
      <c r="AT134" s="1766"/>
      <c r="AU134" s="1766"/>
      <c r="AV134" s="1766"/>
      <c r="AW134" s="1766"/>
      <c r="AX134" s="1766"/>
      <c r="AY134" s="1766"/>
      <c r="AZ134" s="1766"/>
      <c r="BA134" s="1766"/>
      <c r="BB134" s="1766"/>
      <c r="BC134" s="1766"/>
      <c r="BD134" s="1766"/>
      <c r="BE134" s="1772"/>
    </row>
    <row r="135" spans="1:57" ht="15.75" customHeight="1" thickBot="1">
      <c r="A135" s="1766"/>
      <c r="B135" s="1766"/>
      <c r="C135" s="2621" t="s">
        <v>2047</v>
      </c>
      <c r="D135" s="2622"/>
      <c r="E135" s="2622"/>
      <c r="F135" s="2622"/>
      <c r="G135" s="2622"/>
      <c r="H135" s="2622"/>
      <c r="I135" s="2622"/>
      <c r="J135" s="2622"/>
      <c r="K135" s="2622"/>
      <c r="L135" s="2622"/>
      <c r="M135" s="2622"/>
      <c r="N135" s="2622"/>
      <c r="O135" s="2622"/>
      <c r="P135" s="2638"/>
      <c r="Q135" s="2683" t="s">
        <v>624</v>
      </c>
      <c r="R135" s="2684"/>
      <c r="S135" s="2685"/>
      <c r="T135" s="2697"/>
      <c r="U135" s="2698"/>
      <c r="V135" s="2698"/>
      <c r="W135" s="2698"/>
      <c r="X135" s="2698"/>
      <c r="Y135" s="2698"/>
      <c r="Z135" s="2698"/>
      <c r="AA135" s="2698"/>
      <c r="AB135" s="1786"/>
      <c r="AC135" s="1787"/>
      <c r="AD135" s="1787"/>
      <c r="AE135" s="1787"/>
      <c r="AF135" s="1787"/>
      <c r="AG135" s="1788"/>
      <c r="AH135" s="1766"/>
      <c r="AI135" s="1766"/>
      <c r="AJ135" s="1766"/>
      <c r="AK135" s="1766"/>
      <c r="AL135" s="1766"/>
      <c r="AM135" s="1766"/>
      <c r="AN135" s="1766"/>
      <c r="AO135" s="1766"/>
      <c r="AP135" s="1766"/>
      <c r="AQ135" s="1766"/>
      <c r="AR135" s="1766"/>
      <c r="AS135" s="1766"/>
      <c r="AT135" s="1766"/>
      <c r="AU135" s="1766"/>
      <c r="AV135" s="1766"/>
      <c r="AW135" s="1766"/>
      <c r="AX135" s="1766"/>
      <c r="AY135" s="1766"/>
      <c r="AZ135" s="1766"/>
      <c r="BA135" s="1766"/>
      <c r="BB135" s="1766"/>
      <c r="BC135" s="1766"/>
      <c r="BD135" s="1766"/>
      <c r="BE135" s="1772"/>
    </row>
    <row r="136" spans="1:57" ht="15.75" customHeight="1">
      <c r="A136" s="1766"/>
      <c r="B136" s="1766"/>
      <c r="C136" s="2621" t="s">
        <v>2010</v>
      </c>
      <c r="D136" s="2622"/>
      <c r="E136" s="2622"/>
      <c r="F136" s="2622"/>
      <c r="G136" s="2622"/>
      <c r="H136" s="2622"/>
      <c r="I136" s="2622"/>
      <c r="J136" s="2622"/>
      <c r="K136" s="2622"/>
      <c r="L136" s="2622"/>
      <c r="M136" s="2622"/>
      <c r="N136" s="2622"/>
      <c r="O136" s="2622"/>
      <c r="P136" s="2638"/>
      <c r="Q136" s="2683" t="s">
        <v>2630</v>
      </c>
      <c r="R136" s="2684"/>
      <c r="S136" s="2685"/>
      <c r="T136" s="2699" t="s">
        <v>2631</v>
      </c>
      <c r="U136" s="2698"/>
      <c r="V136" s="2698"/>
      <c r="W136" s="2698"/>
      <c r="X136" s="2698"/>
      <c r="Y136" s="2698"/>
      <c r="Z136" s="2698"/>
      <c r="AA136" s="2700"/>
      <c r="AB136" s="2694">
        <v>0</v>
      </c>
      <c r="AC136" s="2695"/>
      <c r="AD136" s="2695"/>
      <c r="AE136" s="2695"/>
      <c r="AF136" s="2695"/>
      <c r="AG136" s="2696"/>
      <c r="AH136" s="1766"/>
      <c r="AI136" s="1766"/>
      <c r="AJ136" s="1766"/>
      <c r="AK136" s="1766"/>
      <c r="AL136" s="1766"/>
      <c r="AM136" s="1766"/>
      <c r="AN136" s="1766"/>
      <c r="AO136" s="1766"/>
      <c r="AP136" s="1766"/>
      <c r="AQ136" s="1766"/>
      <c r="AR136" s="1766"/>
      <c r="AS136" s="1766"/>
      <c r="AT136" s="1766"/>
      <c r="AU136" s="1766"/>
      <c r="AV136" s="1766"/>
      <c r="AW136" s="1766"/>
      <c r="AX136" s="1766"/>
      <c r="AY136" s="1766"/>
      <c r="AZ136" s="1766"/>
      <c r="BA136" s="1766"/>
      <c r="BB136" s="1766"/>
      <c r="BC136" s="1766"/>
      <c r="BD136" s="1766"/>
      <c r="BE136" s="1772"/>
    </row>
    <row r="137" spans="1:57" ht="15.75" customHeight="1" thickBot="1">
      <c r="A137" s="1766"/>
      <c r="B137" s="1766"/>
      <c r="C137" s="2681" t="s">
        <v>174</v>
      </c>
      <c r="D137" s="2682"/>
      <c r="E137" s="2682"/>
      <c r="F137" s="2612" t="s">
        <v>2628</v>
      </c>
      <c r="G137" s="2612"/>
      <c r="H137" s="2612"/>
      <c r="I137" s="2612"/>
      <c r="J137" s="2612"/>
      <c r="K137" s="2612"/>
      <c r="L137" s="2612"/>
      <c r="M137" s="2612"/>
      <c r="N137" s="2612"/>
      <c r="O137" s="2612"/>
      <c r="P137" s="2612"/>
      <c r="Q137" s="2683" t="s">
        <v>624</v>
      </c>
      <c r="R137" s="2684"/>
      <c r="S137" s="2685"/>
      <c r="T137" s="2686">
        <v>44585</v>
      </c>
      <c r="U137" s="2686"/>
      <c r="V137" s="2686"/>
      <c r="W137" s="2686"/>
      <c r="X137" s="2686"/>
      <c r="Y137" s="2686"/>
      <c r="Z137" s="2686"/>
      <c r="AA137" s="2686"/>
      <c r="AB137" s="2687" t="s">
        <v>624</v>
      </c>
      <c r="AC137" s="2688"/>
      <c r="AD137" s="2688"/>
      <c r="AE137" s="2688"/>
      <c r="AF137" s="2688"/>
      <c r="AG137" s="2689"/>
      <c r="AH137" s="1766"/>
      <c r="AI137" s="1766"/>
      <c r="AJ137" s="1766"/>
      <c r="AK137" s="1766"/>
      <c r="AL137" s="1766"/>
      <c r="AM137" s="1766"/>
      <c r="AN137" s="1766"/>
      <c r="AO137" s="1766"/>
      <c r="AP137" s="1766"/>
      <c r="AQ137" s="1766"/>
      <c r="AR137" s="1766"/>
      <c r="AS137" s="1766"/>
      <c r="AT137" s="1766"/>
      <c r="AU137" s="1766"/>
      <c r="AV137" s="1766"/>
      <c r="AW137" s="1766"/>
      <c r="AX137" s="1766"/>
      <c r="AY137" s="1766"/>
      <c r="AZ137" s="1766"/>
      <c r="BA137" s="1766"/>
      <c r="BB137" s="1766"/>
      <c r="BC137" s="1766"/>
      <c r="BD137" s="1766"/>
      <c r="BE137" s="1772"/>
    </row>
    <row r="138" spans="1:57" ht="15.75" customHeight="1" thickBot="1">
      <c r="A138" s="1766"/>
      <c r="B138" s="1766"/>
      <c r="C138" s="2681" t="s">
        <v>174</v>
      </c>
      <c r="D138" s="2682"/>
      <c r="E138" s="2682"/>
      <c r="F138" s="2612"/>
      <c r="G138" s="2612"/>
      <c r="H138" s="2612"/>
      <c r="I138" s="2612"/>
      <c r="J138" s="2612"/>
      <c r="K138" s="2612"/>
      <c r="L138" s="2612"/>
      <c r="M138" s="2612"/>
      <c r="N138" s="2612"/>
      <c r="O138" s="2612"/>
      <c r="P138" s="2612"/>
      <c r="Q138" s="2683"/>
      <c r="R138" s="2684"/>
      <c r="S138" s="2685"/>
      <c r="T138" s="2686"/>
      <c r="U138" s="2686"/>
      <c r="V138" s="2686"/>
      <c r="W138" s="2686"/>
      <c r="X138" s="2686"/>
      <c r="Y138" s="2686"/>
      <c r="Z138" s="2686"/>
      <c r="AA138" s="2686"/>
      <c r="AB138" s="2687" t="s">
        <v>624</v>
      </c>
      <c r="AC138" s="2688"/>
      <c r="AD138" s="2688"/>
      <c r="AE138" s="2688"/>
      <c r="AF138" s="2688"/>
      <c r="AG138" s="2689"/>
      <c r="AH138" s="1766"/>
      <c r="AI138" s="1766"/>
      <c r="AJ138" s="1766"/>
      <c r="AK138" s="1766" t="s">
        <v>255</v>
      </c>
      <c r="AL138" s="1766"/>
      <c r="AM138" s="1766"/>
      <c r="AN138" s="1766"/>
      <c r="AO138" s="1766"/>
      <c r="AP138" s="1766"/>
      <c r="AQ138" s="1766"/>
      <c r="AR138" s="1766"/>
      <c r="AS138" s="1766"/>
      <c r="AT138" s="1766"/>
      <c r="AU138" s="1766"/>
      <c r="AV138" s="1766"/>
      <c r="AW138" s="1766"/>
      <c r="AX138" s="1766"/>
      <c r="AY138" s="1766"/>
      <c r="AZ138" s="1766"/>
      <c r="BA138" s="1766"/>
      <c r="BB138" s="1766"/>
      <c r="BC138" s="1766"/>
      <c r="BD138" s="1766"/>
      <c r="BE138" s="1772"/>
    </row>
    <row r="139" spans="1:57" ht="15.75" customHeight="1" thickBot="1">
      <c r="A139" s="1766"/>
      <c r="B139" s="1766"/>
      <c r="C139" s="2681" t="s">
        <v>174</v>
      </c>
      <c r="D139" s="2682"/>
      <c r="E139" s="2682"/>
      <c r="F139" s="2603"/>
      <c r="G139" s="2603"/>
      <c r="H139" s="2603"/>
      <c r="I139" s="2603"/>
      <c r="J139" s="2603"/>
      <c r="K139" s="2603"/>
      <c r="L139" s="2603"/>
      <c r="M139" s="2603"/>
      <c r="N139" s="2603"/>
      <c r="O139" s="2603"/>
      <c r="P139" s="2603"/>
      <c r="Q139" s="2683"/>
      <c r="R139" s="2684"/>
      <c r="S139" s="2685"/>
      <c r="T139" s="2690"/>
      <c r="U139" s="2690"/>
      <c r="V139" s="2690"/>
      <c r="W139" s="2690"/>
      <c r="X139" s="2690"/>
      <c r="Y139" s="2690"/>
      <c r="Z139" s="2690"/>
      <c r="AA139" s="2690"/>
      <c r="AB139" s="2691" t="s">
        <v>624</v>
      </c>
      <c r="AC139" s="2692"/>
      <c r="AD139" s="2692"/>
      <c r="AE139" s="2692"/>
      <c r="AF139" s="2692"/>
      <c r="AG139" s="2693"/>
      <c r="AH139" s="1766"/>
      <c r="AI139" s="1766"/>
      <c r="AJ139" s="1766"/>
      <c r="AK139" s="1766"/>
      <c r="AL139" s="1766"/>
      <c r="AM139" s="1766"/>
      <c r="AN139" s="1766"/>
      <c r="AO139" s="1766"/>
      <c r="AP139" s="1766"/>
      <c r="AQ139" s="1766"/>
      <c r="AR139" s="1766"/>
      <c r="AS139" s="1766"/>
      <c r="AT139" s="1766"/>
      <c r="AU139" s="1766"/>
      <c r="AV139" s="1766"/>
      <c r="AW139" s="1766"/>
      <c r="AX139" s="1766"/>
      <c r="AY139" s="1766"/>
      <c r="AZ139" s="1766"/>
      <c r="BA139" s="1766"/>
      <c r="BB139" s="1766"/>
      <c r="BC139" s="1766"/>
      <c r="BD139" s="1766"/>
      <c r="BE139" s="1772"/>
    </row>
    <row r="140" spans="1:57" ht="15.75" customHeight="1" thickBot="1">
      <c r="A140" s="1766"/>
      <c r="B140" s="1766"/>
      <c r="C140" s="1766"/>
      <c r="D140" s="1766"/>
      <c r="E140" s="1766"/>
      <c r="F140" s="1766"/>
      <c r="G140" s="1766"/>
      <c r="H140" s="1766"/>
      <c r="I140" s="1766"/>
      <c r="J140" s="1766"/>
      <c r="K140" s="1766"/>
      <c r="L140" s="1766"/>
      <c r="M140" s="1766"/>
      <c r="N140" s="1766"/>
      <c r="O140" s="1766"/>
      <c r="P140" s="1766"/>
      <c r="Q140" s="1766"/>
      <c r="R140" s="1766"/>
      <c r="S140" s="1766"/>
      <c r="T140" s="1766"/>
      <c r="U140" s="1766"/>
      <c r="V140" s="1766"/>
      <c r="W140" s="1766"/>
      <c r="X140" s="1766"/>
      <c r="Y140" s="1766"/>
      <c r="Z140" s="1766"/>
      <c r="AA140" s="1766"/>
      <c r="AB140" s="1766"/>
      <c r="AC140" s="1766"/>
      <c r="AD140" s="1766"/>
      <c r="AE140" s="1766"/>
      <c r="AF140" s="1766"/>
      <c r="AG140" s="1766"/>
      <c r="AH140" s="1766"/>
      <c r="AI140" s="1766"/>
      <c r="AJ140" s="1766"/>
      <c r="AK140" s="1766"/>
      <c r="AL140" s="1766"/>
      <c r="AM140" s="1766"/>
      <c r="AN140" s="1766"/>
      <c r="AO140" s="1766"/>
      <c r="AP140" s="1766"/>
      <c r="AQ140" s="1766"/>
      <c r="AR140" s="1766"/>
      <c r="AS140" s="1766"/>
      <c r="AT140" s="1766"/>
      <c r="AU140" s="1766"/>
      <c r="AV140" s="1766"/>
      <c r="AW140" s="1766"/>
      <c r="AX140" s="1766"/>
      <c r="AY140" s="1766"/>
      <c r="AZ140" s="1766"/>
      <c r="BA140" s="1766"/>
      <c r="BB140" s="1766"/>
      <c r="BC140" s="1766"/>
      <c r="BD140" s="1766"/>
      <c r="BE140" s="1772"/>
    </row>
    <row r="141" spans="1:57" ht="15.75" customHeight="1" thickBot="1">
      <c r="A141" s="1766"/>
      <c r="B141" s="1766"/>
      <c r="C141" s="2665" t="s">
        <v>2049</v>
      </c>
      <c r="D141" s="2666"/>
      <c r="E141" s="2666"/>
      <c r="F141" s="2666"/>
      <c r="G141" s="2666"/>
      <c r="H141" s="2666"/>
      <c r="I141" s="2666"/>
      <c r="J141" s="2666"/>
      <c r="K141" s="2666"/>
      <c r="L141" s="2666"/>
      <c r="M141" s="2666"/>
      <c r="N141" s="2667"/>
      <c r="O141" s="1766"/>
      <c r="P141" s="2668" t="s">
        <v>2050</v>
      </c>
      <c r="Q141" s="2669"/>
      <c r="R141" s="2669"/>
      <c r="S141" s="2669"/>
      <c r="T141" s="2669"/>
      <c r="U141" s="2669"/>
      <c r="V141" s="2669"/>
      <c r="W141" s="2669"/>
      <c r="X141" s="2669"/>
      <c r="Y141" s="2669"/>
      <c r="Z141" s="2669"/>
      <c r="AA141" s="2669"/>
      <c r="AB141" s="2669"/>
      <c r="AC141" s="2669"/>
      <c r="AD141" s="2669"/>
      <c r="AE141" s="2669"/>
      <c r="AF141" s="2669"/>
      <c r="AG141" s="2669"/>
      <c r="AH141" s="2669"/>
      <c r="AI141" s="2669"/>
      <c r="AJ141" s="2669"/>
      <c r="AK141" s="2669"/>
      <c r="AL141" s="2669"/>
      <c r="AM141" s="2669"/>
      <c r="AN141" s="2669"/>
      <c r="AO141" s="2670"/>
      <c r="AP141" s="1766"/>
      <c r="AQ141" s="1766"/>
      <c r="AR141" s="1766"/>
      <c r="AS141" s="1766"/>
      <c r="AT141" s="1766"/>
      <c r="AU141" s="1766"/>
      <c r="AV141" s="1766"/>
      <c r="AW141" s="1766"/>
      <c r="AX141" s="1766"/>
      <c r="AY141" s="1766"/>
      <c r="AZ141" s="1766"/>
      <c r="BA141" s="1766"/>
      <c r="BB141" s="1766"/>
      <c r="BC141" s="1766"/>
      <c r="BD141" s="1766"/>
      <c r="BE141" s="1772"/>
    </row>
    <row r="142" spans="1:57" ht="15.75" customHeight="1">
      <c r="A142" s="1766"/>
      <c r="B142" s="1766"/>
      <c r="C142" s="2671" t="s">
        <v>2051</v>
      </c>
      <c r="D142" s="2672"/>
      <c r="E142" s="2672"/>
      <c r="F142" s="2672"/>
      <c r="G142" s="2672"/>
      <c r="H142" s="2673"/>
      <c r="I142" s="2671" t="s">
        <v>2052</v>
      </c>
      <c r="J142" s="2672"/>
      <c r="K142" s="2672"/>
      <c r="L142" s="2672"/>
      <c r="M142" s="2672"/>
      <c r="N142" s="2673"/>
      <c r="O142" s="1766"/>
      <c r="P142" s="2674" t="s">
        <v>2634</v>
      </c>
      <c r="Q142" s="2675"/>
      <c r="R142" s="2675"/>
      <c r="S142" s="2675"/>
      <c r="T142" s="2675"/>
      <c r="U142" s="2675"/>
      <c r="V142" s="2675"/>
      <c r="W142" s="2675"/>
      <c r="X142" s="2675"/>
      <c r="Y142" s="2675"/>
      <c r="Z142" s="2675"/>
      <c r="AA142" s="2675"/>
      <c r="AB142" s="2675"/>
      <c r="AC142" s="2675"/>
      <c r="AD142" s="2675"/>
      <c r="AE142" s="2675"/>
      <c r="AF142" s="2675"/>
      <c r="AG142" s="2675"/>
      <c r="AH142" s="2675"/>
      <c r="AI142" s="2675"/>
      <c r="AJ142" s="2675"/>
      <c r="AK142" s="2675"/>
      <c r="AL142" s="2675"/>
      <c r="AM142" s="2675"/>
      <c r="AN142" s="2675"/>
      <c r="AO142" s="2676"/>
      <c r="AP142" s="1766"/>
      <c r="AQ142" s="1766"/>
      <c r="AR142" s="1766"/>
      <c r="AS142" s="1766"/>
      <c r="AT142" s="1766"/>
      <c r="AU142" s="1766"/>
      <c r="AV142" s="1766"/>
      <c r="AW142" s="1766"/>
      <c r="AX142" s="1766"/>
      <c r="AY142" s="1766"/>
      <c r="AZ142" s="1766"/>
      <c r="BA142" s="1766"/>
      <c r="BB142" s="1766"/>
      <c r="BC142" s="1766"/>
      <c r="BD142" s="1766"/>
      <c r="BE142" s="1772"/>
    </row>
    <row r="143" spans="1:57" ht="15.75" customHeight="1">
      <c r="A143" s="1766"/>
      <c r="B143" s="1766"/>
      <c r="C143" s="2655" t="s">
        <v>2632</v>
      </c>
      <c r="D143" s="2655"/>
      <c r="E143" s="2655"/>
      <c r="F143" s="2655"/>
      <c r="G143" s="2655"/>
      <c r="H143" s="2655"/>
      <c r="I143" s="2656">
        <v>44596</v>
      </c>
      <c r="J143" s="2656"/>
      <c r="K143" s="2656"/>
      <c r="L143" s="2656"/>
      <c r="M143" s="2656"/>
      <c r="N143" s="2656"/>
      <c r="O143" s="1766"/>
      <c r="P143" s="2677"/>
      <c r="Q143" s="2675"/>
      <c r="R143" s="2675"/>
      <c r="S143" s="2675"/>
      <c r="T143" s="2675"/>
      <c r="U143" s="2675"/>
      <c r="V143" s="2675"/>
      <c r="W143" s="2675"/>
      <c r="X143" s="2675"/>
      <c r="Y143" s="2675"/>
      <c r="Z143" s="2675"/>
      <c r="AA143" s="2675"/>
      <c r="AB143" s="2675"/>
      <c r="AC143" s="2675"/>
      <c r="AD143" s="2675"/>
      <c r="AE143" s="2675"/>
      <c r="AF143" s="2675"/>
      <c r="AG143" s="2675"/>
      <c r="AH143" s="2675"/>
      <c r="AI143" s="2675"/>
      <c r="AJ143" s="2675"/>
      <c r="AK143" s="2675"/>
      <c r="AL143" s="2675"/>
      <c r="AM143" s="2675"/>
      <c r="AN143" s="2675"/>
      <c r="AO143" s="2676"/>
      <c r="AP143" s="1766"/>
      <c r="AQ143" s="1766"/>
      <c r="AR143" s="1766"/>
      <c r="AS143" s="1766"/>
      <c r="AT143" s="1766"/>
      <c r="AU143" s="1766"/>
      <c r="AV143" s="1766"/>
      <c r="AW143" s="1766"/>
      <c r="AX143" s="1766"/>
      <c r="AY143" s="1766"/>
      <c r="AZ143" s="1766"/>
      <c r="BA143" s="1766"/>
      <c r="BB143" s="1766"/>
      <c r="BC143" s="1766"/>
      <c r="BD143" s="1766"/>
      <c r="BE143" s="1772"/>
    </row>
    <row r="144" spans="1:57" ht="15.75" customHeight="1">
      <c r="A144" s="1766"/>
      <c r="B144" s="1766"/>
      <c r="C144" s="2655" t="s">
        <v>2633</v>
      </c>
      <c r="D144" s="2655"/>
      <c r="E144" s="2655"/>
      <c r="F144" s="2655"/>
      <c r="G144" s="2655"/>
      <c r="H144" s="2655"/>
      <c r="I144" s="2656">
        <v>44595</v>
      </c>
      <c r="J144" s="2656"/>
      <c r="K144" s="2656"/>
      <c r="L144" s="2656"/>
      <c r="M144" s="2656"/>
      <c r="N144" s="2656"/>
      <c r="O144" s="1766"/>
      <c r="P144" s="2677"/>
      <c r="Q144" s="2675"/>
      <c r="R144" s="2675"/>
      <c r="S144" s="2675"/>
      <c r="T144" s="2675"/>
      <c r="U144" s="2675"/>
      <c r="V144" s="2675"/>
      <c r="W144" s="2675"/>
      <c r="X144" s="2675"/>
      <c r="Y144" s="2675"/>
      <c r="Z144" s="2675"/>
      <c r="AA144" s="2675"/>
      <c r="AB144" s="2675"/>
      <c r="AC144" s="2675"/>
      <c r="AD144" s="2675"/>
      <c r="AE144" s="2675"/>
      <c r="AF144" s="2675"/>
      <c r="AG144" s="2675"/>
      <c r="AH144" s="2675"/>
      <c r="AI144" s="2675"/>
      <c r="AJ144" s="2675"/>
      <c r="AK144" s="2675"/>
      <c r="AL144" s="2675"/>
      <c r="AM144" s="2675"/>
      <c r="AN144" s="2675"/>
      <c r="AO144" s="2676"/>
      <c r="AP144" s="1766"/>
      <c r="AQ144" s="1766"/>
      <c r="AR144" s="1766"/>
      <c r="AS144" s="1766"/>
      <c r="AT144" s="1766"/>
      <c r="AU144" s="1766"/>
      <c r="AV144" s="1766"/>
      <c r="AW144" s="1766"/>
      <c r="AX144" s="1766"/>
      <c r="AY144" s="1766"/>
      <c r="AZ144" s="1766"/>
      <c r="BA144" s="1766"/>
      <c r="BB144" s="1766"/>
      <c r="BC144" s="1766"/>
      <c r="BD144" s="1766"/>
      <c r="BE144" s="1772"/>
    </row>
    <row r="145" spans="1:57" ht="15.75" customHeight="1">
      <c r="A145" s="1766"/>
      <c r="B145" s="1766"/>
      <c r="C145" s="2655"/>
      <c r="D145" s="2655"/>
      <c r="E145" s="2655"/>
      <c r="F145" s="2655"/>
      <c r="G145" s="2655"/>
      <c r="H145" s="2655"/>
      <c r="I145" s="2656"/>
      <c r="J145" s="2656"/>
      <c r="K145" s="2656"/>
      <c r="L145" s="2656"/>
      <c r="M145" s="2656"/>
      <c r="N145" s="2656"/>
      <c r="O145" s="1766"/>
      <c r="P145" s="2677"/>
      <c r="Q145" s="2675"/>
      <c r="R145" s="2675"/>
      <c r="S145" s="2675"/>
      <c r="T145" s="2675"/>
      <c r="U145" s="2675"/>
      <c r="V145" s="2675"/>
      <c r="W145" s="2675"/>
      <c r="X145" s="2675"/>
      <c r="Y145" s="2675"/>
      <c r="Z145" s="2675"/>
      <c r="AA145" s="2675"/>
      <c r="AB145" s="2675"/>
      <c r="AC145" s="2675"/>
      <c r="AD145" s="2675"/>
      <c r="AE145" s="2675"/>
      <c r="AF145" s="2675"/>
      <c r="AG145" s="2675"/>
      <c r="AH145" s="2675"/>
      <c r="AI145" s="2675"/>
      <c r="AJ145" s="2675"/>
      <c r="AK145" s="2675"/>
      <c r="AL145" s="2675"/>
      <c r="AM145" s="2675"/>
      <c r="AN145" s="2675"/>
      <c r="AO145" s="2676"/>
      <c r="AP145" s="1766"/>
      <c r="AQ145" s="1766"/>
      <c r="AR145" s="1766"/>
      <c r="AS145" s="1766"/>
      <c r="AT145" s="1766"/>
      <c r="AU145" s="1766"/>
      <c r="AV145" s="1766"/>
      <c r="AW145" s="1766"/>
      <c r="AX145" s="1766"/>
      <c r="AY145" s="1766"/>
      <c r="AZ145" s="1766"/>
      <c r="BA145" s="1766"/>
      <c r="BB145" s="1766"/>
      <c r="BC145" s="1766"/>
      <c r="BD145" s="1766"/>
      <c r="BE145" s="1772"/>
    </row>
    <row r="146" spans="1:57" ht="15.75" customHeight="1">
      <c r="A146" s="1766"/>
      <c r="B146" s="1766"/>
      <c r="C146" s="2655"/>
      <c r="D146" s="2655"/>
      <c r="E146" s="2655"/>
      <c r="F146" s="2655"/>
      <c r="G146" s="2655"/>
      <c r="H146" s="2655"/>
      <c r="I146" s="2656"/>
      <c r="J146" s="2656"/>
      <c r="K146" s="2656"/>
      <c r="L146" s="2656"/>
      <c r="M146" s="2656"/>
      <c r="N146" s="2656"/>
      <c r="O146" s="1766"/>
      <c r="P146" s="2677"/>
      <c r="Q146" s="2675"/>
      <c r="R146" s="2675"/>
      <c r="S146" s="2675"/>
      <c r="T146" s="2675"/>
      <c r="U146" s="2675"/>
      <c r="V146" s="2675"/>
      <c r="W146" s="2675"/>
      <c r="X146" s="2675"/>
      <c r="Y146" s="2675"/>
      <c r="Z146" s="2675"/>
      <c r="AA146" s="2675"/>
      <c r="AB146" s="2675"/>
      <c r="AC146" s="2675"/>
      <c r="AD146" s="2675"/>
      <c r="AE146" s="2675"/>
      <c r="AF146" s="2675"/>
      <c r="AG146" s="2675"/>
      <c r="AH146" s="2675"/>
      <c r="AI146" s="2675"/>
      <c r="AJ146" s="2675"/>
      <c r="AK146" s="2675"/>
      <c r="AL146" s="2675"/>
      <c r="AM146" s="2675"/>
      <c r="AN146" s="2675"/>
      <c r="AO146" s="2676"/>
      <c r="AP146" s="1766"/>
      <c r="AQ146" s="1766"/>
      <c r="AR146" s="1766"/>
      <c r="AS146" s="1766"/>
      <c r="AT146" s="1766"/>
      <c r="AU146" s="1766"/>
      <c r="AV146" s="1766"/>
      <c r="AW146" s="1766"/>
      <c r="AX146" s="1766"/>
      <c r="AY146" s="1766"/>
      <c r="AZ146" s="1766"/>
      <c r="BA146" s="1766"/>
      <c r="BB146" s="1766"/>
      <c r="BC146" s="1766"/>
      <c r="BD146" s="1766"/>
      <c r="BE146" s="1772"/>
    </row>
    <row r="147" spans="1:57" ht="15.75" customHeight="1">
      <c r="A147" s="1766"/>
      <c r="B147" s="1766"/>
      <c r="C147" s="2655"/>
      <c r="D147" s="2655"/>
      <c r="E147" s="2655"/>
      <c r="F147" s="2655"/>
      <c r="G147" s="2655"/>
      <c r="H147" s="2655"/>
      <c r="I147" s="2656"/>
      <c r="J147" s="2656"/>
      <c r="K147" s="2656"/>
      <c r="L147" s="2656"/>
      <c r="M147" s="2656"/>
      <c r="N147" s="2656"/>
      <c r="O147" s="1766"/>
      <c r="P147" s="2677"/>
      <c r="Q147" s="2675"/>
      <c r="R147" s="2675"/>
      <c r="S147" s="2675"/>
      <c r="T147" s="2675"/>
      <c r="U147" s="2675"/>
      <c r="V147" s="2675"/>
      <c r="W147" s="2675"/>
      <c r="X147" s="2675"/>
      <c r="Y147" s="2675"/>
      <c r="Z147" s="2675"/>
      <c r="AA147" s="2675"/>
      <c r="AB147" s="2675"/>
      <c r="AC147" s="2675"/>
      <c r="AD147" s="2675"/>
      <c r="AE147" s="2675"/>
      <c r="AF147" s="2675"/>
      <c r="AG147" s="2675"/>
      <c r="AH147" s="2675"/>
      <c r="AI147" s="2675"/>
      <c r="AJ147" s="2675"/>
      <c r="AK147" s="2675"/>
      <c r="AL147" s="2675"/>
      <c r="AM147" s="2675"/>
      <c r="AN147" s="2675"/>
      <c r="AO147" s="2676"/>
      <c r="AP147" s="1766"/>
      <c r="AQ147" s="1766"/>
      <c r="AR147" s="1766"/>
      <c r="AS147" s="1766"/>
      <c r="AT147" s="1766"/>
      <c r="AU147" s="1766"/>
      <c r="AV147" s="1766"/>
      <c r="AW147" s="1766"/>
      <c r="AX147" s="1766"/>
      <c r="AY147" s="1766"/>
      <c r="AZ147" s="1766"/>
      <c r="BA147" s="1766"/>
      <c r="BB147" s="1766"/>
      <c r="BC147" s="1766"/>
      <c r="BD147" s="1766"/>
      <c r="BE147" s="1772"/>
    </row>
    <row r="148" spans="1:57" ht="15.75" customHeight="1">
      <c r="A148" s="1766"/>
      <c r="B148" s="1766"/>
      <c r="C148" s="2655"/>
      <c r="D148" s="2655"/>
      <c r="E148" s="2655"/>
      <c r="F148" s="2655"/>
      <c r="G148" s="2655"/>
      <c r="H148" s="2655"/>
      <c r="I148" s="2656"/>
      <c r="J148" s="2656"/>
      <c r="K148" s="2656"/>
      <c r="L148" s="2656"/>
      <c r="M148" s="2656"/>
      <c r="N148" s="2656"/>
      <c r="O148" s="1766"/>
      <c r="P148" s="2677"/>
      <c r="Q148" s="2675"/>
      <c r="R148" s="2675"/>
      <c r="S148" s="2675"/>
      <c r="T148" s="2675"/>
      <c r="U148" s="2675"/>
      <c r="V148" s="2675"/>
      <c r="W148" s="2675"/>
      <c r="X148" s="2675"/>
      <c r="Y148" s="2675"/>
      <c r="Z148" s="2675"/>
      <c r="AA148" s="2675"/>
      <c r="AB148" s="2675"/>
      <c r="AC148" s="2675"/>
      <c r="AD148" s="2675"/>
      <c r="AE148" s="2675"/>
      <c r="AF148" s="2675"/>
      <c r="AG148" s="2675"/>
      <c r="AH148" s="2675"/>
      <c r="AI148" s="2675"/>
      <c r="AJ148" s="2675"/>
      <c r="AK148" s="2675"/>
      <c r="AL148" s="2675"/>
      <c r="AM148" s="2675"/>
      <c r="AN148" s="2675"/>
      <c r="AO148" s="2676"/>
      <c r="AP148" s="1766"/>
      <c r="AQ148" s="1766"/>
      <c r="AR148" s="1766"/>
      <c r="AS148" s="1766"/>
      <c r="AT148" s="1766"/>
      <c r="AU148" s="1766"/>
      <c r="AV148" s="1766"/>
      <c r="AW148" s="1766"/>
      <c r="AX148" s="1766"/>
      <c r="AY148" s="1766"/>
      <c r="AZ148" s="1766"/>
      <c r="BA148" s="1766"/>
      <c r="BB148" s="1766"/>
      <c r="BC148" s="1766"/>
      <c r="BD148" s="1766"/>
      <c r="BE148" s="1772"/>
    </row>
    <row r="149" spans="1:57" ht="15.75" customHeight="1" thickBot="1">
      <c r="A149" s="1766"/>
      <c r="B149" s="1766"/>
      <c r="C149" s="2655"/>
      <c r="D149" s="2655"/>
      <c r="E149" s="2655"/>
      <c r="F149" s="2655"/>
      <c r="G149" s="2655"/>
      <c r="H149" s="2655"/>
      <c r="I149" s="2656"/>
      <c r="J149" s="2656"/>
      <c r="K149" s="2656"/>
      <c r="L149" s="2656"/>
      <c r="M149" s="2656"/>
      <c r="N149" s="2656"/>
      <c r="O149" s="1766"/>
      <c r="P149" s="2678"/>
      <c r="Q149" s="2679"/>
      <c r="R149" s="2679"/>
      <c r="S149" s="2679"/>
      <c r="T149" s="2679"/>
      <c r="U149" s="2679"/>
      <c r="V149" s="2679"/>
      <c r="W149" s="2679"/>
      <c r="X149" s="2679"/>
      <c r="Y149" s="2679"/>
      <c r="Z149" s="2679"/>
      <c r="AA149" s="2679"/>
      <c r="AB149" s="2679"/>
      <c r="AC149" s="2679"/>
      <c r="AD149" s="2679"/>
      <c r="AE149" s="2679"/>
      <c r="AF149" s="2679"/>
      <c r="AG149" s="2679"/>
      <c r="AH149" s="2679"/>
      <c r="AI149" s="2679"/>
      <c r="AJ149" s="2679"/>
      <c r="AK149" s="2679"/>
      <c r="AL149" s="2679"/>
      <c r="AM149" s="2679"/>
      <c r="AN149" s="2679"/>
      <c r="AO149" s="2680"/>
      <c r="AP149" s="1766"/>
      <c r="AQ149" s="1766"/>
      <c r="AR149" s="1766"/>
      <c r="AS149" s="1766"/>
      <c r="AT149" s="1766"/>
      <c r="AU149" s="1766"/>
      <c r="AV149" s="1766"/>
      <c r="AW149" s="1766"/>
      <c r="AX149" s="1766"/>
      <c r="AY149" s="1766"/>
      <c r="AZ149" s="1766"/>
      <c r="BA149" s="1766"/>
      <c r="BB149" s="1766"/>
      <c r="BC149" s="1766"/>
      <c r="BD149" s="1766"/>
      <c r="BE149" s="1772"/>
    </row>
    <row r="150" spans="1:57" ht="15.75" customHeight="1">
      <c r="A150" s="1766"/>
      <c r="B150" s="1766"/>
      <c r="C150" s="1766"/>
      <c r="D150" s="1766"/>
      <c r="E150" s="1766"/>
      <c r="F150" s="1766"/>
      <c r="G150" s="1766"/>
      <c r="H150" s="1766"/>
      <c r="I150" s="1766"/>
      <c r="J150" s="1766"/>
      <c r="K150" s="1766"/>
      <c r="L150" s="1766"/>
      <c r="M150" s="1766"/>
      <c r="N150" s="1766"/>
      <c r="O150" s="1766"/>
      <c r="P150" s="1766"/>
      <c r="Q150" s="1766"/>
      <c r="R150" s="1766"/>
      <c r="S150" s="1766"/>
      <c r="T150" s="1766"/>
      <c r="U150" s="1766"/>
      <c r="V150" s="1766"/>
      <c r="W150" s="1766"/>
      <c r="X150" s="1766"/>
      <c r="Y150" s="1766"/>
      <c r="Z150" s="1766"/>
      <c r="AA150" s="1766"/>
      <c r="AB150" s="1766"/>
      <c r="AC150" s="1766"/>
      <c r="AD150" s="1766"/>
      <c r="AE150" s="1766"/>
      <c r="AF150" s="1766"/>
      <c r="AG150" s="1766"/>
      <c r="AH150" s="1766"/>
      <c r="AI150" s="1766"/>
      <c r="AJ150" s="1766"/>
      <c r="AK150" s="1766"/>
      <c r="AL150" s="1766"/>
      <c r="AM150" s="1766"/>
      <c r="AN150" s="1766"/>
      <c r="AO150" s="1766"/>
      <c r="AP150" s="1766"/>
      <c r="AQ150" s="1766"/>
      <c r="AR150" s="1766"/>
      <c r="AS150" s="1766"/>
      <c r="AT150" s="1766"/>
      <c r="AU150" s="1766"/>
      <c r="AV150" s="1766"/>
      <c r="AW150" s="1766"/>
      <c r="AX150" s="1766"/>
      <c r="AY150" s="1766"/>
      <c r="AZ150" s="1766"/>
      <c r="BA150" s="1766"/>
      <c r="BB150" s="1766"/>
      <c r="BC150" s="1766"/>
      <c r="BD150" s="1766"/>
      <c r="BE150" s="1772"/>
    </row>
    <row r="151" spans="1:57" ht="15.75" customHeight="1">
      <c r="A151" s="1766"/>
      <c r="B151" s="1766"/>
      <c r="C151" s="1776" t="s">
        <v>2445</v>
      </c>
      <c r="J151" s="1778"/>
      <c r="K151" s="1778"/>
      <c r="L151" s="1778"/>
      <c r="M151" s="1778"/>
      <c r="N151" s="1778"/>
      <c r="O151" s="1778"/>
      <c r="P151" s="1778"/>
      <c r="Q151" s="1778"/>
      <c r="R151" s="1778"/>
      <c r="S151" s="1778"/>
      <c r="T151" s="1778"/>
      <c r="U151" s="1778"/>
      <c r="V151" s="1778"/>
      <c r="W151" s="1778"/>
      <c r="X151" s="1778"/>
      <c r="Y151" s="1778"/>
      <c r="Z151" s="1778"/>
      <c r="AA151" s="1778"/>
      <c r="AB151" s="1778"/>
      <c r="AC151" s="1778"/>
      <c r="AD151" s="1778"/>
      <c r="AE151" s="1778"/>
      <c r="AF151" s="1778"/>
      <c r="AG151" s="1778"/>
      <c r="AH151" s="1778"/>
      <c r="AI151" s="1778"/>
      <c r="AJ151" s="1778"/>
      <c r="AK151" s="1778"/>
      <c r="AL151" s="1778"/>
      <c r="AM151" s="1778"/>
      <c r="AN151" s="1766"/>
      <c r="AO151" s="1766"/>
      <c r="AP151" s="1766"/>
      <c r="AQ151" s="1766"/>
      <c r="AR151" s="1766"/>
      <c r="AS151" s="1766"/>
      <c r="AT151" s="1766"/>
      <c r="AU151" s="1766"/>
      <c r="AV151" s="1766"/>
      <c r="AW151" s="1766"/>
      <c r="AX151" s="1766"/>
      <c r="AY151" s="1766"/>
      <c r="AZ151" s="1766"/>
      <c r="BA151" s="1766"/>
      <c r="BB151" s="1766"/>
      <c r="BC151" s="1766"/>
      <c r="BD151" s="1766"/>
      <c r="BE151" s="1772"/>
    </row>
    <row r="152" spans="1:57" ht="15.75" customHeight="1" thickBot="1">
      <c r="A152" s="1766"/>
      <c r="B152" s="1766"/>
      <c r="C152" s="1766"/>
      <c r="D152" s="1766"/>
      <c r="E152" s="1766"/>
      <c r="F152" s="1766"/>
      <c r="G152" s="1766"/>
      <c r="H152" s="1766"/>
      <c r="I152" s="1766"/>
      <c r="J152" s="1766"/>
      <c r="K152" s="1766"/>
      <c r="L152" s="1773"/>
      <c r="M152" s="1766"/>
      <c r="N152" s="1766"/>
      <c r="O152" s="1766"/>
      <c r="P152" s="1766"/>
      <c r="Q152" s="1766"/>
      <c r="R152" s="1766"/>
      <c r="S152" s="1766"/>
      <c r="T152" s="1766"/>
      <c r="U152" s="1766"/>
      <c r="V152" s="1766"/>
      <c r="W152" s="1766"/>
      <c r="X152" s="1766"/>
      <c r="Y152" s="1766"/>
      <c r="Z152" s="1766"/>
      <c r="AA152" s="1766"/>
      <c r="AB152" s="1766"/>
      <c r="AC152" s="1766"/>
      <c r="AD152" s="1766"/>
      <c r="AE152" s="1766"/>
      <c r="AF152" s="1766"/>
      <c r="AG152" s="1766"/>
      <c r="AH152" s="1766"/>
      <c r="AI152" s="1766"/>
      <c r="AJ152" s="1766"/>
      <c r="AK152" s="1766"/>
      <c r="AL152" s="1766"/>
      <c r="AM152" s="1766"/>
      <c r="AN152" s="1766"/>
      <c r="AO152" s="1766"/>
      <c r="AP152" s="1766"/>
      <c r="AQ152" s="1766"/>
      <c r="AR152" s="1766"/>
      <c r="AS152" s="1766"/>
      <c r="AT152" s="1766"/>
      <c r="AU152" s="1766"/>
      <c r="AV152" s="1766"/>
      <c r="AW152" s="1766"/>
      <c r="AX152" s="1766"/>
      <c r="AY152" s="1766"/>
      <c r="AZ152" s="1766"/>
      <c r="BA152" s="1766"/>
      <c r="BB152" s="1766"/>
      <c r="BC152" s="1766"/>
      <c r="BD152" s="1766"/>
      <c r="BE152" s="1772"/>
    </row>
    <row r="153" spans="1:57" ht="15.75" customHeight="1">
      <c r="A153" s="1766"/>
      <c r="B153" s="1766"/>
      <c r="C153" s="2657"/>
      <c r="D153" s="2658"/>
      <c r="E153" s="2658"/>
      <c r="F153" s="2658"/>
      <c r="G153" s="2658"/>
      <c r="H153" s="2658"/>
      <c r="I153" s="2658"/>
      <c r="J153" s="2658"/>
      <c r="K153" s="2658"/>
      <c r="L153" s="2658"/>
      <c r="M153" s="2659"/>
      <c r="N153" s="2660" t="s">
        <v>2053</v>
      </c>
      <c r="O153" s="2660"/>
      <c r="P153" s="2660"/>
      <c r="Q153" s="2660"/>
      <c r="R153" s="2660"/>
      <c r="S153" s="2660"/>
      <c r="T153" s="2661"/>
      <c r="U153" s="2662" t="s">
        <v>2042</v>
      </c>
      <c r="V153" s="2663"/>
      <c r="W153" s="2663"/>
      <c r="X153" s="2663"/>
      <c r="Y153" s="2663"/>
      <c r="Z153" s="2663"/>
      <c r="AA153" s="2663"/>
      <c r="AB153" s="2663"/>
      <c r="AC153" s="2663"/>
      <c r="AD153" s="2663"/>
      <c r="AE153" s="2664"/>
      <c r="AF153" s="1766"/>
      <c r="AG153" s="1766"/>
      <c r="AH153" s="2624" t="s">
        <v>2054</v>
      </c>
      <c r="AI153" s="2625"/>
      <c r="AJ153" s="2625"/>
      <c r="AK153" s="2625"/>
      <c r="AL153" s="2625"/>
      <c r="AM153" s="2625"/>
      <c r="AN153" s="2625"/>
      <c r="AO153" s="2625"/>
      <c r="AP153" s="2625"/>
      <c r="AQ153" s="2625"/>
      <c r="AR153" s="2625"/>
      <c r="AS153" s="2639"/>
      <c r="AT153" s="2639"/>
      <c r="AU153" s="2639"/>
      <c r="AV153" s="2639"/>
      <c r="AW153" s="2639"/>
      <c r="AX153" s="1766"/>
      <c r="AY153" s="1766"/>
      <c r="AZ153" s="1766"/>
      <c r="BA153" s="1766"/>
      <c r="BB153" s="1766"/>
      <c r="BC153" s="1766"/>
      <c r="BD153" s="1766"/>
      <c r="BE153" s="1772"/>
    </row>
    <row r="154" spans="1:57" ht="15.75" customHeight="1">
      <c r="A154" s="1766"/>
      <c r="B154" s="1766"/>
      <c r="C154" s="2633" t="s">
        <v>2055</v>
      </c>
      <c r="D154" s="2634"/>
      <c r="E154" s="2634"/>
      <c r="F154" s="2634"/>
      <c r="G154" s="2634"/>
      <c r="H154" s="2634"/>
      <c r="I154" s="2634"/>
      <c r="J154" s="2634"/>
      <c r="K154" s="2634"/>
      <c r="L154" s="2634"/>
      <c r="M154" s="2635"/>
      <c r="N154" s="2636">
        <f>'Sources and Uses Budget'!B105</f>
        <v>80665059</v>
      </c>
      <c r="O154" s="2636"/>
      <c r="P154" s="2636"/>
      <c r="Q154" s="2636"/>
      <c r="R154" s="2636"/>
      <c r="S154" s="2636"/>
      <c r="T154" s="2637"/>
      <c r="U154" s="2646"/>
      <c r="V154" s="2647"/>
      <c r="W154" s="2647"/>
      <c r="X154" s="2647"/>
      <c r="Y154" s="2647"/>
      <c r="Z154" s="2647"/>
      <c r="AA154" s="2647"/>
      <c r="AB154" s="2647"/>
      <c r="AC154" s="2647"/>
      <c r="AD154" s="2647"/>
      <c r="AE154" s="2652"/>
      <c r="AF154" s="1766"/>
      <c r="AG154" s="1766"/>
      <c r="AH154" s="2653" t="s">
        <v>2056</v>
      </c>
      <c r="AI154" s="2654"/>
      <c r="AJ154" s="2654"/>
      <c r="AK154" s="2654"/>
      <c r="AL154" s="2654"/>
      <c r="AM154" s="2654"/>
      <c r="AN154" s="2654"/>
      <c r="AO154" s="2654"/>
      <c r="AP154" s="2654"/>
      <c r="AQ154" s="2654"/>
      <c r="AR154" s="2654"/>
      <c r="AS154" s="2639"/>
      <c r="AT154" s="2639"/>
      <c r="AU154" s="2639"/>
      <c r="AV154" s="2639"/>
      <c r="AW154" s="2639"/>
      <c r="AX154" s="1766"/>
      <c r="AY154" s="1766"/>
      <c r="AZ154" s="1766"/>
      <c r="BA154" s="1766"/>
      <c r="BB154" s="1766"/>
      <c r="BC154" s="1766"/>
      <c r="BD154" s="1766"/>
      <c r="BE154" s="1772"/>
    </row>
    <row r="155" spans="1:57" ht="15.75" customHeight="1">
      <c r="A155" s="1766"/>
      <c r="B155" s="1766"/>
      <c r="C155" s="2633" t="s">
        <v>2057</v>
      </c>
      <c r="D155" s="2634"/>
      <c r="E155" s="2634"/>
      <c r="F155" s="2634"/>
      <c r="G155" s="2634"/>
      <c r="H155" s="2634"/>
      <c r="I155" s="2634"/>
      <c r="J155" s="2634"/>
      <c r="K155" s="2634"/>
      <c r="L155" s="2634"/>
      <c r="M155" s="2635"/>
      <c r="N155" s="2636">
        <f>N154/J29</f>
        <v>720223.74107142852</v>
      </c>
      <c r="O155" s="2636"/>
      <c r="P155" s="2636"/>
      <c r="Q155" s="2636"/>
      <c r="R155" s="2636"/>
      <c r="S155" s="2636"/>
      <c r="T155" s="2637"/>
      <c r="U155" s="1789"/>
      <c r="V155" s="1789"/>
      <c r="W155" s="1789"/>
      <c r="X155" s="1789"/>
      <c r="Y155" s="1789"/>
      <c r="Z155" s="1789"/>
      <c r="AA155" s="1789"/>
      <c r="AB155" s="1789"/>
      <c r="AC155" s="1789"/>
      <c r="AD155" s="1789"/>
      <c r="AE155" s="1790"/>
      <c r="AF155" s="1766"/>
      <c r="AG155" s="1766"/>
      <c r="AH155" s="2621" t="s">
        <v>2058</v>
      </c>
      <c r="AI155" s="2622"/>
      <c r="AJ155" s="2622"/>
      <c r="AK155" s="2622"/>
      <c r="AL155" s="2622"/>
      <c r="AM155" s="2622"/>
      <c r="AN155" s="2622"/>
      <c r="AO155" s="2622"/>
      <c r="AP155" s="2622"/>
      <c r="AQ155" s="2622"/>
      <c r="AR155" s="2638"/>
      <c r="AS155" s="2639"/>
      <c r="AT155" s="2639"/>
      <c r="AU155" s="2639"/>
      <c r="AV155" s="2639"/>
      <c r="AW155" s="2639"/>
      <c r="AX155" s="1766"/>
      <c r="AY155" s="1766"/>
      <c r="AZ155" s="1766"/>
      <c r="BA155" s="1766"/>
      <c r="BB155" s="1766"/>
      <c r="BC155" s="1766"/>
      <c r="BD155" s="1766"/>
      <c r="BE155" s="1772"/>
    </row>
    <row r="156" spans="1:57" ht="15.75" customHeight="1">
      <c r="A156" s="1766"/>
      <c r="B156" s="1766"/>
      <c r="C156" s="2640" t="s">
        <v>2059</v>
      </c>
      <c r="D156" s="2641"/>
      <c r="E156" s="2641"/>
      <c r="F156" s="2641"/>
      <c r="G156" s="2641"/>
      <c r="H156" s="2641"/>
      <c r="I156" s="2641"/>
      <c r="J156" s="2641"/>
      <c r="K156" s="2641"/>
      <c r="L156" s="2641"/>
      <c r="M156" s="2642"/>
      <c r="N156" s="2643"/>
      <c r="O156" s="2643"/>
      <c r="P156" s="2643"/>
      <c r="Q156" s="2643"/>
      <c r="R156" s="2643"/>
      <c r="S156" s="2643"/>
      <c r="T156" s="2644"/>
      <c r="U156" s="2610"/>
      <c r="V156" s="2611"/>
      <c r="W156" s="2611"/>
      <c r="X156" s="2611"/>
      <c r="Y156" s="2611"/>
      <c r="Z156" s="2611"/>
      <c r="AA156" s="2611"/>
      <c r="AB156" s="2611"/>
      <c r="AC156" s="2611"/>
      <c r="AD156" s="2611"/>
      <c r="AE156" s="2645"/>
      <c r="AF156" s="1766"/>
      <c r="AG156" s="1766"/>
      <c r="AH156" s="2646"/>
      <c r="AI156" s="2647"/>
      <c r="AJ156" s="2647"/>
      <c r="AK156" s="2647"/>
      <c r="AL156" s="2647"/>
      <c r="AM156" s="2647"/>
      <c r="AN156" s="2647"/>
      <c r="AO156" s="2647"/>
      <c r="AP156" s="2647"/>
      <c r="AQ156" s="2647"/>
      <c r="AR156" s="2648"/>
      <c r="AS156" s="2649"/>
      <c r="AT156" s="2650"/>
      <c r="AU156" s="2650"/>
      <c r="AV156" s="2650"/>
      <c r="AW156" s="2651"/>
      <c r="AX156" s="1766"/>
      <c r="AY156" s="1766"/>
      <c r="AZ156" s="1766"/>
      <c r="BA156" s="1766"/>
      <c r="BB156" s="1766"/>
      <c r="BC156" s="1766"/>
      <c r="BD156" s="1766"/>
      <c r="BE156" s="1772"/>
    </row>
    <row r="157" spans="1:57" ht="15.75" customHeight="1" thickBot="1">
      <c r="A157" s="1766"/>
      <c r="B157" s="1766"/>
      <c r="C157" s="2621" t="s">
        <v>2060</v>
      </c>
      <c r="D157" s="2622"/>
      <c r="E157" s="2622"/>
      <c r="F157" s="2622"/>
      <c r="G157" s="2622"/>
      <c r="H157" s="2622"/>
      <c r="I157" s="2622"/>
      <c r="J157" s="2622"/>
      <c r="K157" s="2622"/>
      <c r="L157" s="2622"/>
      <c r="M157" s="2623"/>
      <c r="N157" s="2628">
        <f>SUM('Sources and Uses Budget'!B85:B86)</f>
        <v>613736</v>
      </c>
      <c r="O157" s="2628"/>
      <c r="P157" s="2628"/>
      <c r="Q157" s="2628"/>
      <c r="R157" s="2628"/>
      <c r="S157" s="2628"/>
      <c r="T157" s="2629"/>
      <c r="U157" s="2616"/>
      <c r="V157" s="2617"/>
      <c r="W157" s="2617"/>
      <c r="X157" s="2617"/>
      <c r="Y157" s="2617"/>
      <c r="Z157" s="2617"/>
      <c r="AA157" s="2617"/>
      <c r="AB157" s="2617"/>
      <c r="AC157" s="2617"/>
      <c r="AD157" s="2617"/>
      <c r="AE157" s="2618"/>
      <c r="AF157" s="1766"/>
      <c r="AG157" s="1766"/>
      <c r="AH157" s="2630" t="s">
        <v>2465</v>
      </c>
      <c r="AI157" s="2631"/>
      <c r="AJ157" s="2631"/>
      <c r="AK157" s="2631"/>
      <c r="AL157" s="2631"/>
      <c r="AM157" s="2631"/>
      <c r="AN157" s="2631"/>
      <c r="AO157" s="2631"/>
      <c r="AP157" s="2631"/>
      <c r="AQ157" s="2631"/>
      <c r="AR157" s="2631"/>
      <c r="AS157" s="2632">
        <f>SUM(AS153:AW155)</f>
        <v>0</v>
      </c>
      <c r="AT157" s="2632"/>
      <c r="AU157" s="2632"/>
      <c r="AV157" s="2632"/>
      <c r="AW157" s="2632"/>
      <c r="AX157" s="1766"/>
      <c r="AY157" s="1766"/>
      <c r="AZ157" s="1766"/>
      <c r="BA157" s="1766"/>
      <c r="BB157" s="1766"/>
      <c r="BC157" s="1766"/>
      <c r="BD157" s="1766"/>
      <c r="BE157" s="1772"/>
    </row>
    <row r="158" spans="1:57" ht="15.75" customHeight="1" thickBot="1">
      <c r="A158" s="1766"/>
      <c r="B158" s="1766"/>
      <c r="C158" s="2621" t="s">
        <v>2062</v>
      </c>
      <c r="D158" s="2622"/>
      <c r="E158" s="2622"/>
      <c r="F158" s="2622"/>
      <c r="G158" s="2622"/>
      <c r="H158" s="2622"/>
      <c r="I158" s="2622"/>
      <c r="J158" s="2622"/>
      <c r="K158" s="2622"/>
      <c r="L158" s="2622"/>
      <c r="M158" s="2623"/>
      <c r="N158" s="2628">
        <f>'Sources and Uses Budget'!B8</f>
        <v>0</v>
      </c>
      <c r="O158" s="2628"/>
      <c r="P158" s="2628"/>
      <c r="Q158" s="2628"/>
      <c r="R158" s="2628"/>
      <c r="S158" s="2628"/>
      <c r="T158" s="2629"/>
      <c r="U158" s="2616"/>
      <c r="V158" s="2617"/>
      <c r="W158" s="2617"/>
      <c r="X158" s="2617"/>
      <c r="Y158" s="2617"/>
      <c r="Z158" s="2617"/>
      <c r="AA158" s="2617"/>
      <c r="AB158" s="2617"/>
      <c r="AC158" s="2617"/>
      <c r="AD158" s="2617"/>
      <c r="AE158" s="2618"/>
      <c r="AF158" s="1766"/>
      <c r="AG158" s="1766"/>
      <c r="AH158" s="1766"/>
      <c r="AI158" s="1766"/>
      <c r="AJ158" s="1766"/>
      <c r="AK158" s="1766"/>
      <c r="AL158" s="1766"/>
      <c r="AM158" s="1766"/>
      <c r="AN158" s="1766"/>
      <c r="AO158" s="1766"/>
      <c r="AP158" s="1766"/>
      <c r="AQ158" s="1766"/>
      <c r="AR158" s="1766"/>
      <c r="AS158" s="1766"/>
      <c r="AT158" s="1766"/>
      <c r="AU158" s="1766"/>
      <c r="AV158" s="1766"/>
      <c r="AW158" s="1766"/>
      <c r="AX158" s="1766"/>
      <c r="AY158" s="1766"/>
      <c r="AZ158" s="1766"/>
      <c r="BA158" s="1766"/>
      <c r="BB158" s="1766"/>
      <c r="BC158" s="1766"/>
      <c r="BD158" s="1766"/>
      <c r="BE158" s="1772"/>
    </row>
    <row r="159" spans="1:57" ht="15.75" customHeight="1">
      <c r="A159" s="1766"/>
      <c r="B159" s="1766"/>
      <c r="C159" s="2621" t="s">
        <v>2063</v>
      </c>
      <c r="D159" s="2622"/>
      <c r="E159" s="2622"/>
      <c r="F159" s="2622"/>
      <c r="G159" s="2622"/>
      <c r="H159" s="2622"/>
      <c r="I159" s="2622"/>
      <c r="J159" s="2622"/>
      <c r="K159" s="2622"/>
      <c r="L159" s="2622"/>
      <c r="M159" s="2623"/>
      <c r="N159" s="2614">
        <v>0</v>
      </c>
      <c r="O159" s="2614"/>
      <c r="P159" s="2614"/>
      <c r="Q159" s="2614"/>
      <c r="R159" s="2614"/>
      <c r="S159" s="2614"/>
      <c r="T159" s="2615"/>
      <c r="U159" s="2616"/>
      <c r="V159" s="2617"/>
      <c r="W159" s="2617"/>
      <c r="X159" s="2617"/>
      <c r="Y159" s="2617"/>
      <c r="Z159" s="2617"/>
      <c r="AA159" s="2617"/>
      <c r="AB159" s="2617"/>
      <c r="AC159" s="2617"/>
      <c r="AD159" s="2617"/>
      <c r="AE159" s="2618"/>
      <c r="AF159" s="1766"/>
      <c r="AG159" s="1766"/>
      <c r="AH159" s="2624" t="s">
        <v>2466</v>
      </c>
      <c r="AI159" s="2625"/>
      <c r="AJ159" s="2625"/>
      <c r="AK159" s="2625"/>
      <c r="AL159" s="2625"/>
      <c r="AM159" s="2625"/>
      <c r="AN159" s="2625"/>
      <c r="AO159" s="2625"/>
      <c r="AP159" s="2625"/>
      <c r="AQ159" s="2625"/>
      <c r="AR159" s="2625"/>
      <c r="AS159" s="2626" t="s">
        <v>2467</v>
      </c>
      <c r="AT159" s="2626"/>
      <c r="AU159" s="2626"/>
      <c r="AV159" s="2626"/>
      <c r="AW159" s="2626"/>
      <c r="AX159" s="2626"/>
      <c r="AY159" s="2626" t="s">
        <v>2468</v>
      </c>
      <c r="AZ159" s="2626"/>
      <c r="BA159" s="2626"/>
      <c r="BB159" s="2626"/>
      <c r="BC159" s="2626"/>
      <c r="BD159" s="2627"/>
      <c r="BE159" s="1772"/>
    </row>
    <row r="160" spans="1:57" ht="15.75" customHeight="1">
      <c r="A160" s="1766"/>
      <c r="B160" s="1766"/>
      <c r="C160" s="2621" t="s">
        <v>2056</v>
      </c>
      <c r="D160" s="2622"/>
      <c r="E160" s="2622"/>
      <c r="F160" s="2622"/>
      <c r="G160" s="2622"/>
      <c r="H160" s="2622"/>
      <c r="I160" s="2622"/>
      <c r="J160" s="2622"/>
      <c r="K160" s="2622"/>
      <c r="L160" s="2622"/>
      <c r="M160" s="2623"/>
      <c r="N160" s="2614">
        <v>0</v>
      </c>
      <c r="O160" s="2614"/>
      <c r="P160" s="2614"/>
      <c r="Q160" s="2614"/>
      <c r="R160" s="2614"/>
      <c r="S160" s="2614"/>
      <c r="T160" s="2615"/>
      <c r="U160" s="2616"/>
      <c r="V160" s="2617"/>
      <c r="W160" s="2617"/>
      <c r="X160" s="2617"/>
      <c r="Y160" s="2617"/>
      <c r="Z160" s="2617"/>
      <c r="AA160" s="2617"/>
      <c r="AB160" s="2617"/>
      <c r="AC160" s="2617"/>
      <c r="AD160" s="2617"/>
      <c r="AE160" s="2618"/>
      <c r="AF160" s="1766"/>
      <c r="AG160" s="1766"/>
      <c r="AH160" s="2587" t="s">
        <v>2469</v>
      </c>
      <c r="AI160" s="2588"/>
      <c r="AJ160" s="2588"/>
      <c r="AK160" s="2588"/>
      <c r="AL160" s="2588"/>
      <c r="AM160" s="2588"/>
      <c r="AN160" s="2588"/>
      <c r="AO160" s="2588"/>
      <c r="AP160" s="2588"/>
      <c r="AQ160" s="2588"/>
      <c r="AR160" s="2588"/>
      <c r="AS160" s="2589"/>
      <c r="AT160" s="2589"/>
      <c r="AU160" s="2589"/>
      <c r="AV160" s="2589"/>
      <c r="AW160" s="2589"/>
      <c r="AX160" s="2589"/>
      <c r="AY160" s="2589"/>
      <c r="AZ160" s="2589"/>
      <c r="BA160" s="2589"/>
      <c r="BB160" s="2589"/>
      <c r="BC160" s="2589"/>
      <c r="BD160" s="2590"/>
      <c r="BE160" s="1772"/>
    </row>
    <row r="161" spans="1:57" ht="15.75" customHeight="1">
      <c r="A161" s="1766"/>
      <c r="B161" s="1766"/>
      <c r="C161" s="2619" t="s">
        <v>307</v>
      </c>
      <c r="D161" s="2620"/>
      <c r="E161" s="2612" t="s">
        <v>2048</v>
      </c>
      <c r="F161" s="2612"/>
      <c r="G161" s="2612"/>
      <c r="H161" s="2612"/>
      <c r="I161" s="2612"/>
      <c r="J161" s="2612"/>
      <c r="K161" s="2612"/>
      <c r="L161" s="2612"/>
      <c r="M161" s="2613"/>
      <c r="N161" s="2614">
        <v>0</v>
      </c>
      <c r="O161" s="2614"/>
      <c r="P161" s="2614"/>
      <c r="Q161" s="2614"/>
      <c r="R161" s="2614"/>
      <c r="S161" s="2614"/>
      <c r="T161" s="2615"/>
      <c r="U161" s="2616"/>
      <c r="V161" s="2617"/>
      <c r="W161" s="2617"/>
      <c r="X161" s="2617"/>
      <c r="Y161" s="2617"/>
      <c r="Z161" s="2617"/>
      <c r="AA161" s="2617"/>
      <c r="AB161" s="2617"/>
      <c r="AC161" s="2617"/>
      <c r="AD161" s="2617"/>
      <c r="AE161" s="2618"/>
      <c r="AF161" s="1766"/>
      <c r="AG161" s="1766"/>
      <c r="AH161" s="2587" t="s">
        <v>2470</v>
      </c>
      <c r="AI161" s="2588"/>
      <c r="AJ161" s="2588"/>
      <c r="AK161" s="2588"/>
      <c r="AL161" s="2588"/>
      <c r="AM161" s="2588"/>
      <c r="AN161" s="2588"/>
      <c r="AO161" s="2588"/>
      <c r="AP161" s="2588"/>
      <c r="AQ161" s="2588"/>
      <c r="AR161" s="2588"/>
      <c r="AS161" s="2589"/>
      <c r="AT161" s="2589"/>
      <c r="AU161" s="2589"/>
      <c r="AV161" s="2589"/>
      <c r="AW161" s="2589"/>
      <c r="AX161" s="2589"/>
      <c r="AY161" s="2589"/>
      <c r="AZ161" s="2589"/>
      <c r="BA161" s="2589"/>
      <c r="BB161" s="2589"/>
      <c r="BC161" s="2589"/>
      <c r="BD161" s="2590"/>
      <c r="BE161" s="1772"/>
    </row>
    <row r="162" spans="1:57" ht="15.75" customHeight="1">
      <c r="A162" s="1766"/>
      <c r="B162" s="1766"/>
      <c r="C162" s="2610" t="s">
        <v>307</v>
      </c>
      <c r="D162" s="2611"/>
      <c r="E162" s="2612" t="s">
        <v>2048</v>
      </c>
      <c r="F162" s="2612"/>
      <c r="G162" s="2612"/>
      <c r="H162" s="2612"/>
      <c r="I162" s="2612"/>
      <c r="J162" s="2612"/>
      <c r="K162" s="2612"/>
      <c r="L162" s="2612"/>
      <c r="M162" s="2613"/>
      <c r="N162" s="2614">
        <v>0</v>
      </c>
      <c r="O162" s="2614"/>
      <c r="P162" s="2614"/>
      <c r="Q162" s="2614"/>
      <c r="R162" s="2614"/>
      <c r="S162" s="2614"/>
      <c r="T162" s="2615"/>
      <c r="U162" s="2616"/>
      <c r="V162" s="2617"/>
      <c r="W162" s="2617"/>
      <c r="X162" s="2617"/>
      <c r="Y162" s="2617"/>
      <c r="Z162" s="2617"/>
      <c r="AA162" s="2617"/>
      <c r="AB162" s="2617"/>
      <c r="AC162" s="2617"/>
      <c r="AD162" s="2617"/>
      <c r="AE162" s="2618"/>
      <c r="AF162" s="1766"/>
      <c r="AG162" s="1766"/>
      <c r="AH162" s="2587" t="s">
        <v>2471</v>
      </c>
      <c r="AI162" s="2588"/>
      <c r="AJ162" s="2588"/>
      <c r="AK162" s="2588"/>
      <c r="AL162" s="2588"/>
      <c r="AM162" s="2588"/>
      <c r="AN162" s="2588"/>
      <c r="AO162" s="2588"/>
      <c r="AP162" s="2588"/>
      <c r="AQ162" s="2588"/>
      <c r="AR162" s="2588"/>
      <c r="AS162" s="2589"/>
      <c r="AT162" s="2589"/>
      <c r="AU162" s="2589"/>
      <c r="AV162" s="2589"/>
      <c r="AW162" s="2589"/>
      <c r="AX162" s="2589"/>
      <c r="AY162" s="2589"/>
      <c r="AZ162" s="2589"/>
      <c r="BA162" s="2589"/>
      <c r="BB162" s="2589"/>
      <c r="BC162" s="2589"/>
      <c r="BD162" s="2590"/>
      <c r="BE162" s="1772"/>
    </row>
    <row r="163" spans="1:57" ht="15.75" customHeight="1" thickBot="1">
      <c r="A163" s="1766"/>
      <c r="B163" s="1766"/>
      <c r="C163" s="2601" t="s">
        <v>307</v>
      </c>
      <c r="D163" s="2602"/>
      <c r="E163" s="2603" t="s">
        <v>2048</v>
      </c>
      <c r="F163" s="2603"/>
      <c r="G163" s="2603"/>
      <c r="H163" s="2603"/>
      <c r="I163" s="2603"/>
      <c r="J163" s="2603"/>
      <c r="K163" s="2603"/>
      <c r="L163" s="2603"/>
      <c r="M163" s="2604"/>
      <c r="N163" s="2605">
        <v>0</v>
      </c>
      <c r="O163" s="2605"/>
      <c r="P163" s="2605"/>
      <c r="Q163" s="2605"/>
      <c r="R163" s="2605"/>
      <c r="S163" s="2605"/>
      <c r="T163" s="2606"/>
      <c r="U163" s="2607"/>
      <c r="V163" s="2608"/>
      <c r="W163" s="2608"/>
      <c r="X163" s="2608"/>
      <c r="Y163" s="2608"/>
      <c r="Z163" s="2608"/>
      <c r="AA163" s="2608"/>
      <c r="AB163" s="2608"/>
      <c r="AC163" s="2608"/>
      <c r="AD163" s="2608"/>
      <c r="AE163" s="2609"/>
      <c r="AF163" s="1766"/>
      <c r="AG163" s="1766"/>
      <c r="AH163" s="2587" t="s">
        <v>2472</v>
      </c>
      <c r="AI163" s="2588"/>
      <c r="AJ163" s="2588"/>
      <c r="AK163" s="2588"/>
      <c r="AL163" s="2588"/>
      <c r="AM163" s="2588"/>
      <c r="AN163" s="2588"/>
      <c r="AO163" s="2588"/>
      <c r="AP163" s="2588"/>
      <c r="AQ163" s="2588"/>
      <c r="AR163" s="2588"/>
      <c r="AS163" s="2589"/>
      <c r="AT163" s="2589"/>
      <c r="AU163" s="2589"/>
      <c r="AV163" s="2589"/>
      <c r="AW163" s="2589"/>
      <c r="AX163" s="2589"/>
      <c r="AY163" s="2589"/>
      <c r="AZ163" s="2589"/>
      <c r="BA163" s="2589"/>
      <c r="BB163" s="2589"/>
      <c r="BC163" s="2589"/>
      <c r="BD163" s="2590"/>
      <c r="BE163" s="1772"/>
    </row>
    <row r="164" spans="1:57" ht="15.75" customHeight="1">
      <c r="A164" s="1766"/>
      <c r="B164" s="1766"/>
      <c r="C164" s="2595" t="s">
        <v>2064</v>
      </c>
      <c r="D164" s="2596"/>
      <c r="E164" s="2596"/>
      <c r="F164" s="2596"/>
      <c r="G164" s="2596"/>
      <c r="H164" s="2596"/>
      <c r="I164" s="2596"/>
      <c r="J164" s="2596"/>
      <c r="K164" s="2596"/>
      <c r="L164" s="2596"/>
      <c r="M164" s="2597"/>
      <c r="N164" s="2598">
        <f>SUM(N156:T163)</f>
        <v>613736</v>
      </c>
      <c r="O164" s="2599"/>
      <c r="P164" s="2599"/>
      <c r="Q164" s="2599"/>
      <c r="R164" s="2599"/>
      <c r="S164" s="2599"/>
      <c r="T164" s="2600"/>
      <c r="U164" s="1766"/>
      <c r="V164" s="1766"/>
      <c r="W164" s="1766"/>
      <c r="X164" s="1766"/>
      <c r="Y164" s="1766"/>
      <c r="Z164" s="1766"/>
      <c r="AA164" s="1766"/>
      <c r="AB164" s="1766"/>
      <c r="AC164" s="1766"/>
      <c r="AD164" s="1766"/>
      <c r="AE164" s="1766"/>
      <c r="AF164" s="1766"/>
      <c r="AG164" s="1766"/>
      <c r="AH164" s="2587" t="s">
        <v>2473</v>
      </c>
      <c r="AI164" s="2588"/>
      <c r="AJ164" s="2588"/>
      <c r="AK164" s="2588"/>
      <c r="AL164" s="2588"/>
      <c r="AM164" s="2588"/>
      <c r="AN164" s="2588"/>
      <c r="AO164" s="2588"/>
      <c r="AP164" s="2588"/>
      <c r="AQ164" s="2588"/>
      <c r="AR164" s="2588"/>
      <c r="AS164" s="2589"/>
      <c r="AT164" s="2589"/>
      <c r="AU164" s="2589"/>
      <c r="AV164" s="2589"/>
      <c r="AW164" s="2589"/>
      <c r="AX164" s="2589"/>
      <c r="AY164" s="2589"/>
      <c r="AZ164" s="2589"/>
      <c r="BA164" s="2589"/>
      <c r="BB164" s="2589"/>
      <c r="BC164" s="2589"/>
      <c r="BD164" s="2590"/>
      <c r="BE164" s="1772"/>
    </row>
    <row r="165" spans="1:57" ht="15.75" customHeight="1" thickBot="1">
      <c r="A165" s="1766"/>
      <c r="B165" s="1766"/>
      <c r="C165" s="2583" t="s">
        <v>2065</v>
      </c>
      <c r="D165" s="2584"/>
      <c r="E165" s="2584"/>
      <c r="F165" s="2584"/>
      <c r="G165" s="2584"/>
      <c r="H165" s="2584"/>
      <c r="I165" s="2584"/>
      <c r="J165" s="2584"/>
      <c r="K165" s="2584"/>
      <c r="L165" s="2584"/>
      <c r="M165" s="2584"/>
      <c r="N165" s="2585">
        <f>(N154-N164)/J29</f>
        <v>714743.95535714284</v>
      </c>
      <c r="O165" s="2585"/>
      <c r="P165" s="2585"/>
      <c r="Q165" s="2585"/>
      <c r="R165" s="2585"/>
      <c r="S165" s="2585"/>
      <c r="T165" s="2586"/>
      <c r="U165" s="1773"/>
      <c r="V165" s="1766"/>
      <c r="W165" s="1766"/>
      <c r="X165" s="1766"/>
      <c r="Y165" s="1766"/>
      <c r="Z165" s="1766"/>
      <c r="AA165" s="1766"/>
      <c r="AB165" s="1766"/>
      <c r="AC165" s="1766"/>
      <c r="AD165" s="1766"/>
      <c r="AE165" s="1766"/>
      <c r="AF165" s="1766"/>
      <c r="AG165" s="1766"/>
      <c r="AH165" s="2587" t="s">
        <v>2474</v>
      </c>
      <c r="AI165" s="2588"/>
      <c r="AJ165" s="2588"/>
      <c r="AK165" s="2588"/>
      <c r="AL165" s="2588"/>
      <c r="AM165" s="2588"/>
      <c r="AN165" s="2588"/>
      <c r="AO165" s="2588"/>
      <c r="AP165" s="2588"/>
      <c r="AQ165" s="2588"/>
      <c r="AR165" s="2588"/>
      <c r="AS165" s="2589"/>
      <c r="AT165" s="2589"/>
      <c r="AU165" s="2589"/>
      <c r="AV165" s="2589"/>
      <c r="AW165" s="2589"/>
      <c r="AX165" s="2589"/>
      <c r="AY165" s="2589"/>
      <c r="AZ165" s="2589"/>
      <c r="BA165" s="2589"/>
      <c r="BB165" s="2589"/>
      <c r="BC165" s="2589"/>
      <c r="BD165" s="2590"/>
      <c r="BE165" s="1772"/>
    </row>
    <row r="166" spans="1:57" ht="15.75" customHeight="1" thickBot="1">
      <c r="A166" s="1766"/>
      <c r="B166" s="1766"/>
      <c r="C166" s="1766"/>
      <c r="D166" s="1766"/>
      <c r="E166" s="1766"/>
      <c r="F166" s="1766"/>
      <c r="G166" s="1766"/>
      <c r="H166" s="1766"/>
      <c r="I166" s="1766"/>
      <c r="J166" s="1766"/>
      <c r="K166" s="1766"/>
      <c r="L166" s="1766"/>
      <c r="M166" s="1766"/>
      <c r="N166" s="1766"/>
      <c r="O166" s="1766"/>
      <c r="P166" s="1766"/>
      <c r="Q166" s="1766"/>
      <c r="R166" s="1766"/>
      <c r="S166" s="1766"/>
      <c r="T166" s="1766"/>
      <c r="U166" s="1766"/>
      <c r="V166" s="1766"/>
      <c r="W166" s="1766"/>
      <c r="X166" s="1766"/>
      <c r="Y166" s="1766"/>
      <c r="Z166" s="1766"/>
      <c r="AA166" s="1766"/>
      <c r="AB166" s="1766"/>
      <c r="AC166" s="1766"/>
      <c r="AD166" s="1766"/>
      <c r="AE166" s="1766"/>
      <c r="AF166" s="1766"/>
      <c r="AG166" s="1766"/>
      <c r="AH166" s="2591" t="s">
        <v>2061</v>
      </c>
      <c r="AI166" s="2592"/>
      <c r="AJ166" s="2592"/>
      <c r="AK166" s="2592"/>
      <c r="AL166" s="2592"/>
      <c r="AM166" s="2592"/>
      <c r="AN166" s="2592"/>
      <c r="AO166" s="2592"/>
      <c r="AP166" s="2592"/>
      <c r="AQ166" s="2592"/>
      <c r="AR166" s="2592"/>
      <c r="AS166" s="2593">
        <f>SUM(AS160:AX165)</f>
        <v>0</v>
      </c>
      <c r="AT166" s="2593"/>
      <c r="AU166" s="2593"/>
      <c r="AV166" s="2593"/>
      <c r="AW166" s="2593"/>
      <c r="AX166" s="2593"/>
      <c r="AY166" s="2593">
        <f>SUM(AY160:BD165)</f>
        <v>0</v>
      </c>
      <c r="AZ166" s="2593"/>
      <c r="BA166" s="2593"/>
      <c r="BB166" s="2593"/>
      <c r="BC166" s="2593"/>
      <c r="BD166" s="2594"/>
      <c r="BE166" s="1772"/>
    </row>
    <row r="167" spans="1:57" ht="15.75" customHeight="1" thickBot="1">
      <c r="A167" s="1766"/>
      <c r="B167" s="1766"/>
      <c r="C167" s="1766"/>
      <c r="D167" s="1766"/>
      <c r="E167" s="1766"/>
      <c r="F167" s="1766"/>
      <c r="G167" s="1766"/>
      <c r="H167" s="1766"/>
      <c r="I167" s="1766"/>
      <c r="J167" s="1766"/>
      <c r="K167" s="1766"/>
      <c r="L167" s="1766"/>
      <c r="M167" s="1766"/>
      <c r="N167" s="1766"/>
      <c r="O167" s="1766"/>
      <c r="P167" s="1766"/>
      <c r="Q167" s="1766"/>
      <c r="R167" s="1766"/>
      <c r="S167" s="1766"/>
      <c r="T167" s="1766"/>
      <c r="U167" s="1766"/>
      <c r="V167" s="1766"/>
      <c r="W167" s="1766"/>
      <c r="X167" s="1766"/>
      <c r="Y167" s="1766"/>
      <c r="Z167" s="1766"/>
      <c r="AA167" s="1766"/>
      <c r="AB167" s="1766"/>
      <c r="AC167" s="1766"/>
      <c r="AD167" s="1766"/>
      <c r="AE167" s="1766"/>
      <c r="AF167" s="1766"/>
      <c r="AG167" s="1766"/>
      <c r="AH167" s="1766"/>
      <c r="AI167" s="1766"/>
      <c r="AJ167" s="1766"/>
      <c r="AK167" s="1766"/>
      <c r="AL167" s="1766"/>
      <c r="AM167" s="1766"/>
      <c r="AN167" s="1766"/>
      <c r="AO167" s="1766"/>
      <c r="AP167" s="1766"/>
      <c r="AQ167" s="1766"/>
      <c r="AR167" s="1766"/>
      <c r="AS167" s="1766"/>
      <c r="AT167" s="1766"/>
      <c r="AU167" s="1766"/>
      <c r="AV167" s="1766"/>
      <c r="AW167" s="1766"/>
      <c r="AX167" s="1766"/>
      <c r="AY167" s="1766"/>
      <c r="AZ167" s="1766"/>
      <c r="BA167" s="1766"/>
      <c r="BB167" s="1766"/>
      <c r="BC167" s="1766"/>
      <c r="BD167" s="1766"/>
      <c r="BE167" s="1772"/>
    </row>
    <row r="168" spans="1:57" ht="15.75" customHeight="1">
      <c r="A168" s="1766"/>
      <c r="B168" s="2570" t="s">
        <v>2066</v>
      </c>
      <c r="C168" s="2571"/>
      <c r="D168" s="2571"/>
      <c r="E168" s="2571"/>
      <c r="F168" s="2571"/>
      <c r="G168" s="2571"/>
      <c r="H168" s="2571"/>
      <c r="I168" s="2571"/>
      <c r="J168" s="2571"/>
      <c r="K168" s="2571"/>
      <c r="L168" s="2571"/>
      <c r="M168" s="2571"/>
      <c r="N168" s="2571"/>
      <c r="O168" s="2571"/>
      <c r="P168" s="2571"/>
      <c r="Q168" s="2571"/>
      <c r="R168" s="2571"/>
      <c r="S168" s="2571"/>
      <c r="T168" s="2571"/>
      <c r="U168" s="2571"/>
      <c r="V168" s="2571"/>
      <c r="W168" s="2571"/>
      <c r="X168" s="2571"/>
      <c r="Y168" s="2571"/>
      <c r="Z168" s="2571"/>
      <c r="AA168" s="2571"/>
      <c r="AB168" s="2571"/>
      <c r="AC168" s="2571"/>
      <c r="AD168" s="2571"/>
      <c r="AE168" s="2571"/>
      <c r="AF168" s="2571"/>
      <c r="AG168" s="2571"/>
      <c r="AH168" s="2571"/>
      <c r="AI168" s="2571"/>
      <c r="AJ168" s="2571"/>
      <c r="AK168" s="2571"/>
      <c r="AL168" s="2571"/>
      <c r="AM168" s="2571"/>
      <c r="AN168" s="2571"/>
      <c r="AO168" s="2571"/>
      <c r="AP168" s="2571"/>
      <c r="AQ168" s="2571"/>
      <c r="AR168" s="2571"/>
      <c r="AS168" s="2571"/>
      <c r="AT168" s="2571"/>
      <c r="AU168" s="2571"/>
      <c r="AV168" s="2571"/>
      <c r="AW168" s="2571"/>
      <c r="AX168" s="2571"/>
      <c r="AY168" s="2571"/>
      <c r="AZ168" s="2571"/>
      <c r="BA168" s="2571"/>
      <c r="BB168" s="2571"/>
      <c r="BC168" s="2571"/>
      <c r="BD168" s="2572"/>
      <c r="BE168" s="1772"/>
    </row>
    <row r="169" spans="1:57" ht="15.75" customHeight="1">
      <c r="A169" s="1766"/>
      <c r="B169" s="2573"/>
      <c r="C169" s="2574"/>
      <c r="D169" s="2574"/>
      <c r="E169" s="2574"/>
      <c r="F169" s="2574"/>
      <c r="G169" s="2574"/>
      <c r="H169" s="2574"/>
      <c r="I169" s="2574"/>
      <c r="J169" s="2574"/>
      <c r="K169" s="2574"/>
      <c r="L169" s="2574"/>
      <c r="M169" s="2574"/>
      <c r="N169" s="2574"/>
      <c r="O169" s="2574"/>
      <c r="P169" s="2574"/>
      <c r="Q169" s="2574"/>
      <c r="R169" s="2574"/>
      <c r="S169" s="2574"/>
      <c r="T169" s="2574"/>
      <c r="U169" s="2574"/>
      <c r="V169" s="2574"/>
      <c r="W169" s="2574"/>
      <c r="X169" s="2574"/>
      <c r="Y169" s="2574"/>
      <c r="Z169" s="2574"/>
      <c r="AA169" s="2574"/>
      <c r="AB169" s="2574"/>
      <c r="AC169" s="2574"/>
      <c r="AD169" s="2574"/>
      <c r="AE169" s="2574"/>
      <c r="AF169" s="2574"/>
      <c r="AG169" s="2574"/>
      <c r="AH169" s="2574"/>
      <c r="AI169" s="2574"/>
      <c r="AJ169" s="2574"/>
      <c r="AK169" s="2574"/>
      <c r="AL169" s="2574"/>
      <c r="AM169" s="2574"/>
      <c r="AN169" s="2574"/>
      <c r="AO169" s="2574"/>
      <c r="AP169" s="2574"/>
      <c r="AQ169" s="2574"/>
      <c r="AR169" s="2574"/>
      <c r="AS169" s="2574"/>
      <c r="AT169" s="2574"/>
      <c r="AU169" s="2574"/>
      <c r="AV169" s="2574"/>
      <c r="AW169" s="2574"/>
      <c r="AX169" s="2574"/>
      <c r="AY169" s="2574"/>
      <c r="AZ169" s="2574"/>
      <c r="BA169" s="2574"/>
      <c r="BB169" s="2574"/>
      <c r="BC169" s="2574"/>
      <c r="BD169" s="2575"/>
      <c r="BE169" s="1772"/>
    </row>
    <row r="170" spans="1:57" ht="15.75" customHeight="1">
      <c r="A170" s="1766"/>
      <c r="B170" s="2576" t="s">
        <v>2067</v>
      </c>
      <c r="C170" s="2577"/>
      <c r="D170" s="2577"/>
      <c r="E170" s="2577"/>
      <c r="F170" s="2577"/>
      <c r="G170" s="2577"/>
      <c r="H170" s="2577"/>
      <c r="I170" s="2577"/>
      <c r="J170" s="2577"/>
      <c r="K170" s="2577"/>
      <c r="L170" s="2577"/>
      <c r="M170" s="2577"/>
      <c r="N170" s="2577"/>
      <c r="O170" s="2577"/>
      <c r="P170" s="2577"/>
      <c r="Q170" s="2577"/>
      <c r="R170" s="2577"/>
      <c r="S170" s="2577"/>
      <c r="T170" s="2577"/>
      <c r="U170" s="2577"/>
      <c r="V170" s="2577"/>
      <c r="W170" s="2577"/>
      <c r="X170" s="2577"/>
      <c r="Y170" s="2577"/>
      <c r="Z170" s="2577"/>
      <c r="AA170" s="2577"/>
      <c r="AB170" s="2577"/>
      <c r="AC170" s="2577"/>
      <c r="AD170" s="2577"/>
      <c r="AE170" s="2577"/>
      <c r="AF170" s="2577"/>
      <c r="AG170" s="2577"/>
      <c r="AH170" s="2577"/>
      <c r="AI170" s="2577"/>
      <c r="AJ170" s="2577"/>
      <c r="AK170" s="2577"/>
      <c r="AL170" s="2577"/>
      <c r="AM170" s="2577"/>
      <c r="AN170" s="2577"/>
      <c r="AO170" s="2577"/>
      <c r="AP170" s="2577"/>
      <c r="AQ170" s="2577"/>
      <c r="AR170" s="2577"/>
      <c r="AS170" s="2577"/>
      <c r="AT170" s="2577"/>
      <c r="AU170" s="2577"/>
      <c r="AV170" s="2577"/>
      <c r="AW170" s="2577"/>
      <c r="AX170" s="2577"/>
      <c r="AY170" s="2577"/>
      <c r="AZ170" s="2577"/>
      <c r="BA170" s="2577"/>
      <c r="BB170" s="2577"/>
      <c r="BC170" s="2577"/>
      <c r="BD170" s="2578"/>
      <c r="BE170" s="1772"/>
    </row>
    <row r="171" spans="1:57" ht="15.75" customHeight="1">
      <c r="A171" s="1766"/>
      <c r="B171" s="2576" t="s">
        <v>2068</v>
      </c>
      <c r="C171" s="2577"/>
      <c r="D171" s="2577"/>
      <c r="E171" s="2577"/>
      <c r="F171" s="2577"/>
      <c r="G171" s="2577"/>
      <c r="H171" s="2577"/>
      <c r="I171" s="2577"/>
      <c r="J171" s="2577"/>
      <c r="K171" s="2577"/>
      <c r="L171" s="2577"/>
      <c r="M171" s="2577"/>
      <c r="N171" s="2577"/>
      <c r="O171" s="2577"/>
      <c r="P171" s="2577"/>
      <c r="Q171" s="2577"/>
      <c r="R171" s="2577"/>
      <c r="S171" s="2577"/>
      <c r="T171" s="2577"/>
      <c r="U171" s="2577"/>
      <c r="V171" s="2577"/>
      <c r="W171" s="2577"/>
      <c r="X171" s="2577"/>
      <c r="Y171" s="2577"/>
      <c r="Z171" s="2577"/>
      <c r="AA171" s="2577"/>
      <c r="AB171" s="2577"/>
      <c r="AC171" s="2577"/>
      <c r="AD171" s="2577"/>
      <c r="AE171" s="2577"/>
      <c r="AF171" s="2577"/>
      <c r="AG171" s="2577"/>
      <c r="AH171" s="2577"/>
      <c r="AI171" s="2577"/>
      <c r="AJ171" s="2577"/>
      <c r="AK171" s="2577"/>
      <c r="AL171" s="2577"/>
      <c r="AM171" s="2577"/>
      <c r="AN171" s="2577"/>
      <c r="AO171" s="2577"/>
      <c r="AP171" s="2577"/>
      <c r="AQ171" s="2577"/>
      <c r="AR171" s="2577"/>
      <c r="AS171" s="2577"/>
      <c r="AT171" s="2577"/>
      <c r="AU171" s="2577"/>
      <c r="AV171" s="2577"/>
      <c r="AW171" s="2577"/>
      <c r="AX171" s="2577"/>
      <c r="AY171" s="2577"/>
      <c r="AZ171" s="2577"/>
      <c r="BA171" s="2577"/>
      <c r="BB171" s="2577"/>
      <c r="BC171" s="2577"/>
      <c r="BD171" s="2578"/>
      <c r="BE171" s="1772"/>
    </row>
    <row r="172" spans="1:57" ht="15.75" customHeight="1">
      <c r="A172" s="1766"/>
      <c r="B172" s="1765"/>
      <c r="C172" s="1766"/>
      <c r="D172" s="1766"/>
      <c r="E172" s="1766"/>
      <c r="F172" s="1766"/>
      <c r="G172" s="1766"/>
      <c r="H172" s="1766"/>
      <c r="I172" s="1766"/>
      <c r="J172" s="1766"/>
      <c r="K172" s="1766"/>
      <c r="L172" s="1766"/>
      <c r="M172" s="1766"/>
      <c r="N172" s="1766"/>
      <c r="O172" s="1766"/>
      <c r="P172" s="1766"/>
      <c r="Q172" s="1766"/>
      <c r="R172" s="1766"/>
      <c r="S172" s="1766"/>
      <c r="T172" s="1766"/>
      <c r="U172" s="1766"/>
      <c r="V172" s="1766"/>
      <c r="W172" s="1766"/>
      <c r="X172" s="1766"/>
      <c r="Y172" s="1766"/>
      <c r="Z172" s="1766"/>
      <c r="AA172" s="1766"/>
      <c r="AB172" s="1766"/>
      <c r="AC172" s="1766"/>
      <c r="AD172" s="1766"/>
      <c r="AE172" s="1766"/>
      <c r="AF172" s="1766"/>
      <c r="AG172" s="1766"/>
      <c r="AH172" s="1766"/>
      <c r="AI172" s="1766"/>
      <c r="AJ172" s="1766"/>
      <c r="AK172" s="1766"/>
      <c r="AL172" s="1766"/>
      <c r="AM172" s="1766"/>
      <c r="AN172" s="1766"/>
      <c r="AO172" s="1766"/>
      <c r="AP172" s="1766"/>
      <c r="AQ172" s="1766"/>
      <c r="AR172" s="1766"/>
      <c r="AS172" s="1766"/>
      <c r="AT172" s="1766"/>
      <c r="AU172" s="1766"/>
      <c r="AV172" s="1766"/>
      <c r="AW172" s="1766"/>
      <c r="AX172" s="1766"/>
      <c r="AY172" s="1766"/>
      <c r="AZ172" s="1766"/>
      <c r="BA172" s="1766"/>
      <c r="BB172" s="1766"/>
      <c r="BC172" s="1766"/>
      <c r="BD172" s="1772"/>
      <c r="BE172" s="1772"/>
    </row>
    <row r="173" spans="1:57" ht="15.75" customHeight="1">
      <c r="A173" s="1766"/>
      <c r="B173" s="2579" t="s">
        <v>2069</v>
      </c>
      <c r="C173" s="2580"/>
      <c r="D173" s="2580"/>
      <c r="E173" s="2580"/>
      <c r="F173" s="2580"/>
      <c r="G173" s="2580"/>
      <c r="H173" s="2580"/>
      <c r="I173" s="2580"/>
      <c r="J173" s="2580"/>
      <c r="K173" s="2580"/>
      <c r="L173" s="2580"/>
      <c r="M173" s="2580"/>
      <c r="N173" s="2580"/>
      <c r="O173" s="2580"/>
      <c r="P173" s="2580"/>
      <c r="Q173" s="2580"/>
      <c r="R173" s="2580"/>
      <c r="S173" s="2580"/>
      <c r="T173" s="2580"/>
      <c r="U173" s="2580"/>
      <c r="V173" s="2580"/>
      <c r="W173" s="2580"/>
      <c r="X173" s="2580"/>
      <c r="Y173" s="2580"/>
      <c r="Z173" s="2580"/>
      <c r="AA173" s="2580"/>
      <c r="AB173" s="2580"/>
      <c r="AC173" s="2580"/>
      <c r="AD173" s="2580"/>
      <c r="AE173" s="2580"/>
      <c r="AF173" s="2580"/>
      <c r="AG173" s="2580"/>
      <c r="AH173" s="2580"/>
      <c r="AI173" s="2580"/>
      <c r="AJ173" s="2580"/>
      <c r="AK173" s="2580"/>
      <c r="AL173" s="2580"/>
      <c r="AM173" s="2580"/>
      <c r="AN173" s="2580"/>
      <c r="AO173" s="2580"/>
      <c r="AP173" s="2580"/>
      <c r="AQ173" s="2580"/>
      <c r="AR173" s="2580"/>
      <c r="AS173" s="2580"/>
      <c r="AT173" s="2580"/>
      <c r="AU173" s="2580"/>
      <c r="AV173" s="2580"/>
      <c r="AW173" s="2580"/>
      <c r="AX173" s="2580"/>
      <c r="AY173" s="2580"/>
      <c r="AZ173" s="2580"/>
      <c r="BA173" s="2580"/>
      <c r="BB173" s="2580"/>
      <c r="BC173" s="2580"/>
      <c r="BD173" s="2581"/>
      <c r="BE173" s="1772"/>
    </row>
    <row r="174" spans="1:57" ht="15.75" customHeight="1">
      <c r="A174" s="1766"/>
      <c r="B174" s="1791"/>
      <c r="C174" s="1766"/>
      <c r="D174" s="1766"/>
      <c r="E174" s="1766"/>
      <c r="F174" s="1766"/>
      <c r="G174" s="1766"/>
      <c r="H174" s="1766"/>
      <c r="I174" s="1766"/>
      <c r="J174" s="1766"/>
      <c r="K174" s="1766"/>
      <c r="L174" s="1766"/>
      <c r="M174" s="1766"/>
      <c r="N174" s="1766"/>
      <c r="O174" s="1766"/>
      <c r="P174" s="1766"/>
      <c r="Q174" s="1766"/>
      <c r="R174" s="1766"/>
      <c r="S174" s="1766"/>
      <c r="T174" s="1766"/>
      <c r="U174" s="1766"/>
      <c r="V174" s="1766"/>
      <c r="W174" s="1766"/>
      <c r="X174" s="1766"/>
      <c r="Y174" s="1766"/>
      <c r="Z174" s="1766"/>
      <c r="AA174" s="1766"/>
      <c r="AB174" s="1766"/>
      <c r="AC174" s="1766"/>
      <c r="AD174" s="1766"/>
      <c r="AE174" s="1766"/>
      <c r="AF174" s="1766"/>
      <c r="AG174" s="1766"/>
      <c r="AH174" s="1766"/>
      <c r="AI174" s="1766"/>
      <c r="AJ174" s="1766"/>
      <c r="AK174" s="1766"/>
      <c r="AL174" s="1766"/>
      <c r="AM174" s="1766"/>
      <c r="AN174" s="1766"/>
      <c r="AO174" s="1766"/>
      <c r="AP174" s="1766"/>
      <c r="AQ174" s="1766"/>
      <c r="AR174" s="1766"/>
      <c r="AS174" s="1766"/>
      <c r="AT174" s="1766"/>
      <c r="AU174" s="1766"/>
      <c r="AV174" s="1766"/>
      <c r="AW174" s="1766"/>
      <c r="AX174" s="1766"/>
      <c r="AY174" s="1766"/>
      <c r="AZ174" s="1766"/>
      <c r="BA174" s="1766"/>
      <c r="BB174" s="1766"/>
      <c r="BC174" s="1766"/>
      <c r="BD174" s="1772"/>
      <c r="BE174" s="1772"/>
    </row>
    <row r="175" spans="1:57" ht="15.75" customHeight="1">
      <c r="A175" s="1766"/>
      <c r="B175" s="1792"/>
      <c r="C175" s="1766"/>
      <c r="D175" s="1766"/>
      <c r="E175" s="1766"/>
      <c r="F175" s="1766"/>
      <c r="G175" s="1766"/>
      <c r="H175" s="1768" t="s">
        <v>2070</v>
      </c>
      <c r="I175" s="1766"/>
      <c r="J175" s="1766"/>
      <c r="K175" s="1766"/>
      <c r="L175" s="1766"/>
      <c r="M175" s="1766"/>
      <c r="N175" s="1766"/>
      <c r="O175" s="1766"/>
      <c r="P175" s="1766"/>
      <c r="Q175" s="1766"/>
      <c r="R175" s="1766"/>
      <c r="S175" s="1766"/>
      <c r="T175" s="1766"/>
      <c r="U175" s="1766"/>
      <c r="V175" s="1766"/>
      <c r="W175" s="1766"/>
      <c r="X175" s="1766"/>
      <c r="Y175" s="1766"/>
      <c r="Z175" s="1766"/>
      <c r="AA175" s="1766"/>
      <c r="AB175" s="1766"/>
      <c r="AC175" s="1766"/>
      <c r="AD175" s="1766"/>
      <c r="AE175" s="1766"/>
      <c r="AF175" s="1766"/>
      <c r="AG175" s="1766"/>
      <c r="AH175" s="1766"/>
      <c r="AI175" s="1766"/>
      <c r="AJ175" s="1766"/>
      <c r="AK175" s="1766"/>
      <c r="AL175" s="1766"/>
      <c r="AM175" s="1766"/>
      <c r="AN175" s="1766"/>
      <c r="AO175" s="1766"/>
      <c r="AP175" s="1766"/>
      <c r="AQ175" s="1766"/>
      <c r="AR175" s="1766"/>
      <c r="AS175" s="1766"/>
      <c r="AT175" s="1766"/>
      <c r="AU175" s="1766"/>
      <c r="AV175" s="1766"/>
      <c r="AW175" s="1766"/>
      <c r="AX175" s="1766"/>
      <c r="AY175" s="1766"/>
      <c r="AZ175" s="1766"/>
      <c r="BA175" s="1766"/>
      <c r="BB175" s="1766"/>
      <c r="BC175" s="1766"/>
      <c r="BD175" s="1772"/>
      <c r="BE175" s="1772"/>
    </row>
    <row r="176" spans="1:57" ht="15.75" customHeight="1">
      <c r="A176" s="1766"/>
      <c r="B176" s="1792"/>
      <c r="C176" s="1766"/>
      <c r="D176" s="1766"/>
      <c r="E176" s="1766"/>
      <c r="F176" s="1766"/>
      <c r="G176" s="1766"/>
      <c r="H176" s="1766"/>
      <c r="I176" s="1766"/>
      <c r="J176" s="1766"/>
      <c r="K176" s="1766"/>
      <c r="L176" s="1766"/>
      <c r="M176" s="1766"/>
      <c r="N176" s="1766"/>
      <c r="O176" s="1766"/>
      <c r="P176" s="1766"/>
      <c r="Q176" s="1766"/>
      <c r="R176" s="1766"/>
      <c r="S176" s="1766"/>
      <c r="T176" s="1766"/>
      <c r="U176" s="1766"/>
      <c r="V176" s="1766"/>
      <c r="W176" s="1766"/>
      <c r="X176" s="1766"/>
      <c r="Y176" s="1766"/>
      <c r="Z176" s="1766"/>
      <c r="AA176" s="1766"/>
      <c r="AB176" s="1766"/>
      <c r="AC176" s="1766"/>
      <c r="AD176" s="1766"/>
      <c r="AE176" s="1766"/>
      <c r="AF176" s="1766"/>
      <c r="AG176" s="1766"/>
      <c r="AH176" s="1766"/>
      <c r="AI176" s="1766"/>
      <c r="AJ176" s="1766"/>
      <c r="AK176" s="1766"/>
      <c r="AL176" s="1766"/>
      <c r="AM176" s="1766"/>
      <c r="AN176" s="1766"/>
      <c r="AO176" s="1766"/>
      <c r="AP176" s="1766"/>
      <c r="AQ176" s="1766"/>
      <c r="AR176" s="1766"/>
      <c r="AS176" s="1766"/>
      <c r="AT176" s="1766"/>
      <c r="AU176" s="1766"/>
      <c r="AV176" s="1766"/>
      <c r="AW176" s="1766"/>
      <c r="AX176" s="1766"/>
      <c r="AY176" s="1766"/>
      <c r="AZ176" s="1766"/>
      <c r="BA176" s="1766"/>
      <c r="BB176" s="1766"/>
      <c r="BC176" s="1766"/>
      <c r="BD176" s="1772"/>
      <c r="BE176" s="1772"/>
    </row>
    <row r="177" spans="1:57" ht="15.75" customHeight="1">
      <c r="A177" s="1766"/>
      <c r="B177" s="1792"/>
      <c r="C177" s="1766"/>
      <c r="D177" s="1766"/>
      <c r="E177" s="1766"/>
      <c r="F177" s="1766"/>
      <c r="G177" s="1766"/>
      <c r="H177" s="2582" t="s">
        <v>2071</v>
      </c>
      <c r="I177" s="2582"/>
      <c r="J177" s="2582"/>
      <c r="K177" s="2582"/>
      <c r="L177" s="2582"/>
      <c r="M177" s="2582"/>
      <c r="N177" s="2582"/>
      <c r="O177" s="2582"/>
      <c r="P177" s="2582"/>
      <c r="Q177" s="2582"/>
      <c r="R177" s="2582"/>
      <c r="S177" s="2582"/>
      <c r="T177" s="2582"/>
      <c r="U177" s="2582"/>
      <c r="V177" s="2582"/>
      <c r="W177" s="2582"/>
      <c r="X177" s="2582"/>
      <c r="Y177" s="2582"/>
      <c r="Z177" s="2582"/>
      <c r="AA177" s="2582"/>
      <c r="AB177" s="2582"/>
      <c r="AC177" s="2582"/>
      <c r="AD177" s="2582"/>
      <c r="AE177" s="2582"/>
      <c r="AF177" s="2582"/>
      <c r="AG177" s="2582"/>
      <c r="AH177" s="2582"/>
      <c r="AI177" s="2582"/>
      <c r="AJ177" s="2582"/>
      <c r="AK177" s="2582"/>
      <c r="AL177" s="2582"/>
      <c r="AM177" s="2582"/>
      <c r="AN177" s="2582"/>
      <c r="AO177" s="2582"/>
      <c r="AP177" s="2582"/>
      <c r="AQ177" s="2582"/>
      <c r="AR177" s="2582"/>
      <c r="AS177" s="2582"/>
      <c r="AT177" s="2582"/>
      <c r="AU177" s="2582"/>
      <c r="AV177" s="2582"/>
      <c r="AW177" s="2582"/>
      <c r="AX177" s="2582"/>
      <c r="AY177" s="2582"/>
      <c r="AZ177" s="1766"/>
      <c r="BA177" s="1766"/>
      <c r="BB177" s="1766"/>
      <c r="BC177" s="1766"/>
      <c r="BD177" s="1772"/>
      <c r="BE177" s="1772"/>
    </row>
    <row r="178" spans="1:57" ht="15.75" customHeight="1">
      <c r="A178" s="1766"/>
      <c r="B178" s="1792"/>
      <c r="C178" s="1766"/>
      <c r="D178" s="1766"/>
      <c r="E178" s="1766"/>
      <c r="F178" s="1766"/>
      <c r="G178" s="1766"/>
      <c r="H178" s="1766"/>
      <c r="I178" s="1766"/>
      <c r="J178" s="1766"/>
      <c r="K178" s="1766"/>
      <c r="L178" s="1766"/>
      <c r="M178" s="1766"/>
      <c r="N178" s="1766"/>
      <c r="O178" s="1766"/>
      <c r="P178" s="1766"/>
      <c r="Q178" s="1766"/>
      <c r="R178" s="1766"/>
      <c r="S178" s="1766"/>
      <c r="T178" s="1766"/>
      <c r="U178" s="1766"/>
      <c r="V178" s="1766"/>
      <c r="W178" s="1766"/>
      <c r="X178" s="1766"/>
      <c r="Y178" s="1766"/>
      <c r="Z178" s="1766"/>
      <c r="AA178" s="1766"/>
      <c r="AB178" s="1766"/>
      <c r="AC178" s="1766"/>
      <c r="AD178" s="1766"/>
      <c r="AE178" s="1766"/>
      <c r="AF178" s="1766"/>
      <c r="AG178" s="1766"/>
      <c r="AH178" s="1766"/>
      <c r="AI178" s="1766"/>
      <c r="AJ178" s="1766"/>
      <c r="AK178" s="1766"/>
      <c r="AL178" s="1766"/>
      <c r="AM178" s="1766"/>
      <c r="AN178" s="1766"/>
      <c r="AO178" s="1766"/>
      <c r="AP178" s="1766"/>
      <c r="AQ178" s="1766"/>
      <c r="AR178" s="1766"/>
      <c r="AS178" s="1766"/>
      <c r="AT178" s="1766"/>
      <c r="AU178" s="1766"/>
      <c r="AV178" s="1766"/>
      <c r="AW178" s="1766"/>
      <c r="AX178" s="1766"/>
      <c r="AY178" s="1766"/>
      <c r="AZ178" s="1766"/>
      <c r="BA178" s="1766"/>
      <c r="BB178" s="1766"/>
      <c r="BC178" s="1766"/>
      <c r="BD178" s="1772"/>
      <c r="BE178" s="1772"/>
    </row>
    <row r="179" spans="1:57" ht="15.75" customHeight="1">
      <c r="A179" s="1766"/>
      <c r="B179" s="1792"/>
      <c r="C179" s="1766"/>
      <c r="D179" s="1766"/>
      <c r="E179" s="1766"/>
      <c r="F179" s="1766"/>
      <c r="G179" s="1766"/>
      <c r="H179" s="2567" t="s">
        <v>2446</v>
      </c>
      <c r="I179" s="2567"/>
      <c r="J179" s="2567"/>
      <c r="K179" s="2567"/>
      <c r="L179" s="2567"/>
      <c r="M179" s="2567"/>
      <c r="N179" s="2567"/>
      <c r="O179" s="2567"/>
      <c r="P179" s="2567"/>
      <c r="Q179" s="2567"/>
      <c r="R179" s="2567"/>
      <c r="S179" s="2567"/>
      <c r="T179" s="2567"/>
      <c r="U179" s="2567"/>
      <c r="V179" s="2567"/>
      <c r="W179" s="2567"/>
      <c r="X179" s="2567"/>
      <c r="Y179" s="2567"/>
      <c r="Z179" s="2567"/>
      <c r="AA179" s="2567"/>
      <c r="AB179" s="2567"/>
      <c r="AC179" s="2567"/>
      <c r="AD179" s="2567"/>
      <c r="AE179" s="2567"/>
      <c r="AF179" s="2567"/>
      <c r="AG179" s="2567"/>
      <c r="AH179" s="2567"/>
      <c r="AI179" s="2567"/>
      <c r="AJ179" s="2567"/>
      <c r="AK179" s="2567"/>
      <c r="AL179" s="2567"/>
      <c r="AM179" s="2567"/>
      <c r="AN179" s="2567"/>
      <c r="AO179" s="2567"/>
      <c r="AP179" s="2567"/>
      <c r="AQ179" s="2567"/>
      <c r="AR179" s="2567"/>
      <c r="AS179" s="2567"/>
      <c r="AT179" s="2567"/>
      <c r="AU179" s="2567"/>
      <c r="AV179" s="2567"/>
      <c r="AW179" s="2567"/>
      <c r="AX179" s="2567"/>
      <c r="AY179" s="2567"/>
      <c r="AZ179" s="2567"/>
      <c r="BA179" s="1766"/>
      <c r="BB179" s="1766"/>
      <c r="BC179" s="1766"/>
      <c r="BD179" s="1772"/>
      <c r="BE179" s="1772"/>
    </row>
    <row r="180" spans="1:57" ht="15.75" customHeight="1">
      <c r="A180" s="1766"/>
      <c r="B180" s="1765"/>
      <c r="C180" s="1766"/>
      <c r="D180" s="1766"/>
      <c r="E180" s="1766"/>
      <c r="F180" s="1766"/>
      <c r="G180" s="1766"/>
      <c r="H180" s="2567"/>
      <c r="I180" s="2567"/>
      <c r="J180" s="2567"/>
      <c r="K180" s="2567"/>
      <c r="L180" s="2567"/>
      <c r="M180" s="2567"/>
      <c r="N180" s="2567"/>
      <c r="O180" s="2567"/>
      <c r="P180" s="2567"/>
      <c r="Q180" s="2567"/>
      <c r="R180" s="2567"/>
      <c r="S180" s="2567"/>
      <c r="T180" s="2567"/>
      <c r="U180" s="2567"/>
      <c r="V180" s="2567"/>
      <c r="W180" s="2567"/>
      <c r="X180" s="2567"/>
      <c r="Y180" s="2567"/>
      <c r="Z180" s="2567"/>
      <c r="AA180" s="2567"/>
      <c r="AB180" s="2567"/>
      <c r="AC180" s="2567"/>
      <c r="AD180" s="2567"/>
      <c r="AE180" s="2567"/>
      <c r="AF180" s="2567"/>
      <c r="AG180" s="2567"/>
      <c r="AH180" s="2567"/>
      <c r="AI180" s="2567"/>
      <c r="AJ180" s="2567"/>
      <c r="AK180" s="2567"/>
      <c r="AL180" s="2567"/>
      <c r="AM180" s="2567"/>
      <c r="AN180" s="2567"/>
      <c r="AO180" s="2567"/>
      <c r="AP180" s="2567"/>
      <c r="AQ180" s="2567"/>
      <c r="AR180" s="2567"/>
      <c r="AS180" s="2567"/>
      <c r="AT180" s="2567"/>
      <c r="AU180" s="2567"/>
      <c r="AV180" s="2567"/>
      <c r="AW180" s="2567"/>
      <c r="AX180" s="2567"/>
      <c r="AY180" s="2567"/>
      <c r="AZ180" s="2567"/>
      <c r="BA180" s="1766"/>
      <c r="BB180" s="1766"/>
      <c r="BC180" s="1766"/>
      <c r="BD180" s="1772"/>
      <c r="BE180" s="1772"/>
    </row>
    <row r="181" spans="1:57" ht="15.75" customHeight="1">
      <c r="A181" s="1766"/>
      <c r="B181" s="1765"/>
      <c r="C181" s="1766"/>
      <c r="D181" s="1766"/>
      <c r="E181" s="1766"/>
      <c r="F181" s="1766"/>
      <c r="G181" s="1766"/>
      <c r="H181" s="2567"/>
      <c r="I181" s="2567"/>
      <c r="J181" s="2567"/>
      <c r="K181" s="2567"/>
      <c r="L181" s="2567"/>
      <c r="M181" s="2567"/>
      <c r="N181" s="2567"/>
      <c r="O181" s="2567"/>
      <c r="P181" s="2567"/>
      <c r="Q181" s="2567"/>
      <c r="R181" s="2567"/>
      <c r="S181" s="2567"/>
      <c r="T181" s="2567"/>
      <c r="U181" s="2567"/>
      <c r="V181" s="2567"/>
      <c r="W181" s="2567"/>
      <c r="X181" s="2567"/>
      <c r="Y181" s="2567"/>
      <c r="Z181" s="2567"/>
      <c r="AA181" s="2567"/>
      <c r="AB181" s="2567"/>
      <c r="AC181" s="2567"/>
      <c r="AD181" s="2567"/>
      <c r="AE181" s="2567"/>
      <c r="AF181" s="2567"/>
      <c r="AG181" s="2567"/>
      <c r="AH181" s="2567"/>
      <c r="AI181" s="2567"/>
      <c r="AJ181" s="2567"/>
      <c r="AK181" s="2567"/>
      <c r="AL181" s="2567"/>
      <c r="AM181" s="2567"/>
      <c r="AN181" s="2567"/>
      <c r="AO181" s="2567"/>
      <c r="AP181" s="2567"/>
      <c r="AQ181" s="2567"/>
      <c r="AR181" s="2567"/>
      <c r="AS181" s="2567"/>
      <c r="AT181" s="2567"/>
      <c r="AU181" s="2567"/>
      <c r="AV181" s="2567"/>
      <c r="AW181" s="2567"/>
      <c r="AX181" s="2567"/>
      <c r="AY181" s="2567"/>
      <c r="AZ181" s="2567"/>
      <c r="BA181" s="1766"/>
      <c r="BB181" s="1766"/>
      <c r="BC181" s="1766"/>
      <c r="BD181" s="1772"/>
      <c r="BE181" s="1772"/>
    </row>
    <row r="182" spans="1:57" ht="15.75" customHeight="1">
      <c r="A182" s="1766"/>
      <c r="B182" s="1765"/>
      <c r="C182" s="1766"/>
      <c r="D182" s="1766"/>
      <c r="E182" s="1766"/>
      <c r="F182" s="1766"/>
      <c r="G182" s="1766"/>
      <c r="H182" s="1793"/>
      <c r="I182" s="1793"/>
      <c r="J182" s="1793"/>
      <c r="K182" s="1793"/>
      <c r="L182" s="1793"/>
      <c r="M182" s="1793"/>
      <c r="N182" s="1793"/>
      <c r="O182" s="1793"/>
      <c r="P182" s="1793"/>
      <c r="Q182" s="1793"/>
      <c r="R182" s="1793"/>
      <c r="S182" s="1793"/>
      <c r="T182" s="1793"/>
      <c r="U182" s="1793"/>
      <c r="V182" s="1793"/>
      <c r="W182" s="1793"/>
      <c r="X182" s="1793"/>
      <c r="Y182" s="1793"/>
      <c r="Z182" s="1793"/>
      <c r="AA182" s="1793"/>
      <c r="AB182" s="1793"/>
      <c r="AC182" s="1793"/>
      <c r="AD182" s="1793"/>
      <c r="AE182" s="1793"/>
      <c r="AF182" s="1793"/>
      <c r="AG182" s="1793"/>
      <c r="AH182" s="1793"/>
      <c r="AI182" s="1793"/>
      <c r="AJ182" s="1793"/>
      <c r="AK182" s="1793"/>
      <c r="AL182" s="1793"/>
      <c r="AM182" s="1793"/>
      <c r="AN182" s="1793"/>
      <c r="AO182" s="1793"/>
      <c r="AP182" s="1793"/>
      <c r="AQ182" s="1793"/>
      <c r="AR182" s="1793"/>
      <c r="AS182" s="1793"/>
      <c r="AT182" s="1793"/>
      <c r="AU182" s="1793"/>
      <c r="AV182" s="1793"/>
      <c r="AW182" s="1793"/>
      <c r="AX182" s="1793"/>
      <c r="AY182" s="1793"/>
      <c r="AZ182" s="1766"/>
      <c r="BA182" s="1766"/>
      <c r="BB182" s="1766"/>
      <c r="BC182" s="1766"/>
      <c r="BD182" s="1772"/>
      <c r="BE182" s="1772"/>
    </row>
    <row r="183" spans="1:57" ht="15.75" customHeight="1">
      <c r="A183" s="1766"/>
      <c r="B183" s="1765"/>
      <c r="C183" s="1766"/>
      <c r="D183" s="1766"/>
      <c r="E183" s="1766"/>
      <c r="F183" s="1766"/>
      <c r="G183" s="1766"/>
      <c r="H183" s="1766"/>
      <c r="I183" s="1766"/>
      <c r="J183" s="1766"/>
      <c r="K183" s="1766"/>
      <c r="L183" s="1766"/>
      <c r="M183" s="1766"/>
      <c r="N183" s="1766"/>
      <c r="O183" s="1766"/>
      <c r="P183" s="1766"/>
      <c r="Q183" s="1766"/>
      <c r="R183" s="1766"/>
      <c r="S183" s="1766"/>
      <c r="T183" s="1766"/>
      <c r="U183" s="1766"/>
      <c r="V183" s="1766"/>
      <c r="W183" s="1766"/>
      <c r="X183" s="1766"/>
      <c r="Y183" s="1766"/>
      <c r="Z183" s="1766"/>
      <c r="AA183" s="1766"/>
      <c r="AB183" s="1766"/>
      <c r="AC183" s="1766"/>
      <c r="AD183" s="1766"/>
      <c r="AE183" s="1766"/>
      <c r="AF183" s="1766"/>
      <c r="AG183" s="1766"/>
      <c r="AH183" s="1766"/>
      <c r="AI183" s="1766"/>
      <c r="AJ183" s="1766"/>
      <c r="AK183" s="1766"/>
      <c r="AL183" s="1766"/>
      <c r="AM183" s="1766"/>
      <c r="AN183" s="1766"/>
      <c r="AO183" s="1766"/>
      <c r="AP183" s="1766"/>
      <c r="AQ183" s="1766"/>
      <c r="AR183" s="1766"/>
      <c r="AS183" s="1766"/>
      <c r="AT183" s="1766"/>
      <c r="AU183" s="1766"/>
      <c r="AV183" s="1766"/>
      <c r="AW183" s="1766"/>
      <c r="AX183" s="1766"/>
      <c r="AY183" s="1766"/>
      <c r="AZ183" s="1766"/>
      <c r="BA183" s="1766"/>
      <c r="BB183" s="1766"/>
      <c r="BC183" s="1766"/>
      <c r="BD183" s="1772"/>
      <c r="BE183" s="1772"/>
    </row>
    <row r="184" spans="1:57" ht="15.75" customHeight="1" thickBot="1">
      <c r="A184" s="1766"/>
      <c r="B184" s="1794"/>
      <c r="C184" s="1795"/>
      <c r="D184" s="1795"/>
      <c r="E184" s="1795"/>
      <c r="F184" s="1795"/>
      <c r="G184" s="1795"/>
      <c r="H184" s="2568" t="s">
        <v>2072</v>
      </c>
      <c r="I184" s="2568"/>
      <c r="J184" s="2568"/>
      <c r="K184" s="2568"/>
      <c r="L184" s="2568"/>
      <c r="M184" s="2568"/>
      <c r="N184" s="2568"/>
      <c r="O184" s="2568"/>
      <c r="P184" s="2568"/>
      <c r="Q184" s="2568"/>
      <c r="R184" s="2568"/>
      <c r="S184" s="2568"/>
      <c r="T184" s="2568"/>
      <c r="U184" s="2568"/>
      <c r="V184" s="2568"/>
      <c r="W184" s="2568"/>
      <c r="X184" s="2568"/>
      <c r="Y184" s="2568"/>
      <c r="Z184" s="2568"/>
      <c r="AA184" s="2568"/>
      <c r="AB184" s="2568"/>
      <c r="AC184" s="2568"/>
      <c r="AD184" s="2568"/>
      <c r="AE184" s="2568"/>
      <c r="AF184" s="2568"/>
      <c r="AG184" s="2568"/>
      <c r="AH184" s="2568"/>
      <c r="AI184" s="2568"/>
      <c r="AJ184" s="2568"/>
      <c r="AK184" s="2568"/>
      <c r="AL184" s="2568"/>
      <c r="AM184" s="2568"/>
      <c r="AN184" s="2568"/>
      <c r="AO184" s="2568"/>
      <c r="AP184" s="2568"/>
      <c r="AQ184" s="2568"/>
      <c r="AR184" s="2568"/>
      <c r="AS184" s="2568"/>
      <c r="AT184" s="2568"/>
      <c r="AU184" s="2568"/>
      <c r="AV184" s="2568"/>
      <c r="AW184" s="1795"/>
      <c r="AX184" s="1795"/>
      <c r="AY184" s="1795"/>
      <c r="AZ184" s="1795"/>
      <c r="BA184" s="1795"/>
      <c r="BB184" s="1795"/>
      <c r="BC184" s="1795"/>
      <c r="BD184" s="1796"/>
      <c r="BE184" s="1772"/>
    </row>
    <row r="185" spans="1:57" ht="15.75" customHeight="1" thickBot="1">
      <c r="A185" s="1766"/>
      <c r="B185" s="1797"/>
      <c r="C185" s="1778"/>
      <c r="D185" s="1778"/>
      <c r="E185" s="1778"/>
      <c r="F185" s="1778"/>
      <c r="G185" s="1778"/>
      <c r="H185" s="1778"/>
      <c r="I185" s="1778"/>
      <c r="J185" s="1778"/>
      <c r="K185" s="1778"/>
      <c r="L185" s="1778"/>
      <c r="M185" s="1778"/>
      <c r="N185" s="1778"/>
      <c r="O185" s="1778"/>
      <c r="P185" s="1778"/>
      <c r="Q185" s="1778"/>
      <c r="R185" s="1778"/>
      <c r="S185" s="1778"/>
      <c r="T185" s="1778"/>
      <c r="U185" s="1778"/>
      <c r="V185" s="1778"/>
      <c r="W185" s="1778"/>
      <c r="X185" s="1778"/>
      <c r="Y185" s="1778"/>
      <c r="Z185" s="1778"/>
      <c r="AA185" s="1778"/>
      <c r="AB185" s="1778"/>
      <c r="AC185" s="1778"/>
      <c r="AD185" s="1778"/>
      <c r="AE185" s="1778"/>
      <c r="AF185" s="1778"/>
      <c r="AG185" s="1778"/>
      <c r="AH185" s="1778"/>
      <c r="AI185" s="1778"/>
      <c r="AJ185" s="1778"/>
      <c r="AK185" s="1778"/>
      <c r="AL185" s="1778"/>
      <c r="AM185" s="1778"/>
      <c r="AN185" s="1778"/>
      <c r="AO185" s="1778"/>
      <c r="AP185" s="1778"/>
      <c r="AQ185" s="1778"/>
      <c r="AR185" s="1778"/>
      <c r="AS185" s="1778"/>
      <c r="AT185" s="1778"/>
      <c r="AU185" s="1778"/>
      <c r="AV185" s="1778"/>
      <c r="AW185" s="1778"/>
      <c r="AX185" s="1778"/>
      <c r="AY185" s="1778"/>
      <c r="AZ185" s="1778"/>
      <c r="BA185" s="1778"/>
      <c r="BB185" s="1778"/>
      <c r="BC185" s="1778"/>
      <c r="BD185" s="1798"/>
      <c r="BE185" s="1772"/>
    </row>
    <row r="186" spans="1:57" ht="30" customHeight="1" thickBot="1">
      <c r="A186" s="1766"/>
      <c r="B186" s="1797"/>
      <c r="C186" s="1778"/>
      <c r="D186" s="1778"/>
      <c r="E186" s="1778"/>
      <c r="F186" s="1778"/>
      <c r="G186" s="1778"/>
      <c r="H186" s="2560" t="s">
        <v>2073</v>
      </c>
      <c r="I186" s="2560"/>
      <c r="J186" s="2560"/>
      <c r="K186" s="2560"/>
      <c r="L186" s="1778"/>
      <c r="M186" s="1778"/>
      <c r="N186" s="1778"/>
      <c r="O186" s="1778"/>
      <c r="P186" s="1778"/>
      <c r="Q186" s="1778"/>
      <c r="R186" s="1778"/>
      <c r="S186" s="2569"/>
      <c r="T186" s="2562"/>
      <c r="U186" s="2562"/>
      <c r="V186" s="2562"/>
      <c r="W186" s="2562"/>
      <c r="X186" s="2562"/>
      <c r="Y186" s="2562"/>
      <c r="Z186" s="2562"/>
      <c r="AA186" s="2562"/>
      <c r="AB186" s="2562"/>
      <c r="AC186" s="2562"/>
      <c r="AD186" s="2562"/>
      <c r="AE186" s="2562"/>
      <c r="AF186" s="2562"/>
      <c r="AG186" s="2562"/>
      <c r="AH186" s="2562"/>
      <c r="AI186" s="2562"/>
      <c r="AJ186" s="2563"/>
      <c r="AK186" s="1778"/>
      <c r="AL186" s="1778"/>
      <c r="AM186" s="1778"/>
      <c r="AN186" s="1778"/>
      <c r="AO186" s="1778"/>
      <c r="AP186" s="1778"/>
      <c r="AQ186" s="1778"/>
      <c r="AR186" s="1778"/>
      <c r="AS186" s="1778"/>
      <c r="AT186" s="1778"/>
      <c r="AU186" s="1778"/>
      <c r="AV186" s="1778"/>
      <c r="AW186" s="1778"/>
      <c r="AX186" s="1778"/>
      <c r="AY186" s="1778"/>
      <c r="AZ186" s="1778"/>
      <c r="BA186" s="1778"/>
      <c r="BB186" s="1778"/>
      <c r="BC186" s="1778"/>
      <c r="BD186" s="1798"/>
      <c r="BE186" s="1772"/>
    </row>
    <row r="187" spans="1:57" ht="15.75" customHeight="1" thickBot="1">
      <c r="A187" s="1766"/>
      <c r="B187" s="1797"/>
      <c r="C187" s="1778"/>
      <c r="D187" s="1778"/>
      <c r="E187" s="1778"/>
      <c r="F187" s="1778"/>
      <c r="G187" s="1778"/>
      <c r="H187" s="1799"/>
      <c r="I187" s="1799"/>
      <c r="J187" s="1799"/>
      <c r="K187" s="1799"/>
      <c r="L187" s="1778"/>
      <c r="M187" s="1778"/>
      <c r="N187" s="1778"/>
      <c r="O187" s="1778"/>
      <c r="P187" s="1778"/>
      <c r="Q187" s="1778"/>
      <c r="R187" s="1778"/>
      <c r="S187" s="1778"/>
      <c r="T187" s="1778"/>
      <c r="U187" s="1778"/>
      <c r="V187" s="1778"/>
      <c r="W187" s="1778"/>
      <c r="X187" s="1778"/>
      <c r="Y187" s="1778"/>
      <c r="Z187" s="1778"/>
      <c r="AA187" s="1778"/>
      <c r="AB187" s="1778"/>
      <c r="AC187" s="1778"/>
      <c r="AD187" s="1778"/>
      <c r="AE187" s="1778"/>
      <c r="AF187" s="1778"/>
      <c r="AG187" s="1778"/>
      <c r="AH187" s="1778"/>
      <c r="AI187" s="1778"/>
      <c r="AJ187" s="1778"/>
      <c r="AK187" s="1778"/>
      <c r="AL187" s="1778"/>
      <c r="AM187" s="1778"/>
      <c r="AN187" s="1778"/>
      <c r="AO187" s="1778"/>
      <c r="AP187" s="1778"/>
      <c r="AQ187" s="1778"/>
      <c r="AR187" s="1778"/>
      <c r="AS187" s="1778"/>
      <c r="AT187" s="1778"/>
      <c r="AU187" s="1778"/>
      <c r="AV187" s="1778"/>
      <c r="AW187" s="1778"/>
      <c r="AX187" s="1778"/>
      <c r="AY187" s="1778"/>
      <c r="AZ187" s="1778"/>
      <c r="BA187" s="1778"/>
      <c r="BB187" s="1778"/>
      <c r="BC187" s="1778"/>
      <c r="BD187" s="1798"/>
      <c r="BE187" s="1772"/>
    </row>
    <row r="188" spans="1:57" ht="15.75" customHeight="1" thickBot="1">
      <c r="A188" s="1766"/>
      <c r="B188" s="1797"/>
      <c r="C188" s="1778"/>
      <c r="D188" s="1778"/>
      <c r="E188" s="1778"/>
      <c r="F188" s="1778"/>
      <c r="G188" s="1778"/>
      <c r="H188" s="2560" t="s">
        <v>2074</v>
      </c>
      <c r="I188" s="2560"/>
      <c r="J188" s="2560"/>
      <c r="K188" s="1799"/>
      <c r="L188" s="1778"/>
      <c r="M188" s="1778"/>
      <c r="N188" s="1778"/>
      <c r="O188" s="1778"/>
      <c r="P188" s="1778"/>
      <c r="Q188" s="1778"/>
      <c r="R188" s="1778"/>
      <c r="S188" s="2561" t="s">
        <v>2624</v>
      </c>
      <c r="T188" s="2562"/>
      <c r="U188" s="2562"/>
      <c r="V188" s="2562"/>
      <c r="W188" s="2562"/>
      <c r="X188" s="2562"/>
      <c r="Y188" s="2562"/>
      <c r="Z188" s="2562"/>
      <c r="AA188" s="2562"/>
      <c r="AB188" s="2562"/>
      <c r="AC188" s="2562"/>
      <c r="AD188" s="2562"/>
      <c r="AE188" s="2562"/>
      <c r="AF188" s="2562"/>
      <c r="AG188" s="2562"/>
      <c r="AH188" s="2562"/>
      <c r="AI188" s="2562"/>
      <c r="AJ188" s="2563"/>
      <c r="AK188" s="1778"/>
      <c r="AL188" s="1778"/>
      <c r="AM188" s="1778"/>
      <c r="AN188" s="1778"/>
      <c r="AO188" s="1778"/>
      <c r="AP188" s="1778"/>
      <c r="AQ188" s="1778"/>
      <c r="AR188" s="1778"/>
      <c r="AS188" s="1778"/>
      <c r="AT188" s="1778"/>
      <c r="AU188" s="1778"/>
      <c r="AV188" s="1778"/>
      <c r="AW188" s="1778"/>
      <c r="AX188" s="1778"/>
      <c r="AY188" s="1778"/>
      <c r="AZ188" s="1778"/>
      <c r="BA188" s="1778"/>
      <c r="BB188" s="1778"/>
      <c r="BC188" s="1778"/>
      <c r="BD188" s="1798"/>
      <c r="BE188" s="1772"/>
    </row>
    <row r="189" spans="1:57" ht="15.75" customHeight="1" thickBot="1">
      <c r="A189" s="1766"/>
      <c r="B189" s="1797"/>
      <c r="C189" s="1778"/>
      <c r="D189" s="1778"/>
      <c r="E189" s="1778"/>
      <c r="F189" s="1778"/>
      <c r="G189" s="1778"/>
      <c r="H189" s="1799"/>
      <c r="I189" s="1799"/>
      <c r="J189" s="1799"/>
      <c r="K189" s="1799"/>
      <c r="L189" s="1778"/>
      <c r="M189" s="1778"/>
      <c r="N189" s="1778"/>
      <c r="O189" s="1778"/>
      <c r="P189" s="1778"/>
      <c r="Q189" s="1778"/>
      <c r="R189" s="1778"/>
      <c r="S189" s="1778"/>
      <c r="T189" s="1778"/>
      <c r="U189" s="1778"/>
      <c r="V189" s="1778"/>
      <c r="W189" s="1778"/>
      <c r="X189" s="1778"/>
      <c r="Y189" s="1778"/>
      <c r="Z189" s="1778"/>
      <c r="AA189" s="1778"/>
      <c r="AB189" s="1778"/>
      <c r="AC189" s="1778"/>
      <c r="AD189" s="1778"/>
      <c r="AE189" s="1778"/>
      <c r="AF189" s="1778"/>
      <c r="AG189" s="1778"/>
      <c r="AH189" s="1778"/>
      <c r="AI189" s="1778"/>
      <c r="AJ189" s="1778"/>
      <c r="AK189" s="1778"/>
      <c r="AL189" s="1778"/>
      <c r="AM189" s="1778"/>
      <c r="AN189" s="1778"/>
      <c r="AO189" s="1778"/>
      <c r="AP189" s="1778"/>
      <c r="AQ189" s="1778"/>
      <c r="AR189" s="1778"/>
      <c r="AS189" s="1778"/>
      <c r="AT189" s="1778"/>
      <c r="AU189" s="1778"/>
      <c r="AV189" s="1778"/>
      <c r="AW189" s="1778"/>
      <c r="AX189" s="1778"/>
      <c r="AY189" s="1778"/>
      <c r="AZ189" s="1778"/>
      <c r="BA189" s="1778"/>
      <c r="BB189" s="1778"/>
      <c r="BC189" s="1778"/>
      <c r="BD189" s="1798"/>
      <c r="BE189" s="1772"/>
    </row>
    <row r="190" spans="1:57" ht="15.75" customHeight="1" thickBot="1">
      <c r="A190" s="1766"/>
      <c r="B190" s="1797"/>
      <c r="C190" s="1778"/>
      <c r="D190" s="1778"/>
      <c r="E190" s="1778"/>
      <c r="F190" s="1778"/>
      <c r="G190" s="1778"/>
      <c r="H190" s="2560" t="s">
        <v>462</v>
      </c>
      <c r="I190" s="2560"/>
      <c r="J190" s="1799"/>
      <c r="K190" s="1799"/>
      <c r="L190" s="1778"/>
      <c r="M190" s="1778"/>
      <c r="N190" s="1778"/>
      <c r="O190" s="1778"/>
      <c r="P190" s="1778"/>
      <c r="Q190" s="1778"/>
      <c r="R190" s="1778"/>
      <c r="S190" s="2561" t="s">
        <v>2625</v>
      </c>
      <c r="T190" s="2562"/>
      <c r="U190" s="2562"/>
      <c r="V190" s="2562"/>
      <c r="W190" s="2562"/>
      <c r="X190" s="2562"/>
      <c r="Y190" s="2562"/>
      <c r="Z190" s="2562"/>
      <c r="AA190" s="2562"/>
      <c r="AB190" s="2562"/>
      <c r="AC190" s="2562"/>
      <c r="AD190" s="2562"/>
      <c r="AE190" s="2562"/>
      <c r="AF190" s="2562"/>
      <c r="AG190" s="2562"/>
      <c r="AH190" s="2562"/>
      <c r="AI190" s="2562"/>
      <c r="AJ190" s="2563"/>
      <c r="AK190" s="1778"/>
      <c r="AL190" s="1778"/>
      <c r="AM190" s="1778"/>
      <c r="AN190" s="1778"/>
      <c r="AO190" s="1778"/>
      <c r="AP190" s="1778"/>
      <c r="AQ190" s="1778"/>
      <c r="AR190" s="1778"/>
      <c r="AS190" s="1778"/>
      <c r="AT190" s="1778"/>
      <c r="AU190" s="1778"/>
      <c r="AV190" s="1778"/>
      <c r="AW190" s="1778"/>
      <c r="AX190" s="1778"/>
      <c r="AY190" s="1778"/>
      <c r="AZ190" s="1778"/>
      <c r="BA190" s="1778"/>
      <c r="BB190" s="1778"/>
      <c r="BC190" s="1778"/>
      <c r="BD190" s="1798"/>
      <c r="BE190" s="1772"/>
    </row>
    <row r="191" spans="1:57" ht="15.75" customHeight="1" thickBot="1">
      <c r="A191" s="1766"/>
      <c r="B191" s="1797"/>
      <c r="C191" s="1778"/>
      <c r="D191" s="1778"/>
      <c r="E191" s="1778"/>
      <c r="F191" s="1778"/>
      <c r="G191" s="1778"/>
      <c r="H191" s="1778"/>
      <c r="I191" s="1778"/>
      <c r="J191" s="1778"/>
      <c r="K191" s="1778"/>
      <c r="L191" s="1778"/>
      <c r="M191" s="1778"/>
      <c r="N191" s="1778"/>
      <c r="O191" s="1778"/>
      <c r="P191" s="1778"/>
      <c r="Q191" s="1778"/>
      <c r="R191" s="1778"/>
      <c r="S191" s="1778"/>
      <c r="T191" s="1778"/>
      <c r="U191" s="1778"/>
      <c r="V191" s="1778"/>
      <c r="W191" s="1778"/>
      <c r="X191" s="1778"/>
      <c r="Y191" s="1778"/>
      <c r="Z191" s="1778"/>
      <c r="AA191" s="1778"/>
      <c r="AB191" s="1778"/>
      <c r="AC191" s="1778"/>
      <c r="AD191" s="1778"/>
      <c r="AE191" s="1778"/>
      <c r="AF191" s="1778"/>
      <c r="AG191" s="1778"/>
      <c r="AH191" s="1778"/>
      <c r="AI191" s="1778"/>
      <c r="AJ191" s="1778"/>
      <c r="AK191" s="1778"/>
      <c r="AL191" s="1778"/>
      <c r="AM191" s="1778"/>
      <c r="AN191" s="1778"/>
      <c r="AO191" s="1778"/>
      <c r="AP191" s="1778"/>
      <c r="AQ191" s="1778"/>
      <c r="AR191" s="1778"/>
      <c r="AS191" s="1778"/>
      <c r="AT191" s="1778"/>
      <c r="AU191" s="1778"/>
      <c r="AV191" s="1778"/>
      <c r="AW191" s="1778"/>
      <c r="AX191" s="1778"/>
      <c r="AY191" s="1778"/>
      <c r="AZ191" s="1778"/>
      <c r="BA191" s="1778"/>
      <c r="BB191" s="1778"/>
      <c r="BC191" s="1778"/>
      <c r="BD191" s="1798"/>
      <c r="BE191" s="1772"/>
    </row>
    <row r="192" spans="1:57" ht="15.75" customHeight="1" thickBot="1">
      <c r="A192" s="1766"/>
      <c r="B192" s="1797"/>
      <c r="C192" s="1778"/>
      <c r="D192" s="1778"/>
      <c r="E192" s="1778"/>
      <c r="F192" s="1778"/>
      <c r="G192" s="1778"/>
      <c r="H192" s="2564" t="s">
        <v>2075</v>
      </c>
      <c r="I192" s="2564"/>
      <c r="J192" s="2564"/>
      <c r="K192" s="2564"/>
      <c r="L192" s="2564"/>
      <c r="M192" s="2564"/>
      <c r="N192" s="2564"/>
      <c r="O192" s="2564"/>
      <c r="P192" s="1778"/>
      <c r="Q192" s="1778"/>
      <c r="R192" s="1778"/>
      <c r="S192" s="2561" t="s">
        <v>2626</v>
      </c>
      <c r="T192" s="2562"/>
      <c r="U192" s="2562"/>
      <c r="V192" s="2562"/>
      <c r="W192" s="2562"/>
      <c r="X192" s="2562"/>
      <c r="Y192" s="2562"/>
      <c r="Z192" s="2562"/>
      <c r="AA192" s="2562"/>
      <c r="AB192" s="2562"/>
      <c r="AC192" s="2562"/>
      <c r="AD192" s="2562"/>
      <c r="AE192" s="2562"/>
      <c r="AF192" s="2562"/>
      <c r="AG192" s="2562"/>
      <c r="AH192" s="2562"/>
      <c r="AI192" s="2562"/>
      <c r="AJ192" s="2563"/>
      <c r="AK192" s="1778"/>
      <c r="AL192" s="1778"/>
      <c r="AM192" s="1778"/>
      <c r="AN192" s="1778"/>
      <c r="AO192" s="1778"/>
      <c r="AP192" s="1778"/>
      <c r="AQ192" s="1778"/>
      <c r="AR192" s="1778"/>
      <c r="AS192" s="1778"/>
      <c r="AT192" s="1778"/>
      <c r="AU192" s="1778"/>
      <c r="AV192" s="1778"/>
      <c r="AW192" s="1778"/>
      <c r="AX192" s="1778"/>
      <c r="AY192" s="1778"/>
      <c r="AZ192" s="1778"/>
      <c r="BA192" s="1778"/>
      <c r="BB192" s="1778"/>
      <c r="BC192" s="1778"/>
      <c r="BD192" s="1798"/>
      <c r="BE192" s="1772"/>
    </row>
    <row r="193" spans="1:57" ht="15.75" customHeight="1" thickBot="1">
      <c r="A193" s="1766"/>
      <c r="B193" s="1797"/>
      <c r="C193" s="1778"/>
      <c r="D193" s="1778"/>
      <c r="E193" s="1778"/>
      <c r="F193" s="1778"/>
      <c r="G193" s="1778"/>
      <c r="H193" s="1778"/>
      <c r="I193" s="1778"/>
      <c r="J193" s="1778"/>
      <c r="K193" s="1778"/>
      <c r="L193" s="1778"/>
      <c r="M193" s="1778"/>
      <c r="N193" s="1778"/>
      <c r="O193" s="1778"/>
      <c r="P193" s="1778"/>
      <c r="Q193" s="1778"/>
      <c r="R193" s="1778"/>
      <c r="S193" s="1778"/>
      <c r="T193" s="1778"/>
      <c r="U193" s="1778"/>
      <c r="V193" s="1778"/>
      <c r="W193" s="1778"/>
      <c r="X193" s="1778"/>
      <c r="Y193" s="1778"/>
      <c r="Z193" s="1778"/>
      <c r="AA193" s="1778"/>
      <c r="AB193" s="1778"/>
      <c r="AC193" s="1778"/>
      <c r="AD193" s="1778"/>
      <c r="AE193" s="1778"/>
      <c r="AF193" s="1778"/>
      <c r="AG193" s="1778"/>
      <c r="AH193" s="1778"/>
      <c r="AI193" s="1778"/>
      <c r="AJ193" s="1778"/>
      <c r="AK193" s="1778"/>
      <c r="AL193" s="1778"/>
      <c r="AM193" s="1778"/>
      <c r="AN193" s="1778"/>
      <c r="AO193" s="1778"/>
      <c r="AP193" s="1778"/>
      <c r="AQ193" s="1778"/>
      <c r="AR193" s="1778"/>
      <c r="AS193" s="1778"/>
      <c r="AT193" s="1778"/>
      <c r="AU193" s="1778"/>
      <c r="AV193" s="1778"/>
      <c r="AW193" s="1778"/>
      <c r="AX193" s="1778"/>
      <c r="AY193" s="1778"/>
      <c r="AZ193" s="1778"/>
      <c r="BA193" s="1778"/>
      <c r="BB193" s="1778"/>
      <c r="BC193" s="1778"/>
      <c r="BD193" s="1798"/>
      <c r="BE193" s="1772"/>
    </row>
    <row r="194" spans="1:57" ht="15.75" customHeight="1" thickBot="1">
      <c r="A194" s="1766"/>
      <c r="B194" s="1797"/>
      <c r="C194" s="1778"/>
      <c r="D194" s="1778"/>
      <c r="E194" s="1778"/>
      <c r="F194" s="1778"/>
      <c r="G194" s="1778"/>
      <c r="H194" s="2565" t="s">
        <v>2076</v>
      </c>
      <c r="I194" s="2565"/>
      <c r="J194" s="1778"/>
      <c r="K194" s="1778"/>
      <c r="L194" s="1778"/>
      <c r="M194" s="1778"/>
      <c r="N194" s="1778"/>
      <c r="O194" s="1778"/>
      <c r="P194" s="1778"/>
      <c r="Q194" s="1778"/>
      <c r="R194" s="1778"/>
      <c r="S194" s="2566"/>
      <c r="T194" s="2562"/>
      <c r="U194" s="2562"/>
      <c r="V194" s="2562"/>
      <c r="W194" s="2562"/>
      <c r="X194" s="2562"/>
      <c r="Y194" s="2562"/>
      <c r="Z194" s="2562"/>
      <c r="AA194" s="2562"/>
      <c r="AB194" s="2562"/>
      <c r="AC194" s="2562"/>
      <c r="AD194" s="2562"/>
      <c r="AE194" s="2562"/>
      <c r="AF194" s="2562"/>
      <c r="AG194" s="2562"/>
      <c r="AH194" s="2562"/>
      <c r="AI194" s="2562"/>
      <c r="AJ194" s="2563"/>
      <c r="AK194" s="1778"/>
      <c r="AL194" s="1778"/>
      <c r="AM194" s="1778"/>
      <c r="AN194" s="1778"/>
      <c r="AO194" s="1778"/>
      <c r="AP194" s="1778"/>
      <c r="AQ194" s="1778"/>
      <c r="AR194" s="1778"/>
      <c r="AS194" s="1778"/>
      <c r="AT194" s="1778"/>
      <c r="AU194" s="1778"/>
      <c r="AV194" s="1778"/>
      <c r="AW194" s="1778"/>
      <c r="AX194" s="1778"/>
      <c r="AY194" s="1778"/>
      <c r="AZ194" s="1778"/>
      <c r="BA194" s="1778"/>
      <c r="BB194" s="1778"/>
      <c r="BC194" s="1778"/>
      <c r="BD194" s="1798"/>
      <c r="BE194" s="1772"/>
    </row>
    <row r="195" spans="1:57" ht="15.75" customHeight="1" thickBot="1">
      <c r="A195" s="1766"/>
      <c r="B195" s="1800"/>
      <c r="C195" s="1801"/>
      <c r="D195" s="1801"/>
      <c r="E195" s="1801"/>
      <c r="F195" s="1801"/>
      <c r="G195" s="1801"/>
      <c r="H195" s="1801"/>
      <c r="I195" s="1801"/>
      <c r="J195" s="1801"/>
      <c r="K195" s="1801"/>
      <c r="L195" s="1801"/>
      <c r="M195" s="1801"/>
      <c r="N195" s="1801"/>
      <c r="O195" s="1801"/>
      <c r="P195" s="1801"/>
      <c r="Q195" s="1801"/>
      <c r="R195" s="1801"/>
      <c r="S195" s="1801"/>
      <c r="T195" s="1801"/>
      <c r="U195" s="1801"/>
      <c r="V195" s="1801"/>
      <c r="W195" s="1801"/>
      <c r="X195" s="1801"/>
      <c r="Y195" s="1801"/>
      <c r="Z195" s="1801"/>
      <c r="AA195" s="1801"/>
      <c r="AB195" s="1801"/>
      <c r="AC195" s="1801"/>
      <c r="AD195" s="1801"/>
      <c r="AE195" s="1801"/>
      <c r="AF195" s="1801"/>
      <c r="AG195" s="1801"/>
      <c r="AH195" s="1801"/>
      <c r="AI195" s="1801"/>
      <c r="AJ195" s="1801"/>
      <c r="AK195" s="1801"/>
      <c r="AL195" s="1801"/>
      <c r="AM195" s="1801"/>
      <c r="AN195" s="1801"/>
      <c r="AO195" s="1801"/>
      <c r="AP195" s="1801"/>
      <c r="AQ195" s="1801"/>
      <c r="AR195" s="1801"/>
      <c r="AS195" s="1801"/>
      <c r="AT195" s="1801"/>
      <c r="AU195" s="1801"/>
      <c r="AV195" s="1801"/>
      <c r="AW195" s="1801"/>
      <c r="AX195" s="1801"/>
      <c r="AY195" s="1801"/>
      <c r="AZ195" s="1801"/>
      <c r="BA195" s="1801"/>
      <c r="BB195" s="1801"/>
      <c r="BC195" s="1801"/>
      <c r="BD195" s="1802"/>
      <c r="BE195" s="1772"/>
    </row>
    <row r="196" spans="1:57" ht="15.75" customHeight="1" thickBot="1">
      <c r="A196" s="1795"/>
      <c r="B196" s="1795"/>
      <c r="C196" s="1795"/>
      <c r="D196" s="1795"/>
      <c r="E196" s="1795"/>
      <c r="F196" s="1795"/>
      <c r="G196" s="1795"/>
      <c r="H196" s="1795"/>
      <c r="I196" s="1795"/>
      <c r="J196" s="1795"/>
      <c r="K196" s="1795"/>
      <c r="L196" s="1795"/>
      <c r="M196" s="1795"/>
      <c r="N196" s="1795"/>
      <c r="O196" s="1795"/>
      <c r="P196" s="1795"/>
      <c r="Q196" s="1795"/>
      <c r="R196" s="1795"/>
      <c r="S196" s="1795"/>
      <c r="T196" s="1795"/>
      <c r="U196" s="1795"/>
      <c r="V196" s="1795"/>
      <c r="W196" s="1795"/>
      <c r="X196" s="1795"/>
      <c r="Y196" s="1795"/>
      <c r="Z196" s="1795"/>
      <c r="AA196" s="1795"/>
      <c r="AB196" s="1795"/>
      <c r="AC196" s="1795"/>
      <c r="AD196" s="1795"/>
      <c r="AE196" s="1795"/>
      <c r="AF196" s="1795"/>
      <c r="AG196" s="1795"/>
      <c r="AH196" s="1795"/>
      <c r="AI196" s="1795"/>
      <c r="AJ196" s="1795"/>
      <c r="AK196" s="1795"/>
      <c r="AL196" s="1795"/>
      <c r="AM196" s="1795"/>
      <c r="AN196" s="1795"/>
      <c r="AO196" s="1795"/>
      <c r="AP196" s="1795"/>
      <c r="AQ196" s="1795"/>
      <c r="AR196" s="1795"/>
      <c r="AS196" s="1795"/>
      <c r="AT196" s="1795"/>
      <c r="AU196" s="1795"/>
      <c r="AV196" s="1795"/>
      <c r="AW196" s="1795"/>
      <c r="AX196" s="1795"/>
      <c r="AY196" s="1795"/>
      <c r="AZ196" s="1795"/>
      <c r="BA196" s="1795"/>
      <c r="BB196" s="1795"/>
      <c r="BC196" s="1795"/>
      <c r="BD196" s="1795"/>
      <c r="BE196" s="1796"/>
    </row>
    <row r="199" spans="1:57" ht="15.75" customHeight="1">
      <c r="D199" s="1764"/>
    </row>
    <row r="200" spans="1:57" ht="15.75" customHeight="1">
      <c r="D200" s="1803"/>
    </row>
    <row r="201" spans="1:57" ht="15.75" customHeight="1">
      <c r="D201" s="1764"/>
    </row>
    <row r="202" spans="1:57" ht="15.75" customHeight="1">
      <c r="D202" s="1764"/>
    </row>
    <row r="203" spans="1:57" ht="15.75" customHeight="1">
      <c r="R203" s="1763" t="s">
        <v>255</v>
      </c>
    </row>
  </sheetData>
  <sheetProtection algorithmName="SHA-512" hashValue="ZacN5xhGsZakKz79/ZsS22tsyq/1BHmXJlRThS1dmgGljG/xVtrSS4Q+S7WhRX8jFpGUEfxCnhgukw/1aTsuZA==" saltValue="KtoeUKWmauvr1eTy4Tf02g=="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4"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3" zoomScaleNormal="100" zoomScaleSheetLayoutView="100" workbookViewId="0">
      <selection activeCell="P665" sqref="P665"/>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922"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4531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049" t="s">
        <v>1551</v>
      </c>
      <c r="B1" s="3049"/>
      <c r="C1" s="3049"/>
      <c r="D1" s="3049"/>
      <c r="E1" s="3049"/>
      <c r="F1" s="3049"/>
      <c r="G1" s="3049"/>
      <c r="H1" s="3049"/>
      <c r="I1" s="3049"/>
      <c r="J1" s="3049"/>
      <c r="K1" s="3049"/>
      <c r="L1" s="3049"/>
      <c r="M1" s="3049"/>
      <c r="N1" s="3049"/>
      <c r="O1" s="3049"/>
      <c r="P1" s="3049"/>
      <c r="Q1" s="3049"/>
      <c r="R1" s="3049"/>
      <c r="S1" s="3049"/>
      <c r="T1" s="3049"/>
      <c r="U1" s="3049"/>
      <c r="V1" s="3049"/>
      <c r="W1" s="3049"/>
      <c r="X1" s="3049"/>
      <c r="Y1" s="3049"/>
      <c r="Z1" s="3049"/>
      <c r="AA1" s="3049"/>
      <c r="AB1" s="3049"/>
      <c r="AC1" s="3049"/>
      <c r="AD1" s="3049"/>
      <c r="AE1" s="3049"/>
      <c r="AF1" s="3049"/>
      <c r="AG1" s="3049"/>
      <c r="AH1" s="3049"/>
      <c r="AI1" s="3049"/>
      <c r="AJ1" s="3049"/>
      <c r="AK1" s="3049"/>
      <c r="AL1" s="3049"/>
      <c r="AM1" s="3049"/>
    </row>
    <row r="2" spans="1:42" s="924" customFormat="1" ht="12.75" customHeight="1" thickBot="1">
      <c r="A2" s="3050"/>
      <c r="B2" s="3050"/>
      <c r="C2" s="3050"/>
      <c r="D2" s="3050"/>
      <c r="E2" s="3050"/>
      <c r="F2" s="3050"/>
      <c r="G2" s="3050"/>
      <c r="H2" s="3050"/>
      <c r="I2" s="3050"/>
      <c r="J2" s="3050"/>
      <c r="K2" s="3050"/>
      <c r="L2" s="3050"/>
      <c r="M2" s="3050"/>
      <c r="N2" s="3050"/>
      <c r="O2" s="3050"/>
      <c r="P2" s="3050"/>
      <c r="Q2" s="3050"/>
      <c r="R2" s="3050"/>
      <c r="S2" s="3050"/>
      <c r="T2" s="3050"/>
      <c r="U2" s="3050"/>
      <c r="V2" s="3050"/>
      <c r="W2" s="3050"/>
      <c r="X2" s="3050"/>
      <c r="Y2" s="3050"/>
      <c r="Z2" s="3050"/>
      <c r="AA2" s="3050"/>
      <c r="AB2" s="3050"/>
      <c r="AC2" s="3050"/>
      <c r="AD2" s="3050"/>
      <c r="AE2" s="3050"/>
      <c r="AF2" s="3050"/>
      <c r="AG2" s="3050"/>
      <c r="AH2" s="3050"/>
      <c r="AI2" s="3050"/>
      <c r="AJ2" s="3050"/>
      <c r="AK2" s="3050"/>
      <c r="AL2" s="3050"/>
      <c r="AM2" s="3050"/>
      <c r="AN2" s="923"/>
    </row>
    <row r="3" spans="1:42" s="927" customFormat="1" ht="12.75" customHeight="1" thickTop="1">
      <c r="A3" s="925"/>
      <c r="B3" s="925"/>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c r="AN3" s="926"/>
    </row>
    <row r="4" spans="1:42" s="927" customFormat="1" ht="12.75" customHeight="1">
      <c r="A4" s="928" t="s">
        <v>1552</v>
      </c>
      <c r="B4" s="929" t="s">
        <v>1553</v>
      </c>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26"/>
    </row>
    <row r="5" spans="1:42" s="927" customFormat="1" ht="12.75" customHeight="1" thickBot="1">
      <c r="A5" s="928"/>
      <c r="B5" s="929"/>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c r="AF5" s="930"/>
      <c r="AG5" s="930"/>
      <c r="AH5" s="930"/>
      <c r="AI5" s="930"/>
      <c r="AJ5" s="930"/>
      <c r="AK5" s="930"/>
      <c r="AL5" s="930"/>
      <c r="AM5" s="930"/>
      <c r="AN5" s="926"/>
    </row>
    <row r="6" spans="1:42" s="927" customFormat="1" ht="12.75" customHeight="1" thickTop="1">
      <c r="A6" s="931"/>
      <c r="B6" s="931"/>
      <c r="C6" s="931"/>
      <c r="D6" s="931"/>
      <c r="E6" s="931"/>
      <c r="F6" s="931"/>
      <c r="G6" s="931"/>
      <c r="H6" s="931"/>
      <c r="I6" s="931"/>
      <c r="J6" s="931"/>
      <c r="K6" s="931"/>
      <c r="L6" s="931"/>
      <c r="M6" s="931"/>
      <c r="N6" s="931"/>
      <c r="O6" s="931"/>
      <c r="P6" s="931"/>
      <c r="Q6" s="931"/>
      <c r="R6" s="931"/>
      <c r="S6" s="931"/>
      <c r="T6" s="931"/>
      <c r="U6" s="931"/>
      <c r="V6" s="931"/>
      <c r="W6" s="931"/>
      <c r="X6" s="931"/>
      <c r="Y6" s="931"/>
      <c r="Z6" s="931"/>
      <c r="AA6" s="931"/>
      <c r="AB6" s="931"/>
      <c r="AC6" s="931"/>
      <c r="AD6" s="931"/>
      <c r="AE6" s="931"/>
      <c r="AF6" s="931"/>
      <c r="AG6" s="931"/>
      <c r="AH6" s="931"/>
      <c r="AI6" s="931"/>
      <c r="AJ6" s="931"/>
      <c r="AK6" s="931"/>
      <c r="AL6" s="931"/>
      <c r="AM6" s="932"/>
      <c r="AN6" s="926"/>
    </row>
    <row r="7" spans="1:42" s="927" customFormat="1" ht="12.75" customHeight="1">
      <c r="A7" s="928" t="s">
        <v>1554</v>
      </c>
      <c r="B7" s="929" t="s">
        <v>1555</v>
      </c>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3038" t="s">
        <v>1556</v>
      </c>
      <c r="AF7" s="3038"/>
      <c r="AG7" s="3038"/>
      <c r="AH7" s="3038"/>
      <c r="AI7" s="3038"/>
      <c r="AJ7" s="3038"/>
      <c r="AK7" s="3038"/>
      <c r="AL7" s="930"/>
      <c r="AM7" s="930"/>
      <c r="AN7" s="926"/>
    </row>
    <row r="8" spans="1:42" s="927" customFormat="1" ht="12.75" customHeight="1">
      <c r="A8" s="928"/>
      <c r="B8" s="929" t="s">
        <v>2145</v>
      </c>
      <c r="C8" s="929"/>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c r="AD8" s="929"/>
      <c r="AE8" s="933"/>
      <c r="AF8" s="933"/>
      <c r="AG8" s="933"/>
      <c r="AH8" s="933"/>
      <c r="AI8" s="933"/>
      <c r="AJ8" s="933"/>
      <c r="AK8" s="933"/>
      <c r="AL8" s="930"/>
      <c r="AM8" s="930"/>
      <c r="AN8" s="926"/>
    </row>
    <row r="9" spans="1:42" s="927" customFormat="1" ht="12.75" customHeight="1">
      <c r="A9" s="928"/>
      <c r="B9" s="929"/>
      <c r="C9" s="929"/>
      <c r="D9" s="929"/>
      <c r="E9" s="929"/>
      <c r="F9" s="929"/>
      <c r="G9" s="929"/>
      <c r="H9" s="929"/>
      <c r="I9" s="929"/>
      <c r="J9" s="929"/>
      <c r="K9" s="929"/>
      <c r="L9" s="929"/>
      <c r="M9" s="929"/>
      <c r="N9" s="929"/>
      <c r="O9" s="929"/>
      <c r="P9" s="929"/>
      <c r="Q9" s="929"/>
      <c r="R9" s="929"/>
      <c r="S9" s="929"/>
      <c r="T9" s="929"/>
      <c r="U9" s="929"/>
      <c r="V9" s="929"/>
      <c r="W9" s="929"/>
      <c r="X9" s="929"/>
      <c r="Y9" s="929"/>
      <c r="Z9" s="929"/>
      <c r="AA9" s="929"/>
      <c r="AB9" s="929"/>
      <c r="AC9" s="929"/>
      <c r="AD9" s="929"/>
      <c r="AE9" s="933"/>
      <c r="AF9" s="933"/>
      <c r="AG9" s="933"/>
      <c r="AH9" s="933"/>
      <c r="AI9" s="933"/>
      <c r="AJ9" s="933"/>
      <c r="AK9" s="933"/>
      <c r="AL9" s="930"/>
      <c r="AM9" s="930"/>
      <c r="AN9" s="926"/>
    </row>
    <row r="10" spans="1:42" s="927" customFormat="1" ht="12.75" customHeight="1">
      <c r="A10" s="930"/>
      <c r="B10" s="934" t="s">
        <v>1557</v>
      </c>
      <c r="C10" s="930"/>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c r="AL10" s="930"/>
      <c r="AM10" s="930"/>
      <c r="AN10" s="926"/>
      <c r="AO10" s="921"/>
      <c r="AP10" s="935"/>
    </row>
    <row r="11" spans="1:42" s="927" customFormat="1" ht="12.75" customHeight="1">
      <c r="A11" s="930"/>
      <c r="B11" s="936"/>
      <c r="C11" s="930"/>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c r="AL11" s="930"/>
      <c r="AM11" s="930"/>
      <c r="AN11" s="926"/>
      <c r="AP11" s="51"/>
    </row>
    <row r="12" spans="1:42" s="927" customFormat="1" ht="12.75" customHeight="1">
      <c r="A12" s="930"/>
      <c r="B12" s="3022" t="s">
        <v>624</v>
      </c>
      <c r="C12" s="3022"/>
      <c r="D12" s="937"/>
      <c r="E12" s="938" t="s">
        <v>1558</v>
      </c>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3051"/>
      <c r="AH12" s="3051"/>
      <c r="AI12" s="3051"/>
      <c r="AJ12" s="3052"/>
      <c r="AK12" s="930"/>
      <c r="AL12" s="930"/>
      <c r="AM12" s="930"/>
      <c r="AN12" s="926"/>
      <c r="AO12" s="940">
        <f>IF($B12="yes",20,0)</f>
        <v>0</v>
      </c>
      <c r="AP12" s="51"/>
    </row>
    <row r="13" spans="1:42" s="927" customFormat="1" ht="12.75" customHeight="1">
      <c r="A13" s="930"/>
      <c r="B13" s="930"/>
      <c r="C13" s="930"/>
      <c r="D13" s="51"/>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c r="AL13" s="930"/>
      <c r="AM13" s="930"/>
      <c r="AN13" s="926"/>
      <c r="AO13" s="940">
        <f>IF(AND($B15="yes",E19&gt;0),20,0)</f>
        <v>0</v>
      </c>
      <c r="AP13" s="51"/>
    </row>
    <row r="14" spans="1:42" s="927" customFormat="1" ht="12.75" customHeight="1">
      <c r="A14" s="930"/>
      <c r="B14" s="930"/>
      <c r="C14" s="930"/>
      <c r="D14" s="94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c r="AL14" s="930"/>
      <c r="AM14" s="930"/>
      <c r="AN14" s="926"/>
      <c r="AO14" s="940">
        <f>IF($B21="yes",20,0)</f>
        <v>0</v>
      </c>
      <c r="AP14" s="21"/>
    </row>
    <row r="15" spans="1:42" s="927" customFormat="1" ht="12.75" customHeight="1">
      <c r="A15" s="930"/>
      <c r="B15" s="3022" t="s">
        <v>624</v>
      </c>
      <c r="C15" s="3022"/>
      <c r="D15" s="937"/>
      <c r="E15" s="3039" t="s">
        <v>1559</v>
      </c>
      <c r="F15" s="3040"/>
      <c r="G15" s="3040"/>
      <c r="H15" s="3040"/>
      <c r="I15" s="3040"/>
      <c r="J15" s="3040"/>
      <c r="K15" s="3040"/>
      <c r="L15" s="3040"/>
      <c r="M15" s="3040"/>
      <c r="N15" s="3040"/>
      <c r="O15" s="3040"/>
      <c r="P15" s="3040"/>
      <c r="Q15" s="3040"/>
      <c r="R15" s="3040"/>
      <c r="S15" s="3040"/>
      <c r="T15" s="3040"/>
      <c r="U15" s="3040"/>
      <c r="V15" s="3040"/>
      <c r="W15" s="3040"/>
      <c r="X15" s="3040"/>
      <c r="Y15" s="3040"/>
      <c r="Z15" s="3040"/>
      <c r="AA15" s="3040"/>
      <c r="AB15" s="3040"/>
      <c r="AC15" s="3040"/>
      <c r="AD15" s="3040"/>
      <c r="AE15" s="3040"/>
      <c r="AF15" s="3040"/>
      <c r="AG15" s="3040"/>
      <c r="AH15" s="3040"/>
      <c r="AI15" s="3040"/>
      <c r="AJ15" s="3041"/>
      <c r="AK15" s="930"/>
      <c r="AL15" s="930"/>
      <c r="AM15" s="930"/>
      <c r="AN15" s="926"/>
      <c r="AO15" s="940">
        <f>IF($B24="yes",20,0)</f>
        <v>0</v>
      </c>
      <c r="AP15" s="51"/>
    </row>
    <row r="16" spans="1:42" s="927" customFormat="1" ht="12.75" customHeight="1">
      <c r="A16" s="930"/>
      <c r="B16" s="930"/>
      <c r="C16" s="930"/>
      <c r="D16" s="941"/>
      <c r="E16" s="3042"/>
      <c r="F16" s="3043"/>
      <c r="G16" s="3043"/>
      <c r="H16" s="3043"/>
      <c r="I16" s="3043"/>
      <c r="J16" s="3043"/>
      <c r="K16" s="3043"/>
      <c r="L16" s="3043"/>
      <c r="M16" s="3043"/>
      <c r="N16" s="3043"/>
      <c r="O16" s="3043"/>
      <c r="P16" s="3043"/>
      <c r="Q16" s="3043"/>
      <c r="R16" s="3043"/>
      <c r="S16" s="3043"/>
      <c r="T16" s="3043"/>
      <c r="U16" s="3043"/>
      <c r="V16" s="3043"/>
      <c r="W16" s="3043"/>
      <c r="X16" s="3043"/>
      <c r="Y16" s="3043"/>
      <c r="Z16" s="3043"/>
      <c r="AA16" s="3043"/>
      <c r="AB16" s="3043"/>
      <c r="AC16" s="3043"/>
      <c r="AD16" s="3043"/>
      <c r="AE16" s="3043"/>
      <c r="AF16" s="3043"/>
      <c r="AG16" s="3043"/>
      <c r="AH16" s="3043"/>
      <c r="AI16" s="3043"/>
      <c r="AJ16" s="3044"/>
      <c r="AK16" s="930"/>
      <c r="AL16" s="930"/>
      <c r="AM16" s="930"/>
      <c r="AN16" s="926"/>
      <c r="AO16" s="927">
        <f>IF(SUM(AO12:AO15)&gt;20,20,(SUM(AO12:AO15)))</f>
        <v>0</v>
      </c>
      <c r="AP16" s="927" t="s">
        <v>1560</v>
      </c>
    </row>
    <row r="17" spans="1:42" s="927" customFormat="1" ht="12.75" customHeight="1">
      <c r="A17" s="930"/>
      <c r="B17" s="930"/>
      <c r="C17" s="930"/>
      <c r="D17" s="941"/>
      <c r="E17" s="3042"/>
      <c r="F17" s="3043"/>
      <c r="G17" s="3043"/>
      <c r="H17" s="3043"/>
      <c r="I17" s="3043"/>
      <c r="J17" s="3043"/>
      <c r="K17" s="3043"/>
      <c r="L17" s="3043"/>
      <c r="M17" s="3043"/>
      <c r="N17" s="3043"/>
      <c r="O17" s="3043"/>
      <c r="P17" s="3043"/>
      <c r="Q17" s="3043"/>
      <c r="R17" s="3043"/>
      <c r="S17" s="3043"/>
      <c r="T17" s="3043"/>
      <c r="U17" s="3043"/>
      <c r="V17" s="3043"/>
      <c r="W17" s="3043"/>
      <c r="X17" s="3043"/>
      <c r="Y17" s="3043"/>
      <c r="Z17" s="3043"/>
      <c r="AA17" s="3043"/>
      <c r="AB17" s="3043"/>
      <c r="AC17" s="3043"/>
      <c r="AD17" s="3043"/>
      <c r="AE17" s="3043"/>
      <c r="AF17" s="3043"/>
      <c r="AG17" s="3043"/>
      <c r="AH17" s="3043"/>
      <c r="AI17" s="3043"/>
      <c r="AJ17" s="3044"/>
      <c r="AK17" s="930"/>
      <c r="AL17" s="930"/>
      <c r="AM17" s="930"/>
      <c r="AN17" s="926"/>
    </row>
    <row r="18" spans="1:42" s="927" customFormat="1" ht="12.75" customHeight="1">
      <c r="A18" s="930"/>
      <c r="B18" s="930"/>
      <c r="C18" s="930"/>
      <c r="D18" s="941"/>
      <c r="E18" s="942" t="s">
        <v>1561</v>
      </c>
      <c r="F18" s="943"/>
      <c r="G18" s="943"/>
      <c r="H18" s="943"/>
      <c r="I18" s="943"/>
      <c r="J18" s="943"/>
      <c r="K18" s="943"/>
      <c r="L18" s="943"/>
      <c r="M18" s="943"/>
      <c r="N18" s="943"/>
      <c r="O18" s="943"/>
      <c r="P18" s="943"/>
      <c r="Q18" s="943"/>
      <c r="R18" s="943"/>
      <c r="S18" s="943"/>
      <c r="T18" s="943"/>
      <c r="U18" s="943"/>
      <c r="V18" s="943"/>
      <c r="W18" s="943"/>
      <c r="X18" s="943"/>
      <c r="Y18" s="943"/>
      <c r="Z18" s="943"/>
      <c r="AA18" s="943"/>
      <c r="AB18" s="943"/>
      <c r="AC18" s="943"/>
      <c r="AD18" s="943"/>
      <c r="AE18" s="943"/>
      <c r="AF18" s="943"/>
      <c r="AG18" s="943"/>
      <c r="AH18" s="943"/>
      <c r="AI18" s="943"/>
      <c r="AJ18" s="944"/>
      <c r="AK18" s="930"/>
      <c r="AL18" s="930"/>
      <c r="AM18" s="930"/>
      <c r="AN18" s="926"/>
    </row>
    <row r="19" spans="1:42" s="927" customFormat="1" ht="12.75" customHeight="1">
      <c r="A19" s="930"/>
      <c r="B19" s="930"/>
      <c r="C19" s="930"/>
      <c r="D19" s="941"/>
      <c r="E19" s="3019"/>
      <c r="F19" s="3020"/>
      <c r="G19" s="3020"/>
      <c r="H19" s="3020"/>
      <c r="I19" s="3020"/>
      <c r="J19" s="3020"/>
      <c r="K19" s="3020"/>
      <c r="L19" s="3020"/>
      <c r="M19" s="3020"/>
      <c r="N19" s="3020"/>
      <c r="O19" s="3020"/>
      <c r="P19" s="3020"/>
      <c r="Q19" s="3020"/>
      <c r="R19" s="3020"/>
      <c r="S19" s="3020"/>
      <c r="T19" s="3020"/>
      <c r="U19" s="3020"/>
      <c r="V19" s="3020"/>
      <c r="W19" s="3020"/>
      <c r="X19" s="3020"/>
      <c r="Y19" s="3020"/>
      <c r="Z19" s="3020"/>
      <c r="AA19" s="3020"/>
      <c r="AB19" s="3020"/>
      <c r="AC19" s="3020"/>
      <c r="AD19" s="3020"/>
      <c r="AE19" s="3020"/>
      <c r="AF19" s="3020"/>
      <c r="AG19" s="3020"/>
      <c r="AH19" s="3020"/>
      <c r="AI19" s="3020"/>
      <c r="AJ19" s="3021"/>
      <c r="AK19" s="930"/>
      <c r="AL19" s="930"/>
      <c r="AM19" s="930"/>
      <c r="AN19" s="926"/>
    </row>
    <row r="20" spans="1:42" s="927" customFormat="1" ht="12.75" customHeight="1">
      <c r="A20" s="930"/>
      <c r="B20" s="930"/>
      <c r="C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c r="AL20" s="930"/>
      <c r="AM20" s="930"/>
      <c r="AN20" s="926"/>
      <c r="AO20" s="940">
        <f>IF($B29="yes",14,0)</f>
        <v>0</v>
      </c>
      <c r="AP20" s="51"/>
    </row>
    <row r="21" spans="1:42" s="927" customFormat="1" ht="12.75" customHeight="1">
      <c r="A21" s="930"/>
      <c r="B21" s="3022" t="s">
        <v>624</v>
      </c>
      <c r="C21" s="3022"/>
      <c r="D21" s="937"/>
      <c r="E21" s="3023" t="s">
        <v>1562</v>
      </c>
      <c r="F21" s="3024"/>
      <c r="G21" s="3024"/>
      <c r="H21" s="3024"/>
      <c r="I21" s="3024"/>
      <c r="J21" s="3024"/>
      <c r="K21" s="3024"/>
      <c r="L21" s="3024"/>
      <c r="M21" s="3024"/>
      <c r="N21" s="3024"/>
      <c r="O21" s="3024"/>
      <c r="P21" s="3024"/>
      <c r="Q21" s="3024"/>
      <c r="R21" s="3024"/>
      <c r="S21" s="3024"/>
      <c r="T21" s="3024"/>
      <c r="U21" s="3024"/>
      <c r="V21" s="3024"/>
      <c r="W21" s="3024"/>
      <c r="X21" s="3024"/>
      <c r="Y21" s="3024"/>
      <c r="Z21" s="3024"/>
      <c r="AA21" s="3024"/>
      <c r="AB21" s="3024"/>
      <c r="AC21" s="3024"/>
      <c r="AD21" s="3024"/>
      <c r="AE21" s="3024"/>
      <c r="AF21" s="3024"/>
      <c r="AG21" s="3024"/>
      <c r="AH21" s="3024"/>
      <c r="AI21" s="3024"/>
      <c r="AJ21" s="3025"/>
      <c r="AK21" s="930"/>
      <c r="AL21" s="930"/>
      <c r="AM21" s="930"/>
      <c r="AN21" s="926"/>
      <c r="AO21" s="927">
        <f>SUM(AO20)</f>
        <v>0</v>
      </c>
      <c r="AP21" s="927" t="s">
        <v>1560</v>
      </c>
    </row>
    <row r="22" spans="1:42" s="927" customFormat="1" ht="12.75" customHeight="1">
      <c r="A22" s="930"/>
      <c r="B22" s="930"/>
      <c r="C22" s="930"/>
      <c r="D22" s="940"/>
      <c r="E22" s="3026"/>
      <c r="F22" s="3027"/>
      <c r="G22" s="3027"/>
      <c r="H22" s="3027"/>
      <c r="I22" s="3027"/>
      <c r="J22" s="3027"/>
      <c r="K22" s="3027"/>
      <c r="L22" s="3027"/>
      <c r="M22" s="3027"/>
      <c r="N22" s="3027"/>
      <c r="O22" s="3027"/>
      <c r="P22" s="3027"/>
      <c r="Q22" s="3027"/>
      <c r="R22" s="3027"/>
      <c r="S22" s="3027"/>
      <c r="T22" s="3027"/>
      <c r="U22" s="3027"/>
      <c r="V22" s="3027"/>
      <c r="W22" s="3027"/>
      <c r="X22" s="3027"/>
      <c r="Y22" s="3027"/>
      <c r="Z22" s="3027"/>
      <c r="AA22" s="3027"/>
      <c r="AB22" s="3027"/>
      <c r="AC22" s="3027"/>
      <c r="AD22" s="3027"/>
      <c r="AE22" s="3027"/>
      <c r="AF22" s="3027"/>
      <c r="AG22" s="3027"/>
      <c r="AH22" s="3027"/>
      <c r="AI22" s="3027"/>
      <c r="AJ22" s="3028"/>
      <c r="AK22" s="930"/>
      <c r="AL22" s="930"/>
      <c r="AM22" s="930"/>
      <c r="AN22" s="926"/>
    </row>
    <row r="23" spans="1:42" s="927" customFormat="1" ht="12.75" customHeight="1">
      <c r="A23" s="930"/>
      <c r="B23" s="930"/>
      <c r="C23" s="930"/>
      <c r="D23" s="941"/>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c r="AL23" s="930"/>
      <c r="AM23" s="930"/>
      <c r="AN23" s="926"/>
      <c r="AO23" s="940">
        <f>IF($B37="yes",6,0)</f>
        <v>0</v>
      </c>
    </row>
    <row r="24" spans="1:42" s="927" customFormat="1" ht="12.75" customHeight="1">
      <c r="A24" s="930"/>
      <c r="B24" s="3022" t="s">
        <v>624</v>
      </c>
      <c r="C24" s="3022"/>
      <c r="D24" s="937"/>
      <c r="E24" s="3029" t="s">
        <v>1563</v>
      </c>
      <c r="F24" s="3030"/>
      <c r="G24" s="3030"/>
      <c r="H24" s="3030"/>
      <c r="I24" s="3030"/>
      <c r="J24" s="3030"/>
      <c r="K24" s="3030"/>
      <c r="L24" s="3030"/>
      <c r="M24" s="3030"/>
      <c r="N24" s="3030"/>
      <c r="O24" s="3030"/>
      <c r="P24" s="3030"/>
      <c r="Q24" s="3030"/>
      <c r="R24" s="3030"/>
      <c r="S24" s="3030"/>
      <c r="T24" s="3030"/>
      <c r="U24" s="3030"/>
      <c r="V24" s="3030"/>
      <c r="W24" s="3030"/>
      <c r="X24" s="3030"/>
      <c r="Y24" s="3030"/>
      <c r="Z24" s="3030"/>
      <c r="AA24" s="3030"/>
      <c r="AB24" s="3030"/>
      <c r="AC24" s="3030"/>
      <c r="AD24" s="3030"/>
      <c r="AE24" s="3030"/>
      <c r="AF24" s="3030"/>
      <c r="AG24" s="3030"/>
      <c r="AH24" s="3030"/>
      <c r="AI24" s="3030"/>
      <c r="AJ24" s="3031"/>
      <c r="AK24" s="930"/>
      <c r="AL24" s="930"/>
      <c r="AM24" s="930"/>
      <c r="AN24" s="926"/>
      <c r="AO24" s="940">
        <f>IF($B39="yes",6,0)</f>
        <v>0</v>
      </c>
    </row>
    <row r="25" spans="1:42" s="927" customFormat="1" ht="12.75" customHeight="1">
      <c r="A25" s="930"/>
      <c r="B25" s="930"/>
      <c r="C25" s="930"/>
      <c r="D25" s="940"/>
      <c r="E25" s="3032"/>
      <c r="F25" s="3033"/>
      <c r="G25" s="3033"/>
      <c r="H25" s="3033"/>
      <c r="I25" s="3033"/>
      <c r="J25" s="3033"/>
      <c r="K25" s="3033"/>
      <c r="L25" s="3033"/>
      <c r="M25" s="3033"/>
      <c r="N25" s="3033"/>
      <c r="O25" s="3033"/>
      <c r="P25" s="3033"/>
      <c r="Q25" s="3033"/>
      <c r="R25" s="3033"/>
      <c r="S25" s="3033"/>
      <c r="T25" s="3033"/>
      <c r="U25" s="3033"/>
      <c r="V25" s="3033"/>
      <c r="W25" s="3033"/>
      <c r="X25" s="3033"/>
      <c r="Y25" s="3033"/>
      <c r="Z25" s="3033"/>
      <c r="AA25" s="3033"/>
      <c r="AB25" s="3033"/>
      <c r="AC25" s="3033"/>
      <c r="AD25" s="3033"/>
      <c r="AE25" s="3033"/>
      <c r="AF25" s="3033"/>
      <c r="AG25" s="3033"/>
      <c r="AH25" s="3033"/>
      <c r="AI25" s="3033"/>
      <c r="AJ25" s="3034"/>
      <c r="AK25" s="930"/>
      <c r="AL25" s="930"/>
      <c r="AM25" s="930"/>
      <c r="AN25" s="926"/>
      <c r="AO25" s="940">
        <f>IF($B41="yes",6,0)</f>
        <v>0</v>
      </c>
    </row>
    <row r="26" spans="1:42" s="927" customFormat="1" ht="12.75" customHeight="1">
      <c r="A26" s="930"/>
      <c r="B26" s="930"/>
      <c r="C26" s="930"/>
      <c r="D26" s="94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c r="AK26" s="930"/>
      <c r="AL26" s="930"/>
      <c r="AM26" s="930"/>
      <c r="AN26" s="926"/>
      <c r="AO26" s="940">
        <f>IF($B43="yes",6,0)</f>
        <v>0</v>
      </c>
    </row>
    <row r="27" spans="1:42" s="927" customFormat="1" ht="12.75" customHeight="1">
      <c r="A27" s="930"/>
      <c r="B27" s="934" t="s">
        <v>1564</v>
      </c>
      <c r="C27" s="930"/>
      <c r="E27" s="930"/>
      <c r="F27" s="930"/>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c r="AK27" s="930"/>
      <c r="AL27" s="930"/>
      <c r="AM27" s="930"/>
      <c r="AN27" s="926"/>
      <c r="AO27" s="940">
        <f>IF($B45="yes",6,0)</f>
        <v>0</v>
      </c>
    </row>
    <row r="28" spans="1:42" s="927" customFormat="1" ht="12.75" customHeight="1">
      <c r="A28" s="930"/>
      <c r="B28" s="930"/>
      <c r="C28" s="930"/>
      <c r="E28" s="930"/>
      <c r="F28" s="930"/>
      <c r="G28" s="930"/>
      <c r="H28" s="930"/>
      <c r="I28" s="930"/>
      <c r="J28" s="930"/>
      <c r="K28" s="930"/>
      <c r="L28" s="930"/>
      <c r="M28" s="930"/>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c r="AL28" s="930"/>
      <c r="AM28" s="930"/>
      <c r="AN28" s="926"/>
      <c r="AO28" s="940">
        <f>IF($B47="yes",6,0)</f>
        <v>0</v>
      </c>
    </row>
    <row r="29" spans="1:42" s="927" customFormat="1" ht="12.75" customHeight="1">
      <c r="A29" s="930"/>
      <c r="B29" s="3022" t="s">
        <v>624</v>
      </c>
      <c r="C29" s="3022"/>
      <c r="D29" s="937"/>
      <c r="E29" s="3029" t="s">
        <v>1565</v>
      </c>
      <c r="F29" s="3030"/>
      <c r="G29" s="3030"/>
      <c r="H29" s="3030"/>
      <c r="I29" s="3030"/>
      <c r="J29" s="3030"/>
      <c r="K29" s="3030"/>
      <c r="L29" s="3030"/>
      <c r="M29" s="3030"/>
      <c r="N29" s="3030"/>
      <c r="O29" s="3030"/>
      <c r="P29" s="3030"/>
      <c r="Q29" s="3030"/>
      <c r="R29" s="3030"/>
      <c r="S29" s="3030"/>
      <c r="T29" s="3030"/>
      <c r="U29" s="3030"/>
      <c r="V29" s="3030"/>
      <c r="W29" s="3030"/>
      <c r="X29" s="3030"/>
      <c r="Y29" s="3030"/>
      <c r="Z29" s="3030"/>
      <c r="AA29" s="3030"/>
      <c r="AB29" s="3030"/>
      <c r="AC29" s="3030"/>
      <c r="AD29" s="3030"/>
      <c r="AE29" s="3030"/>
      <c r="AF29" s="3030"/>
      <c r="AG29" s="3030"/>
      <c r="AH29" s="3030"/>
      <c r="AI29" s="3030"/>
      <c r="AJ29" s="3031"/>
      <c r="AK29" s="930"/>
      <c r="AL29" s="930"/>
      <c r="AM29" s="930"/>
      <c r="AN29" s="926"/>
      <c r="AO29" s="940">
        <f>IF($B49="yes",6,0)</f>
        <v>0</v>
      </c>
    </row>
    <row r="30" spans="1:42" s="927" customFormat="1" ht="12.75" customHeight="1">
      <c r="A30" s="930"/>
      <c r="B30" s="930"/>
      <c r="C30" s="930"/>
      <c r="E30" s="3035"/>
      <c r="F30" s="3036"/>
      <c r="G30" s="3036"/>
      <c r="H30" s="3036"/>
      <c r="I30" s="3036"/>
      <c r="J30" s="3036"/>
      <c r="K30" s="3036"/>
      <c r="L30" s="3036"/>
      <c r="M30" s="3036"/>
      <c r="N30" s="3036"/>
      <c r="O30" s="3036"/>
      <c r="P30" s="3036"/>
      <c r="Q30" s="3036"/>
      <c r="R30" s="3036"/>
      <c r="S30" s="3036"/>
      <c r="T30" s="3036"/>
      <c r="U30" s="3036"/>
      <c r="V30" s="3036"/>
      <c r="W30" s="3036"/>
      <c r="X30" s="3036"/>
      <c r="Y30" s="3036"/>
      <c r="Z30" s="3036"/>
      <c r="AA30" s="3036"/>
      <c r="AB30" s="3036"/>
      <c r="AC30" s="3036"/>
      <c r="AD30" s="3036"/>
      <c r="AE30" s="3036"/>
      <c r="AF30" s="3036"/>
      <c r="AG30" s="3036"/>
      <c r="AH30" s="3036"/>
      <c r="AI30" s="3036"/>
      <c r="AJ30" s="3037"/>
      <c r="AK30" s="930"/>
      <c r="AL30" s="930"/>
      <c r="AM30" s="930"/>
      <c r="AN30" s="926"/>
      <c r="AO30" s="927">
        <f>IF(SUM(AO23:AO29)&gt;6,6,(SUM(AO23:AO29)))</f>
        <v>0</v>
      </c>
      <c r="AP30" s="927" t="s">
        <v>1560</v>
      </c>
    </row>
    <row r="31" spans="1:42" s="927" customFormat="1" ht="12.75" customHeight="1">
      <c r="A31" s="930"/>
      <c r="B31" s="930"/>
      <c r="C31" s="930"/>
      <c r="E31" s="3032"/>
      <c r="F31" s="3033"/>
      <c r="G31" s="3033"/>
      <c r="H31" s="3033"/>
      <c r="I31" s="3033"/>
      <c r="J31" s="3033"/>
      <c r="K31" s="3033"/>
      <c r="L31" s="3033"/>
      <c r="M31" s="3033"/>
      <c r="N31" s="3033"/>
      <c r="O31" s="3033"/>
      <c r="P31" s="3033"/>
      <c r="Q31" s="3033"/>
      <c r="R31" s="3033"/>
      <c r="S31" s="3033"/>
      <c r="T31" s="3033"/>
      <c r="U31" s="3033"/>
      <c r="V31" s="3033"/>
      <c r="W31" s="3033"/>
      <c r="X31" s="3033"/>
      <c r="Y31" s="3033"/>
      <c r="Z31" s="3033"/>
      <c r="AA31" s="3033"/>
      <c r="AB31" s="3033"/>
      <c r="AC31" s="3033"/>
      <c r="AD31" s="3033"/>
      <c r="AE31" s="3033"/>
      <c r="AF31" s="3033"/>
      <c r="AG31" s="3033"/>
      <c r="AH31" s="3033"/>
      <c r="AI31" s="3033"/>
      <c r="AJ31" s="3034"/>
      <c r="AK31" s="930"/>
      <c r="AL31" s="930"/>
      <c r="AM31" s="930"/>
      <c r="AN31" s="926"/>
    </row>
    <row r="32" spans="1:42" s="927" customFormat="1" ht="12.75" customHeight="1">
      <c r="A32" s="930"/>
      <c r="B32" s="930"/>
      <c r="C32" s="930"/>
      <c r="E32" s="930"/>
      <c r="F32" s="930"/>
      <c r="G32" s="930"/>
      <c r="H32" s="930"/>
      <c r="I32" s="930"/>
      <c r="J32" s="930"/>
      <c r="K32" s="930"/>
      <c r="L32" s="930"/>
      <c r="M32" s="930"/>
      <c r="N32" s="930"/>
      <c r="O32" s="930"/>
      <c r="P32" s="930"/>
      <c r="Q32" s="930"/>
      <c r="R32" s="930"/>
      <c r="S32" s="930"/>
      <c r="T32" s="930"/>
      <c r="U32" s="930"/>
      <c r="V32" s="930"/>
      <c r="W32" s="930"/>
      <c r="X32" s="930"/>
      <c r="Y32" s="930"/>
      <c r="Z32" s="930"/>
      <c r="AA32" s="930"/>
      <c r="AB32" s="930"/>
      <c r="AC32" s="930"/>
      <c r="AD32" s="930"/>
      <c r="AE32" s="930"/>
      <c r="AF32" s="930"/>
      <c r="AG32" s="930"/>
      <c r="AH32" s="930"/>
      <c r="AI32" s="930"/>
      <c r="AJ32" s="930"/>
      <c r="AK32" s="930"/>
      <c r="AL32" s="930"/>
      <c r="AM32" s="930"/>
      <c r="AN32" s="926"/>
      <c r="AO32" s="927">
        <f>MAX(AO16,AO21,AO30)</f>
        <v>0</v>
      </c>
    </row>
    <row r="33" spans="1:41" s="927" customFormat="1" ht="12.75" customHeight="1">
      <c r="A33" s="930"/>
      <c r="B33" s="934" t="s">
        <v>1566</v>
      </c>
      <c r="C33" s="930"/>
      <c r="E33" s="930"/>
      <c r="F33" s="930"/>
      <c r="G33" s="930"/>
      <c r="H33" s="930"/>
      <c r="I33" s="930"/>
      <c r="J33" s="930"/>
      <c r="K33" s="930"/>
      <c r="L33" s="930"/>
      <c r="M33" s="930"/>
      <c r="N33" s="930"/>
      <c r="O33" s="930"/>
      <c r="P33" s="930"/>
      <c r="Q33" s="930"/>
      <c r="R33" s="930"/>
      <c r="S33" s="930"/>
      <c r="T33" s="930"/>
      <c r="U33" s="930"/>
      <c r="V33" s="930"/>
      <c r="W33" s="930"/>
      <c r="X33" s="930"/>
      <c r="Y33" s="930"/>
      <c r="Z33" s="930"/>
      <c r="AA33" s="930"/>
      <c r="AB33" s="930"/>
      <c r="AC33" s="930"/>
      <c r="AD33" s="930"/>
      <c r="AE33" s="930"/>
      <c r="AF33" s="930"/>
      <c r="AG33" s="930"/>
      <c r="AH33" s="930"/>
      <c r="AI33" s="930"/>
      <c r="AJ33" s="930"/>
      <c r="AK33" s="930"/>
      <c r="AL33" s="930"/>
      <c r="AM33" s="930"/>
      <c r="AN33" s="926"/>
    </row>
    <row r="34" spans="1:41" s="927" customFormat="1" ht="12.75" customHeight="1">
      <c r="A34" s="930"/>
      <c r="B34" s="3056" t="s">
        <v>2315</v>
      </c>
      <c r="C34" s="3056"/>
      <c r="D34" s="3056"/>
      <c r="E34" s="3056"/>
      <c r="F34" s="3056"/>
      <c r="G34" s="3056"/>
      <c r="H34" s="3056"/>
      <c r="I34" s="3056"/>
      <c r="J34" s="3056"/>
      <c r="K34" s="3056"/>
      <c r="L34" s="3056"/>
      <c r="M34" s="3056"/>
      <c r="N34" s="3056"/>
      <c r="O34" s="3056"/>
      <c r="P34" s="3056"/>
      <c r="Q34" s="3056"/>
      <c r="R34" s="3056"/>
      <c r="S34" s="3056"/>
      <c r="T34" s="3056"/>
      <c r="U34" s="3056"/>
      <c r="V34" s="3056"/>
      <c r="W34" s="3056"/>
      <c r="X34" s="3056"/>
      <c r="Y34" s="3056"/>
      <c r="Z34" s="3056"/>
      <c r="AA34" s="3056"/>
      <c r="AB34" s="3056"/>
      <c r="AC34" s="3056"/>
      <c r="AD34" s="3056"/>
      <c r="AE34" s="3056"/>
      <c r="AF34" s="3056"/>
      <c r="AG34" s="3056"/>
      <c r="AH34" s="3056"/>
      <c r="AI34" s="3056"/>
      <c r="AJ34" s="3056"/>
      <c r="AK34" s="3056"/>
      <c r="AL34" s="930"/>
      <c r="AM34" s="930"/>
      <c r="AN34" s="926"/>
    </row>
    <row r="35" spans="1:41" s="927" customFormat="1" ht="12.75" customHeight="1">
      <c r="A35" s="930"/>
      <c r="B35" s="3056"/>
      <c r="C35" s="3056"/>
      <c r="D35" s="3056"/>
      <c r="E35" s="3056"/>
      <c r="F35" s="3056"/>
      <c r="G35" s="3056"/>
      <c r="H35" s="3056"/>
      <c r="I35" s="3056"/>
      <c r="J35" s="3056"/>
      <c r="K35" s="3056"/>
      <c r="L35" s="3056"/>
      <c r="M35" s="3056"/>
      <c r="N35" s="3056"/>
      <c r="O35" s="3056"/>
      <c r="P35" s="3056"/>
      <c r="Q35" s="3056"/>
      <c r="R35" s="3056"/>
      <c r="S35" s="3056"/>
      <c r="T35" s="3056"/>
      <c r="U35" s="3056"/>
      <c r="V35" s="3056"/>
      <c r="W35" s="3056"/>
      <c r="X35" s="3056"/>
      <c r="Y35" s="3056"/>
      <c r="Z35" s="3056"/>
      <c r="AA35" s="3056"/>
      <c r="AB35" s="3056"/>
      <c r="AC35" s="3056"/>
      <c r="AD35" s="3056"/>
      <c r="AE35" s="3056"/>
      <c r="AF35" s="3056"/>
      <c r="AG35" s="3056"/>
      <c r="AH35" s="3056"/>
      <c r="AI35" s="3056"/>
      <c r="AJ35" s="3056"/>
      <c r="AK35" s="3056"/>
      <c r="AL35" s="930"/>
      <c r="AM35" s="930"/>
      <c r="AN35" s="926"/>
    </row>
    <row r="36" spans="1:41" s="927" customFormat="1" ht="12.75" customHeight="1">
      <c r="A36" s="930"/>
      <c r="B36" s="930"/>
      <c r="C36" s="930"/>
      <c r="E36" s="930"/>
      <c r="F36" s="930"/>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c r="AL36" s="930"/>
      <c r="AM36" s="930"/>
      <c r="AN36" s="926"/>
    </row>
    <row r="37" spans="1:41" s="927" customFormat="1" ht="12.75" customHeight="1">
      <c r="A37" s="930"/>
      <c r="B37" s="3022" t="s">
        <v>624</v>
      </c>
      <c r="C37" s="3022"/>
      <c r="D37" s="937"/>
      <c r="E37" s="945" t="s">
        <v>1567</v>
      </c>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c r="AL37" s="930"/>
      <c r="AM37" s="930"/>
      <c r="AN37" s="926"/>
      <c r="AO37" s="946"/>
    </row>
    <row r="38" spans="1:41" s="927" customFormat="1" ht="12.75" customHeight="1">
      <c r="A38" s="930"/>
      <c r="B38" s="930"/>
      <c r="C38" s="930"/>
      <c r="E38" s="930"/>
      <c r="F38" s="930"/>
      <c r="G38" s="930"/>
      <c r="H38" s="930"/>
      <c r="I38" s="930"/>
      <c r="J38" s="930"/>
      <c r="K38" s="930"/>
      <c r="L38" s="930"/>
      <c r="M38" s="930"/>
      <c r="N38" s="930"/>
      <c r="O38" s="930"/>
      <c r="P38" s="930"/>
      <c r="Q38" s="930"/>
      <c r="R38" s="930"/>
      <c r="S38" s="930"/>
      <c r="T38" s="930"/>
      <c r="U38" s="930"/>
      <c r="V38" s="930"/>
      <c r="W38" s="930"/>
      <c r="X38" s="930"/>
      <c r="Y38" s="930"/>
      <c r="Z38" s="930"/>
      <c r="AA38" s="930"/>
      <c r="AB38" s="930"/>
      <c r="AC38" s="930"/>
      <c r="AD38" s="930"/>
      <c r="AE38" s="930"/>
      <c r="AF38" s="930"/>
      <c r="AG38" s="930"/>
      <c r="AH38" s="930"/>
      <c r="AI38" s="930"/>
      <c r="AJ38" s="930"/>
      <c r="AK38" s="930"/>
      <c r="AL38" s="930"/>
      <c r="AM38" s="930"/>
      <c r="AN38" s="926"/>
      <c r="AO38" s="946"/>
    </row>
    <row r="39" spans="1:41" s="927" customFormat="1" ht="12.75" customHeight="1">
      <c r="A39" s="930"/>
      <c r="B39" s="3022" t="s">
        <v>624</v>
      </c>
      <c r="C39" s="3022"/>
      <c r="D39" s="937"/>
      <c r="E39" s="947" t="s">
        <v>1568</v>
      </c>
      <c r="F39" s="930"/>
      <c r="G39" s="930"/>
      <c r="H39" s="930"/>
      <c r="I39" s="930"/>
      <c r="J39" s="930"/>
      <c r="K39" s="930"/>
      <c r="L39" s="930"/>
      <c r="M39" s="930"/>
      <c r="N39" s="930"/>
      <c r="O39" s="930"/>
      <c r="P39" s="930"/>
      <c r="Q39" s="930"/>
      <c r="R39" s="930"/>
      <c r="S39" s="930"/>
      <c r="T39" s="930"/>
      <c r="U39" s="930"/>
      <c r="V39" s="930"/>
      <c r="W39" s="930"/>
      <c r="X39" s="930"/>
      <c r="Y39" s="930"/>
      <c r="Z39" s="930"/>
      <c r="AA39" s="930"/>
      <c r="AB39" s="930"/>
      <c r="AC39" s="930"/>
      <c r="AD39" s="930"/>
      <c r="AE39" s="930"/>
      <c r="AF39" s="930"/>
      <c r="AG39" s="930"/>
      <c r="AH39" s="930"/>
      <c r="AI39" s="930"/>
      <c r="AJ39" s="930"/>
      <c r="AK39" s="930"/>
      <c r="AL39" s="930"/>
      <c r="AM39" s="930"/>
      <c r="AN39" s="926"/>
      <c r="AO39" s="946"/>
    </row>
    <row r="40" spans="1:41" s="927" customFormat="1" ht="12.75" customHeight="1">
      <c r="A40" s="930"/>
      <c r="B40" s="930"/>
      <c r="C40" s="930"/>
      <c r="D40" s="930"/>
      <c r="E40" s="930"/>
      <c r="F40" s="930"/>
      <c r="G40" s="930"/>
      <c r="H40" s="930"/>
      <c r="I40" s="930"/>
      <c r="J40" s="930"/>
      <c r="K40" s="930"/>
      <c r="L40" s="930"/>
      <c r="M40" s="930"/>
      <c r="N40" s="930"/>
      <c r="O40" s="930"/>
      <c r="P40" s="930"/>
      <c r="Q40" s="930"/>
      <c r="R40" s="930"/>
      <c r="S40" s="930"/>
      <c r="T40" s="930"/>
      <c r="U40" s="930"/>
      <c r="V40" s="930"/>
      <c r="W40" s="930"/>
      <c r="X40" s="930"/>
      <c r="Y40" s="930"/>
      <c r="Z40" s="930"/>
      <c r="AA40" s="930"/>
      <c r="AB40" s="930"/>
      <c r="AC40" s="930"/>
      <c r="AD40" s="930"/>
      <c r="AE40" s="930"/>
      <c r="AF40" s="930"/>
      <c r="AG40" s="930"/>
      <c r="AH40" s="930"/>
      <c r="AI40" s="930"/>
      <c r="AJ40" s="930"/>
      <c r="AK40" s="930"/>
      <c r="AL40" s="930"/>
      <c r="AM40" s="930"/>
      <c r="AN40" s="926"/>
      <c r="AO40" s="946"/>
    </row>
    <row r="41" spans="1:41" s="927" customFormat="1" ht="12.75" customHeight="1">
      <c r="A41" s="930"/>
      <c r="B41" s="3022" t="s">
        <v>624</v>
      </c>
      <c r="C41" s="3022"/>
      <c r="D41" s="937"/>
      <c r="E41" s="948" t="s">
        <v>1569</v>
      </c>
      <c r="F41" s="930"/>
      <c r="G41" s="930"/>
      <c r="H41" s="930"/>
      <c r="I41" s="930"/>
      <c r="J41" s="930"/>
      <c r="K41" s="930"/>
      <c r="L41" s="930"/>
      <c r="M41" s="930"/>
      <c r="N41" s="930"/>
      <c r="O41" s="930"/>
      <c r="P41" s="930"/>
      <c r="Q41" s="930"/>
      <c r="R41" s="930"/>
      <c r="S41" s="930"/>
      <c r="T41" s="930"/>
      <c r="U41" s="930"/>
      <c r="V41" s="930"/>
      <c r="W41" s="930"/>
      <c r="X41" s="930"/>
      <c r="Y41" s="930"/>
      <c r="Z41" s="930"/>
      <c r="AA41" s="930"/>
      <c r="AB41" s="930"/>
      <c r="AC41" s="930"/>
      <c r="AD41" s="930"/>
      <c r="AE41" s="930"/>
      <c r="AF41" s="930"/>
      <c r="AG41" s="930"/>
      <c r="AH41" s="930"/>
      <c r="AI41" s="930"/>
      <c r="AJ41" s="930"/>
      <c r="AK41" s="930"/>
      <c r="AL41" s="930"/>
      <c r="AM41" s="930"/>
      <c r="AN41" s="926"/>
      <c r="AO41" s="946"/>
    </row>
    <row r="42" spans="1:41" s="927" customFormat="1" ht="12.75" customHeight="1">
      <c r="A42" s="930"/>
      <c r="B42" s="930"/>
      <c r="C42" s="930"/>
      <c r="D42" s="930"/>
      <c r="E42" s="948"/>
      <c r="F42" s="946"/>
      <c r="G42" s="946"/>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c r="AL42" s="930"/>
      <c r="AM42" s="930"/>
      <c r="AN42" s="926"/>
      <c r="AO42" s="949"/>
    </row>
    <row r="43" spans="1:41" s="927" customFormat="1" ht="12.75" customHeight="1">
      <c r="A43" s="930"/>
      <c r="B43" s="3022" t="s">
        <v>624</v>
      </c>
      <c r="C43" s="3022"/>
      <c r="D43" s="937"/>
      <c r="E43" s="948" t="s">
        <v>1570</v>
      </c>
      <c r="F43" s="946"/>
      <c r="G43" s="946"/>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c r="AL43" s="930"/>
      <c r="AM43" s="930"/>
      <c r="AN43" s="926"/>
      <c r="AO43" s="949"/>
    </row>
    <row r="44" spans="1:41" s="927" customFormat="1" ht="12.75" customHeight="1">
      <c r="A44" s="930"/>
      <c r="B44" s="930"/>
      <c r="C44" s="930"/>
      <c r="D44" s="930"/>
      <c r="E44" s="948"/>
      <c r="F44" s="946"/>
      <c r="G44" s="946"/>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c r="AL44" s="930"/>
      <c r="AM44" s="930"/>
      <c r="AN44" s="926"/>
    </row>
    <row r="45" spans="1:41" s="927" customFormat="1" ht="12.75" customHeight="1">
      <c r="A45" s="930"/>
      <c r="B45" s="3022" t="s">
        <v>624</v>
      </c>
      <c r="C45" s="3022"/>
      <c r="D45" s="937"/>
      <c r="E45" s="948" t="s">
        <v>1571</v>
      </c>
      <c r="F45" s="946"/>
      <c r="G45" s="946"/>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c r="AI45" s="930"/>
      <c r="AJ45" s="930"/>
      <c r="AK45" s="930"/>
      <c r="AL45" s="930"/>
      <c r="AM45" s="930"/>
      <c r="AN45" s="926"/>
    </row>
    <row r="46" spans="1:41" s="927" customFormat="1" ht="12.75" customHeight="1">
      <c r="A46" s="930"/>
      <c r="B46" s="930"/>
      <c r="C46" s="930"/>
      <c r="D46" s="930"/>
      <c r="E46" s="948"/>
      <c r="F46" s="946"/>
      <c r="G46" s="946"/>
      <c r="H46" s="930"/>
      <c r="I46" s="930"/>
      <c r="J46" s="930"/>
      <c r="K46" s="930"/>
      <c r="L46" s="930"/>
      <c r="M46" s="930"/>
      <c r="N46" s="930"/>
      <c r="O46" s="930"/>
      <c r="P46" s="930"/>
      <c r="Q46" s="930"/>
      <c r="R46" s="930"/>
      <c r="S46" s="930"/>
      <c r="T46" s="930"/>
      <c r="U46" s="930"/>
      <c r="V46" s="930"/>
      <c r="W46" s="930"/>
      <c r="X46" s="930"/>
      <c r="Y46" s="930"/>
      <c r="Z46" s="930"/>
      <c r="AA46" s="930"/>
      <c r="AB46" s="930"/>
      <c r="AC46" s="930"/>
      <c r="AD46" s="930"/>
      <c r="AE46" s="930"/>
      <c r="AF46" s="930"/>
      <c r="AG46" s="930"/>
      <c r="AH46" s="930"/>
      <c r="AI46" s="930"/>
      <c r="AJ46" s="930"/>
      <c r="AK46" s="930"/>
      <c r="AL46" s="930"/>
      <c r="AM46" s="930"/>
      <c r="AN46" s="926"/>
    </row>
    <row r="47" spans="1:41" s="927" customFormat="1" ht="12.75" customHeight="1">
      <c r="A47" s="930"/>
      <c r="B47" s="3022" t="s">
        <v>624</v>
      </c>
      <c r="C47" s="3022"/>
      <c r="D47" s="937"/>
      <c r="E47" s="950" t="s">
        <v>1572</v>
      </c>
      <c r="F47" s="946"/>
      <c r="G47" s="946"/>
      <c r="H47" s="930"/>
      <c r="I47" s="930"/>
      <c r="J47" s="930"/>
      <c r="K47" s="930"/>
      <c r="L47" s="930"/>
      <c r="M47" s="930"/>
      <c r="N47" s="930"/>
      <c r="O47" s="930"/>
      <c r="P47" s="930"/>
      <c r="Q47" s="930"/>
      <c r="R47" s="930"/>
      <c r="S47" s="930"/>
      <c r="T47" s="930"/>
      <c r="U47" s="930"/>
      <c r="V47" s="930"/>
      <c r="W47" s="930"/>
      <c r="X47" s="930"/>
      <c r="Y47" s="930"/>
      <c r="Z47" s="930"/>
      <c r="AA47" s="930"/>
      <c r="AB47" s="930"/>
      <c r="AC47" s="930"/>
      <c r="AD47" s="930"/>
      <c r="AE47" s="930"/>
      <c r="AF47" s="930"/>
      <c r="AG47" s="930"/>
      <c r="AH47" s="930"/>
      <c r="AI47" s="930"/>
      <c r="AJ47" s="930"/>
      <c r="AK47" s="930"/>
      <c r="AL47" s="930"/>
      <c r="AM47" s="930"/>
      <c r="AN47" s="926"/>
    </row>
    <row r="48" spans="1:41" s="927" customFormat="1" ht="12.75" customHeight="1">
      <c r="A48" s="930"/>
      <c r="B48" s="930"/>
      <c r="C48" s="930"/>
      <c r="D48" s="930"/>
      <c r="E48" s="930"/>
      <c r="F48" s="930"/>
      <c r="G48" s="930"/>
      <c r="H48" s="930"/>
      <c r="I48" s="930"/>
      <c r="J48" s="930"/>
      <c r="K48" s="930"/>
      <c r="L48" s="930"/>
      <c r="M48" s="930"/>
      <c r="N48" s="930"/>
      <c r="O48" s="930"/>
      <c r="P48" s="930"/>
      <c r="Q48" s="930"/>
      <c r="R48" s="930"/>
      <c r="S48" s="930"/>
      <c r="T48" s="930"/>
      <c r="U48" s="930"/>
      <c r="V48" s="930"/>
      <c r="W48" s="930"/>
      <c r="X48" s="930"/>
      <c r="Y48" s="930"/>
      <c r="Z48" s="930"/>
      <c r="AA48" s="930"/>
      <c r="AB48" s="930"/>
      <c r="AC48" s="930"/>
      <c r="AD48" s="930"/>
      <c r="AE48" s="930"/>
      <c r="AF48" s="930"/>
      <c r="AG48" s="930"/>
      <c r="AH48" s="930"/>
      <c r="AI48" s="930"/>
      <c r="AJ48" s="930"/>
      <c r="AK48" s="930"/>
      <c r="AL48" s="930"/>
      <c r="AM48" s="930"/>
      <c r="AN48" s="926"/>
    </row>
    <row r="49" spans="1:50" s="927" customFormat="1" ht="12.75" customHeight="1">
      <c r="A49" s="930"/>
      <c r="B49" s="3022" t="s">
        <v>624</v>
      </c>
      <c r="C49" s="3022"/>
      <c r="D49" s="937"/>
      <c r="E49" s="950" t="s">
        <v>1573</v>
      </c>
      <c r="F49" s="930"/>
      <c r="G49" s="930"/>
      <c r="H49" s="930"/>
      <c r="I49" s="930"/>
      <c r="J49" s="930"/>
      <c r="K49" s="930"/>
      <c r="L49" s="930"/>
      <c r="M49" s="930"/>
      <c r="N49" s="930"/>
      <c r="O49" s="930"/>
      <c r="P49" s="930"/>
      <c r="Q49" s="930"/>
      <c r="R49" s="930"/>
      <c r="S49" s="930"/>
      <c r="T49" s="930"/>
      <c r="U49" s="930"/>
      <c r="V49" s="930"/>
      <c r="W49" s="930"/>
      <c r="X49" s="930"/>
      <c r="Y49" s="930"/>
      <c r="Z49" s="930"/>
      <c r="AA49" s="930"/>
      <c r="AB49" s="930"/>
      <c r="AC49" s="930"/>
      <c r="AD49" s="930"/>
      <c r="AE49" s="930"/>
      <c r="AF49" s="930"/>
      <c r="AG49" s="930"/>
      <c r="AH49" s="930"/>
      <c r="AI49" s="930"/>
      <c r="AJ49" s="930"/>
      <c r="AK49" s="930"/>
      <c r="AL49" s="930"/>
      <c r="AM49" s="930"/>
      <c r="AN49" s="926"/>
      <c r="AX49" s="951"/>
    </row>
    <row r="50" spans="1:50" s="927" customFormat="1" ht="12.75" customHeight="1">
      <c r="A50" s="930"/>
      <c r="B50" s="930"/>
      <c r="C50" s="930"/>
      <c r="D50" s="930"/>
      <c r="E50" s="930"/>
      <c r="F50" s="930"/>
      <c r="G50" s="930"/>
      <c r="H50" s="930"/>
      <c r="I50" s="930"/>
      <c r="J50" s="930"/>
      <c r="K50" s="930"/>
      <c r="L50" s="930"/>
      <c r="M50" s="930"/>
      <c r="N50" s="930"/>
      <c r="O50" s="930"/>
      <c r="P50" s="930"/>
      <c r="Q50" s="930"/>
      <c r="R50" s="930"/>
      <c r="S50" s="930"/>
      <c r="T50" s="930"/>
      <c r="U50" s="930"/>
      <c r="V50" s="930"/>
      <c r="W50" s="930"/>
      <c r="X50" s="930"/>
      <c r="Y50" s="930"/>
      <c r="Z50" s="930"/>
      <c r="AA50" s="930"/>
      <c r="AB50" s="930"/>
      <c r="AC50" s="930"/>
      <c r="AD50" s="930"/>
      <c r="AE50" s="930"/>
      <c r="AF50" s="930"/>
      <c r="AG50" s="930"/>
      <c r="AH50" s="930"/>
      <c r="AI50" s="930"/>
      <c r="AJ50" s="930"/>
      <c r="AK50" s="930"/>
      <c r="AL50" s="930"/>
      <c r="AM50" s="930"/>
      <c r="AN50" s="926"/>
    </row>
    <row r="51" spans="1:50" s="927" customFormat="1" ht="12.75" customHeight="1">
      <c r="A51" s="952"/>
      <c r="B51" s="953"/>
      <c r="C51" s="953"/>
      <c r="D51" s="953"/>
      <c r="E51" s="953"/>
      <c r="F51" s="953"/>
      <c r="G51" s="954"/>
      <c r="H51" s="955"/>
      <c r="I51" s="955"/>
      <c r="J51" s="955"/>
      <c r="K51" s="955"/>
      <c r="L51" s="955"/>
      <c r="M51" s="955"/>
      <c r="N51" s="955"/>
      <c r="O51" s="955"/>
      <c r="P51" s="955"/>
      <c r="Q51" s="955"/>
      <c r="R51" s="955"/>
      <c r="S51" s="955"/>
      <c r="T51" s="955"/>
      <c r="U51" s="955"/>
      <c r="V51" s="955"/>
      <c r="W51" s="955"/>
      <c r="X51" s="955"/>
      <c r="Y51" s="955"/>
      <c r="Z51" s="955"/>
      <c r="AA51" s="955"/>
      <c r="AB51" s="955"/>
      <c r="AC51" s="955"/>
      <c r="AD51" s="955"/>
      <c r="AE51" s="955"/>
      <c r="AF51" s="955"/>
      <c r="AG51" s="955"/>
      <c r="AH51" s="955"/>
      <c r="AI51" s="956"/>
      <c r="AJ51" s="956" t="s">
        <v>1574</v>
      </c>
      <c r="AK51" s="3053">
        <f>AO32</f>
        <v>0</v>
      </c>
      <c r="AL51" s="3054"/>
      <c r="AM51" s="3055"/>
      <c r="AN51" s="926"/>
    </row>
    <row r="52" spans="1:50" s="927" customFormat="1" ht="12.75" customHeight="1" thickBot="1">
      <c r="A52" s="957"/>
      <c r="B52" s="958"/>
      <c r="C52" s="959"/>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c r="AH52" s="959"/>
      <c r="AI52" s="959"/>
      <c r="AJ52" s="959"/>
      <c r="AK52" s="959"/>
      <c r="AL52" s="959"/>
      <c r="AM52" s="960"/>
      <c r="AN52" s="926"/>
    </row>
    <row r="53" spans="1:50" s="927" customFormat="1" ht="12.75" customHeight="1" thickTop="1">
      <c r="A53" s="961"/>
      <c r="B53" s="962"/>
      <c r="C53" s="963"/>
      <c r="D53" s="963"/>
      <c r="E53" s="963"/>
      <c r="F53" s="963"/>
      <c r="G53" s="963"/>
      <c r="H53" s="963"/>
      <c r="I53" s="964"/>
      <c r="J53" s="964"/>
      <c r="K53" s="964"/>
      <c r="L53" s="964"/>
      <c r="M53" s="964"/>
      <c r="N53" s="964"/>
      <c r="O53" s="964"/>
      <c r="P53" s="964"/>
      <c r="Q53" s="964"/>
      <c r="R53" s="961"/>
      <c r="S53" s="929"/>
      <c r="T53" s="929"/>
      <c r="U53" s="929"/>
      <c r="V53" s="929"/>
      <c r="W53" s="929"/>
      <c r="X53" s="929"/>
      <c r="Y53" s="929"/>
      <c r="Z53" s="929"/>
      <c r="AA53" s="929"/>
      <c r="AB53" s="929"/>
      <c r="AC53" s="929"/>
      <c r="AD53" s="929"/>
      <c r="AE53" s="929"/>
      <c r="AF53" s="961"/>
      <c r="AG53" s="929"/>
      <c r="AH53" s="929"/>
      <c r="AI53" s="929"/>
      <c r="AJ53" s="929"/>
      <c r="AK53" s="940"/>
      <c r="AL53" s="940"/>
      <c r="AM53" s="940"/>
      <c r="AN53" s="926"/>
    </row>
    <row r="54" spans="1:50" s="927" customFormat="1" ht="12.75" customHeight="1">
      <c r="A54" s="928" t="s">
        <v>1575</v>
      </c>
      <c r="B54" s="929" t="s">
        <v>1576</v>
      </c>
      <c r="C54" s="929"/>
      <c r="D54" s="929"/>
      <c r="E54" s="929"/>
      <c r="F54" s="929"/>
      <c r="G54" s="929"/>
      <c r="H54" s="929"/>
      <c r="I54" s="929"/>
      <c r="J54" s="929"/>
      <c r="K54" s="929"/>
      <c r="L54" s="929"/>
      <c r="M54" s="929"/>
      <c r="N54" s="929"/>
      <c r="O54" s="929"/>
      <c r="P54" s="929"/>
      <c r="Q54" s="929"/>
      <c r="R54" s="929"/>
      <c r="S54" s="929"/>
      <c r="T54" s="929"/>
      <c r="U54" s="929"/>
      <c r="V54" s="929"/>
      <c r="W54" s="929"/>
      <c r="X54" s="929"/>
      <c r="Y54" s="929"/>
      <c r="Z54" s="929"/>
      <c r="AA54" s="929"/>
      <c r="AB54" s="929"/>
      <c r="AC54" s="929"/>
      <c r="AD54" s="929"/>
      <c r="AE54" s="3038" t="s">
        <v>1577</v>
      </c>
      <c r="AF54" s="3038"/>
      <c r="AG54" s="3038"/>
      <c r="AH54" s="3038"/>
      <c r="AI54" s="3038"/>
      <c r="AJ54" s="3038"/>
      <c r="AK54" s="3038"/>
      <c r="AL54" s="930"/>
      <c r="AM54" s="930"/>
      <c r="AN54" s="926"/>
    </row>
    <row r="55" spans="1:50" s="927" customFormat="1" ht="12.75" customHeight="1">
      <c r="A55" s="928"/>
      <c r="B55" s="929" t="s">
        <v>2144</v>
      </c>
      <c r="C55" s="929"/>
      <c r="D55" s="929"/>
      <c r="E55" s="929"/>
      <c r="F55" s="929"/>
      <c r="G55" s="929"/>
      <c r="H55" s="929"/>
      <c r="I55" s="929"/>
      <c r="J55" s="929"/>
      <c r="K55" s="929"/>
      <c r="L55" s="929"/>
      <c r="M55" s="929"/>
      <c r="N55" s="929"/>
      <c r="O55" s="929"/>
      <c r="P55" s="929"/>
      <c r="Q55" s="929"/>
      <c r="R55" s="929"/>
      <c r="S55" s="929"/>
      <c r="T55" s="929"/>
      <c r="U55" s="929"/>
      <c r="V55" s="929"/>
      <c r="W55" s="929"/>
      <c r="X55" s="929"/>
      <c r="Y55" s="929"/>
      <c r="Z55" s="929"/>
      <c r="AA55" s="929"/>
      <c r="AB55" s="929"/>
      <c r="AC55" s="929"/>
      <c r="AD55" s="929"/>
      <c r="AE55" s="933"/>
      <c r="AF55" s="933"/>
      <c r="AG55" s="933"/>
      <c r="AH55" s="933"/>
      <c r="AI55" s="933"/>
      <c r="AJ55" s="933"/>
      <c r="AK55" s="933"/>
      <c r="AL55" s="930"/>
      <c r="AM55" s="930"/>
      <c r="AN55" s="926"/>
    </row>
    <row r="56" spans="1:50" s="927" customFormat="1" ht="12.75" customHeight="1">
      <c r="A56" s="928"/>
      <c r="B56" s="929"/>
      <c r="C56" s="929"/>
      <c r="D56" s="929"/>
      <c r="E56" s="929"/>
      <c r="F56" s="929"/>
      <c r="G56" s="929"/>
      <c r="H56" s="929"/>
      <c r="I56" s="929"/>
      <c r="J56" s="929"/>
      <c r="K56" s="929"/>
      <c r="L56" s="929"/>
      <c r="M56" s="929"/>
      <c r="N56" s="929"/>
      <c r="O56" s="929"/>
      <c r="P56" s="929"/>
      <c r="Q56" s="929"/>
      <c r="R56" s="929"/>
      <c r="S56" s="929"/>
      <c r="T56" s="929"/>
      <c r="U56" s="929"/>
      <c r="V56" s="929"/>
      <c r="W56" s="929"/>
      <c r="X56" s="929"/>
      <c r="Y56" s="929"/>
      <c r="Z56" s="929"/>
      <c r="AA56" s="929"/>
      <c r="AB56" s="929"/>
      <c r="AC56" s="929"/>
      <c r="AD56" s="929"/>
      <c r="AE56" s="933"/>
      <c r="AF56" s="933"/>
      <c r="AG56" s="933"/>
      <c r="AH56" s="933"/>
      <c r="AI56" s="933"/>
      <c r="AJ56" s="933"/>
      <c r="AK56" s="933"/>
      <c r="AL56" s="930"/>
      <c r="AM56" s="930"/>
      <c r="AN56" s="926"/>
    </row>
    <row r="57" spans="1:50" s="927" customFormat="1" ht="12.75" customHeight="1">
      <c r="A57" s="928"/>
      <c r="B57" s="3022" t="s">
        <v>624</v>
      </c>
      <c r="C57" s="3022"/>
      <c r="D57" s="937" t="s">
        <v>1578</v>
      </c>
      <c r="E57" s="3039" t="s">
        <v>2156</v>
      </c>
      <c r="F57" s="3040"/>
      <c r="G57" s="3040"/>
      <c r="H57" s="3040"/>
      <c r="I57" s="3040"/>
      <c r="J57" s="3040"/>
      <c r="K57" s="3040"/>
      <c r="L57" s="3040"/>
      <c r="M57" s="3040"/>
      <c r="N57" s="3040"/>
      <c r="O57" s="3040"/>
      <c r="P57" s="3040"/>
      <c r="Q57" s="3040"/>
      <c r="R57" s="3040"/>
      <c r="S57" s="3040"/>
      <c r="T57" s="3040"/>
      <c r="U57" s="3040"/>
      <c r="V57" s="3040"/>
      <c r="W57" s="3040"/>
      <c r="X57" s="3040"/>
      <c r="Y57" s="3040"/>
      <c r="Z57" s="3040"/>
      <c r="AA57" s="3040"/>
      <c r="AB57" s="3040"/>
      <c r="AC57" s="3040"/>
      <c r="AD57" s="3040"/>
      <c r="AE57" s="3040"/>
      <c r="AF57" s="3040"/>
      <c r="AG57" s="3040"/>
      <c r="AH57" s="3040"/>
      <c r="AI57" s="3040"/>
      <c r="AJ57" s="3041"/>
      <c r="AK57" s="933"/>
      <c r="AL57" s="930"/>
      <c r="AM57" s="930"/>
      <c r="AN57" s="926"/>
      <c r="AO57" s="940">
        <f>IF($B57="yes",10,0)</f>
        <v>0</v>
      </c>
    </row>
    <row r="58" spans="1:50" s="927" customFormat="1" ht="12.75" customHeight="1">
      <c r="A58" s="928"/>
      <c r="B58" s="930"/>
      <c r="C58" s="930"/>
      <c r="D58" s="941"/>
      <c r="E58" s="3042"/>
      <c r="F58" s="3043"/>
      <c r="G58" s="3043"/>
      <c r="H58" s="3043"/>
      <c r="I58" s="3043"/>
      <c r="J58" s="3043"/>
      <c r="K58" s="3043"/>
      <c r="L58" s="3043"/>
      <c r="M58" s="3043"/>
      <c r="N58" s="3043"/>
      <c r="O58" s="3043"/>
      <c r="P58" s="3043"/>
      <c r="Q58" s="3043"/>
      <c r="R58" s="3043"/>
      <c r="S58" s="3043"/>
      <c r="T58" s="3043"/>
      <c r="U58" s="3043"/>
      <c r="V58" s="3043"/>
      <c r="W58" s="3043"/>
      <c r="X58" s="3043"/>
      <c r="Y58" s="3043"/>
      <c r="Z58" s="3043"/>
      <c r="AA58" s="3043"/>
      <c r="AB58" s="3043"/>
      <c r="AC58" s="3043"/>
      <c r="AD58" s="3043"/>
      <c r="AE58" s="3043"/>
      <c r="AF58" s="3043"/>
      <c r="AG58" s="3043"/>
      <c r="AH58" s="3043"/>
      <c r="AI58" s="3043"/>
      <c r="AJ58" s="3044"/>
      <c r="AK58" s="933"/>
      <c r="AL58" s="930"/>
      <c r="AM58" s="930"/>
      <c r="AN58" s="926"/>
      <c r="AO58" s="940">
        <f>IF($B62="yes",10,0)</f>
        <v>10</v>
      </c>
    </row>
    <row r="59" spans="1:50" s="927" customFormat="1" ht="12.75" customHeight="1">
      <c r="A59" s="928"/>
      <c r="B59" s="930"/>
      <c r="C59" s="930"/>
      <c r="D59" s="941"/>
      <c r="E59" s="3042"/>
      <c r="F59" s="3043"/>
      <c r="G59" s="3043"/>
      <c r="H59" s="3043"/>
      <c r="I59" s="3043"/>
      <c r="J59" s="3043"/>
      <c r="K59" s="3043"/>
      <c r="L59" s="3043"/>
      <c r="M59" s="3043"/>
      <c r="N59" s="3043"/>
      <c r="O59" s="3043"/>
      <c r="P59" s="3043"/>
      <c r="Q59" s="3043"/>
      <c r="R59" s="3043"/>
      <c r="S59" s="3043"/>
      <c r="T59" s="3043"/>
      <c r="U59" s="3043"/>
      <c r="V59" s="3043"/>
      <c r="W59" s="3043"/>
      <c r="X59" s="3043"/>
      <c r="Y59" s="3043"/>
      <c r="Z59" s="3043"/>
      <c r="AA59" s="3043"/>
      <c r="AB59" s="3043"/>
      <c r="AC59" s="3043"/>
      <c r="AD59" s="3043"/>
      <c r="AE59" s="3043"/>
      <c r="AF59" s="3043"/>
      <c r="AG59" s="3043"/>
      <c r="AH59" s="3043"/>
      <c r="AI59" s="3043"/>
      <c r="AJ59" s="3044"/>
      <c r="AK59" s="933"/>
      <c r="AL59" s="930"/>
      <c r="AM59" s="930"/>
      <c r="AN59" s="926"/>
      <c r="AO59" s="940">
        <f>IF($B69="yes",10,0)</f>
        <v>0</v>
      </c>
    </row>
    <row r="60" spans="1:50" s="927" customFormat="1" ht="12.75" customHeight="1">
      <c r="A60" s="928"/>
      <c r="B60" s="930"/>
      <c r="C60" s="930"/>
      <c r="D60" s="941"/>
      <c r="E60" s="3045"/>
      <c r="F60" s="3046"/>
      <c r="G60" s="3046"/>
      <c r="H60" s="3046"/>
      <c r="I60" s="3046"/>
      <c r="J60" s="3046"/>
      <c r="K60" s="3046"/>
      <c r="L60" s="3046"/>
      <c r="M60" s="3046"/>
      <c r="N60" s="3046"/>
      <c r="O60" s="3046"/>
      <c r="P60" s="3046"/>
      <c r="Q60" s="3046"/>
      <c r="R60" s="3046"/>
      <c r="S60" s="3046"/>
      <c r="T60" s="3046"/>
      <c r="U60" s="3046"/>
      <c r="V60" s="3046"/>
      <c r="W60" s="3046"/>
      <c r="X60" s="3046"/>
      <c r="Y60" s="3046"/>
      <c r="Z60" s="3046"/>
      <c r="AA60" s="3046"/>
      <c r="AB60" s="3046"/>
      <c r="AC60" s="3046"/>
      <c r="AD60" s="3046"/>
      <c r="AE60" s="3046"/>
      <c r="AF60" s="3046"/>
      <c r="AG60" s="3046"/>
      <c r="AH60" s="3046"/>
      <c r="AI60" s="3046"/>
      <c r="AJ60" s="3047"/>
      <c r="AK60" s="933"/>
      <c r="AL60" s="930"/>
      <c r="AM60" s="930"/>
      <c r="AN60" s="926"/>
      <c r="AO60" s="927">
        <f>IF(SUM(AO57:AO59)&gt;10,10,(SUM(AO57:AO59)))</f>
        <v>10</v>
      </c>
      <c r="AP60" s="965" t="s">
        <v>1579</v>
      </c>
    </row>
    <row r="61" spans="1:50" s="927" customFormat="1" ht="12.75" customHeight="1">
      <c r="A61" s="928"/>
      <c r="B61" s="930"/>
      <c r="C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3"/>
      <c r="AL61" s="930"/>
      <c r="AM61" s="930"/>
      <c r="AN61" s="926"/>
    </row>
    <row r="62" spans="1:50" s="927" customFormat="1" ht="12.75" customHeight="1">
      <c r="A62" s="928"/>
      <c r="B62" s="3022" t="s">
        <v>576</v>
      </c>
      <c r="C62" s="3022"/>
      <c r="D62" s="937" t="s">
        <v>1580</v>
      </c>
      <c r="E62" s="1594" t="s">
        <v>2140</v>
      </c>
      <c r="F62" s="1595"/>
      <c r="G62" s="1595"/>
      <c r="H62" s="1595"/>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6"/>
      <c r="AK62" s="933"/>
      <c r="AL62" s="930"/>
      <c r="AM62" s="930"/>
      <c r="AN62" s="926"/>
    </row>
    <row r="63" spans="1:50" s="927" customFormat="1" ht="12.75" customHeight="1">
      <c r="A63" s="928"/>
      <c r="B63" s="930"/>
      <c r="C63" s="930"/>
      <c r="D63" s="940"/>
      <c r="E63" s="3048" t="s">
        <v>576</v>
      </c>
      <c r="F63" s="3022"/>
      <c r="G63" s="966"/>
      <c r="H63" s="1593" t="s">
        <v>1581</v>
      </c>
      <c r="I63" s="1498"/>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1597"/>
      <c r="AK63" s="933"/>
      <c r="AL63" s="930"/>
      <c r="AM63" s="930"/>
      <c r="AN63" s="926"/>
    </row>
    <row r="64" spans="1:50" s="927" customFormat="1" ht="12.75" customHeight="1">
      <c r="A64" s="928"/>
      <c r="B64" s="930"/>
      <c r="C64" s="930"/>
      <c r="D64" s="940"/>
      <c r="E64" s="3017" t="s">
        <v>624</v>
      </c>
      <c r="F64" s="3018"/>
      <c r="G64" s="966"/>
      <c r="H64" s="1593" t="s">
        <v>1582</v>
      </c>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1597"/>
      <c r="AK64" s="933"/>
      <c r="AL64" s="930"/>
      <c r="AM64" s="930"/>
      <c r="AN64" s="926"/>
    </row>
    <row r="65" spans="1:40" s="927" customFormat="1" ht="12.75" customHeight="1">
      <c r="A65" s="928"/>
      <c r="B65" s="930"/>
      <c r="C65" s="930"/>
      <c r="D65" s="940"/>
      <c r="E65" s="3017" t="s">
        <v>624</v>
      </c>
      <c r="F65" s="3018"/>
      <c r="G65" s="966"/>
      <c r="H65" s="1593" t="s">
        <v>2155</v>
      </c>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1597"/>
      <c r="AK65" s="933"/>
      <c r="AL65" s="930"/>
      <c r="AM65" s="930"/>
      <c r="AN65" s="926"/>
    </row>
    <row r="66" spans="1:40" s="927" customFormat="1" ht="12.75" customHeight="1">
      <c r="A66" s="928"/>
      <c r="B66" s="930"/>
      <c r="C66" s="930"/>
      <c r="D66" s="940"/>
      <c r="E66" s="1095"/>
      <c r="F66" s="966"/>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1597"/>
      <c r="AK66" s="1499"/>
      <c r="AL66" s="930"/>
      <c r="AM66" s="930"/>
      <c r="AN66" s="926"/>
    </row>
    <row r="67" spans="1:40" s="927" customFormat="1" ht="12.75" customHeight="1">
      <c r="A67" s="928"/>
      <c r="B67" s="930"/>
      <c r="C67" s="930"/>
      <c r="D67" s="940"/>
      <c r="E67" s="3048" t="s">
        <v>576</v>
      </c>
      <c r="F67" s="3022"/>
      <c r="G67" s="1496"/>
      <c r="H67" s="1602" t="s">
        <v>2154</v>
      </c>
      <c r="I67" s="1496"/>
      <c r="J67" s="1496"/>
      <c r="K67" s="1496"/>
      <c r="L67" s="1496"/>
      <c r="M67" s="1496"/>
      <c r="N67" s="1496"/>
      <c r="O67" s="1496"/>
      <c r="P67" s="1496"/>
      <c r="Q67" s="1496"/>
      <c r="R67" s="1496"/>
      <c r="S67" s="1496"/>
      <c r="T67" s="1496"/>
      <c r="U67" s="1496"/>
      <c r="V67" s="1496"/>
      <c r="W67" s="1496"/>
      <c r="X67" s="1496"/>
      <c r="Y67" s="1496"/>
      <c r="Z67" s="1496"/>
      <c r="AA67" s="1496"/>
      <c r="AB67" s="1496"/>
      <c r="AC67" s="1496"/>
      <c r="AD67" s="1496"/>
      <c r="AE67" s="1496"/>
      <c r="AF67" s="1496"/>
      <c r="AG67" s="1496"/>
      <c r="AH67" s="1496"/>
      <c r="AI67" s="1496"/>
      <c r="AJ67" s="1497"/>
      <c r="AK67" s="1499"/>
      <c r="AL67" s="930"/>
      <c r="AM67" s="930"/>
      <c r="AN67" s="926"/>
    </row>
    <row r="68" spans="1:40" s="927" customFormat="1" ht="12.75" customHeight="1">
      <c r="A68" s="928"/>
      <c r="B68" s="930"/>
      <c r="C68" s="930"/>
      <c r="D68" s="941"/>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3"/>
      <c r="AL68" s="930"/>
      <c r="AM68" s="930"/>
      <c r="AN68" s="926"/>
    </row>
    <row r="69" spans="1:40" s="927" customFormat="1" ht="12.75" customHeight="1">
      <c r="A69" s="928"/>
      <c r="B69" s="3022" t="s">
        <v>624</v>
      </c>
      <c r="C69" s="3022"/>
      <c r="D69" s="937" t="s">
        <v>1583</v>
      </c>
      <c r="E69" s="3029" t="s">
        <v>2157</v>
      </c>
      <c r="F69" s="3030"/>
      <c r="G69" s="3030"/>
      <c r="H69" s="3030"/>
      <c r="I69" s="3030"/>
      <c r="J69" s="3030"/>
      <c r="K69" s="3030"/>
      <c r="L69" s="3030"/>
      <c r="M69" s="3030"/>
      <c r="N69" s="3030"/>
      <c r="O69" s="3030"/>
      <c r="P69" s="3030"/>
      <c r="Q69" s="3030"/>
      <c r="R69" s="3030"/>
      <c r="S69" s="3030"/>
      <c r="T69" s="3030"/>
      <c r="U69" s="3030"/>
      <c r="V69" s="3030"/>
      <c r="W69" s="3030"/>
      <c r="X69" s="3030"/>
      <c r="Y69" s="3030"/>
      <c r="Z69" s="3030"/>
      <c r="AA69" s="3030"/>
      <c r="AB69" s="3030"/>
      <c r="AC69" s="3030"/>
      <c r="AD69" s="3030"/>
      <c r="AE69" s="3030"/>
      <c r="AF69" s="3030"/>
      <c r="AG69" s="3030"/>
      <c r="AH69" s="3030"/>
      <c r="AI69" s="3030"/>
      <c r="AJ69" s="3031"/>
      <c r="AK69" s="933"/>
      <c r="AL69" s="930"/>
      <c r="AM69" s="930"/>
      <c r="AN69" s="926"/>
    </row>
    <row r="70" spans="1:40" s="927" customFormat="1" ht="12.75" customHeight="1">
      <c r="A70" s="928"/>
      <c r="B70" s="930"/>
      <c r="C70" s="930"/>
      <c r="D70" s="940"/>
      <c r="E70" s="3032"/>
      <c r="F70" s="3033"/>
      <c r="G70" s="3033"/>
      <c r="H70" s="3033"/>
      <c r="I70" s="3033"/>
      <c r="J70" s="3033"/>
      <c r="K70" s="3033"/>
      <c r="L70" s="3033"/>
      <c r="M70" s="3033"/>
      <c r="N70" s="3033"/>
      <c r="O70" s="3033"/>
      <c r="P70" s="3033"/>
      <c r="Q70" s="3033"/>
      <c r="R70" s="3033"/>
      <c r="S70" s="3033"/>
      <c r="T70" s="3033"/>
      <c r="U70" s="3033"/>
      <c r="V70" s="3033"/>
      <c r="W70" s="3033"/>
      <c r="X70" s="3033"/>
      <c r="Y70" s="3033"/>
      <c r="Z70" s="3033"/>
      <c r="AA70" s="3033"/>
      <c r="AB70" s="3033"/>
      <c r="AC70" s="3033"/>
      <c r="AD70" s="3033"/>
      <c r="AE70" s="3033"/>
      <c r="AF70" s="3033"/>
      <c r="AG70" s="3033"/>
      <c r="AH70" s="3033"/>
      <c r="AI70" s="3033"/>
      <c r="AJ70" s="3034"/>
      <c r="AK70" s="933"/>
      <c r="AL70" s="930"/>
      <c r="AM70" s="930"/>
      <c r="AN70" s="926"/>
    </row>
    <row r="71" spans="1:40" s="927" customFormat="1" ht="12.75" customHeight="1">
      <c r="A71" s="928"/>
      <c r="B71" s="930"/>
      <c r="C71" s="930"/>
      <c r="D71" s="940"/>
      <c r="E71" s="930"/>
      <c r="F71" s="930"/>
      <c r="G71" s="930"/>
      <c r="H71" s="930"/>
      <c r="I71" s="930"/>
      <c r="J71" s="930"/>
      <c r="K71" s="930"/>
      <c r="L71" s="930"/>
      <c r="M71" s="930"/>
      <c r="N71" s="930"/>
      <c r="O71" s="930"/>
      <c r="P71" s="930"/>
      <c r="Q71" s="930"/>
      <c r="R71" s="930"/>
      <c r="S71" s="930"/>
      <c r="T71" s="930"/>
      <c r="U71" s="930"/>
      <c r="V71" s="930"/>
      <c r="W71" s="930"/>
      <c r="X71" s="930"/>
      <c r="Y71" s="930"/>
      <c r="Z71" s="930"/>
      <c r="AA71" s="930"/>
      <c r="AB71" s="930"/>
      <c r="AC71" s="930"/>
      <c r="AD71" s="930"/>
      <c r="AE71" s="930"/>
      <c r="AF71" s="930"/>
      <c r="AG71" s="930"/>
      <c r="AH71" s="930"/>
      <c r="AI71" s="930"/>
      <c r="AJ71" s="930"/>
      <c r="AK71" s="933"/>
      <c r="AL71" s="930"/>
      <c r="AM71" s="930"/>
      <c r="AN71" s="926"/>
    </row>
    <row r="72" spans="1:40" s="927" customFormat="1" ht="12.75" customHeight="1">
      <c r="A72" s="952"/>
      <c r="B72" s="953"/>
      <c r="C72" s="953"/>
      <c r="D72" s="953"/>
      <c r="E72" s="953"/>
      <c r="F72" s="953"/>
      <c r="G72" s="954"/>
      <c r="H72" s="955"/>
      <c r="I72" s="955"/>
      <c r="J72" s="955"/>
      <c r="K72" s="955"/>
      <c r="L72" s="955"/>
      <c r="M72" s="955"/>
      <c r="N72" s="955"/>
      <c r="O72" s="955"/>
      <c r="P72" s="955"/>
      <c r="Q72" s="955"/>
      <c r="R72" s="955"/>
      <c r="S72" s="955"/>
      <c r="T72" s="955"/>
      <c r="U72" s="955"/>
      <c r="V72" s="955"/>
      <c r="W72" s="955"/>
      <c r="X72" s="955"/>
      <c r="Y72" s="955"/>
      <c r="Z72" s="955"/>
      <c r="AA72" s="955"/>
      <c r="AB72" s="955"/>
      <c r="AC72" s="955"/>
      <c r="AD72" s="955"/>
      <c r="AE72" s="955"/>
      <c r="AF72" s="955"/>
      <c r="AG72" s="955"/>
      <c r="AH72" s="955"/>
      <c r="AI72" s="956"/>
      <c r="AJ72" s="956" t="s">
        <v>1584</v>
      </c>
      <c r="AK72" s="3053">
        <f>IF(AK51&gt;0,0,AO60)</f>
        <v>10</v>
      </c>
      <c r="AL72" s="3054"/>
      <c r="AM72" s="3055"/>
      <c r="AN72" s="926"/>
    </row>
    <row r="73" spans="1:40" s="927" customFormat="1" ht="12.75" customHeight="1" thickBot="1">
      <c r="A73" s="957"/>
      <c r="B73" s="958"/>
      <c r="C73" s="959"/>
      <c r="D73" s="959"/>
      <c r="E73" s="959"/>
      <c r="F73" s="959"/>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c r="AL73" s="959"/>
      <c r="AM73" s="960"/>
      <c r="AN73" s="926"/>
    </row>
    <row r="74" spans="1:40" s="927" customFormat="1" ht="12.75" customHeight="1" thickTop="1">
      <c r="A74" s="961"/>
      <c r="B74" s="962"/>
      <c r="C74" s="963"/>
      <c r="D74" s="963"/>
      <c r="E74" s="963"/>
      <c r="F74" s="963"/>
      <c r="G74" s="963"/>
      <c r="H74" s="963"/>
      <c r="I74" s="964"/>
      <c r="J74" s="964"/>
      <c r="K74" s="964"/>
      <c r="L74" s="964"/>
      <c r="M74" s="964"/>
      <c r="N74" s="964"/>
      <c r="O74" s="964"/>
      <c r="P74" s="964"/>
      <c r="Q74" s="964"/>
      <c r="R74" s="961"/>
      <c r="S74" s="929"/>
      <c r="T74" s="929"/>
      <c r="U74" s="929"/>
      <c r="V74" s="929"/>
      <c r="W74" s="929"/>
      <c r="X74" s="929"/>
      <c r="Y74" s="929"/>
      <c r="Z74" s="929"/>
      <c r="AA74" s="929"/>
      <c r="AB74" s="929"/>
      <c r="AC74" s="929"/>
      <c r="AD74" s="929"/>
      <c r="AE74" s="929"/>
      <c r="AF74" s="961"/>
      <c r="AG74" s="929"/>
      <c r="AH74" s="929"/>
      <c r="AI74" s="929"/>
      <c r="AJ74" s="929"/>
      <c r="AK74" s="940"/>
      <c r="AL74" s="940"/>
      <c r="AM74" s="940"/>
      <c r="AN74" s="926"/>
    </row>
    <row r="75" spans="1:40" s="927" customFormat="1" ht="12.75" customHeight="1">
      <c r="A75" s="928" t="s">
        <v>1585</v>
      </c>
      <c r="B75" s="929" t="s">
        <v>1586</v>
      </c>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3038" t="s">
        <v>1556</v>
      </c>
      <c r="AF75" s="3038"/>
      <c r="AG75" s="3038"/>
      <c r="AH75" s="3038"/>
      <c r="AI75" s="3038"/>
      <c r="AJ75" s="3038"/>
      <c r="AK75" s="3038"/>
      <c r="AL75" s="930"/>
      <c r="AM75" s="930"/>
      <c r="AN75" s="926"/>
    </row>
    <row r="76" spans="1:40" s="927" customFormat="1" ht="12.75" customHeight="1">
      <c r="A76" s="928"/>
      <c r="B76" s="929" t="s">
        <v>1587</v>
      </c>
      <c r="C76" s="929"/>
      <c r="D76" s="929"/>
      <c r="E76" s="929"/>
      <c r="F76" s="929"/>
      <c r="G76" s="929"/>
      <c r="H76" s="929"/>
      <c r="I76" s="929"/>
      <c r="J76" s="929"/>
      <c r="K76" s="929"/>
      <c r="L76" s="929"/>
      <c r="M76" s="929"/>
      <c r="N76" s="929"/>
      <c r="O76" s="929"/>
      <c r="P76" s="929"/>
      <c r="Q76" s="929"/>
      <c r="R76" s="929"/>
      <c r="S76" s="929"/>
      <c r="T76" s="929"/>
      <c r="U76" s="929"/>
      <c r="V76" s="929"/>
      <c r="W76" s="929"/>
      <c r="X76" s="929"/>
      <c r="Y76" s="929"/>
      <c r="Z76" s="929"/>
      <c r="AA76" s="929"/>
      <c r="AB76" s="929"/>
      <c r="AC76" s="929"/>
      <c r="AD76" s="929"/>
      <c r="AE76" s="933"/>
      <c r="AF76" s="933"/>
      <c r="AG76" s="933"/>
      <c r="AH76" s="933"/>
      <c r="AI76" s="933"/>
      <c r="AJ76" s="933"/>
      <c r="AK76" s="933"/>
      <c r="AL76" s="930"/>
      <c r="AM76" s="930"/>
      <c r="AN76" s="926"/>
    </row>
    <row r="77" spans="1:40" s="927" customFormat="1" ht="12.75" customHeight="1">
      <c r="A77" s="928"/>
      <c r="B77" s="929"/>
      <c r="C77" s="929"/>
      <c r="D77" s="929"/>
      <c r="E77" s="929"/>
      <c r="F77" s="929"/>
      <c r="G77" s="929"/>
      <c r="H77" s="929"/>
      <c r="I77" s="929"/>
      <c r="J77" s="929"/>
      <c r="K77" s="929"/>
      <c r="L77" s="929"/>
      <c r="M77" s="929"/>
      <c r="N77" s="929"/>
      <c r="O77" s="929"/>
      <c r="P77" s="929"/>
      <c r="Q77" s="929"/>
      <c r="R77" s="929"/>
      <c r="S77" s="929"/>
      <c r="T77" s="929"/>
      <c r="U77" s="929"/>
      <c r="V77" s="929"/>
      <c r="W77" s="929"/>
      <c r="X77" s="929"/>
      <c r="Y77" s="929"/>
      <c r="Z77" s="929"/>
      <c r="AA77" s="929"/>
      <c r="AB77" s="929"/>
      <c r="AC77" s="929"/>
      <c r="AD77" s="929"/>
      <c r="AE77" s="933"/>
      <c r="AF77" s="933"/>
      <c r="AG77" s="933"/>
      <c r="AH77" s="933"/>
      <c r="AI77" s="933"/>
      <c r="AJ77" s="933"/>
      <c r="AK77" s="933"/>
      <c r="AL77" s="930"/>
      <c r="AM77" s="930"/>
      <c r="AN77" s="926"/>
    </row>
    <row r="78" spans="1:40" s="927" customFormat="1" ht="12.75" customHeight="1">
      <c r="A78" s="928"/>
      <c r="B78" s="3022" t="s">
        <v>624</v>
      </c>
      <c r="C78" s="3022"/>
      <c r="D78" s="937" t="s">
        <v>1578</v>
      </c>
      <c r="E78" s="3061" t="s">
        <v>1588</v>
      </c>
      <c r="F78" s="3062"/>
      <c r="G78" s="3062"/>
      <c r="H78" s="3062"/>
      <c r="I78" s="3062"/>
      <c r="J78" s="3062"/>
      <c r="K78" s="3062"/>
      <c r="L78" s="3062"/>
      <c r="M78" s="3062"/>
      <c r="N78" s="3062"/>
      <c r="O78" s="3062"/>
      <c r="P78" s="3062"/>
      <c r="Q78" s="3062"/>
      <c r="R78" s="3062"/>
      <c r="S78" s="3062"/>
      <c r="T78" s="3062"/>
      <c r="U78" s="3062"/>
      <c r="V78" s="3062"/>
      <c r="W78" s="3062"/>
      <c r="X78" s="3062"/>
      <c r="Y78" s="3062"/>
      <c r="Z78" s="3062"/>
      <c r="AA78" s="3062"/>
      <c r="AB78" s="3062"/>
      <c r="AC78" s="3062"/>
      <c r="AD78" s="3062"/>
      <c r="AE78" s="3062"/>
      <c r="AF78" s="3062"/>
      <c r="AG78" s="3062"/>
      <c r="AH78" s="3062"/>
      <c r="AI78" s="3062"/>
      <c r="AJ78" s="3063"/>
      <c r="AK78" s="933"/>
      <c r="AL78" s="930"/>
      <c r="AM78" s="930"/>
      <c r="AN78" s="926"/>
    </row>
    <row r="79" spans="1:40" s="927" customFormat="1" ht="12.75" customHeight="1">
      <c r="A79" s="928"/>
      <c r="B79" s="929"/>
      <c r="C79" s="929"/>
      <c r="D79" s="929"/>
      <c r="E79" s="3064"/>
      <c r="F79" s="3065"/>
      <c r="G79" s="3065"/>
      <c r="H79" s="3065"/>
      <c r="I79" s="3065"/>
      <c r="J79" s="3065"/>
      <c r="K79" s="3065"/>
      <c r="L79" s="3065"/>
      <c r="M79" s="3065"/>
      <c r="N79" s="3065"/>
      <c r="O79" s="3065"/>
      <c r="P79" s="3065"/>
      <c r="Q79" s="3065"/>
      <c r="R79" s="3065"/>
      <c r="S79" s="3065"/>
      <c r="T79" s="3065"/>
      <c r="U79" s="3065"/>
      <c r="V79" s="3065"/>
      <c r="W79" s="3065"/>
      <c r="X79" s="3065"/>
      <c r="Y79" s="3065"/>
      <c r="Z79" s="3065"/>
      <c r="AA79" s="3065"/>
      <c r="AB79" s="3065"/>
      <c r="AC79" s="3065"/>
      <c r="AD79" s="3065"/>
      <c r="AE79" s="3065"/>
      <c r="AF79" s="3065"/>
      <c r="AG79" s="3065"/>
      <c r="AH79" s="3065"/>
      <c r="AI79" s="3065"/>
      <c r="AJ79" s="3066"/>
      <c r="AK79" s="933"/>
      <c r="AL79" s="930"/>
      <c r="AM79" s="930"/>
      <c r="AN79" s="926"/>
    </row>
    <row r="80" spans="1:40" s="927" customFormat="1" ht="12.75" customHeight="1">
      <c r="A80" s="928"/>
      <c r="B80" s="929"/>
      <c r="C80" s="929"/>
      <c r="D80" s="929"/>
      <c r="E80" s="967"/>
      <c r="F80" s="968"/>
      <c r="G80" s="968"/>
      <c r="H80" s="968"/>
      <c r="I80" s="968"/>
      <c r="J80" s="968"/>
      <c r="K80" s="968"/>
      <c r="L80" s="968"/>
      <c r="M80" s="968"/>
      <c r="N80" s="968"/>
      <c r="O80" s="968"/>
      <c r="P80" s="968"/>
      <c r="Q80" s="968"/>
      <c r="R80" s="968"/>
      <c r="S80" s="968"/>
      <c r="T80" s="968"/>
      <c r="U80" s="968"/>
      <c r="V80" s="968"/>
      <c r="W80" s="968"/>
      <c r="X80" s="968"/>
      <c r="Y80" s="968"/>
      <c r="Z80" s="969"/>
      <c r="AA80" s="969"/>
      <c r="AB80" s="969"/>
      <c r="AC80" s="968"/>
      <c r="AD80" s="968"/>
      <c r="AE80" s="968"/>
      <c r="AF80" s="968"/>
      <c r="AG80" s="968"/>
      <c r="AH80" s="968"/>
      <c r="AI80" s="968"/>
      <c r="AJ80" s="970"/>
      <c r="AK80" s="933"/>
      <c r="AL80" s="930"/>
      <c r="AM80" s="930"/>
      <c r="AN80" s="926"/>
    </row>
    <row r="81" spans="1:47" s="927" customFormat="1" ht="12.75" customHeight="1">
      <c r="A81" s="928"/>
      <c r="B81" s="929"/>
      <c r="C81" s="929"/>
      <c r="D81" s="929"/>
      <c r="E81" s="3067">
        <f>Application!AH753</f>
        <v>0.4845454545454545</v>
      </c>
      <c r="F81" s="3068"/>
      <c r="G81" s="3068"/>
      <c r="H81" s="3068"/>
      <c r="I81" s="968"/>
      <c r="J81" s="971" t="s">
        <v>1589</v>
      </c>
      <c r="K81" s="968"/>
      <c r="L81" s="968"/>
      <c r="M81" s="968"/>
      <c r="N81" s="968"/>
      <c r="O81" s="968"/>
      <c r="P81" s="968"/>
      <c r="Q81" s="968"/>
      <c r="R81" s="968"/>
      <c r="S81" s="968"/>
      <c r="T81" s="968"/>
      <c r="U81" s="968"/>
      <c r="V81" s="968"/>
      <c r="W81" s="968"/>
      <c r="X81" s="968"/>
      <c r="Y81" s="968"/>
      <c r="Z81" s="972"/>
      <c r="AA81" s="972"/>
      <c r="AB81" s="972"/>
      <c r="AC81" s="968"/>
      <c r="AD81" s="968"/>
      <c r="AE81" s="968"/>
      <c r="AF81" s="968"/>
      <c r="AG81" s="968"/>
      <c r="AH81" s="968"/>
      <c r="AI81" s="968"/>
      <c r="AJ81" s="970"/>
      <c r="AK81" s="933"/>
      <c r="AL81" s="930"/>
      <c r="AM81" s="930"/>
      <c r="AN81" s="926"/>
    </row>
    <row r="82" spans="1:47" s="927" customFormat="1" ht="12.75" customHeight="1">
      <c r="A82" s="928"/>
      <c r="B82" s="929"/>
      <c r="C82" s="929"/>
      <c r="D82" s="929"/>
      <c r="E82" s="3069">
        <f>0.6-ROUNDUP(E81,2)</f>
        <v>0.10999999999999999</v>
      </c>
      <c r="F82" s="3070"/>
      <c r="G82" s="3070"/>
      <c r="H82" s="3070"/>
      <c r="I82" s="968"/>
      <c r="J82" s="971" t="s">
        <v>1590</v>
      </c>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70"/>
      <c r="AK82" s="933"/>
      <c r="AL82" s="930"/>
      <c r="AM82" s="930"/>
      <c r="AN82" s="926"/>
    </row>
    <row r="83" spans="1:47" s="927" customFormat="1" ht="12.75" customHeight="1">
      <c r="A83" s="928"/>
      <c r="B83" s="929"/>
      <c r="C83" s="929"/>
      <c r="D83" s="929"/>
      <c r="E83" s="3059">
        <f>IF(E82*200&gt;20,20,E82*200)</f>
        <v>20</v>
      </c>
      <c r="F83" s="3060"/>
      <c r="G83" s="3060"/>
      <c r="H83" s="3060"/>
      <c r="I83" s="968"/>
      <c r="J83" s="971" t="s">
        <v>1591</v>
      </c>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70"/>
      <c r="AK83" s="933"/>
      <c r="AL83" s="930"/>
      <c r="AM83" s="930"/>
      <c r="AN83" s="926"/>
      <c r="AP83" s="927">
        <f>IF(B78="yes",E83,0)</f>
        <v>0</v>
      </c>
      <c r="AQ83" s="927" t="s">
        <v>1560</v>
      </c>
    </row>
    <row r="84" spans="1:47" s="927" customFormat="1" ht="12.75" customHeight="1">
      <c r="A84" s="928"/>
      <c r="B84" s="929"/>
      <c r="C84" s="929"/>
      <c r="D84" s="929"/>
      <c r="E84" s="973"/>
      <c r="F84" s="974"/>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5"/>
      <c r="AF84" s="975"/>
      <c r="AG84" s="975"/>
      <c r="AH84" s="975"/>
      <c r="AI84" s="975"/>
      <c r="AJ84" s="976"/>
      <c r="AK84" s="933"/>
      <c r="AL84" s="930"/>
      <c r="AM84" s="930"/>
      <c r="AN84" s="926"/>
    </row>
    <row r="85" spans="1:47" s="927" customFormat="1" ht="12.75" customHeight="1">
      <c r="A85" s="928"/>
      <c r="B85" s="929"/>
      <c r="C85" s="929"/>
      <c r="D85" s="929"/>
      <c r="E85" s="929"/>
      <c r="F85" s="929"/>
      <c r="G85" s="929"/>
      <c r="H85" s="929"/>
      <c r="I85" s="929"/>
      <c r="J85" s="929"/>
      <c r="K85" s="929"/>
      <c r="L85" s="929"/>
      <c r="M85" s="929"/>
      <c r="N85" s="929"/>
      <c r="O85" s="929"/>
      <c r="P85" s="929"/>
      <c r="Q85" s="929"/>
      <c r="R85" s="929"/>
      <c r="S85" s="929"/>
      <c r="T85" s="929"/>
      <c r="U85" s="929"/>
      <c r="V85" s="929"/>
      <c r="W85" s="929"/>
      <c r="X85" s="929"/>
      <c r="Y85" s="929"/>
      <c r="Z85" s="929"/>
      <c r="AA85" s="929"/>
      <c r="AB85" s="929"/>
      <c r="AC85" s="929"/>
      <c r="AD85" s="929"/>
      <c r="AE85" s="933"/>
      <c r="AF85" s="933"/>
      <c r="AG85" s="933"/>
      <c r="AH85" s="933"/>
      <c r="AI85" s="933"/>
      <c r="AJ85" s="933"/>
      <c r="AK85" s="933"/>
      <c r="AL85" s="930"/>
      <c r="AM85" s="930"/>
      <c r="AN85" s="926"/>
    </row>
    <row r="86" spans="1:47" s="927" customFormat="1" ht="12.75" customHeight="1">
      <c r="A86" s="928"/>
      <c r="B86" s="3022" t="s">
        <v>576</v>
      </c>
      <c r="C86" s="3022"/>
      <c r="D86" s="937" t="s">
        <v>1580</v>
      </c>
      <c r="E86" s="3061" t="s">
        <v>2141</v>
      </c>
      <c r="F86" s="3062"/>
      <c r="G86" s="3062"/>
      <c r="H86" s="3062"/>
      <c r="I86" s="3062"/>
      <c r="J86" s="3062"/>
      <c r="K86" s="3062"/>
      <c r="L86" s="3062"/>
      <c r="M86" s="3062"/>
      <c r="N86" s="3062"/>
      <c r="O86" s="3062"/>
      <c r="P86" s="3062"/>
      <c r="Q86" s="3062"/>
      <c r="R86" s="3062"/>
      <c r="S86" s="3062"/>
      <c r="T86" s="3062"/>
      <c r="U86" s="3062"/>
      <c r="V86" s="3062"/>
      <c r="W86" s="3062"/>
      <c r="X86" s="3062"/>
      <c r="Y86" s="3062"/>
      <c r="Z86" s="3062"/>
      <c r="AA86" s="3062"/>
      <c r="AB86" s="3062"/>
      <c r="AC86" s="3062"/>
      <c r="AD86" s="3062"/>
      <c r="AE86" s="3062"/>
      <c r="AF86" s="3062"/>
      <c r="AG86" s="3062"/>
      <c r="AH86" s="3062"/>
      <c r="AI86" s="3062"/>
      <c r="AJ86" s="3063"/>
      <c r="AK86" s="933"/>
      <c r="AL86" s="930"/>
      <c r="AM86" s="930"/>
      <c r="AN86" s="926"/>
    </row>
    <row r="87" spans="1:47" s="927" customFormat="1" ht="12.75" customHeight="1">
      <c r="A87" s="928"/>
      <c r="B87" s="929"/>
      <c r="C87" s="929"/>
      <c r="D87" s="929"/>
      <c r="E87" s="3064"/>
      <c r="F87" s="3065"/>
      <c r="G87" s="3065"/>
      <c r="H87" s="3065"/>
      <c r="I87" s="3065"/>
      <c r="J87" s="3065"/>
      <c r="K87" s="3065"/>
      <c r="L87" s="3065"/>
      <c r="M87" s="3065"/>
      <c r="N87" s="3065"/>
      <c r="O87" s="3065"/>
      <c r="P87" s="3065"/>
      <c r="Q87" s="3065"/>
      <c r="R87" s="3065"/>
      <c r="S87" s="3065"/>
      <c r="T87" s="3065"/>
      <c r="U87" s="3065"/>
      <c r="V87" s="3065"/>
      <c r="W87" s="3065"/>
      <c r="X87" s="3065"/>
      <c r="Y87" s="3065"/>
      <c r="Z87" s="3065"/>
      <c r="AA87" s="3065"/>
      <c r="AB87" s="3065"/>
      <c r="AC87" s="3065"/>
      <c r="AD87" s="3065"/>
      <c r="AE87" s="3065"/>
      <c r="AF87" s="3065"/>
      <c r="AG87" s="3065"/>
      <c r="AH87" s="3065"/>
      <c r="AI87" s="3065"/>
      <c r="AJ87" s="3066"/>
      <c r="AK87" s="933"/>
      <c r="AL87" s="930"/>
      <c r="AM87" s="930"/>
      <c r="AN87" s="926"/>
    </row>
    <row r="88" spans="1:47" s="927" customFormat="1" ht="12.75" customHeight="1">
      <c r="A88" s="928"/>
      <c r="B88" s="929"/>
      <c r="C88" s="929"/>
      <c r="D88" s="929"/>
      <c r="E88" s="3064"/>
      <c r="F88" s="3065"/>
      <c r="G88" s="3065"/>
      <c r="H88" s="3065"/>
      <c r="I88" s="3065"/>
      <c r="J88" s="3065"/>
      <c r="K88" s="3065"/>
      <c r="L88" s="3065"/>
      <c r="M88" s="3065"/>
      <c r="N88" s="3065"/>
      <c r="O88" s="3065"/>
      <c r="P88" s="3065"/>
      <c r="Q88" s="3065"/>
      <c r="R88" s="3065"/>
      <c r="S88" s="3065"/>
      <c r="T88" s="3065"/>
      <c r="U88" s="3065"/>
      <c r="V88" s="3065"/>
      <c r="W88" s="3065"/>
      <c r="X88" s="3065"/>
      <c r="Y88" s="3065"/>
      <c r="Z88" s="3065"/>
      <c r="AA88" s="3065"/>
      <c r="AB88" s="3065"/>
      <c r="AC88" s="3065"/>
      <c r="AD88" s="3065"/>
      <c r="AE88" s="3065"/>
      <c r="AF88" s="3065"/>
      <c r="AG88" s="3065"/>
      <c r="AH88" s="3065"/>
      <c r="AI88" s="3065"/>
      <c r="AJ88" s="3066"/>
      <c r="AK88" s="933"/>
      <c r="AL88" s="930"/>
      <c r="AM88" s="930"/>
      <c r="AN88" s="926"/>
    </row>
    <row r="89" spans="1:47" s="927" customFormat="1" ht="12.75" customHeight="1">
      <c r="A89" s="928"/>
      <c r="B89" s="929"/>
      <c r="C89" s="929"/>
      <c r="D89" s="929"/>
      <c r="E89" s="3064"/>
      <c r="F89" s="3065"/>
      <c r="G89" s="3065"/>
      <c r="H89" s="3065"/>
      <c r="I89" s="3065"/>
      <c r="J89" s="3065"/>
      <c r="K89" s="3065"/>
      <c r="L89" s="3065"/>
      <c r="M89" s="3065"/>
      <c r="N89" s="3065"/>
      <c r="O89" s="3065"/>
      <c r="P89" s="3065"/>
      <c r="Q89" s="3065"/>
      <c r="R89" s="3065"/>
      <c r="S89" s="3065"/>
      <c r="T89" s="3065"/>
      <c r="U89" s="3065"/>
      <c r="V89" s="3065"/>
      <c r="W89" s="3065"/>
      <c r="X89" s="3065"/>
      <c r="Y89" s="3065"/>
      <c r="Z89" s="3065"/>
      <c r="AA89" s="3065"/>
      <c r="AB89" s="3065"/>
      <c r="AC89" s="3065"/>
      <c r="AD89" s="3065"/>
      <c r="AE89" s="3065"/>
      <c r="AF89" s="3065"/>
      <c r="AG89" s="3065"/>
      <c r="AH89" s="3065"/>
      <c r="AI89" s="3065"/>
      <c r="AJ89" s="3066"/>
      <c r="AK89" s="933"/>
      <c r="AL89" s="930"/>
      <c r="AM89" s="930"/>
      <c r="AN89" s="926"/>
    </row>
    <row r="90" spans="1:47" s="927" customFormat="1" ht="12.75" customHeight="1">
      <c r="A90" s="928"/>
      <c r="B90" s="929"/>
      <c r="C90" s="929"/>
      <c r="D90" s="929"/>
      <c r="E90" s="977"/>
      <c r="F90" s="943"/>
      <c r="G90" s="943"/>
      <c r="H90" s="943"/>
      <c r="I90" s="943"/>
      <c r="J90" s="943"/>
      <c r="K90" s="943"/>
      <c r="L90" s="943"/>
      <c r="M90" s="943"/>
      <c r="N90" s="943"/>
      <c r="O90" s="943"/>
      <c r="P90" s="943"/>
      <c r="Q90" s="943"/>
      <c r="R90" s="943"/>
      <c r="S90" s="943"/>
      <c r="T90" s="943"/>
      <c r="U90" s="943"/>
      <c r="V90" s="943"/>
      <c r="W90" s="943"/>
      <c r="X90" s="943"/>
      <c r="Y90" s="943"/>
      <c r="Z90" s="943"/>
      <c r="AA90" s="943"/>
      <c r="AB90" s="943"/>
      <c r="AC90" s="943"/>
      <c r="AD90" s="943"/>
      <c r="AE90" s="943"/>
      <c r="AF90" s="943"/>
      <c r="AG90" s="943"/>
      <c r="AH90" s="943"/>
      <c r="AI90" s="943"/>
      <c r="AJ90" s="944"/>
      <c r="AK90" s="933"/>
      <c r="AL90" s="930"/>
      <c r="AM90" s="930"/>
      <c r="AN90" s="926"/>
    </row>
    <row r="91" spans="1:47" s="927" customFormat="1" ht="12.75" customHeight="1">
      <c r="A91" s="928"/>
      <c r="B91" s="929"/>
      <c r="C91" s="929"/>
      <c r="D91" s="929"/>
      <c r="E91" s="3067">
        <f>Application!AH753</f>
        <v>0.4845454545454545</v>
      </c>
      <c r="F91" s="3068"/>
      <c r="G91" s="3068"/>
      <c r="H91" s="3068"/>
      <c r="I91" s="968"/>
      <c r="J91" s="1430" t="s">
        <v>1589</v>
      </c>
      <c r="K91" s="1423"/>
      <c r="L91" s="1423"/>
      <c r="M91" s="1423"/>
      <c r="N91" s="1423"/>
      <c r="O91" s="1423"/>
      <c r="P91" s="1423"/>
      <c r="Q91" s="1423"/>
      <c r="R91" s="1432"/>
      <c r="S91" s="1432"/>
      <c r="T91" s="1432"/>
      <c r="U91" s="1432"/>
      <c r="V91" s="1432"/>
      <c r="W91" s="1432"/>
      <c r="X91" s="943"/>
      <c r="Y91" s="943"/>
      <c r="Z91" s="943"/>
      <c r="AA91" s="943"/>
      <c r="AB91" s="943"/>
      <c r="AC91" s="943"/>
      <c r="AD91" s="943"/>
      <c r="AE91" s="943"/>
      <c r="AF91" s="943"/>
      <c r="AG91" s="943"/>
      <c r="AH91" s="943"/>
      <c r="AI91" s="943"/>
      <c r="AJ91" s="944"/>
      <c r="AK91" s="933"/>
      <c r="AL91" s="930"/>
      <c r="AM91" s="930"/>
      <c r="AN91" s="926"/>
    </row>
    <row r="92" spans="1:47" s="927" customFormat="1" ht="12.75" customHeight="1">
      <c r="A92" s="928"/>
      <c r="B92" s="929"/>
      <c r="C92" s="929"/>
      <c r="D92" s="929"/>
      <c r="E92" s="3067">
        <f ca="1">SUMIF(Application!AH728:AL752,0.2,Application!G728:J752)/Application!G753+SUMIF(Application!AH728:AL752,0.25,Application!G728:J752)/Application!G753+SUMIF(Application!AH728:AL752,0.3,Application!G728:J752)/Application!G753</f>
        <v>0.27272727272727271</v>
      </c>
      <c r="F92" s="3068"/>
      <c r="G92" s="3068"/>
      <c r="H92" s="3068"/>
      <c r="I92" s="968"/>
      <c r="J92" s="971" t="s">
        <v>1592</v>
      </c>
      <c r="K92" s="968"/>
      <c r="L92" s="968"/>
      <c r="M92" s="968"/>
      <c r="N92" s="968"/>
      <c r="O92" s="968"/>
      <c r="P92" s="968"/>
      <c r="Q92" s="968"/>
      <c r="R92" s="943"/>
      <c r="S92" s="943"/>
      <c r="T92" s="943"/>
      <c r="U92" s="943"/>
      <c r="V92" s="943"/>
      <c r="W92" s="943"/>
      <c r="X92" s="943"/>
      <c r="Y92" s="943"/>
      <c r="Z92" s="943"/>
      <c r="AA92" s="943"/>
      <c r="AB92" s="943"/>
      <c r="AC92" s="943"/>
      <c r="AD92" s="943"/>
      <c r="AE92" s="943"/>
      <c r="AF92" s="943"/>
      <c r="AG92" s="943"/>
      <c r="AH92" s="943"/>
      <c r="AI92" s="943"/>
      <c r="AJ92" s="944"/>
      <c r="AK92" s="933"/>
      <c r="AL92" s="930"/>
      <c r="AM92" s="930"/>
      <c r="AN92" s="926"/>
      <c r="AU92" s="1421"/>
    </row>
    <row r="93" spans="1:47" s="927" customFormat="1" ht="12.75" customHeight="1">
      <c r="A93" s="928"/>
      <c r="B93" s="929"/>
      <c r="C93" s="929"/>
      <c r="D93" s="929"/>
      <c r="E93" s="3067">
        <f ca="1">SUMIF(Application!AH728:AL752,0.35,Application!G728:J752)/Application!G753+SUMIF(Application!AH728:AL752,0.4,Application!G728:J752)/Application!G753+SUMIF(Application!AH728:AL752,0.45,Application!G728:J752)/Application!G753+SUMIF(Application!AH728:AL752,0.5,Application!G728:J752)/Application!G753</f>
        <v>0.11818181818181818</v>
      </c>
      <c r="F93" s="3068"/>
      <c r="G93" s="3068"/>
      <c r="H93" s="3068"/>
      <c r="I93" s="968"/>
      <c r="J93" s="971" t="s">
        <v>1593</v>
      </c>
      <c r="K93" s="968"/>
      <c r="L93" s="968"/>
      <c r="M93" s="968"/>
      <c r="N93" s="968"/>
      <c r="O93" s="968"/>
      <c r="P93" s="968"/>
      <c r="Q93" s="968"/>
      <c r="R93" s="943"/>
      <c r="S93" s="943"/>
      <c r="T93" s="943"/>
      <c r="U93" s="943"/>
      <c r="V93" s="943"/>
      <c r="W93" s="943"/>
      <c r="X93" s="943"/>
      <c r="Y93" s="943"/>
      <c r="Z93" s="943"/>
      <c r="AA93" s="943"/>
      <c r="AB93" s="943"/>
      <c r="AC93" s="943"/>
      <c r="AD93" s="943"/>
      <c r="AE93" s="943"/>
      <c r="AF93" s="943"/>
      <c r="AG93" s="943"/>
      <c r="AH93" s="943"/>
      <c r="AI93" s="943"/>
      <c r="AJ93" s="944"/>
      <c r="AK93" s="933"/>
      <c r="AL93" s="930"/>
      <c r="AM93" s="930"/>
      <c r="AN93" s="926"/>
      <c r="AU93" s="1421"/>
    </row>
    <row r="94" spans="1:47" s="927" customFormat="1" ht="12.75" customHeight="1">
      <c r="A94" s="928"/>
      <c r="B94" s="929"/>
      <c r="C94" s="929"/>
      <c r="D94" s="929"/>
      <c r="E94" s="3078">
        <f ca="1">IF(AND(E91&lt;=0.6,E92&gt;=0.1,OR(E93&gt;=0.1,E92=1)),20,0)</f>
        <v>20</v>
      </c>
      <c r="F94" s="3079"/>
      <c r="G94" s="3079"/>
      <c r="H94" s="3079"/>
      <c r="I94" s="943"/>
      <c r="J94" s="978" t="s">
        <v>1591</v>
      </c>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4"/>
      <c r="AK94" s="933"/>
      <c r="AL94" s="930"/>
      <c r="AM94" s="930"/>
      <c r="AN94" s="926"/>
      <c r="AP94" s="927">
        <f ca="1">IF(B86="yes",E94,0)</f>
        <v>20</v>
      </c>
      <c r="AQ94" s="927" t="s">
        <v>1560</v>
      </c>
    </row>
    <row r="95" spans="1:47" s="927" customFormat="1" ht="12.75" customHeight="1">
      <c r="A95" s="928"/>
      <c r="B95" s="929"/>
      <c r="C95" s="929"/>
      <c r="D95" s="929"/>
      <c r="E95" s="973"/>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5"/>
      <c r="AF95" s="975"/>
      <c r="AG95" s="975"/>
      <c r="AH95" s="975"/>
      <c r="AI95" s="975"/>
      <c r="AJ95" s="976"/>
      <c r="AK95" s="933"/>
      <c r="AL95" s="930"/>
      <c r="AM95" s="930"/>
      <c r="AN95" s="926"/>
    </row>
    <row r="96" spans="1:47" s="927" customFormat="1" ht="12.75" customHeight="1">
      <c r="A96" s="928"/>
      <c r="B96" s="929"/>
      <c r="C96" s="929"/>
      <c r="D96" s="929"/>
      <c r="E96" s="929"/>
      <c r="F96" s="929"/>
      <c r="G96" s="929"/>
      <c r="H96" s="929"/>
      <c r="I96" s="929"/>
      <c r="J96" s="929"/>
      <c r="K96" s="929"/>
      <c r="L96" s="929"/>
      <c r="M96" s="929"/>
      <c r="N96" s="929"/>
      <c r="O96" s="929"/>
      <c r="P96" s="929"/>
      <c r="Q96" s="929"/>
      <c r="R96" s="929"/>
      <c r="S96" s="929"/>
      <c r="T96" s="929"/>
      <c r="U96" s="929"/>
      <c r="V96" s="929"/>
      <c r="W96" s="929"/>
      <c r="X96" s="929"/>
      <c r="Y96" s="929"/>
      <c r="Z96" s="929"/>
      <c r="AA96" s="929"/>
      <c r="AB96" s="929"/>
      <c r="AC96" s="929"/>
      <c r="AD96" s="929"/>
      <c r="AE96" s="933"/>
      <c r="AF96" s="933"/>
      <c r="AG96" s="933"/>
      <c r="AH96" s="933"/>
      <c r="AI96" s="933"/>
      <c r="AJ96" s="933"/>
      <c r="AK96" s="933"/>
      <c r="AL96" s="930"/>
      <c r="AM96" s="930"/>
      <c r="AN96" s="926"/>
    </row>
    <row r="97" spans="1:49" s="927" customFormat="1" ht="12.75" customHeight="1">
      <c r="A97" s="952"/>
      <c r="B97" s="953"/>
      <c r="C97" s="953"/>
      <c r="D97" s="953"/>
      <c r="E97" s="953"/>
      <c r="F97" s="953"/>
      <c r="G97" s="954"/>
      <c r="H97" s="955"/>
      <c r="I97" s="955"/>
      <c r="J97" s="955"/>
      <c r="K97" s="955"/>
      <c r="L97" s="955"/>
      <c r="M97" s="955"/>
      <c r="N97" s="955"/>
      <c r="O97" s="955"/>
      <c r="P97" s="955"/>
      <c r="Q97" s="955"/>
      <c r="R97" s="955"/>
      <c r="S97" s="955"/>
      <c r="T97" s="955"/>
      <c r="U97" s="955"/>
      <c r="V97" s="955"/>
      <c r="W97" s="955"/>
      <c r="X97" s="955"/>
      <c r="Y97" s="955"/>
      <c r="Z97" s="955"/>
      <c r="AA97" s="955"/>
      <c r="AB97" s="955"/>
      <c r="AC97" s="955"/>
      <c r="AD97" s="955"/>
      <c r="AE97" s="955"/>
      <c r="AF97" s="955"/>
      <c r="AG97" s="955"/>
      <c r="AH97" s="955"/>
      <c r="AI97" s="956"/>
      <c r="AJ97" s="956" t="s">
        <v>1594</v>
      </c>
      <c r="AK97" s="3053">
        <f ca="1">MAX(AP83,AP94)</f>
        <v>20</v>
      </c>
      <c r="AL97" s="3054"/>
      <c r="AM97" s="3055"/>
      <c r="AN97" s="926"/>
    </row>
    <row r="98" spans="1:49" s="927" customFormat="1" ht="12.75" customHeight="1" thickBot="1">
      <c r="A98" s="957"/>
      <c r="B98" s="958"/>
      <c r="C98" s="959"/>
      <c r="D98" s="959"/>
      <c r="E98" s="959"/>
      <c r="F98" s="959"/>
      <c r="G98" s="959"/>
      <c r="H98" s="959"/>
      <c r="I98" s="959"/>
      <c r="J98" s="959"/>
      <c r="K98" s="959"/>
      <c r="L98" s="959"/>
      <c r="M98" s="959"/>
      <c r="N98" s="959"/>
      <c r="O98" s="959"/>
      <c r="P98" s="959"/>
      <c r="Q98" s="959"/>
      <c r="R98" s="959"/>
      <c r="S98" s="959"/>
      <c r="T98" s="959"/>
      <c r="U98" s="959"/>
      <c r="V98" s="959"/>
      <c r="W98" s="959"/>
      <c r="X98" s="959"/>
      <c r="Y98" s="959"/>
      <c r="Z98" s="959"/>
      <c r="AA98" s="959"/>
      <c r="AB98" s="959"/>
      <c r="AC98" s="959"/>
      <c r="AD98" s="959"/>
      <c r="AE98" s="959"/>
      <c r="AF98" s="959"/>
      <c r="AG98" s="959"/>
      <c r="AH98" s="959"/>
      <c r="AI98" s="959"/>
      <c r="AJ98" s="959"/>
      <c r="AK98" s="959"/>
      <c r="AL98" s="959"/>
      <c r="AM98" s="960"/>
      <c r="AN98" s="926"/>
    </row>
    <row r="99" spans="1:49" s="927" customFormat="1" ht="12.75" customHeight="1" thickTop="1">
      <c r="A99" s="961"/>
      <c r="B99" s="962"/>
      <c r="C99" s="963"/>
      <c r="D99" s="963"/>
      <c r="E99" s="963"/>
      <c r="F99" s="963"/>
      <c r="G99" s="963"/>
      <c r="H99" s="963"/>
      <c r="I99" s="964"/>
      <c r="J99" s="964"/>
      <c r="K99" s="964"/>
      <c r="L99" s="964"/>
      <c r="M99" s="964"/>
      <c r="N99" s="964"/>
      <c r="O99" s="964"/>
      <c r="P99" s="964"/>
      <c r="Q99" s="964"/>
      <c r="R99" s="961"/>
      <c r="S99" s="929"/>
      <c r="T99" s="929"/>
      <c r="U99" s="929"/>
      <c r="V99" s="929"/>
      <c r="W99" s="929"/>
      <c r="X99" s="929"/>
      <c r="Y99" s="929"/>
      <c r="Z99" s="929"/>
      <c r="AA99" s="929"/>
      <c r="AB99" s="929"/>
      <c r="AC99" s="929"/>
      <c r="AD99" s="929"/>
      <c r="AE99" s="929"/>
      <c r="AF99" s="961"/>
      <c r="AG99" s="929"/>
      <c r="AH99" s="929"/>
      <c r="AI99" s="929"/>
      <c r="AJ99" s="929"/>
      <c r="AK99" s="940"/>
      <c r="AL99" s="940"/>
      <c r="AM99" s="940"/>
      <c r="AN99" s="926"/>
    </row>
    <row r="100" spans="1:49" s="927" customFormat="1" ht="12.75" customHeight="1">
      <c r="A100" s="928" t="s">
        <v>1595</v>
      </c>
      <c r="B100" s="929" t="s">
        <v>1596</v>
      </c>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3038" t="s">
        <v>1577</v>
      </c>
      <c r="AF100" s="3038"/>
      <c r="AG100" s="3038"/>
      <c r="AH100" s="3038"/>
      <c r="AI100" s="3038"/>
      <c r="AJ100" s="3038"/>
      <c r="AK100" s="3038"/>
      <c r="AL100" s="930"/>
      <c r="AM100" s="930"/>
      <c r="AN100" s="926"/>
      <c r="AO100" s="927" t="str">
        <f>Application!B728</f>
        <v>SRO/Studio</v>
      </c>
      <c r="AQ100" s="927">
        <f>Application!O728</f>
        <v>424</v>
      </c>
    </row>
    <row r="101" spans="1:49" s="927" customFormat="1" ht="12.75" customHeight="1">
      <c r="A101" s="930"/>
      <c r="B101" s="929" t="s">
        <v>1587</v>
      </c>
      <c r="C101" s="929"/>
      <c r="D101" s="929"/>
      <c r="E101" s="929"/>
      <c r="F101" s="929"/>
      <c r="G101" s="929"/>
      <c r="H101" s="929"/>
      <c r="I101" s="929"/>
      <c r="J101" s="929"/>
      <c r="K101" s="929"/>
      <c r="L101" s="929"/>
      <c r="M101" s="929"/>
      <c r="N101" s="929"/>
      <c r="O101" s="929"/>
      <c r="P101" s="929"/>
      <c r="Q101" s="929"/>
      <c r="R101" s="929"/>
      <c r="S101" s="929"/>
      <c r="T101" s="929"/>
      <c r="U101" s="929"/>
      <c r="V101" s="929"/>
      <c r="W101" s="929"/>
      <c r="X101" s="929"/>
      <c r="Y101" s="929"/>
      <c r="Z101" s="929"/>
      <c r="AA101" s="929"/>
      <c r="AB101" s="929"/>
      <c r="AC101" s="929"/>
      <c r="AD101" s="929"/>
      <c r="AE101" s="1686"/>
      <c r="AF101" s="1686"/>
      <c r="AG101" s="1686"/>
      <c r="AH101" s="1686"/>
      <c r="AI101" s="1686"/>
      <c r="AJ101" s="1686"/>
      <c r="AK101" s="930"/>
      <c r="AL101" s="930"/>
      <c r="AM101" s="930"/>
      <c r="AN101" s="926"/>
      <c r="AO101" s="927" t="str">
        <f>Application!B729</f>
        <v>SRO/Studio</v>
      </c>
      <c r="AQ101" s="927">
        <f>Application!O729</f>
        <v>658</v>
      </c>
    </row>
    <row r="102" spans="1:49" s="927" customFormat="1" ht="12.75" customHeight="1">
      <c r="A102" s="930"/>
      <c r="B102" s="929"/>
      <c r="C102" s="929"/>
      <c r="D102" s="929"/>
      <c r="E102" s="1423"/>
      <c r="F102" s="1423"/>
      <c r="G102" s="1423"/>
      <c r="H102" s="1423"/>
      <c r="I102" s="1423"/>
      <c r="J102" s="1423"/>
      <c r="K102" s="1423"/>
      <c r="L102" s="1423"/>
      <c r="M102" s="1423"/>
      <c r="N102" s="1423"/>
      <c r="O102" s="1423"/>
      <c r="P102" s="1423"/>
      <c r="Q102" s="1423"/>
      <c r="R102" s="1423"/>
      <c r="S102" s="1423"/>
      <c r="T102" s="1423"/>
      <c r="U102" s="1423"/>
      <c r="V102" s="1423"/>
      <c r="W102" s="1423"/>
      <c r="X102" s="1423"/>
      <c r="Y102" s="1423"/>
      <c r="Z102" s="1423"/>
      <c r="AA102" s="1423"/>
      <c r="AB102" s="1423"/>
      <c r="AC102" s="1423"/>
      <c r="AD102" s="1423"/>
      <c r="AE102" s="1423"/>
      <c r="AF102" s="1423"/>
      <c r="AG102" s="1423"/>
      <c r="AH102" s="1423"/>
      <c r="AI102" s="1423"/>
      <c r="AJ102" s="1423"/>
      <c r="AK102" s="930"/>
      <c r="AL102" s="930"/>
      <c r="AM102" s="930"/>
      <c r="AN102" s="926"/>
      <c r="AO102" s="927" t="str">
        <f>Application!B730</f>
        <v>2 Bedrooms</v>
      </c>
      <c r="AQ102" s="927">
        <f>Application!O730</f>
        <v>837</v>
      </c>
    </row>
    <row r="103" spans="1:49" s="927" customFormat="1" ht="12.75" customHeight="1">
      <c r="A103" s="930"/>
      <c r="B103" s="3022" t="s">
        <v>624</v>
      </c>
      <c r="C103" s="3022"/>
      <c r="D103" s="937" t="s">
        <v>1578</v>
      </c>
      <c r="E103" s="3061" t="s">
        <v>2301</v>
      </c>
      <c r="F103" s="3062"/>
      <c r="G103" s="3062"/>
      <c r="H103" s="3062"/>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62"/>
      <c r="AD103" s="3062"/>
      <c r="AE103" s="3062"/>
      <c r="AF103" s="3062"/>
      <c r="AG103" s="3062"/>
      <c r="AH103" s="3062"/>
      <c r="AI103" s="3062"/>
      <c r="AJ103" s="3063"/>
      <c r="AK103" s="930"/>
      <c r="AL103" s="930"/>
      <c r="AM103" s="930"/>
      <c r="AN103" s="926"/>
      <c r="AO103" s="927" t="str">
        <f>Application!B731</f>
        <v>2 Bedrooms</v>
      </c>
      <c r="AQ103" s="927">
        <f>Application!O731</f>
        <v>1437</v>
      </c>
      <c r="AU103" s="927" t="s">
        <v>2281</v>
      </c>
      <c r="AV103" s="1668" t="s">
        <v>2282</v>
      </c>
      <c r="AW103" s="927" t="s">
        <v>2283</v>
      </c>
    </row>
    <row r="104" spans="1:49" s="927" customFormat="1" ht="12.75" customHeight="1">
      <c r="A104" s="930"/>
      <c r="B104" s="929"/>
      <c r="C104" s="929"/>
      <c r="D104" s="929"/>
      <c r="E104" s="3064"/>
      <c r="F104" s="3065"/>
      <c r="G104" s="3065"/>
      <c r="H104" s="3065"/>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65"/>
      <c r="AD104" s="3065"/>
      <c r="AE104" s="3065"/>
      <c r="AF104" s="3065"/>
      <c r="AG104" s="3065"/>
      <c r="AH104" s="3065"/>
      <c r="AI104" s="3065"/>
      <c r="AJ104" s="3066"/>
      <c r="AK104" s="930"/>
      <c r="AL104" s="930"/>
      <c r="AM104" s="930"/>
      <c r="AN104" s="926"/>
      <c r="AO104" s="927" t="str">
        <f>Application!B732</f>
        <v>SRO/Studio</v>
      </c>
      <c r="AQ104" s="927">
        <f>Application!O732</f>
        <v>1357</v>
      </c>
      <c r="AU104" s="1671" t="str">
        <f>E112</f>
        <v>Studio/SRO</v>
      </c>
      <c r="AV104" s="927">
        <f t="array" ref="AV104">SUM(IF(Application!B728:F752="SRO/Studio",Application!G728:J752))</f>
        <v>79</v>
      </c>
      <c r="AW104" s="1706">
        <f>AV104/AV110</f>
        <v>0.71818181818181814</v>
      </c>
    </row>
    <row r="105" spans="1:49" s="927" customFormat="1" ht="12.75" customHeight="1">
      <c r="A105" s="930"/>
      <c r="B105" s="929"/>
      <c r="C105" s="929"/>
      <c r="D105" s="929"/>
      <c r="E105" s="3064"/>
      <c r="F105" s="3065"/>
      <c r="G105" s="3065"/>
      <c r="H105" s="3065"/>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65"/>
      <c r="AD105" s="3065"/>
      <c r="AE105" s="3065"/>
      <c r="AF105" s="3065"/>
      <c r="AG105" s="3065"/>
      <c r="AH105" s="3065"/>
      <c r="AI105" s="3065"/>
      <c r="AJ105" s="3066"/>
      <c r="AK105" s="930"/>
      <c r="AL105" s="930"/>
      <c r="AM105" s="930"/>
      <c r="AN105" s="926"/>
      <c r="AO105" s="927" t="str">
        <f>Application!B733</f>
        <v>2 Bedrooms</v>
      </c>
      <c r="AQ105" s="927">
        <f>Application!O733</f>
        <v>1737</v>
      </c>
      <c r="AU105" s="1671" t="str">
        <f>J112</f>
        <v>1-bedroom</v>
      </c>
      <c r="AV105" s="927">
        <f t="array" ref="AV105">SUM(IF(Application!B728:F752="1 Bedroom",Application!G728:J752))</f>
        <v>0</v>
      </c>
      <c r="AW105" s="1706">
        <f>AV105/AV110</f>
        <v>0</v>
      </c>
    </row>
    <row r="106" spans="1:49" s="927" customFormat="1" ht="12.75" customHeight="1">
      <c r="A106" s="930"/>
      <c r="B106" s="929"/>
      <c r="C106" s="929"/>
      <c r="D106" s="929"/>
      <c r="E106" s="3064"/>
      <c r="F106" s="3065"/>
      <c r="G106" s="3065"/>
      <c r="H106" s="3065"/>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65"/>
      <c r="AD106" s="3065"/>
      <c r="AE106" s="3065"/>
      <c r="AF106" s="3065"/>
      <c r="AG106" s="3065"/>
      <c r="AH106" s="3065"/>
      <c r="AI106" s="3065"/>
      <c r="AJ106" s="3066"/>
      <c r="AK106" s="930"/>
      <c r="AL106" s="930"/>
      <c r="AM106" s="930"/>
      <c r="AN106" s="926"/>
      <c r="AO106" s="927" t="str">
        <f>Application!B734</f>
        <v>SRO/Studio</v>
      </c>
      <c r="AQ106" s="927">
        <f>Application!O734</f>
        <v>1591</v>
      </c>
      <c r="AU106" s="1671" t="str">
        <f>O112</f>
        <v>2-bedroom</v>
      </c>
      <c r="AV106" s="927">
        <f t="array" ref="AV106">SUM(IF(Application!B728:F752="2 Bedrooms",Application!G728:J752))</f>
        <v>31</v>
      </c>
      <c r="AW106" s="1706">
        <f>AV106/AV110</f>
        <v>0.2818181818181818</v>
      </c>
    </row>
    <row r="107" spans="1:49" s="927" customFormat="1" ht="12.75" customHeight="1">
      <c r="A107" s="930"/>
      <c r="B107" s="929"/>
      <c r="C107" s="929"/>
      <c r="D107" s="929"/>
      <c r="E107" s="3064"/>
      <c r="F107" s="3065"/>
      <c r="G107" s="3065"/>
      <c r="H107" s="3065"/>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65"/>
      <c r="AD107" s="3065"/>
      <c r="AE107" s="3065"/>
      <c r="AF107" s="3065"/>
      <c r="AG107" s="3065"/>
      <c r="AH107" s="3065"/>
      <c r="AI107" s="3065"/>
      <c r="AJ107" s="3066"/>
      <c r="AK107" s="930"/>
      <c r="AL107" s="930"/>
      <c r="AM107" s="930"/>
      <c r="AN107" s="926"/>
      <c r="AO107" s="927" t="str">
        <f>Application!B735</f>
        <v>2 Bedrooms</v>
      </c>
      <c r="AQ107" s="927">
        <f>Application!O735</f>
        <v>2037</v>
      </c>
      <c r="AU107" s="1671" t="str">
        <f>T112</f>
        <v>3-bedroom</v>
      </c>
      <c r="AV107" s="927">
        <f t="array" ref="AV107">SUM(IF(Application!B728:F752="3 Bedrooms",Application!G728:J752))</f>
        <v>0</v>
      </c>
      <c r="AW107" s="1706">
        <f>AV107/AV110</f>
        <v>0</v>
      </c>
    </row>
    <row r="108" spans="1:49" s="927" customFormat="1" ht="12.75" customHeight="1">
      <c r="A108" s="930"/>
      <c r="B108" s="929"/>
      <c r="C108" s="929"/>
      <c r="D108" s="929"/>
      <c r="E108" s="3064"/>
      <c r="F108" s="3065"/>
      <c r="G108" s="3065"/>
      <c r="H108" s="3065"/>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65"/>
      <c r="AD108" s="3065"/>
      <c r="AE108" s="3065"/>
      <c r="AF108" s="3065"/>
      <c r="AG108" s="3065"/>
      <c r="AH108" s="3065"/>
      <c r="AI108" s="3065"/>
      <c r="AJ108" s="3066"/>
      <c r="AK108" s="930"/>
      <c r="AL108" s="930"/>
      <c r="AM108" s="930"/>
      <c r="AN108" s="926"/>
      <c r="AO108" s="927" t="str">
        <f>Application!B736</f>
        <v>SRO/Studio</v>
      </c>
      <c r="AQ108" s="927">
        <f>Application!O736</f>
        <v>1668</v>
      </c>
      <c r="AU108" s="1671" t="str">
        <f>Y112</f>
        <v>4-bedroom</v>
      </c>
      <c r="AV108" s="927">
        <f t="array" ref="AV108">SUM(IF(Application!B728:F752="4 Bedrooms",Application!G728:J752))</f>
        <v>0</v>
      </c>
      <c r="AW108" s="1706">
        <f>AV108/AV110</f>
        <v>0</v>
      </c>
    </row>
    <row r="109" spans="1:49" s="927" customFormat="1" ht="12.75" customHeight="1">
      <c r="A109" s="930"/>
      <c r="B109" s="929"/>
      <c r="C109" s="929"/>
      <c r="D109" s="929"/>
      <c r="E109" s="3064"/>
      <c r="F109" s="3065"/>
      <c r="G109" s="3065"/>
      <c r="H109" s="3065"/>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65"/>
      <c r="AD109" s="3065"/>
      <c r="AE109" s="3065"/>
      <c r="AF109" s="3065"/>
      <c r="AG109" s="3065"/>
      <c r="AH109" s="3065"/>
      <c r="AI109" s="3065"/>
      <c r="AJ109" s="3066"/>
      <c r="AK109" s="930"/>
      <c r="AL109" s="930"/>
      <c r="AM109" s="930"/>
      <c r="AN109" s="926"/>
      <c r="AO109" s="927">
        <f>Application!B737</f>
        <v>0</v>
      </c>
      <c r="AQ109" s="927">
        <f>Application!O737</f>
        <v>0</v>
      </c>
      <c r="AU109" s="1671" t="str">
        <f>AD112</f>
        <v>5-bedroom</v>
      </c>
      <c r="AV109" s="927">
        <f t="array" ref="AV109">SUM(IF(Application!B728:F752="5 Bedrooms",Application!G728:J752))</f>
        <v>0</v>
      </c>
      <c r="AW109" s="1706">
        <f>AV109/AV110</f>
        <v>0</v>
      </c>
    </row>
    <row r="110" spans="1:49" s="927" customFormat="1" ht="12.75" customHeight="1">
      <c r="A110" s="930"/>
      <c r="B110" s="929"/>
      <c r="C110" s="929"/>
      <c r="D110" s="929"/>
      <c r="E110" s="3064"/>
      <c r="F110" s="3065"/>
      <c r="G110" s="3065"/>
      <c r="H110" s="3065"/>
      <c r="I110" s="3065"/>
      <c r="J110" s="3065"/>
      <c r="K110" s="3065"/>
      <c r="L110" s="3065"/>
      <c r="M110" s="3065"/>
      <c r="N110" s="3065"/>
      <c r="O110" s="3065"/>
      <c r="P110" s="3065"/>
      <c r="Q110" s="3065"/>
      <c r="R110" s="3065"/>
      <c r="S110" s="3065"/>
      <c r="T110" s="3065"/>
      <c r="U110" s="3065"/>
      <c r="V110" s="3065"/>
      <c r="W110" s="3065"/>
      <c r="X110" s="3065"/>
      <c r="Y110" s="3065"/>
      <c r="Z110" s="3065"/>
      <c r="AA110" s="3065"/>
      <c r="AB110" s="3065"/>
      <c r="AC110" s="3065"/>
      <c r="AD110" s="3065"/>
      <c r="AE110" s="3065"/>
      <c r="AF110" s="3065"/>
      <c r="AG110" s="3065"/>
      <c r="AH110" s="3065"/>
      <c r="AI110" s="3065"/>
      <c r="AJ110" s="3066"/>
      <c r="AK110" s="930"/>
      <c r="AL110" s="930"/>
      <c r="AM110" s="930"/>
      <c r="AN110" s="926"/>
      <c r="AO110" s="927">
        <f>Application!B738</f>
        <v>0</v>
      </c>
      <c r="AQ110" s="927">
        <f>Application!O738</f>
        <v>0</v>
      </c>
      <c r="AV110" s="927">
        <f>SUM(AV104:AV109)</f>
        <v>110</v>
      </c>
      <c r="AW110" s="1706">
        <f>SUM(AW104:AW109)</f>
        <v>1</v>
      </c>
    </row>
    <row r="111" spans="1:49" s="927" customFormat="1" ht="12.75" customHeight="1">
      <c r="A111" s="930"/>
      <c r="B111" s="929"/>
      <c r="C111" s="929"/>
      <c r="D111" s="929"/>
      <c r="E111" s="977"/>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4"/>
      <c r="AK111" s="930"/>
      <c r="AL111" s="930"/>
      <c r="AM111" s="930"/>
      <c r="AN111" s="926"/>
      <c r="AO111" s="927">
        <f>Application!B739</f>
        <v>0</v>
      </c>
      <c r="AQ111" s="927">
        <f>Application!O739</f>
        <v>0</v>
      </c>
    </row>
    <row r="112" spans="1:49" s="927" customFormat="1" ht="12.75" customHeight="1">
      <c r="A112" s="930"/>
      <c r="B112" s="929"/>
      <c r="C112" s="930"/>
      <c r="D112" s="930"/>
      <c r="E112" s="3067" t="s">
        <v>1879</v>
      </c>
      <c r="F112" s="3068"/>
      <c r="G112" s="3068"/>
      <c r="H112" s="3068"/>
      <c r="I112" s="1423"/>
      <c r="J112" s="3068" t="s">
        <v>1932</v>
      </c>
      <c r="K112" s="3068"/>
      <c r="L112" s="3068"/>
      <c r="M112" s="3068"/>
      <c r="N112" s="1423"/>
      <c r="O112" s="3068" t="s">
        <v>1933</v>
      </c>
      <c r="P112" s="3068"/>
      <c r="Q112" s="3068"/>
      <c r="R112" s="3068"/>
      <c r="S112" s="1423"/>
      <c r="T112" s="3068" t="s">
        <v>1597</v>
      </c>
      <c r="U112" s="3068"/>
      <c r="V112" s="3068"/>
      <c r="W112" s="3068"/>
      <c r="X112" s="1423"/>
      <c r="Y112" s="3068" t="s">
        <v>1934</v>
      </c>
      <c r="Z112" s="3068"/>
      <c r="AA112" s="3068"/>
      <c r="AB112" s="3068"/>
      <c r="AC112" s="1423"/>
      <c r="AD112" s="3068" t="s">
        <v>1935</v>
      </c>
      <c r="AE112" s="3068"/>
      <c r="AF112" s="3068"/>
      <c r="AG112" s="3068"/>
      <c r="AH112" s="968"/>
      <c r="AI112" s="968"/>
      <c r="AJ112" s="970"/>
      <c r="AK112" s="930"/>
      <c r="AL112" s="930"/>
      <c r="AM112" s="930"/>
      <c r="AN112" s="926"/>
      <c r="AO112" s="927">
        <f>Application!B740</f>
        <v>0</v>
      </c>
      <c r="AQ112" s="927">
        <f>Application!O740</f>
        <v>0</v>
      </c>
    </row>
    <row r="113" spans="1:52" s="927" customFormat="1" ht="12.75" customHeight="1">
      <c r="A113" s="930"/>
      <c r="B113" s="951"/>
      <c r="C113" s="930"/>
      <c r="D113" s="930"/>
      <c r="E113" s="1426"/>
      <c r="F113" s="1422"/>
      <c r="G113" s="1422"/>
      <c r="H113" s="1422"/>
      <c r="I113" s="1423"/>
      <c r="J113" s="1422"/>
      <c r="K113" s="1422"/>
      <c r="L113" s="1422"/>
      <c r="M113" s="1422"/>
      <c r="N113" s="1423"/>
      <c r="O113" s="1422"/>
      <c r="P113" s="1422"/>
      <c r="Q113" s="1422"/>
      <c r="R113" s="1422"/>
      <c r="S113" s="1423"/>
      <c r="T113" s="1422"/>
      <c r="U113" s="1422"/>
      <c r="V113" s="1422"/>
      <c r="W113" s="1422"/>
      <c r="X113" s="1423"/>
      <c r="Y113" s="1422"/>
      <c r="Z113" s="1422"/>
      <c r="AA113" s="1422"/>
      <c r="AB113" s="1422"/>
      <c r="AC113" s="1423"/>
      <c r="AD113" s="1422"/>
      <c r="AE113" s="1422"/>
      <c r="AF113" s="1422"/>
      <c r="AG113" s="1422"/>
      <c r="AH113" s="1423"/>
      <c r="AI113" s="1423"/>
      <c r="AJ113" s="1424"/>
      <c r="AK113" s="930"/>
      <c r="AL113" s="930"/>
      <c r="AM113" s="930"/>
      <c r="AN113" s="926"/>
      <c r="AO113" s="927">
        <f>Application!B741</f>
        <v>0</v>
      </c>
      <c r="AQ113" s="927">
        <f>Application!O741</f>
        <v>0</v>
      </c>
    </row>
    <row r="114" spans="1:52" s="927" customFormat="1" ht="12.75" customHeight="1">
      <c r="A114" s="930"/>
      <c r="B114" s="951"/>
      <c r="C114" s="930"/>
      <c r="D114" s="930"/>
      <c r="E114" s="1427" t="s">
        <v>1936</v>
      </c>
      <c r="F114" s="1422"/>
      <c r="G114" s="1422"/>
      <c r="H114" s="1422"/>
      <c r="I114" s="1423"/>
      <c r="J114" s="1422"/>
      <c r="K114" s="1422"/>
      <c r="L114" s="1422"/>
      <c r="M114" s="1422"/>
      <c r="N114" s="1423"/>
      <c r="O114" s="1422"/>
      <c r="P114" s="1422"/>
      <c r="Q114" s="1422"/>
      <c r="R114" s="1422"/>
      <c r="S114" s="1423"/>
      <c r="T114" s="1422"/>
      <c r="U114" s="1422"/>
      <c r="V114" s="1422"/>
      <c r="W114" s="1422"/>
      <c r="X114" s="1423"/>
      <c r="Y114" s="1422"/>
      <c r="Z114" s="1422"/>
      <c r="AA114" s="1422"/>
      <c r="AB114" s="1422"/>
      <c r="AC114" s="1423"/>
      <c r="AD114" s="1422"/>
      <c r="AE114" s="1422"/>
      <c r="AF114" s="1422"/>
      <c r="AG114" s="1422"/>
      <c r="AH114" s="1423"/>
      <c r="AI114" s="1423"/>
      <c r="AJ114" s="1424"/>
      <c r="AK114" s="930"/>
      <c r="AL114" s="930"/>
      <c r="AM114" s="930"/>
      <c r="AN114" s="926"/>
      <c r="AO114" s="927">
        <f>Application!B742</f>
        <v>0</v>
      </c>
      <c r="AQ114" s="927">
        <f>Application!O742</f>
        <v>0</v>
      </c>
    </row>
    <row r="115" spans="1:52" s="927" customFormat="1" ht="12.75" customHeight="1">
      <c r="A115" s="930"/>
      <c r="B115" s="951"/>
      <c r="C115" s="930"/>
      <c r="D115" s="930"/>
      <c r="E115" s="3080">
        <v>1668</v>
      </c>
      <c r="F115" s="3057"/>
      <c r="G115" s="3057"/>
      <c r="H115" s="3057"/>
      <c r="I115" s="1425"/>
      <c r="J115" s="3057"/>
      <c r="K115" s="3057"/>
      <c r="L115" s="3057"/>
      <c r="M115" s="3057"/>
      <c r="N115" s="1425"/>
      <c r="O115" s="3057">
        <v>2037</v>
      </c>
      <c r="P115" s="3057"/>
      <c r="Q115" s="3057"/>
      <c r="R115" s="3057"/>
      <c r="S115" s="1425"/>
      <c r="T115" s="3057"/>
      <c r="U115" s="3057"/>
      <c r="V115" s="3057"/>
      <c r="W115" s="3057"/>
      <c r="X115" s="1425"/>
      <c r="Y115" s="3057"/>
      <c r="Z115" s="3057"/>
      <c r="AA115" s="3057"/>
      <c r="AB115" s="3057"/>
      <c r="AC115" s="1425"/>
      <c r="AD115" s="3057"/>
      <c r="AE115" s="3057"/>
      <c r="AF115" s="3057"/>
      <c r="AG115" s="3057"/>
      <c r="AH115" s="1423"/>
      <c r="AI115" s="1423"/>
      <c r="AJ115" s="1424"/>
      <c r="AK115" s="930"/>
      <c r="AL115" s="930"/>
      <c r="AM115" s="930"/>
      <c r="AN115" s="926"/>
      <c r="AO115" s="927">
        <f>Application!B743</f>
        <v>0</v>
      </c>
      <c r="AQ115" s="927">
        <f>Application!O743</f>
        <v>0</v>
      </c>
    </row>
    <row r="116" spans="1:52" s="927" customFormat="1" ht="12.75" customHeight="1">
      <c r="A116" s="930"/>
      <c r="B116" s="951"/>
      <c r="C116" s="930"/>
      <c r="D116" s="930"/>
      <c r="E116" s="1426"/>
      <c r="F116" s="1422"/>
      <c r="G116" s="1422"/>
      <c r="H116" s="1422"/>
      <c r="I116" s="1423"/>
      <c r="J116" s="1422"/>
      <c r="K116" s="1422"/>
      <c r="L116" s="1422"/>
      <c r="M116" s="1422"/>
      <c r="N116" s="1423"/>
      <c r="O116" s="1422"/>
      <c r="P116" s="1422"/>
      <c r="Q116" s="1422"/>
      <c r="R116" s="1422"/>
      <c r="S116" s="1423"/>
      <c r="T116" s="1422"/>
      <c r="U116" s="1422"/>
      <c r="V116" s="1422"/>
      <c r="W116" s="1422"/>
      <c r="X116" s="1423"/>
      <c r="Y116" s="1422"/>
      <c r="Z116" s="1422"/>
      <c r="AA116" s="1422"/>
      <c r="AB116" s="1422"/>
      <c r="AC116" s="1423"/>
      <c r="AD116" s="1422"/>
      <c r="AE116" s="1422"/>
      <c r="AF116" s="1422"/>
      <c r="AG116" s="1422"/>
      <c r="AH116" s="1423"/>
      <c r="AI116" s="1423"/>
      <c r="AJ116" s="1424"/>
      <c r="AK116" s="930"/>
      <c r="AL116" s="930"/>
      <c r="AM116" s="930"/>
      <c r="AN116" s="926"/>
      <c r="AO116" s="927">
        <f>Application!B744</f>
        <v>0</v>
      </c>
      <c r="AQ116" s="927">
        <f>Application!O744</f>
        <v>0</v>
      </c>
      <c r="AU116" s="1704"/>
      <c r="AV116" s="1704"/>
      <c r="AW116" s="1704"/>
      <c r="AX116" s="1704"/>
      <c r="AY116" s="1704"/>
      <c r="AZ116" s="1704"/>
    </row>
    <row r="117" spans="1:52" s="927" customFormat="1" ht="12.75" customHeight="1">
      <c r="A117" s="930"/>
      <c r="B117" s="951"/>
      <c r="C117" s="930"/>
      <c r="D117" s="930"/>
      <c r="E117" s="1427" t="s">
        <v>2285</v>
      </c>
      <c r="F117" s="1422"/>
      <c r="G117" s="1422"/>
      <c r="H117" s="1422"/>
      <c r="I117" s="1423"/>
      <c r="J117" s="1422"/>
      <c r="K117" s="1422"/>
      <c r="L117" s="1422"/>
      <c r="M117" s="1422"/>
      <c r="N117" s="1423"/>
      <c r="O117" s="1422"/>
      <c r="P117" s="1422"/>
      <c r="Q117" s="1422"/>
      <c r="R117" s="1422"/>
      <c r="S117" s="1423"/>
      <c r="T117" s="1422"/>
      <c r="U117" s="1422"/>
      <c r="V117" s="1422"/>
      <c r="W117" s="1422"/>
      <c r="X117" s="1423"/>
      <c r="Y117" s="1422"/>
      <c r="Z117" s="1422"/>
      <c r="AA117" s="1422"/>
      <c r="AB117" s="1422"/>
      <c r="AC117" s="1423"/>
      <c r="AD117" s="1422"/>
      <c r="AE117" s="1422"/>
      <c r="AF117" s="1422"/>
      <c r="AG117" s="1422"/>
      <c r="AH117" s="1423"/>
      <c r="AI117" s="1423"/>
      <c r="AJ117" s="1424"/>
      <c r="AK117" s="930"/>
      <c r="AL117" s="930"/>
      <c r="AM117" s="930"/>
      <c r="AN117" s="926"/>
      <c r="AO117" s="927">
        <f>Application!B745</f>
        <v>0</v>
      </c>
      <c r="AQ117" s="927">
        <f>Application!O745</f>
        <v>0</v>
      </c>
      <c r="AU117" s="1704"/>
      <c r="AV117" s="1704"/>
      <c r="AW117" s="1704"/>
      <c r="AX117" s="1704"/>
      <c r="AY117" s="1704"/>
      <c r="AZ117" s="1704"/>
    </row>
    <row r="118" spans="1:52" s="927" customFormat="1" ht="12.75" customHeight="1">
      <c r="A118" s="930"/>
      <c r="B118" s="929"/>
      <c r="C118" s="930"/>
      <c r="D118" s="930"/>
      <c r="E118" s="3058">
        <f>Application!DX663</f>
        <v>1211.4556962025317</v>
      </c>
      <c r="F118" s="3016"/>
      <c r="G118" s="3016"/>
      <c r="H118" s="3016"/>
      <c r="I118" s="1425"/>
      <c r="J118" s="3016">
        <f>Application!EC663</f>
        <v>0</v>
      </c>
      <c r="K118" s="3016"/>
      <c r="L118" s="3016"/>
      <c r="M118" s="3016"/>
      <c r="N118" s="1425"/>
      <c r="O118" s="3016">
        <f>Application!EH663</f>
        <v>1717.6451612903224</v>
      </c>
      <c r="P118" s="3016"/>
      <c r="Q118" s="3016"/>
      <c r="R118" s="3016"/>
      <c r="S118" s="1429"/>
      <c r="T118" s="3016">
        <f>Application!EM663</f>
        <v>0</v>
      </c>
      <c r="U118" s="3016"/>
      <c r="V118" s="3016"/>
      <c r="W118" s="3016"/>
      <c r="X118" s="1429"/>
      <c r="Y118" s="3016">
        <f>Application!ER663</f>
        <v>0</v>
      </c>
      <c r="Z118" s="3016"/>
      <c r="AA118" s="3016"/>
      <c r="AB118" s="3016"/>
      <c r="AC118" s="1429"/>
      <c r="AD118" s="3016">
        <f>Application!EW663</f>
        <v>0</v>
      </c>
      <c r="AE118" s="3016"/>
      <c r="AF118" s="3016"/>
      <c r="AG118" s="3016"/>
      <c r="AH118" s="968"/>
      <c r="AI118" s="968"/>
      <c r="AJ118" s="970"/>
      <c r="AK118" s="930"/>
      <c r="AL118" s="930"/>
      <c r="AM118" s="930"/>
      <c r="AN118" s="926"/>
      <c r="AO118" s="927">
        <f>Application!B746</f>
        <v>0</v>
      </c>
      <c r="AQ118" s="927">
        <f>Application!O746</f>
        <v>0</v>
      </c>
      <c r="AU118" s="1704"/>
      <c r="AV118" s="1704"/>
      <c r="AW118" s="1705"/>
      <c r="AX118" s="1705"/>
      <c r="AY118" s="1704"/>
      <c r="AZ118" s="1704"/>
    </row>
    <row r="119" spans="1:52" s="927" customFormat="1" ht="12.75" customHeight="1">
      <c r="A119" s="930"/>
      <c r="B119" s="929"/>
      <c r="C119" s="930"/>
      <c r="D119" s="930"/>
      <c r="E119" s="1428"/>
      <c r="F119" s="1422"/>
      <c r="G119" s="1422"/>
      <c r="H119" s="1422"/>
      <c r="I119" s="968"/>
      <c r="J119" s="971"/>
      <c r="K119" s="968"/>
      <c r="L119" s="968"/>
      <c r="M119" s="968"/>
      <c r="N119" s="968"/>
      <c r="O119" s="968"/>
      <c r="P119" s="968"/>
      <c r="Q119" s="968"/>
      <c r="R119" s="968"/>
      <c r="S119" s="968"/>
      <c r="T119" s="968"/>
      <c r="U119" s="968"/>
      <c r="V119" s="968"/>
      <c r="W119" s="968"/>
      <c r="X119" s="968"/>
      <c r="Y119" s="968"/>
      <c r="Z119" s="968"/>
      <c r="AA119" s="968"/>
      <c r="AB119" s="968"/>
      <c r="AC119" s="968"/>
      <c r="AD119" s="968"/>
      <c r="AE119" s="968"/>
      <c r="AF119" s="968"/>
      <c r="AG119" s="968"/>
      <c r="AH119" s="968"/>
      <c r="AI119" s="968"/>
      <c r="AJ119" s="970"/>
      <c r="AK119" s="930"/>
      <c r="AL119" s="930"/>
      <c r="AM119" s="930"/>
      <c r="AN119" s="926"/>
      <c r="AO119" s="927">
        <f>Application!B747</f>
        <v>0</v>
      </c>
      <c r="AQ119" s="927">
        <f>Application!O747</f>
        <v>0</v>
      </c>
      <c r="AU119" s="1704"/>
      <c r="AV119" s="1704"/>
      <c r="AW119" s="1705"/>
      <c r="AX119" s="1705"/>
      <c r="AY119" s="1704"/>
      <c r="AZ119" s="1704"/>
    </row>
    <row r="120" spans="1:52" s="927" customFormat="1" ht="12.75" customHeight="1">
      <c r="A120" s="930"/>
      <c r="B120" s="929"/>
      <c r="C120" s="930"/>
      <c r="D120" s="930"/>
      <c r="E120" s="1427" t="s">
        <v>2286</v>
      </c>
      <c r="F120" s="1422"/>
      <c r="G120" s="1422"/>
      <c r="H120" s="1422"/>
      <c r="I120" s="968"/>
      <c r="J120" s="971"/>
      <c r="K120" s="968"/>
      <c r="L120" s="968"/>
      <c r="M120" s="968"/>
      <c r="N120" s="968"/>
      <c r="O120" s="968"/>
      <c r="P120" s="968"/>
      <c r="Q120" s="968"/>
      <c r="R120" s="968"/>
      <c r="S120" s="968"/>
      <c r="T120" s="968"/>
      <c r="U120" s="968"/>
      <c r="V120" s="968"/>
      <c r="W120" s="968"/>
      <c r="X120" s="968"/>
      <c r="Y120" s="968"/>
      <c r="Z120" s="968"/>
      <c r="AA120" s="968"/>
      <c r="AB120" s="968"/>
      <c r="AC120" s="968"/>
      <c r="AD120" s="968"/>
      <c r="AE120" s="968"/>
      <c r="AF120" s="968"/>
      <c r="AG120" s="968"/>
      <c r="AH120" s="968"/>
      <c r="AI120" s="968"/>
      <c r="AJ120" s="970"/>
      <c r="AK120" s="930"/>
      <c r="AL120" s="930"/>
      <c r="AM120" s="930"/>
      <c r="AN120" s="926"/>
      <c r="AO120" s="927">
        <f>Application!B748</f>
        <v>0</v>
      </c>
      <c r="AQ120" s="927">
        <f>Application!O748</f>
        <v>0</v>
      </c>
      <c r="AU120" s="1704"/>
      <c r="AV120" s="1704"/>
      <c r="AW120" s="1705"/>
      <c r="AX120" s="1705"/>
      <c r="AY120" s="1704"/>
      <c r="AZ120" s="1704"/>
    </row>
    <row r="121" spans="1:52" s="927" customFormat="1" ht="12.75" customHeight="1">
      <c r="A121" s="930"/>
      <c r="B121" s="929"/>
      <c r="C121" s="930"/>
      <c r="D121" s="930"/>
      <c r="E121" s="3280">
        <f>(E115-E118)/E115</f>
        <v>0.27370761618553252</v>
      </c>
      <c r="F121" s="3281"/>
      <c r="G121" s="3281"/>
      <c r="H121" s="3282"/>
      <c r="I121" s="968"/>
      <c r="J121" s="3280" t="e">
        <f>(J115-J118)/J115</f>
        <v>#DIV/0!</v>
      </c>
      <c r="K121" s="3281"/>
      <c r="L121" s="3281"/>
      <c r="M121" s="3282"/>
      <c r="N121" s="968"/>
      <c r="O121" s="3280">
        <f>(O115-O118)/O115</f>
        <v>0.15677704404009699</v>
      </c>
      <c r="P121" s="3281"/>
      <c r="Q121" s="3281"/>
      <c r="R121" s="3282"/>
      <c r="S121" s="968"/>
      <c r="T121" s="3280" t="e">
        <f>(T115-T118)/T115</f>
        <v>#DIV/0!</v>
      </c>
      <c r="U121" s="3281"/>
      <c r="V121" s="3281"/>
      <c r="W121" s="3282"/>
      <c r="X121" s="968"/>
      <c r="Y121" s="3280" t="e">
        <f>(Y115-Y118)/Y115</f>
        <v>#DIV/0!</v>
      </c>
      <c r="Z121" s="3281"/>
      <c r="AA121" s="3281"/>
      <c r="AB121" s="3282"/>
      <c r="AC121" s="968"/>
      <c r="AD121" s="3280" t="e">
        <f>(AD115-AD118)/AD115</f>
        <v>#DIV/0!</v>
      </c>
      <c r="AE121" s="3281"/>
      <c r="AF121" s="3281"/>
      <c r="AG121" s="3282"/>
      <c r="AH121" s="968"/>
      <c r="AI121" s="968"/>
      <c r="AJ121" s="970"/>
      <c r="AK121" s="930"/>
      <c r="AL121" s="930"/>
      <c r="AM121" s="930"/>
      <c r="AN121" s="926"/>
      <c r="AO121" s="927">
        <f>Application!B749</f>
        <v>0</v>
      </c>
      <c r="AQ121" s="927">
        <f>Application!O749</f>
        <v>0</v>
      </c>
      <c r="AU121" s="1704"/>
      <c r="AV121" s="1704"/>
      <c r="AW121" s="1705"/>
      <c r="AX121" s="1705"/>
      <c r="AY121" s="1704"/>
      <c r="AZ121" s="1704"/>
    </row>
    <row r="122" spans="1:52" s="927" customFormat="1" ht="12.75" customHeight="1">
      <c r="A122" s="930"/>
      <c r="B122" s="929"/>
      <c r="C122" s="930"/>
      <c r="D122" s="930"/>
      <c r="E122" s="1684"/>
      <c r="F122" s="1683"/>
      <c r="G122" s="1683"/>
      <c r="H122" s="1683"/>
      <c r="I122" s="968"/>
      <c r="J122" s="1683"/>
      <c r="K122" s="1683"/>
      <c r="L122" s="1683"/>
      <c r="M122" s="1683"/>
      <c r="N122" s="968"/>
      <c r="O122" s="1683"/>
      <c r="P122" s="1683"/>
      <c r="Q122" s="1683"/>
      <c r="R122" s="1683"/>
      <c r="S122" s="968"/>
      <c r="T122" s="1683"/>
      <c r="U122" s="1683"/>
      <c r="V122" s="1683"/>
      <c r="W122" s="1683"/>
      <c r="X122" s="968"/>
      <c r="Y122" s="1683"/>
      <c r="Z122" s="1683"/>
      <c r="AA122" s="1683"/>
      <c r="AB122" s="1683"/>
      <c r="AC122" s="968"/>
      <c r="AD122" s="1683"/>
      <c r="AE122" s="1683"/>
      <c r="AF122" s="1683"/>
      <c r="AG122" s="1683"/>
      <c r="AH122" s="968"/>
      <c r="AI122" s="968"/>
      <c r="AJ122" s="970"/>
      <c r="AK122" s="930"/>
      <c r="AL122" s="930"/>
      <c r="AM122" s="930"/>
      <c r="AN122" s="926"/>
      <c r="AO122" s="927">
        <f>Application!B750</f>
        <v>0</v>
      </c>
      <c r="AQ122" s="927">
        <f>Application!O750</f>
        <v>0</v>
      </c>
      <c r="AU122" s="1704"/>
      <c r="AV122" s="1704"/>
      <c r="AW122" s="1705"/>
      <c r="AX122" s="1705"/>
      <c r="AY122" s="1704"/>
      <c r="AZ122" s="1704"/>
    </row>
    <row r="123" spans="1:52" s="927" customFormat="1" ht="12.75" customHeight="1">
      <c r="A123" s="930"/>
      <c r="B123" s="929"/>
      <c r="C123" s="930"/>
      <c r="D123" s="930"/>
      <c r="E123" s="1685" t="s">
        <v>2287</v>
      </c>
      <c r="F123" s="1683"/>
      <c r="G123" s="1683"/>
      <c r="H123" s="1683"/>
      <c r="I123" s="968"/>
      <c r="J123" s="1683"/>
      <c r="K123" s="1683"/>
      <c r="L123" s="1683"/>
      <c r="M123" s="1683"/>
      <c r="N123" s="968"/>
      <c r="O123" s="1683"/>
      <c r="P123" s="1683"/>
      <c r="Q123" s="1683"/>
      <c r="R123" s="1683"/>
      <c r="S123" s="968"/>
      <c r="T123" s="1683"/>
      <c r="U123" s="1683"/>
      <c r="V123" s="1683"/>
      <c r="W123" s="1683"/>
      <c r="X123" s="968"/>
      <c r="Y123" s="1683"/>
      <c r="Z123" s="1683"/>
      <c r="AA123" s="1683"/>
      <c r="AB123" s="1683"/>
      <c r="AC123" s="968"/>
      <c r="AD123" s="1683"/>
      <c r="AE123" s="1683"/>
      <c r="AF123" s="1683"/>
      <c r="AG123" s="1683"/>
      <c r="AH123" s="968"/>
      <c r="AI123" s="968"/>
      <c r="AJ123" s="970"/>
      <c r="AK123" s="930"/>
      <c r="AL123" s="930"/>
      <c r="AM123" s="930"/>
      <c r="AN123" s="926"/>
      <c r="AO123" s="927">
        <f>Application!B751</f>
        <v>0</v>
      </c>
      <c r="AQ123" s="927">
        <f>Application!O751</f>
        <v>0</v>
      </c>
      <c r="AU123" s="1705"/>
      <c r="AV123" s="1704"/>
      <c r="AW123" s="1705"/>
      <c r="AX123" s="1705"/>
      <c r="AY123" s="1704"/>
      <c r="AZ123" s="1704"/>
    </row>
    <row r="124" spans="1:52" s="927" customFormat="1" ht="12.75" customHeight="1">
      <c r="A124" s="930"/>
      <c r="B124" s="929"/>
      <c r="C124" s="930"/>
      <c r="D124" s="930"/>
      <c r="E124" s="3013">
        <f>IF(((E121-0.1)*AW104)&gt;0,((E121-0.1)*AW104),0)</f>
        <v>0.12475365162415517</v>
      </c>
      <c r="F124" s="3014"/>
      <c r="G124" s="3014"/>
      <c r="H124" s="3015"/>
      <c r="I124" s="968"/>
      <c r="J124" s="3013" t="e">
        <f>IF(((J121-0.1)*AW105)&gt;0,((J121-0.1)*AW105),0)</f>
        <v>#DIV/0!</v>
      </c>
      <c r="K124" s="3014"/>
      <c r="L124" s="3014"/>
      <c r="M124" s="3015"/>
      <c r="N124" s="968"/>
      <c r="O124" s="3013">
        <f>IF(((O121-0.1)*AW106)&gt;0,((O121-0.1)*AW106),0)</f>
        <v>1.6000803320390965E-2</v>
      </c>
      <c r="P124" s="3014"/>
      <c r="Q124" s="3014"/>
      <c r="R124" s="3015"/>
      <c r="S124" s="968"/>
      <c r="T124" s="3013" t="e">
        <f>IF(((T121-0.1)*AW107)&gt;0,((T121-0.1)*AW107),0)</f>
        <v>#DIV/0!</v>
      </c>
      <c r="U124" s="3014"/>
      <c r="V124" s="3014"/>
      <c r="W124" s="3015"/>
      <c r="X124" s="968"/>
      <c r="Y124" s="3013" t="e">
        <f>IF(((Y121-0.1)*AW108)&gt;0,((Y121-0.1)*AW108),0)</f>
        <v>#DIV/0!</v>
      </c>
      <c r="Z124" s="3014"/>
      <c r="AA124" s="3014"/>
      <c r="AB124" s="3015"/>
      <c r="AC124" s="968"/>
      <c r="AD124" s="3013" t="e">
        <f>IF(((AD121-0.1)*AW109)&gt;0,((AD121-0.1)*AW109),0)</f>
        <v>#DIV/0!</v>
      </c>
      <c r="AE124" s="3014"/>
      <c r="AF124" s="3014"/>
      <c r="AG124" s="3015"/>
      <c r="AH124" s="968"/>
      <c r="AI124" s="968"/>
      <c r="AJ124" s="970"/>
      <c r="AK124" s="930"/>
      <c r="AL124" s="930"/>
      <c r="AM124" s="930"/>
      <c r="AN124" s="926"/>
      <c r="AO124" s="927">
        <f>Application!B752</f>
        <v>0</v>
      </c>
      <c r="AQ124" s="927">
        <f>Application!O752</f>
        <v>0</v>
      </c>
      <c r="AU124" s="1704"/>
      <c r="AV124" s="1704"/>
      <c r="AW124" s="1704"/>
      <c r="AX124" s="1705"/>
      <c r="AY124" s="1704"/>
      <c r="AZ124" s="1704"/>
    </row>
    <row r="125" spans="1:52" s="927" customFormat="1" ht="12.75" customHeight="1">
      <c r="A125" s="930"/>
      <c r="B125" s="929"/>
      <c r="C125" s="930"/>
      <c r="D125" s="930"/>
      <c r="E125" s="1428"/>
      <c r="F125" s="1422"/>
      <c r="G125" s="1422"/>
      <c r="H125" s="1422"/>
      <c r="I125" s="968"/>
      <c r="J125" s="971"/>
      <c r="K125" s="968"/>
      <c r="L125" s="968"/>
      <c r="M125" s="968"/>
      <c r="N125" s="968"/>
      <c r="O125" s="968"/>
      <c r="P125" s="968"/>
      <c r="Q125" s="968"/>
      <c r="R125" s="968"/>
      <c r="S125" s="968"/>
      <c r="T125" s="968"/>
      <c r="U125" s="968"/>
      <c r="V125" s="968"/>
      <c r="W125" s="968"/>
      <c r="X125" s="968"/>
      <c r="Y125" s="968"/>
      <c r="Z125" s="968"/>
      <c r="AA125" s="968"/>
      <c r="AB125" s="968"/>
      <c r="AC125" s="968"/>
      <c r="AD125" s="968"/>
      <c r="AE125" s="968"/>
      <c r="AF125" s="968"/>
      <c r="AG125" s="968"/>
      <c r="AH125" s="968"/>
      <c r="AI125" s="968"/>
      <c r="AJ125" s="970"/>
      <c r="AK125" s="930"/>
      <c r="AL125" s="930"/>
      <c r="AM125" s="930"/>
      <c r="AN125" s="926"/>
      <c r="AU125" s="1704"/>
      <c r="AV125" s="1704"/>
      <c r="AW125" s="1704"/>
      <c r="AX125" s="1704"/>
      <c r="AY125" s="1704"/>
      <c r="AZ125" s="1704"/>
    </row>
    <row r="126" spans="1:52" s="927" customFormat="1" ht="12.75" customHeight="1">
      <c r="A126" s="930"/>
      <c r="B126" s="929"/>
      <c r="C126" s="930"/>
      <c r="D126" s="930"/>
      <c r="E126" s="3280">
        <f>ROUNDDOWN(SUMIF(E124:AG124,"&gt;0"),2)</f>
        <v>0.14000000000000001</v>
      </c>
      <c r="F126" s="3281"/>
      <c r="G126" s="3281"/>
      <c r="H126" s="3282"/>
      <c r="I126" s="1423"/>
      <c r="J126" s="1430" t="s">
        <v>2288</v>
      </c>
      <c r="K126" s="1423"/>
      <c r="L126" s="1423"/>
      <c r="M126" s="1423"/>
      <c r="N126" s="1423"/>
      <c r="O126" s="1423"/>
      <c r="P126" s="968"/>
      <c r="Q126" s="968"/>
      <c r="R126" s="968"/>
      <c r="S126" s="968"/>
      <c r="T126" s="968"/>
      <c r="U126" s="968"/>
      <c r="V126" s="968"/>
      <c r="W126" s="968"/>
      <c r="X126" s="968"/>
      <c r="Y126" s="968"/>
      <c r="Z126" s="968"/>
      <c r="AA126" s="968"/>
      <c r="AB126" s="968"/>
      <c r="AC126" s="968"/>
      <c r="AD126" s="1431"/>
      <c r="AE126" s="1431"/>
      <c r="AF126" s="1431"/>
      <c r="AG126" s="1431"/>
      <c r="AH126" s="968"/>
      <c r="AI126" s="968"/>
      <c r="AJ126" s="970"/>
      <c r="AK126" s="930"/>
      <c r="AL126" s="930"/>
      <c r="AM126" s="930"/>
      <c r="AN126" s="926"/>
      <c r="AU126" s="1704"/>
      <c r="AV126" s="1704"/>
      <c r="AW126" s="1704"/>
      <c r="AX126" s="1705"/>
      <c r="AY126" s="1704"/>
      <c r="AZ126" s="1704"/>
    </row>
    <row r="127" spans="1:52" s="927" customFormat="1" ht="12.75" customHeight="1">
      <c r="A127" s="930"/>
      <c r="B127" s="929"/>
      <c r="C127" s="930"/>
      <c r="D127" s="930"/>
      <c r="E127" s="3053">
        <f>IF((E126*100)&gt;10,10,E126*100)</f>
        <v>10</v>
      </c>
      <c r="F127" s="3054"/>
      <c r="G127" s="3054"/>
      <c r="H127" s="3055"/>
      <c r="I127" s="968"/>
      <c r="J127" s="971" t="s">
        <v>1591</v>
      </c>
      <c r="K127" s="968"/>
      <c r="L127" s="968"/>
      <c r="M127" s="968"/>
      <c r="N127" s="968"/>
      <c r="O127" s="968"/>
      <c r="P127" s="968"/>
      <c r="Q127" s="968"/>
      <c r="R127" s="968"/>
      <c r="S127" s="968"/>
      <c r="T127" s="968"/>
      <c r="U127" s="968"/>
      <c r="V127" s="968"/>
      <c r="W127" s="968"/>
      <c r="X127" s="968"/>
      <c r="Y127" s="968"/>
      <c r="Z127" s="968"/>
      <c r="AA127" s="968"/>
      <c r="AB127" s="968"/>
      <c r="AC127" s="968"/>
      <c r="AD127" s="968"/>
      <c r="AE127" s="968"/>
      <c r="AF127" s="968"/>
      <c r="AG127" s="968"/>
      <c r="AH127" s="968"/>
      <c r="AI127" s="968"/>
      <c r="AJ127" s="970"/>
      <c r="AK127" s="930"/>
      <c r="AL127" s="930"/>
      <c r="AM127" s="930"/>
      <c r="AN127" s="926"/>
      <c r="AU127" s="1704"/>
      <c r="AV127" s="1704"/>
      <c r="AW127" s="1704"/>
      <c r="AX127" s="1704"/>
      <c r="AY127" s="1704"/>
      <c r="AZ127" s="1704"/>
    </row>
    <row r="128" spans="1:52" s="927" customFormat="1" ht="12.75" customHeight="1">
      <c r="A128" s="930"/>
      <c r="B128" s="930"/>
      <c r="C128" s="930"/>
      <c r="D128" s="930"/>
      <c r="E128" s="979"/>
      <c r="F128" s="980"/>
      <c r="G128" s="980"/>
      <c r="H128" s="980"/>
      <c r="I128" s="980"/>
      <c r="J128" s="980"/>
      <c r="K128" s="980"/>
      <c r="L128" s="980"/>
      <c r="M128" s="980"/>
      <c r="N128" s="980"/>
      <c r="O128" s="980"/>
      <c r="P128" s="980"/>
      <c r="Q128" s="980"/>
      <c r="R128" s="980"/>
      <c r="S128" s="980"/>
      <c r="T128" s="980"/>
      <c r="U128" s="980"/>
      <c r="V128" s="980"/>
      <c r="W128" s="980"/>
      <c r="X128" s="980"/>
      <c r="Y128" s="980"/>
      <c r="Z128" s="980"/>
      <c r="AA128" s="980"/>
      <c r="AB128" s="980"/>
      <c r="AC128" s="980"/>
      <c r="AD128" s="980"/>
      <c r="AE128" s="980"/>
      <c r="AF128" s="980"/>
      <c r="AG128" s="980"/>
      <c r="AH128" s="980"/>
      <c r="AI128" s="980"/>
      <c r="AJ128" s="981"/>
      <c r="AK128" s="930"/>
      <c r="AL128" s="930"/>
      <c r="AM128" s="930"/>
      <c r="AN128" s="926"/>
      <c r="AT128" s="1667"/>
      <c r="AU128" s="1704"/>
      <c r="AV128" s="1704"/>
      <c r="AW128" s="1705"/>
      <c r="AX128" s="1704"/>
      <c r="AY128" s="1704"/>
      <c r="AZ128" s="1704"/>
    </row>
    <row r="129" spans="1:52" s="927" customFormat="1" ht="12.75" customHeight="1">
      <c r="A129" s="930"/>
      <c r="B129" s="930"/>
      <c r="C129" s="930"/>
      <c r="D129" s="930"/>
      <c r="E129" s="930"/>
      <c r="F129" s="930"/>
      <c r="G129" s="930"/>
      <c r="H129" s="930"/>
      <c r="I129" s="930"/>
      <c r="J129" s="930"/>
      <c r="K129" s="930"/>
      <c r="L129" s="930"/>
      <c r="M129" s="930"/>
      <c r="N129" s="930"/>
      <c r="O129" s="930"/>
      <c r="P129" s="930"/>
      <c r="Q129" s="930"/>
      <c r="R129" s="930"/>
      <c r="S129" s="930"/>
      <c r="T129" s="930"/>
      <c r="U129" s="930"/>
      <c r="V129" s="930"/>
      <c r="W129" s="930"/>
      <c r="X129" s="930"/>
      <c r="Y129" s="930"/>
      <c r="Z129" s="930"/>
      <c r="AA129" s="930"/>
      <c r="AB129" s="930"/>
      <c r="AC129" s="930"/>
      <c r="AD129" s="930"/>
      <c r="AE129" s="930"/>
      <c r="AF129" s="930"/>
      <c r="AG129" s="930"/>
      <c r="AH129" s="930"/>
      <c r="AI129" s="930"/>
      <c r="AJ129" s="930"/>
      <c r="AK129" s="930"/>
      <c r="AL129" s="930"/>
      <c r="AM129" s="930"/>
      <c r="AN129" s="926"/>
      <c r="AU129" s="1704"/>
      <c r="AV129" s="1704"/>
      <c r="AW129" s="1704"/>
      <c r="AX129" s="1704"/>
      <c r="AY129" s="1704"/>
      <c r="AZ129" s="1704"/>
    </row>
    <row r="130" spans="1:52" s="927" customFormat="1" ht="12.75" customHeight="1">
      <c r="A130" s="930"/>
      <c r="B130" s="930"/>
      <c r="C130" s="930"/>
      <c r="D130" s="930"/>
      <c r="E130" s="930"/>
      <c r="F130" s="930"/>
      <c r="G130" s="930"/>
      <c r="H130" s="930"/>
      <c r="I130" s="930"/>
      <c r="J130" s="930"/>
      <c r="K130" s="930"/>
      <c r="L130" s="930"/>
      <c r="M130" s="930"/>
      <c r="N130" s="930"/>
      <c r="O130" s="930"/>
      <c r="P130" s="930"/>
      <c r="Q130" s="930"/>
      <c r="R130" s="930"/>
      <c r="S130" s="930"/>
      <c r="T130" s="930"/>
      <c r="U130" s="930"/>
      <c r="V130" s="930"/>
      <c r="W130" s="930"/>
      <c r="X130" s="930"/>
      <c r="Y130" s="930"/>
      <c r="Z130" s="930"/>
      <c r="AA130" s="930"/>
      <c r="AB130" s="930"/>
      <c r="AC130" s="930"/>
      <c r="AD130" s="930"/>
      <c r="AE130" s="930"/>
      <c r="AF130" s="930"/>
      <c r="AG130" s="930"/>
      <c r="AH130" s="930"/>
      <c r="AI130" s="930"/>
      <c r="AJ130" s="930"/>
      <c r="AK130" s="930"/>
      <c r="AL130" s="930"/>
      <c r="AM130" s="930"/>
      <c r="AN130" s="926"/>
    </row>
    <row r="131" spans="1:52" s="927" customFormat="1" ht="12.75" customHeight="1">
      <c r="A131" s="952"/>
      <c r="B131" s="953"/>
      <c r="C131" s="953"/>
      <c r="D131" s="953"/>
      <c r="E131" s="953"/>
      <c r="F131" s="953"/>
      <c r="G131" s="954"/>
      <c r="H131" s="955"/>
      <c r="I131" s="955"/>
      <c r="J131" s="955"/>
      <c r="K131" s="955"/>
      <c r="L131" s="955"/>
      <c r="M131" s="955"/>
      <c r="N131" s="955"/>
      <c r="O131" s="955"/>
      <c r="P131" s="955"/>
      <c r="Q131" s="955"/>
      <c r="R131" s="955"/>
      <c r="S131" s="955"/>
      <c r="T131" s="955"/>
      <c r="U131" s="955"/>
      <c r="V131" s="955"/>
      <c r="W131" s="955"/>
      <c r="X131" s="955"/>
      <c r="Y131" s="955"/>
      <c r="Z131" s="955"/>
      <c r="AA131" s="955"/>
      <c r="AB131" s="955"/>
      <c r="AC131" s="955"/>
      <c r="AD131" s="955"/>
      <c r="AE131" s="955"/>
      <c r="AF131" s="955"/>
      <c r="AG131" s="955"/>
      <c r="AH131" s="955"/>
      <c r="AI131" s="956"/>
      <c r="AJ131" s="956" t="s">
        <v>1598</v>
      </c>
      <c r="AK131" s="3053">
        <f>E127</f>
        <v>10</v>
      </c>
      <c r="AL131" s="3054"/>
      <c r="AM131" s="3055"/>
      <c r="AN131" s="926"/>
    </row>
    <row r="132" spans="1:52" s="927" customFormat="1" ht="12.75" customHeight="1" thickBot="1">
      <c r="A132" s="957"/>
      <c r="B132" s="958"/>
      <c r="C132" s="959"/>
      <c r="D132" s="959"/>
      <c r="E132" s="959"/>
      <c r="F132" s="959"/>
      <c r="G132" s="959"/>
      <c r="H132" s="959"/>
      <c r="I132" s="959"/>
      <c r="J132" s="959"/>
      <c r="K132" s="959"/>
      <c r="L132" s="959"/>
      <c r="M132" s="959"/>
      <c r="N132" s="959"/>
      <c r="O132" s="959"/>
      <c r="P132" s="959"/>
      <c r="Q132" s="959"/>
      <c r="R132" s="959"/>
      <c r="S132" s="959"/>
      <c r="T132" s="959"/>
      <c r="U132" s="959"/>
      <c r="V132" s="959"/>
      <c r="W132" s="959"/>
      <c r="X132" s="959"/>
      <c r="Y132" s="959"/>
      <c r="Z132" s="959"/>
      <c r="AA132" s="959"/>
      <c r="AB132" s="959"/>
      <c r="AC132" s="959"/>
      <c r="AD132" s="959"/>
      <c r="AE132" s="959"/>
      <c r="AF132" s="959"/>
      <c r="AG132" s="959"/>
      <c r="AH132" s="959"/>
      <c r="AI132" s="959"/>
      <c r="AJ132" s="959"/>
      <c r="AK132" s="959"/>
      <c r="AL132" s="959"/>
      <c r="AM132" s="960"/>
      <c r="AN132" s="926"/>
    </row>
    <row r="133" spans="1:52" s="924" customFormat="1" ht="12.75" customHeight="1" thickTop="1">
      <c r="A133" s="961"/>
      <c r="B133" s="962"/>
      <c r="C133" s="963"/>
      <c r="D133" s="963"/>
      <c r="E133" s="963"/>
      <c r="F133" s="963"/>
      <c r="G133" s="963"/>
      <c r="H133" s="963"/>
      <c r="I133" s="964"/>
      <c r="J133" s="964"/>
      <c r="K133" s="964"/>
      <c r="L133" s="964"/>
      <c r="M133" s="964"/>
      <c r="N133" s="964"/>
      <c r="O133" s="964"/>
      <c r="P133" s="964"/>
      <c r="Q133" s="964"/>
      <c r="R133" s="961"/>
      <c r="S133" s="929"/>
      <c r="T133" s="929"/>
      <c r="U133" s="929"/>
      <c r="V133" s="929"/>
      <c r="W133" s="929"/>
      <c r="X133" s="929"/>
      <c r="Y133" s="929"/>
      <c r="Z133" s="929"/>
      <c r="AA133" s="929"/>
      <c r="AB133" s="929"/>
      <c r="AC133" s="929"/>
      <c r="AD133" s="929"/>
      <c r="AE133" s="929"/>
      <c r="AF133" s="961"/>
      <c r="AG133" s="929"/>
      <c r="AH133" s="929"/>
      <c r="AI133" s="929"/>
      <c r="AJ133" s="929"/>
      <c r="AK133" s="940"/>
      <c r="AL133" s="940"/>
      <c r="AM133" s="940"/>
      <c r="AN133" s="923"/>
      <c r="AO133" s="927"/>
    </row>
    <row r="134" spans="1:52" s="929" customFormat="1" ht="12.75" customHeight="1">
      <c r="A134" s="928" t="s">
        <v>1599</v>
      </c>
      <c r="AE134" s="3038" t="s">
        <v>1577</v>
      </c>
      <c r="AF134" s="3038"/>
      <c r="AG134" s="3038"/>
      <c r="AH134" s="3038"/>
      <c r="AI134" s="3038"/>
      <c r="AJ134" s="3038"/>
      <c r="AK134" s="3038"/>
      <c r="AL134" s="982"/>
      <c r="AM134" s="983"/>
      <c r="AN134" s="984"/>
      <c r="AO134" s="927"/>
    </row>
    <row r="135" spans="1:52" s="929" customFormat="1" ht="13" customHeight="1">
      <c r="A135" s="928"/>
      <c r="AE135" s="982"/>
      <c r="AF135" s="982"/>
      <c r="AG135" s="982"/>
      <c r="AH135" s="982"/>
      <c r="AI135" s="982"/>
      <c r="AJ135" s="982"/>
      <c r="AK135" s="982"/>
      <c r="AL135" s="982"/>
      <c r="AM135" s="983"/>
      <c r="AN135" s="984"/>
    </row>
    <row r="136" spans="1:52" s="924" customFormat="1" ht="12.75" customHeight="1">
      <c r="A136" s="928"/>
      <c r="B136" s="928" t="s">
        <v>1600</v>
      </c>
      <c r="C136" s="929"/>
      <c r="D136" s="929"/>
      <c r="E136" s="929"/>
      <c r="F136" s="929"/>
      <c r="G136" s="929"/>
      <c r="H136" s="929"/>
      <c r="I136" s="929"/>
      <c r="J136" s="929"/>
      <c r="K136" s="929"/>
      <c r="L136" s="929"/>
      <c r="M136" s="929"/>
      <c r="N136" s="929"/>
      <c r="O136" s="929"/>
      <c r="P136" s="929"/>
      <c r="Q136" s="929"/>
      <c r="R136" s="929"/>
      <c r="S136" s="929"/>
      <c r="T136" s="929"/>
      <c r="U136" s="929"/>
      <c r="V136" s="929"/>
      <c r="W136" s="929"/>
      <c r="X136" s="929"/>
      <c r="Y136" s="929"/>
      <c r="Z136" s="929"/>
      <c r="AA136" s="929"/>
      <c r="AB136" s="929"/>
      <c r="AC136" s="929"/>
      <c r="AD136" s="929"/>
      <c r="AF136" s="3076" t="s">
        <v>1601</v>
      </c>
      <c r="AG136" s="3076"/>
      <c r="AH136" s="3076"/>
      <c r="AI136" s="3076"/>
      <c r="AJ136" s="3076"/>
      <c r="AK136" s="3076"/>
      <c r="AL136" s="3076"/>
      <c r="AM136" s="983"/>
      <c r="AN136" s="923"/>
    </row>
    <row r="137" spans="1:52" s="924" customFormat="1" ht="12.75" customHeight="1">
      <c r="A137" s="928"/>
      <c r="B137" s="985" t="s">
        <v>563</v>
      </c>
      <c r="C137" s="1013"/>
      <c r="D137" s="1013"/>
      <c r="E137" s="1013"/>
      <c r="F137" s="1013"/>
      <c r="G137" s="1013"/>
      <c r="H137" s="1013"/>
      <c r="I137" s="1013"/>
      <c r="J137" s="1013"/>
      <c r="K137" s="1013"/>
      <c r="L137" s="1013"/>
      <c r="M137" s="1013"/>
      <c r="N137" s="1013"/>
      <c r="O137" s="1013"/>
      <c r="P137" s="1013"/>
      <c r="Q137" s="1013"/>
      <c r="R137" s="1013"/>
      <c r="S137" s="1013"/>
      <c r="T137" s="1013"/>
      <c r="U137" s="1013"/>
      <c r="V137" s="1013"/>
      <c r="W137" s="1013"/>
      <c r="X137" s="1013"/>
      <c r="Y137" s="1013"/>
      <c r="Z137" s="1013"/>
      <c r="AA137" s="1013"/>
      <c r="AB137" s="1013"/>
      <c r="AC137" s="1013"/>
      <c r="AD137" s="929"/>
      <c r="AL137" s="1501"/>
      <c r="AM137" s="983"/>
      <c r="AN137" s="923"/>
    </row>
    <row r="138" spans="1:52" s="924" customFormat="1" ht="15" customHeight="1">
      <c r="A138" s="928"/>
      <c r="B138" s="3077" t="s">
        <v>2500</v>
      </c>
      <c r="C138" s="3077"/>
      <c r="D138" s="3077"/>
      <c r="E138" s="3077"/>
      <c r="F138" s="3077"/>
      <c r="G138" s="3077"/>
      <c r="H138" s="3077"/>
      <c r="I138" s="3077"/>
      <c r="J138" s="3077"/>
      <c r="K138" s="3077"/>
      <c r="L138" s="3077"/>
      <c r="M138" s="3077"/>
      <c r="N138" s="3077"/>
      <c r="O138" s="3077"/>
      <c r="P138" s="3077"/>
      <c r="Q138" s="3077"/>
      <c r="R138" s="3077"/>
      <c r="S138" s="3077"/>
      <c r="T138" s="3077"/>
      <c r="U138" s="3077"/>
      <c r="V138" s="3077"/>
      <c r="W138" s="3077"/>
      <c r="X138" s="3077"/>
      <c r="Y138" s="3077"/>
      <c r="Z138" s="3077"/>
      <c r="AA138" s="3077"/>
      <c r="AB138" s="3077"/>
      <c r="AC138" s="3077"/>
      <c r="AD138" s="929"/>
      <c r="AE138" s="1501"/>
      <c r="AF138" s="1501"/>
      <c r="AG138" s="1501"/>
      <c r="AH138" s="1501"/>
      <c r="AI138" s="1501"/>
      <c r="AJ138" s="1501"/>
      <c r="AK138" s="1501"/>
      <c r="AL138" s="1501"/>
      <c r="AM138" s="983"/>
      <c r="AN138" s="923"/>
      <c r="AO138" s="988"/>
      <c r="AP138" s="989"/>
    </row>
    <row r="139" spans="1:52" s="927" customFormat="1" ht="12.75" customHeight="1">
      <c r="A139" s="928"/>
      <c r="B139" s="928"/>
      <c r="C139" s="929"/>
      <c r="D139" s="929"/>
      <c r="E139" s="929"/>
      <c r="F139" s="929"/>
      <c r="G139" s="929"/>
      <c r="H139" s="929"/>
      <c r="I139" s="929"/>
      <c r="J139" s="929"/>
      <c r="K139" s="929"/>
      <c r="L139" s="929"/>
      <c r="M139" s="929"/>
      <c r="N139" s="929"/>
      <c r="O139" s="929"/>
      <c r="P139" s="929"/>
      <c r="Q139" s="929"/>
      <c r="R139" s="929"/>
      <c r="S139" s="929"/>
      <c r="T139" s="929"/>
      <c r="U139" s="929"/>
      <c r="V139" s="929"/>
      <c r="W139" s="929"/>
      <c r="X139" s="929"/>
      <c r="Y139" s="929"/>
      <c r="Z139" s="929"/>
      <c r="AA139" s="929"/>
      <c r="AB139" s="929"/>
      <c r="AC139" s="929"/>
      <c r="AD139" s="929"/>
      <c r="AE139" s="1501"/>
      <c r="AF139" s="1501"/>
      <c r="AG139" s="1501"/>
      <c r="AH139" s="1501"/>
      <c r="AI139" s="1501"/>
      <c r="AJ139" s="1501"/>
      <c r="AK139" s="1501"/>
      <c r="AL139" s="1501"/>
      <c r="AM139" s="983"/>
      <c r="AN139" s="926"/>
      <c r="AO139" s="921" t="s">
        <v>315</v>
      </c>
      <c r="AP139" s="935"/>
    </row>
    <row r="140" spans="1:52" s="924" customFormat="1" ht="12.75" customHeight="1">
      <c r="A140" s="928"/>
      <c r="B140" s="929" t="s">
        <v>1602</v>
      </c>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929"/>
      <c r="AL140" s="929"/>
      <c r="AM140" s="983"/>
      <c r="AN140" s="923"/>
      <c r="AO140" s="991" t="s">
        <v>1603</v>
      </c>
      <c r="AP140" s="992">
        <v>5</v>
      </c>
    </row>
    <row r="141" spans="1:52" s="924" customFormat="1" ht="12.75" customHeight="1">
      <c r="A141" s="928"/>
      <c r="B141" s="3093" t="s">
        <v>1604</v>
      </c>
      <c r="C141" s="3093"/>
      <c r="D141" s="3093"/>
      <c r="E141" s="3093"/>
      <c r="F141" s="3093"/>
      <c r="G141" s="3093"/>
      <c r="H141" s="3093"/>
      <c r="I141" s="3093"/>
      <c r="J141" s="3093"/>
      <c r="K141" s="3093"/>
      <c r="L141" s="3093"/>
      <c r="M141" s="3093"/>
      <c r="N141" s="3093"/>
      <c r="O141" s="3093"/>
      <c r="P141" s="3093"/>
      <c r="Q141" s="3093"/>
      <c r="R141" s="3093"/>
      <c r="S141" s="3093"/>
      <c r="T141" s="3093"/>
      <c r="U141" s="3093"/>
      <c r="V141" s="3093"/>
      <c r="W141" s="3093"/>
      <c r="X141" s="3093"/>
      <c r="Y141" s="3093"/>
      <c r="Z141" s="3093"/>
      <c r="AA141" s="3093"/>
      <c r="AB141" s="3093"/>
      <c r="AC141" s="3093"/>
      <c r="AD141" s="3093"/>
      <c r="AE141" s="3093"/>
      <c r="AF141" s="3093"/>
      <c r="AG141" s="3093"/>
      <c r="AH141" s="3093"/>
      <c r="AI141" s="3093"/>
      <c r="AM141" s="983"/>
      <c r="AN141" s="923"/>
      <c r="AO141" s="991" t="s">
        <v>1604</v>
      </c>
      <c r="AP141" s="992">
        <v>7</v>
      </c>
    </row>
    <row r="142" spans="1:52" s="924" customFormat="1" ht="13" customHeight="1">
      <c r="A142" s="993"/>
      <c r="B142" s="1013"/>
      <c r="C142" s="1013"/>
      <c r="D142" s="1013"/>
      <c r="E142" s="1013"/>
      <c r="F142" s="1013"/>
      <c r="G142" s="1013"/>
      <c r="H142" s="1013"/>
      <c r="I142" s="1013"/>
      <c r="J142" s="1013"/>
      <c r="K142" s="1013"/>
      <c r="L142" s="1013"/>
      <c r="M142" s="1013"/>
      <c r="N142" s="1013"/>
      <c r="O142" s="1013"/>
      <c r="P142" s="1013"/>
      <c r="Q142" s="1013"/>
      <c r="R142" s="1013"/>
      <c r="S142" s="1013"/>
      <c r="T142" s="1013"/>
      <c r="U142" s="1013"/>
      <c r="V142" s="1013"/>
      <c r="W142" s="1013"/>
      <c r="X142" s="1013"/>
      <c r="Y142" s="1013"/>
      <c r="Z142" s="1013"/>
      <c r="AA142" s="1013"/>
      <c r="AB142" s="1013"/>
      <c r="AC142" s="1013"/>
      <c r="AD142" s="994"/>
      <c r="AE142" s="927"/>
      <c r="AF142" s="927"/>
      <c r="AG142" s="927"/>
      <c r="AH142" s="927"/>
      <c r="AI142" s="927"/>
      <c r="AJ142" s="927"/>
      <c r="AK142" s="927"/>
      <c r="AL142" s="927"/>
      <c r="AM142" s="983"/>
      <c r="AN142" s="923"/>
      <c r="AO142" s="991" t="s">
        <v>1939</v>
      </c>
      <c r="AP142" s="992">
        <v>7</v>
      </c>
    </row>
    <row r="143" spans="1:52" s="924" customFormat="1" ht="12.75" customHeight="1">
      <c r="A143" s="993"/>
      <c r="B143" s="929" t="s">
        <v>1605</v>
      </c>
      <c r="AB143" s="3094" t="s">
        <v>624</v>
      </c>
      <c r="AC143" s="3094"/>
      <c r="AD143" s="994"/>
      <c r="AE143" s="927"/>
      <c r="AF143" s="927"/>
      <c r="AG143" s="927"/>
      <c r="AH143" s="927"/>
      <c r="AI143" s="927"/>
      <c r="AJ143" s="927"/>
      <c r="AK143" s="927"/>
      <c r="AL143" s="927"/>
      <c r="AM143" s="983"/>
      <c r="AN143" s="923"/>
      <c r="AO143" s="995"/>
      <c r="AP143" s="995"/>
    </row>
    <row r="144" spans="1:52" s="924" customFormat="1" ht="9" customHeight="1">
      <c r="A144" s="993"/>
      <c r="B144" s="1013"/>
      <c r="C144" s="1013"/>
      <c r="D144" s="1013"/>
      <c r="E144" s="1013"/>
      <c r="F144" s="1013"/>
      <c r="G144" s="1013"/>
      <c r="H144" s="1013"/>
      <c r="I144" s="1013"/>
      <c r="J144" s="1013"/>
      <c r="K144" s="1013"/>
      <c r="L144" s="1013"/>
      <c r="M144" s="1013"/>
      <c r="N144" s="1013"/>
      <c r="O144" s="1013"/>
      <c r="P144" s="1013"/>
      <c r="Q144" s="1013"/>
      <c r="R144" s="1013"/>
      <c r="S144" s="1013"/>
      <c r="T144" s="1013"/>
      <c r="U144" s="1013"/>
      <c r="V144" s="1013"/>
      <c r="W144" s="1013"/>
      <c r="X144" s="1013"/>
      <c r="Y144" s="1013"/>
      <c r="Z144" s="1013"/>
      <c r="AA144" s="1013"/>
      <c r="AB144" s="1013"/>
      <c r="AC144" s="1013"/>
      <c r="AD144" s="994"/>
      <c r="AE144" s="927"/>
      <c r="AF144" s="927"/>
      <c r="AG144" s="927"/>
      <c r="AH144" s="927"/>
      <c r="AI144" s="927"/>
      <c r="AJ144" s="927"/>
      <c r="AK144" s="927"/>
      <c r="AL144" s="927"/>
      <c r="AM144" s="983"/>
      <c r="AN144" s="923"/>
      <c r="AO144" s="921" t="s">
        <v>1606</v>
      </c>
      <c r="AP144" s="992"/>
    </row>
    <row r="145" spans="1:42" s="924" customFormat="1" ht="12.75" customHeight="1">
      <c r="A145" s="928"/>
      <c r="B145" s="985" t="s">
        <v>1607</v>
      </c>
      <c r="C145" s="1013"/>
      <c r="D145" s="1013"/>
      <c r="E145" s="1013"/>
      <c r="F145" s="1013"/>
      <c r="G145" s="1013"/>
      <c r="H145" s="1013"/>
      <c r="I145" s="1013"/>
      <c r="J145" s="1013"/>
      <c r="K145" s="1013"/>
      <c r="L145" s="1013"/>
      <c r="M145" s="1013"/>
      <c r="N145" s="1013"/>
      <c r="O145" s="1013"/>
      <c r="P145" s="1013"/>
      <c r="Q145" s="1013"/>
      <c r="R145" s="1013"/>
      <c r="S145" s="1013"/>
      <c r="T145" s="1013"/>
      <c r="U145" s="1013"/>
      <c r="V145" s="1013"/>
      <c r="W145" s="1013"/>
      <c r="X145" s="1013"/>
      <c r="Y145" s="1013"/>
      <c r="Z145" s="1013"/>
      <c r="AA145" s="1013"/>
      <c r="AB145" s="1013"/>
      <c r="AC145" s="1013"/>
      <c r="AD145" s="982"/>
      <c r="AM145" s="983"/>
      <c r="AN145" s="923"/>
      <c r="AO145" s="991" t="s">
        <v>1608</v>
      </c>
      <c r="AP145" s="992">
        <v>5</v>
      </c>
    </row>
    <row r="146" spans="1:42" s="924" customFormat="1" ht="12.75" customHeight="1">
      <c r="A146" s="928"/>
      <c r="B146" s="3093" t="s">
        <v>1606</v>
      </c>
      <c r="C146" s="3093"/>
      <c r="D146" s="3093"/>
      <c r="E146" s="3093"/>
      <c r="F146" s="3093"/>
      <c r="G146" s="3093"/>
      <c r="H146" s="3093"/>
      <c r="I146" s="3093"/>
      <c r="J146" s="3093"/>
      <c r="K146" s="3093"/>
      <c r="L146" s="3093"/>
      <c r="M146" s="3093"/>
      <c r="N146" s="3093"/>
      <c r="O146" s="3093"/>
      <c r="P146" s="3093"/>
      <c r="Q146" s="3093"/>
      <c r="R146" s="3093"/>
      <c r="S146" s="3093"/>
      <c r="T146" s="3093"/>
      <c r="U146" s="3093"/>
      <c r="V146" s="3093"/>
      <c r="W146" s="3093"/>
      <c r="X146" s="3093"/>
      <c r="Y146" s="3093"/>
      <c r="Z146" s="3093"/>
      <c r="AA146" s="3093"/>
      <c r="AB146" s="3093"/>
      <c r="AC146" s="3093"/>
      <c r="AD146" s="3093"/>
      <c r="AE146" s="3093"/>
      <c r="AF146" s="3093"/>
      <c r="AG146" s="3093"/>
      <c r="AH146" s="3093"/>
      <c r="AI146" s="3093"/>
      <c r="AJ146" s="3093"/>
      <c r="AK146" s="1020"/>
      <c r="AL146" s="1020"/>
      <c r="AM146" s="1020"/>
      <c r="AN146" s="923"/>
      <c r="AO146" s="991" t="s">
        <v>1609</v>
      </c>
      <c r="AP146" s="992">
        <v>7</v>
      </c>
    </row>
    <row r="147" spans="1:42" s="924" customFormat="1" ht="12.75" customHeight="1">
      <c r="B147" s="1009" t="s">
        <v>1610</v>
      </c>
      <c r="C147" s="1013"/>
      <c r="D147" s="1013"/>
      <c r="E147" s="1013"/>
      <c r="F147" s="1013"/>
      <c r="G147" s="1013"/>
      <c r="H147" s="1013"/>
      <c r="I147" s="1013"/>
      <c r="J147" s="1013"/>
      <c r="K147" s="1013"/>
      <c r="L147" s="1013"/>
      <c r="M147" s="1013"/>
      <c r="N147" s="1013"/>
      <c r="O147" s="1013"/>
      <c r="P147" s="1013"/>
      <c r="Q147" s="1013"/>
      <c r="R147" s="1013"/>
      <c r="S147" s="1013"/>
      <c r="T147" s="1013"/>
      <c r="U147" s="1013"/>
      <c r="AM147" s="983"/>
      <c r="AN147" s="923"/>
      <c r="AO147" s="991"/>
      <c r="AP147" s="992"/>
    </row>
    <row r="148" spans="1:42" s="924" customFormat="1" ht="12.75" customHeight="1">
      <c r="AM148" s="983"/>
      <c r="AN148" s="923"/>
    </row>
    <row r="149" spans="1:42" s="940" customFormat="1" ht="12.75" customHeight="1">
      <c r="A149" s="1005"/>
      <c r="B149" s="1006"/>
      <c r="C149" s="1006"/>
      <c r="D149" s="1006"/>
      <c r="E149" s="1006"/>
      <c r="F149" s="1006"/>
      <c r="G149" s="1006"/>
      <c r="H149" s="1006"/>
      <c r="I149" s="1006"/>
      <c r="J149" s="1006"/>
      <c r="K149" s="1006"/>
      <c r="L149" s="1006"/>
      <c r="M149" s="1006"/>
      <c r="N149" s="1006"/>
      <c r="O149" s="1006"/>
      <c r="P149" s="1006"/>
      <c r="Q149" s="1006"/>
      <c r="R149" s="1006"/>
      <c r="S149" s="1006"/>
      <c r="T149" s="1006"/>
      <c r="U149" s="1006"/>
      <c r="V149" s="1006"/>
      <c r="W149" s="1006"/>
      <c r="X149" s="1006"/>
      <c r="Y149" s="1006"/>
      <c r="Z149" s="1006"/>
      <c r="AA149" s="1006"/>
      <c r="AB149" s="1006"/>
      <c r="AC149" s="1006"/>
      <c r="AD149" s="1006"/>
      <c r="AE149" s="1006"/>
      <c r="AF149" s="1006"/>
      <c r="AG149" s="1006"/>
      <c r="AH149" s="1006"/>
      <c r="AI149" s="956" t="s">
        <v>1612</v>
      </c>
      <c r="AJ149" s="3096">
        <f>IF($AB$143="N/A",VLOOKUP($B$141,$AO$139:$AP$142,2,FALSE),VLOOKUP($B$146,$AO$144:$AP$147,2,FALSE))</f>
        <v>7</v>
      </c>
      <c r="AK149" s="3096"/>
      <c r="AL149" s="1007"/>
      <c r="AM149" s="927"/>
      <c r="AN149" s="1000"/>
    </row>
    <row r="150" spans="1:42" s="940" customFormat="1" ht="12.75" customHeight="1">
      <c r="A150" s="1002"/>
      <c r="B150" s="1002"/>
      <c r="C150" s="924"/>
      <c r="D150" s="924"/>
      <c r="E150" s="924"/>
      <c r="F150" s="924"/>
      <c r="G150" s="924"/>
      <c r="H150" s="924"/>
      <c r="I150" s="924"/>
      <c r="J150" s="924"/>
      <c r="K150" s="924"/>
      <c r="L150" s="924"/>
      <c r="M150" s="924"/>
      <c r="N150" s="924"/>
      <c r="O150" s="924"/>
      <c r="P150" s="924"/>
      <c r="Q150" s="924"/>
      <c r="R150" s="924"/>
      <c r="S150" s="924"/>
      <c r="T150" s="924"/>
      <c r="U150" s="924"/>
      <c r="V150" s="924"/>
      <c r="W150" s="924"/>
      <c r="X150" s="924"/>
      <c r="Y150" s="924"/>
      <c r="Z150" s="924"/>
      <c r="AA150" s="924"/>
      <c r="AB150" s="924"/>
      <c r="AC150" s="924"/>
      <c r="AD150" s="924"/>
      <c r="AE150" s="924"/>
      <c r="AF150" s="924"/>
      <c r="AG150" s="924"/>
      <c r="AH150" s="924"/>
      <c r="AI150" s="924"/>
      <c r="AJ150" s="924"/>
      <c r="AK150" s="1003"/>
      <c r="AL150" s="1003"/>
      <c r="AM150" s="1003"/>
      <c r="AN150" s="1000"/>
    </row>
    <row r="151" spans="1:42" s="940" customFormat="1" ht="12.75" customHeight="1">
      <c r="A151" s="924"/>
      <c r="B151" s="985" t="s">
        <v>1614</v>
      </c>
      <c r="C151" s="1009"/>
      <c r="D151" s="924"/>
      <c r="E151" s="1540"/>
      <c r="F151" s="1540"/>
      <c r="G151" s="1540"/>
      <c r="H151" s="1540"/>
      <c r="I151" s="1540"/>
      <c r="J151" s="1540"/>
      <c r="K151" s="1540"/>
      <c r="L151" s="1540"/>
      <c r="M151" s="1540"/>
      <c r="N151" s="1540"/>
      <c r="O151" s="1540"/>
      <c r="P151" s="1540"/>
      <c r="Q151" s="1540"/>
      <c r="R151" s="1540"/>
      <c r="S151" s="1540"/>
      <c r="T151" s="1540"/>
      <c r="U151" s="1540"/>
      <c r="V151" s="1540"/>
      <c r="W151" s="1540"/>
      <c r="X151" s="1540"/>
      <c r="Y151" s="1540"/>
      <c r="Z151" s="1540"/>
      <c r="AA151" s="1540"/>
      <c r="AB151" s="1540"/>
      <c r="AC151" s="1540"/>
      <c r="AD151" s="1540"/>
      <c r="AE151" s="924"/>
      <c r="AF151" s="3076" t="s">
        <v>1615</v>
      </c>
      <c r="AG151" s="3076"/>
      <c r="AH151" s="3076"/>
      <c r="AI151" s="3076"/>
      <c r="AJ151" s="3076"/>
      <c r="AK151" s="3076"/>
      <c r="AL151" s="3076"/>
      <c r="AM151" s="1010"/>
      <c r="AN151" s="1000"/>
    </row>
    <row r="152" spans="1:42" s="940" customFormat="1" ht="12.75" customHeight="1">
      <c r="A152" s="924"/>
      <c r="B152" s="929" t="s">
        <v>1616</v>
      </c>
      <c r="C152" s="927"/>
      <c r="D152" s="927"/>
      <c r="E152" s="927"/>
      <c r="F152" s="927"/>
      <c r="G152" s="927"/>
      <c r="H152" s="927"/>
      <c r="I152" s="927"/>
      <c r="J152" s="927"/>
      <c r="K152" s="927"/>
      <c r="L152" s="927"/>
      <c r="M152" s="927"/>
      <c r="N152" s="927"/>
      <c r="O152" s="927"/>
      <c r="P152" s="927"/>
      <c r="Q152" s="927"/>
      <c r="R152" s="927"/>
      <c r="S152" s="927"/>
      <c r="T152" s="927"/>
      <c r="U152" s="927"/>
      <c r="V152" s="927"/>
      <c r="W152" s="927"/>
      <c r="X152" s="927"/>
      <c r="Y152" s="927"/>
      <c r="Z152" s="927"/>
      <c r="AA152" s="929"/>
      <c r="AB152" s="929"/>
      <c r="AC152" s="929"/>
      <c r="AD152" s="929"/>
      <c r="AE152" s="924"/>
      <c r="AF152" s="924"/>
      <c r="AG152" s="924"/>
      <c r="AH152" s="924"/>
      <c r="AI152" s="924"/>
      <c r="AJ152" s="924"/>
      <c r="AK152" s="924"/>
      <c r="AL152" s="924"/>
      <c r="AM152" s="1010"/>
      <c r="AN152" s="1000"/>
    </row>
    <row r="153" spans="1:42" s="940" customFormat="1" ht="12.75" customHeight="1">
      <c r="A153" s="924"/>
      <c r="B153" s="924"/>
      <c r="C153" s="3093" t="s">
        <v>1613</v>
      </c>
      <c r="D153" s="3093"/>
      <c r="E153" s="3093"/>
      <c r="F153" s="3093"/>
      <c r="G153" s="3093"/>
      <c r="H153" s="3093"/>
      <c r="I153" s="3093"/>
      <c r="J153" s="3093"/>
      <c r="K153" s="3093"/>
      <c r="L153" s="3093"/>
      <c r="M153" s="3093"/>
      <c r="N153" s="3093"/>
      <c r="O153" s="3093"/>
      <c r="P153" s="3093"/>
      <c r="Q153" s="3093"/>
      <c r="R153" s="3093"/>
      <c r="S153" s="3093"/>
      <c r="T153" s="3093"/>
      <c r="U153" s="3093"/>
      <c r="V153" s="3093"/>
      <c r="W153" s="3093"/>
      <c r="X153" s="3093"/>
      <c r="Y153" s="3093"/>
      <c r="Z153" s="3093"/>
      <c r="AA153" s="3093"/>
      <c r="AB153" s="3093"/>
      <c r="AC153" s="3093"/>
      <c r="AD153" s="3093"/>
      <c r="AE153" s="3093"/>
      <c r="AF153" s="3093"/>
      <c r="AG153" s="3093"/>
      <c r="AH153" s="3093"/>
      <c r="AI153" s="3093"/>
      <c r="AJ153" s="927"/>
      <c r="AK153" s="927"/>
      <c r="AL153" s="927"/>
      <c r="AM153" s="1010"/>
      <c r="AN153" s="997"/>
      <c r="AO153" s="1001" t="s">
        <v>315</v>
      </c>
      <c r="AP153" s="995"/>
    </row>
    <row r="154" spans="1:42" s="940" customFormat="1" ht="13" customHeight="1">
      <c r="A154" s="927"/>
      <c r="B154" s="927"/>
      <c r="C154" s="1013"/>
      <c r="D154" s="1013"/>
      <c r="E154" s="1013"/>
      <c r="F154" s="1013"/>
      <c r="G154" s="1013"/>
      <c r="H154" s="1013"/>
      <c r="I154" s="1013"/>
      <c r="J154" s="1013"/>
      <c r="K154" s="1013"/>
      <c r="L154" s="1013"/>
      <c r="M154" s="1013"/>
      <c r="N154" s="1013"/>
      <c r="O154" s="1013"/>
      <c r="P154" s="1013"/>
      <c r="Q154" s="1013"/>
      <c r="R154" s="1013"/>
      <c r="S154" s="1013"/>
      <c r="T154" s="1013"/>
      <c r="U154" s="1013"/>
      <c r="V154" s="1013"/>
      <c r="W154" s="1013"/>
      <c r="X154" s="1013"/>
      <c r="Y154" s="1013"/>
      <c r="Z154" s="1013"/>
      <c r="AA154" s="1013"/>
      <c r="AB154" s="1013"/>
      <c r="AC154" s="1013"/>
      <c r="AD154" s="1013"/>
      <c r="AE154" s="927"/>
      <c r="AF154" s="927"/>
      <c r="AG154" s="927"/>
      <c r="AH154" s="927"/>
      <c r="AI154" s="927"/>
      <c r="AJ154" s="927"/>
      <c r="AK154" s="927"/>
      <c r="AL154" s="927"/>
      <c r="AM154" s="1012"/>
      <c r="AN154" s="997"/>
      <c r="AO154" s="995" t="s">
        <v>1611</v>
      </c>
      <c r="AP154" s="1004">
        <v>2</v>
      </c>
    </row>
    <row r="155" spans="1:42" s="940" customFormat="1" ht="12.75" customHeight="1">
      <c r="A155" s="927"/>
      <c r="B155" s="927"/>
      <c r="C155" s="929" t="s">
        <v>1618</v>
      </c>
      <c r="D155" s="924"/>
      <c r="E155" s="924"/>
      <c r="F155" s="924"/>
      <c r="G155" s="924"/>
      <c r="H155" s="924"/>
      <c r="I155" s="924"/>
      <c r="J155" s="924"/>
      <c r="K155" s="924"/>
      <c r="L155" s="924"/>
      <c r="M155" s="924"/>
      <c r="N155" s="924"/>
      <c r="O155" s="924"/>
      <c r="P155" s="924"/>
      <c r="Q155" s="924"/>
      <c r="R155" s="924"/>
      <c r="S155" s="924"/>
      <c r="T155" s="924"/>
      <c r="U155" s="924"/>
      <c r="V155" s="924"/>
      <c r="W155" s="924"/>
      <c r="X155" s="924"/>
      <c r="Y155" s="924"/>
      <c r="Z155" s="924"/>
      <c r="AA155" s="924"/>
      <c r="AB155" s="924"/>
      <c r="AC155" s="3094" t="s">
        <v>624</v>
      </c>
      <c r="AD155" s="3094"/>
      <c r="AE155" s="927"/>
      <c r="AF155" s="927"/>
      <c r="AG155" s="927"/>
      <c r="AH155" s="927"/>
      <c r="AI155" s="927"/>
      <c r="AJ155" s="927"/>
      <c r="AK155" s="927"/>
      <c r="AL155" s="927"/>
      <c r="AM155" s="1012"/>
      <c r="AN155" s="997"/>
      <c r="AO155" s="995" t="s">
        <v>1613</v>
      </c>
      <c r="AP155" s="1004">
        <v>3</v>
      </c>
    </row>
    <row r="156" spans="1:42" s="940" customFormat="1" ht="9" customHeight="1">
      <c r="A156" s="927"/>
      <c r="B156" s="927"/>
      <c r="C156" s="1013"/>
      <c r="D156" s="1013"/>
      <c r="E156" s="1013"/>
      <c r="F156" s="1013"/>
      <c r="G156" s="1013"/>
      <c r="H156" s="1013"/>
      <c r="I156" s="1013"/>
      <c r="J156" s="1013"/>
      <c r="K156" s="1013"/>
      <c r="L156" s="1013"/>
      <c r="M156" s="1013"/>
      <c r="N156" s="1013"/>
      <c r="O156" s="1013"/>
      <c r="P156" s="1013"/>
      <c r="Q156" s="1013"/>
      <c r="R156" s="1013"/>
      <c r="S156" s="1013"/>
      <c r="T156" s="1013"/>
      <c r="U156" s="1013"/>
      <c r="V156" s="1013"/>
      <c r="W156" s="1013"/>
      <c r="X156" s="1013"/>
      <c r="Y156" s="1013"/>
      <c r="Z156" s="1013"/>
      <c r="AA156" s="1013"/>
      <c r="AB156" s="1013"/>
      <c r="AC156" s="1013"/>
      <c r="AD156" s="1013"/>
      <c r="AE156" s="927"/>
      <c r="AF156" s="927"/>
      <c r="AG156" s="927"/>
      <c r="AH156" s="927"/>
      <c r="AI156" s="927"/>
      <c r="AJ156" s="927"/>
      <c r="AK156" s="927"/>
      <c r="AL156" s="927"/>
      <c r="AM156" s="1012"/>
      <c r="AN156" s="997"/>
      <c r="AO156" s="1008" t="s">
        <v>1940</v>
      </c>
      <c r="AP156" s="1004">
        <v>3</v>
      </c>
    </row>
    <row r="157" spans="1:42" s="940" customFormat="1" ht="12.75" customHeight="1">
      <c r="A157" s="927"/>
      <c r="B157" s="927"/>
      <c r="C157" s="3093" t="s">
        <v>1606</v>
      </c>
      <c r="D157" s="3093"/>
      <c r="E157" s="3093"/>
      <c r="F157" s="3093"/>
      <c r="G157" s="3093"/>
      <c r="H157" s="3093"/>
      <c r="I157" s="3093"/>
      <c r="J157" s="3093"/>
      <c r="K157" s="3093"/>
      <c r="L157" s="3093"/>
      <c r="M157" s="3093"/>
      <c r="N157" s="3093"/>
      <c r="O157" s="3093"/>
      <c r="P157" s="3093"/>
      <c r="Q157" s="3093"/>
      <c r="R157" s="3093"/>
      <c r="S157" s="3093"/>
      <c r="T157" s="3093"/>
      <c r="U157" s="3093"/>
      <c r="V157" s="3093"/>
      <c r="W157" s="3093"/>
      <c r="X157" s="3093"/>
      <c r="Y157" s="3093"/>
      <c r="Z157" s="3093"/>
      <c r="AA157" s="3093"/>
      <c r="AB157" s="3093"/>
      <c r="AC157" s="3093"/>
      <c r="AD157" s="3093"/>
      <c r="AE157" s="927"/>
      <c r="AF157" s="927"/>
      <c r="AG157" s="927"/>
      <c r="AH157" s="927"/>
      <c r="AI157" s="927"/>
      <c r="AJ157" s="927"/>
      <c r="AK157" s="927"/>
      <c r="AL157" s="927"/>
      <c r="AM157" s="1010"/>
      <c r="AN157" s="997"/>
      <c r="AO157" s="1008"/>
      <c r="AP157" s="1004"/>
    </row>
    <row r="158" spans="1:42" s="940" customFormat="1" ht="12.75" customHeight="1">
      <c r="A158" s="927"/>
      <c r="B158" s="924"/>
      <c r="C158" s="1009" t="s">
        <v>1610</v>
      </c>
      <c r="D158" s="1009"/>
      <c r="E158" s="1009"/>
      <c r="F158" s="1009"/>
      <c r="G158" s="1009"/>
      <c r="H158" s="1009"/>
      <c r="I158" s="1009"/>
      <c r="J158" s="1009"/>
      <c r="K158" s="1009"/>
      <c r="L158" s="1009"/>
      <c r="M158" s="1009"/>
      <c r="N158" s="1009"/>
      <c r="O158" s="1009"/>
      <c r="P158" s="1009"/>
      <c r="Q158" s="1009"/>
      <c r="R158" s="1009"/>
      <c r="S158" s="1009"/>
      <c r="T158" s="1009"/>
      <c r="U158" s="1009"/>
      <c r="V158" s="1009"/>
      <c r="W158" s="1009"/>
      <c r="X158" s="1009"/>
      <c r="Y158" s="1009"/>
      <c r="Z158" s="1009"/>
      <c r="AA158" s="1009"/>
      <c r="AB158" s="1009"/>
      <c r="AC158" s="1009"/>
      <c r="AD158" s="1009"/>
      <c r="AE158" s="1009"/>
      <c r="AF158" s="1009"/>
      <c r="AG158" s="1009"/>
      <c r="AH158" s="1009"/>
      <c r="AI158" s="1009"/>
      <c r="AJ158" s="1009"/>
      <c r="AK158" s="1009"/>
      <c r="AL158" s="927"/>
      <c r="AM158" s="1012"/>
      <c r="AN158" s="997"/>
      <c r="AO158" s="1011"/>
      <c r="AP158" s="1011"/>
    </row>
    <row r="159" spans="1:42" s="940" customFormat="1" ht="12.75" customHeight="1">
      <c r="A159" s="927"/>
      <c r="B159" s="924"/>
      <c r="C159" s="924"/>
      <c r="D159" s="924"/>
      <c r="E159" s="924"/>
      <c r="F159" s="924"/>
      <c r="G159" s="924"/>
      <c r="H159" s="924"/>
      <c r="I159" s="924"/>
      <c r="J159" s="924"/>
      <c r="K159" s="924"/>
      <c r="L159" s="924"/>
      <c r="M159" s="924"/>
      <c r="N159" s="924"/>
      <c r="O159" s="924"/>
      <c r="P159" s="924"/>
      <c r="Q159" s="924"/>
      <c r="R159" s="924"/>
      <c r="S159" s="924"/>
      <c r="T159" s="924"/>
      <c r="U159" s="924"/>
      <c r="V159" s="924"/>
      <c r="W159" s="924"/>
      <c r="X159" s="924"/>
      <c r="Y159" s="924"/>
      <c r="Z159" s="924"/>
      <c r="AA159" s="924"/>
      <c r="AB159" s="924"/>
      <c r="AC159" s="924"/>
      <c r="AD159" s="924"/>
      <c r="AE159" s="927"/>
      <c r="AF159" s="927"/>
      <c r="AG159" s="927"/>
      <c r="AH159" s="927"/>
      <c r="AI159" s="927"/>
      <c r="AJ159" s="927"/>
      <c r="AK159" s="927"/>
      <c r="AL159" s="927"/>
      <c r="AM159" s="1012"/>
      <c r="AN159" s="997"/>
    </row>
    <row r="160" spans="1:42" s="940" customFormat="1" ht="12.75" customHeight="1">
      <c r="A160" s="924"/>
      <c r="B160" s="924"/>
      <c r="C160" s="985" t="s">
        <v>1620</v>
      </c>
      <c r="D160" s="1013"/>
      <c r="E160" s="1013"/>
      <c r="F160" s="1013"/>
      <c r="G160" s="1013"/>
      <c r="H160" s="1013"/>
      <c r="I160" s="1013"/>
      <c r="J160" s="1013"/>
      <c r="K160" s="1013"/>
      <c r="L160" s="1013"/>
      <c r="M160" s="1013"/>
      <c r="N160" s="1013"/>
      <c r="O160" s="1013"/>
      <c r="P160" s="1013"/>
      <c r="Q160" s="1013"/>
      <c r="R160" s="1013"/>
      <c r="S160" s="1013"/>
      <c r="T160" s="1013"/>
      <c r="U160" s="1013"/>
      <c r="V160" s="1013"/>
      <c r="W160" s="1013"/>
      <c r="X160" s="1013"/>
      <c r="Y160" s="1013"/>
      <c r="Z160" s="1013"/>
      <c r="AA160" s="1013"/>
      <c r="AB160" s="1013"/>
      <c r="AC160" s="1013"/>
      <c r="AD160" s="1013"/>
      <c r="AE160" s="927"/>
      <c r="AF160" s="927"/>
      <c r="AG160" s="927"/>
      <c r="AH160" s="927"/>
      <c r="AI160" s="927"/>
      <c r="AJ160" s="927"/>
      <c r="AK160" s="927"/>
      <c r="AL160" s="927"/>
      <c r="AM160" s="1010"/>
      <c r="AN160" s="997"/>
      <c r="AO160" s="1001" t="s">
        <v>1606</v>
      </c>
      <c r="AP160" s="995"/>
    </row>
    <row r="161" spans="1:81" s="999" customFormat="1" ht="12.75" customHeight="1">
      <c r="A161" s="924"/>
      <c r="B161" s="924"/>
      <c r="C161" s="3077" t="s">
        <v>2555</v>
      </c>
      <c r="D161" s="3077"/>
      <c r="E161" s="3077"/>
      <c r="F161" s="3077"/>
      <c r="G161" s="3077"/>
      <c r="H161" s="3077"/>
      <c r="I161" s="3077"/>
      <c r="J161" s="3077"/>
      <c r="K161" s="3077"/>
      <c r="L161" s="3077"/>
      <c r="M161" s="3077"/>
      <c r="N161" s="3077"/>
      <c r="O161" s="3077"/>
      <c r="P161" s="3077"/>
      <c r="Q161" s="3077"/>
      <c r="R161" s="3077"/>
      <c r="S161" s="3077"/>
      <c r="T161" s="3077"/>
      <c r="U161" s="3077"/>
      <c r="V161" s="3077"/>
      <c r="W161" s="3077"/>
      <c r="X161" s="3077"/>
      <c r="Y161" s="3077"/>
      <c r="Z161" s="3077"/>
      <c r="AA161" s="3077"/>
      <c r="AB161" s="3077"/>
      <c r="AC161" s="3077"/>
      <c r="AD161" s="3077"/>
      <c r="AE161" s="927"/>
      <c r="AF161" s="927"/>
      <c r="AG161" s="927"/>
      <c r="AH161" s="927"/>
      <c r="AI161" s="927"/>
      <c r="AJ161" s="927"/>
      <c r="AK161" s="927"/>
      <c r="AL161" s="927"/>
      <c r="AM161" s="1010"/>
      <c r="AN161" s="998"/>
      <c r="AO161" s="995" t="s">
        <v>1617</v>
      </c>
      <c r="AP161" s="1004">
        <v>2</v>
      </c>
      <c r="AQ161" s="940"/>
      <c r="AR161" s="940"/>
      <c r="AS161" s="940"/>
    </row>
    <row r="162" spans="1:81" s="940" customFormat="1" ht="12.75" customHeight="1">
      <c r="A162" s="924"/>
      <c r="B162" s="924"/>
      <c r="C162" s="1013"/>
      <c r="D162" s="1013"/>
      <c r="E162" s="1013"/>
      <c r="F162" s="1013"/>
      <c r="G162" s="1013"/>
      <c r="H162" s="1013"/>
      <c r="I162" s="1013"/>
      <c r="J162" s="1013"/>
      <c r="K162" s="1013"/>
      <c r="L162" s="1013"/>
      <c r="M162" s="1013"/>
      <c r="N162" s="1013"/>
      <c r="O162" s="1013"/>
      <c r="P162" s="1013"/>
      <c r="Q162" s="1013"/>
      <c r="R162" s="1013"/>
      <c r="S162" s="1013"/>
      <c r="T162" s="1013"/>
      <c r="U162" s="1013"/>
      <c r="V162" s="1013"/>
      <c r="W162" s="1013"/>
      <c r="X162" s="1013"/>
      <c r="Y162" s="1013"/>
      <c r="Z162" s="1013"/>
      <c r="AA162" s="1013"/>
      <c r="AB162" s="1013"/>
      <c r="AC162" s="1013"/>
      <c r="AD162" s="1013"/>
      <c r="AE162" s="927"/>
      <c r="AF162" s="927"/>
      <c r="AG162" s="927"/>
      <c r="AH162" s="927"/>
      <c r="AI162" s="927"/>
      <c r="AJ162" s="927"/>
      <c r="AK162" s="927"/>
      <c r="AL162" s="927"/>
      <c r="AM162" s="1010"/>
      <c r="AN162" s="997"/>
      <c r="AO162" s="995" t="s">
        <v>1619</v>
      </c>
      <c r="AP162" s="1004">
        <v>3</v>
      </c>
    </row>
    <row r="163" spans="1:81" s="940" customFormat="1" ht="12.75" customHeight="1">
      <c r="A163" s="1014"/>
      <c r="B163" s="1015"/>
      <c r="C163" s="1015"/>
      <c r="D163" s="954"/>
      <c r="E163" s="1015"/>
      <c r="F163" s="1015"/>
      <c r="G163" s="1015"/>
      <c r="H163" s="1015"/>
      <c r="I163" s="1015"/>
      <c r="J163" s="1015"/>
      <c r="K163" s="1015"/>
      <c r="L163" s="1015"/>
      <c r="M163" s="1015"/>
      <c r="N163" s="1015"/>
      <c r="O163" s="1015"/>
      <c r="P163" s="1015"/>
      <c r="Q163" s="1016"/>
      <c r="R163" s="1017"/>
      <c r="S163" s="1015"/>
      <c r="T163" s="1015"/>
      <c r="U163" s="1015"/>
      <c r="V163" s="1015"/>
      <c r="W163" s="1015"/>
      <c r="X163" s="1015"/>
      <c r="Y163" s="1015"/>
      <c r="Z163" s="1015"/>
      <c r="AA163" s="1015"/>
      <c r="AB163" s="1015"/>
      <c r="AC163" s="1015"/>
      <c r="AD163" s="1015"/>
      <c r="AE163" s="1015"/>
      <c r="AF163" s="1015"/>
      <c r="AG163" s="1015"/>
      <c r="AH163" s="1015"/>
      <c r="AI163" s="956" t="s">
        <v>1621</v>
      </c>
      <c r="AJ163" s="3095">
        <f>IF($AC$155="N/A",VLOOKUP($C$153,$AO$153:$AP$156,2,FALSE),VLOOKUP($C$157,$AO$160:$AP$162,2,FALSE))</f>
        <v>3</v>
      </c>
      <c r="AK163" s="3095"/>
      <c r="AL163" s="1018"/>
      <c r="AM163" s="1019"/>
      <c r="AN163" s="997"/>
      <c r="AO163" s="1008"/>
      <c r="AP163" s="1004"/>
    </row>
    <row r="164" spans="1:81" s="940" customFormat="1" ht="12.75" customHeight="1">
      <c r="A164" s="1020"/>
      <c r="B164" s="1021"/>
      <c r="D164" s="1022"/>
      <c r="E164" s="1022"/>
      <c r="F164" s="1022"/>
      <c r="G164" s="1022"/>
      <c r="H164" s="1022"/>
      <c r="I164" s="1022"/>
      <c r="J164" s="1022"/>
      <c r="K164" s="1022"/>
      <c r="L164" s="1022"/>
      <c r="M164" s="1022"/>
      <c r="N164" s="1022"/>
      <c r="R164" s="1020"/>
      <c r="S164" s="1021"/>
      <c r="U164" s="1022"/>
      <c r="V164" s="1022"/>
      <c r="W164" s="1022"/>
      <c r="X164" s="1022"/>
      <c r="Y164" s="1022"/>
      <c r="Z164" s="1022"/>
      <c r="AA164" s="1022"/>
      <c r="AB164" s="1022"/>
      <c r="AC164" s="1022"/>
      <c r="AD164" s="1022"/>
      <c r="AE164" s="1022"/>
      <c r="AK164" s="1023"/>
      <c r="AL164" s="1023"/>
      <c r="AM164" s="1023"/>
      <c r="AN164" s="997"/>
    </row>
    <row r="165" spans="1:81" s="940" customFormat="1" ht="12.75" customHeight="1">
      <c r="A165" s="1025"/>
      <c r="B165" s="1024"/>
      <c r="C165" s="1024"/>
      <c r="D165" s="1024"/>
      <c r="E165" s="1024"/>
      <c r="F165" s="1024"/>
      <c r="G165" s="1024"/>
      <c r="H165" s="1024"/>
      <c r="I165" s="1024"/>
      <c r="J165" s="1024"/>
      <c r="K165" s="1024"/>
      <c r="L165" s="1024"/>
      <c r="M165" s="1024"/>
      <c r="N165" s="1024"/>
      <c r="O165" s="1024"/>
      <c r="P165" s="1024"/>
      <c r="Q165" s="1024"/>
      <c r="R165" s="1024"/>
      <c r="S165" s="1024"/>
      <c r="T165" s="1024"/>
      <c r="U165" s="1024"/>
      <c r="V165" s="1024"/>
      <c r="W165" s="1024"/>
      <c r="X165" s="1024"/>
      <c r="Y165" s="1024"/>
      <c r="Z165" s="1024"/>
      <c r="AA165" s="1024"/>
      <c r="AB165" s="1024"/>
      <c r="AC165" s="1024"/>
      <c r="AD165" s="1024"/>
      <c r="AE165" s="1024"/>
      <c r="AF165" s="1024"/>
      <c r="AG165" s="1024"/>
      <c r="AH165" s="1024"/>
      <c r="AI165" s="1024"/>
      <c r="AJ165" s="1024"/>
      <c r="AK165" s="1024"/>
      <c r="AL165" s="1024"/>
      <c r="AM165" s="1024"/>
      <c r="AN165" s="997"/>
    </row>
    <row r="166" spans="1:81" s="940" customFormat="1" ht="12.75" customHeight="1">
      <c r="A166" s="952"/>
      <c r="B166" s="953"/>
      <c r="C166" s="953"/>
      <c r="D166" s="953"/>
      <c r="E166" s="953"/>
      <c r="F166" s="953"/>
      <c r="G166" s="954"/>
      <c r="H166" s="955"/>
      <c r="I166" s="955"/>
      <c r="J166" s="955"/>
      <c r="K166" s="955"/>
      <c r="L166" s="955"/>
      <c r="M166" s="955"/>
      <c r="N166" s="955"/>
      <c r="O166" s="955"/>
      <c r="P166" s="955"/>
      <c r="Q166" s="955"/>
      <c r="R166" s="955"/>
      <c r="S166" s="955"/>
      <c r="T166" s="955"/>
      <c r="U166" s="955"/>
      <c r="V166" s="955"/>
      <c r="W166" s="955"/>
      <c r="X166" s="955"/>
      <c r="Y166" s="955"/>
      <c r="Z166" s="955"/>
      <c r="AA166" s="955"/>
      <c r="AB166" s="955"/>
      <c r="AC166" s="955"/>
      <c r="AD166" s="955"/>
      <c r="AE166" s="955"/>
      <c r="AF166" s="955"/>
      <c r="AG166" s="955"/>
      <c r="AH166" s="955"/>
      <c r="AI166" s="956"/>
      <c r="AJ166" s="956" t="s">
        <v>1622</v>
      </c>
      <c r="AK166" s="3053">
        <f>$AJ$149+$AJ$163</f>
        <v>10</v>
      </c>
      <c r="AL166" s="3054"/>
      <c r="AM166" s="3055"/>
      <c r="AN166" s="997"/>
    </row>
    <row r="167" spans="1:81" s="940" customFormat="1" ht="12.75" customHeight="1" thickBot="1">
      <c r="A167" s="957"/>
      <c r="B167" s="958"/>
      <c r="C167" s="959"/>
      <c r="D167" s="959"/>
      <c r="E167" s="959"/>
      <c r="F167" s="959"/>
      <c r="G167" s="959"/>
      <c r="H167" s="959"/>
      <c r="I167" s="959"/>
      <c r="J167" s="959"/>
      <c r="K167" s="959"/>
      <c r="L167" s="959"/>
      <c r="M167" s="959"/>
      <c r="N167" s="959"/>
      <c r="O167" s="959"/>
      <c r="P167" s="959"/>
      <c r="Q167" s="959"/>
      <c r="R167" s="959"/>
      <c r="S167" s="959"/>
      <c r="T167" s="959"/>
      <c r="U167" s="959"/>
      <c r="V167" s="959"/>
      <c r="W167" s="959"/>
      <c r="X167" s="959"/>
      <c r="Y167" s="959"/>
      <c r="Z167" s="959"/>
      <c r="AA167" s="959"/>
      <c r="AB167" s="959"/>
      <c r="AC167" s="959"/>
      <c r="AD167" s="959"/>
      <c r="AE167" s="959"/>
      <c r="AF167" s="959"/>
      <c r="AG167" s="959"/>
      <c r="AH167" s="959"/>
      <c r="AI167" s="959"/>
      <c r="AJ167" s="959"/>
      <c r="AK167" s="959"/>
      <c r="AL167" s="959"/>
      <c r="AM167" s="960"/>
      <c r="AN167" s="959"/>
      <c r="AO167" s="959"/>
      <c r="AR167" s="959"/>
      <c r="AS167" s="959"/>
      <c r="AT167" s="959"/>
      <c r="AU167" s="959"/>
      <c r="AV167" s="959"/>
      <c r="AW167" s="959"/>
      <c r="AX167" s="959"/>
      <c r="AY167" s="959"/>
      <c r="AZ167" s="959"/>
      <c r="BA167" s="959"/>
      <c r="BB167" s="959"/>
      <c r="BC167" s="959"/>
      <c r="BD167" s="959"/>
      <c r="BE167" s="959"/>
      <c r="BF167" s="959"/>
      <c r="BG167" s="959"/>
      <c r="BH167" s="959"/>
      <c r="BI167" s="959"/>
      <c r="BJ167" s="959"/>
      <c r="BK167" s="959"/>
      <c r="BL167" s="959"/>
      <c r="BM167" s="959"/>
      <c r="BN167" s="959"/>
      <c r="BO167" s="959"/>
      <c r="BP167" s="959"/>
      <c r="BQ167" s="959"/>
      <c r="BR167" s="959"/>
      <c r="BS167" s="959"/>
      <c r="BT167" s="959"/>
      <c r="BU167" s="959"/>
      <c r="BV167" s="959"/>
      <c r="BW167" s="959"/>
      <c r="BX167" s="959"/>
      <c r="BY167" s="959"/>
      <c r="BZ167" s="959"/>
      <c r="CA167" s="959"/>
      <c r="CB167" s="959"/>
      <c r="CC167" s="959"/>
    </row>
    <row r="168" spans="1:81" s="940" customFormat="1" ht="12.75" customHeight="1" thickTop="1">
      <c r="A168" s="961"/>
      <c r="B168" s="962"/>
      <c r="C168" s="963"/>
      <c r="D168" s="963"/>
      <c r="E168" s="963"/>
      <c r="F168" s="963"/>
      <c r="G168" s="963"/>
      <c r="H168" s="963"/>
      <c r="I168" s="964"/>
      <c r="J168" s="964"/>
      <c r="K168" s="964"/>
      <c r="L168" s="964"/>
      <c r="M168" s="964"/>
      <c r="N168" s="964"/>
      <c r="O168" s="964"/>
      <c r="P168" s="964"/>
      <c r="Q168" s="964"/>
      <c r="R168" s="961"/>
      <c r="S168" s="929"/>
      <c r="T168" s="929"/>
      <c r="U168" s="929"/>
      <c r="V168" s="929"/>
      <c r="W168" s="929"/>
      <c r="X168" s="929"/>
      <c r="Y168" s="929"/>
      <c r="Z168" s="929"/>
      <c r="AA168" s="929"/>
      <c r="AB168" s="929"/>
      <c r="AC168" s="929"/>
      <c r="AD168" s="929"/>
      <c r="AE168" s="929"/>
      <c r="AF168" s="961"/>
      <c r="AG168" s="929"/>
      <c r="AH168" s="929"/>
      <c r="AI168" s="929"/>
      <c r="AJ168" s="929"/>
      <c r="AN168" s="997"/>
      <c r="AP168" s="1026" t="s">
        <v>1623</v>
      </c>
      <c r="AQ168" s="1027">
        <v>0</v>
      </c>
    </row>
    <row r="169" spans="1:81" s="940" customFormat="1" ht="12.75" customHeight="1">
      <c r="A169" s="985" t="s">
        <v>1624</v>
      </c>
      <c r="B169" s="985" t="s">
        <v>2143</v>
      </c>
      <c r="C169" s="1028"/>
      <c r="D169" s="1029"/>
      <c r="E169" s="1029"/>
      <c r="F169" s="1029"/>
      <c r="G169" s="1029"/>
      <c r="H169" s="1029"/>
      <c r="I169" s="1029"/>
      <c r="J169" s="1029"/>
      <c r="K169" s="924"/>
      <c r="L169" s="924"/>
      <c r="M169" s="924"/>
      <c r="N169" s="924"/>
      <c r="O169" s="924"/>
      <c r="P169" s="924"/>
      <c r="Q169" s="924"/>
      <c r="R169" s="924"/>
      <c r="S169" s="924"/>
      <c r="T169" s="924"/>
      <c r="U169" s="924"/>
      <c r="V169" s="924"/>
      <c r="W169" s="924"/>
      <c r="X169" s="924"/>
      <c r="Y169" s="1030"/>
      <c r="Z169" s="1030"/>
      <c r="AA169" s="1030"/>
      <c r="AB169" s="1030"/>
      <c r="AC169" s="924"/>
      <c r="AD169" s="924"/>
      <c r="AE169" s="3090" t="s">
        <v>1577</v>
      </c>
      <c r="AF169" s="3090"/>
      <c r="AG169" s="3090"/>
      <c r="AH169" s="3090"/>
      <c r="AI169" s="3090"/>
      <c r="AJ169" s="3090"/>
      <c r="AK169" s="3090"/>
      <c r="AL169" s="1506"/>
      <c r="AM169" s="1023"/>
      <c r="AN169" s="997"/>
      <c r="AP169" s="999" t="s">
        <v>1148</v>
      </c>
      <c r="AQ169" s="999">
        <v>10</v>
      </c>
    </row>
    <row r="170" spans="1:81" s="940" customFormat="1" ht="12.75" customHeight="1">
      <c r="A170" s="985"/>
      <c r="B170" s="1032"/>
      <c r="C170" s="1033"/>
      <c r="D170" s="1029"/>
      <c r="E170" s="1029"/>
      <c r="F170" s="1029"/>
      <c r="G170" s="1029"/>
      <c r="H170" s="924"/>
      <c r="I170" s="924"/>
      <c r="J170" s="924"/>
      <c r="K170" s="924"/>
      <c r="L170" s="924"/>
      <c r="M170" s="924"/>
      <c r="N170" s="924"/>
      <c r="O170" s="924"/>
      <c r="P170" s="924"/>
      <c r="Q170" s="924"/>
      <c r="R170" s="1030"/>
      <c r="S170" s="1030"/>
      <c r="T170" s="1030"/>
      <c r="U170" s="1030"/>
      <c r="V170" s="1030"/>
      <c r="W170" s="1030"/>
      <c r="X170" s="1030"/>
      <c r="Y170" s="1030"/>
      <c r="Z170" s="1030"/>
      <c r="AA170" s="1030"/>
      <c r="AB170" s="1030"/>
      <c r="AC170" s="1506"/>
      <c r="AD170" s="1506"/>
      <c r="AE170" s="924"/>
      <c r="AF170" s="924"/>
      <c r="AG170" s="924"/>
      <c r="AH170" s="924"/>
      <c r="AI170" s="924"/>
      <c r="AJ170" s="924"/>
      <c r="AK170" s="924"/>
      <c r="AL170" s="924"/>
      <c r="AM170" s="1023"/>
      <c r="AN170" s="997"/>
      <c r="AP170" s="940" t="s">
        <v>1625</v>
      </c>
      <c r="AQ170" s="940">
        <v>10</v>
      </c>
    </row>
    <row r="171" spans="1:81" s="940" customFormat="1" ht="12.75" customHeight="1">
      <c r="A171" s="924"/>
      <c r="B171" s="3091" t="s">
        <v>1632</v>
      </c>
      <c r="C171" s="3091"/>
      <c r="D171" s="3091"/>
      <c r="E171" s="3091"/>
      <c r="F171" s="3091"/>
      <c r="G171" s="3091"/>
      <c r="H171" s="3091"/>
      <c r="I171" s="3091"/>
      <c r="J171" s="3091"/>
      <c r="K171" s="3091"/>
      <c r="L171" s="3091"/>
      <c r="M171" s="3091"/>
      <c r="N171" s="3091"/>
      <c r="O171" s="3091"/>
      <c r="P171" s="3091"/>
      <c r="Q171" s="3091"/>
      <c r="R171" s="3091"/>
      <c r="S171" s="3091"/>
      <c r="T171" s="3091"/>
      <c r="U171" s="3091"/>
      <c r="V171" s="3091"/>
      <c r="W171" s="3091"/>
      <c r="X171" s="3091"/>
      <c r="Y171" s="3091"/>
      <c r="Z171" s="3091"/>
      <c r="AA171" s="3091"/>
      <c r="AB171" s="3091"/>
      <c r="AC171" s="3091"/>
      <c r="AD171" s="1020"/>
      <c r="AE171" s="1020"/>
      <c r="AF171" s="3076" t="s">
        <v>1626</v>
      </c>
      <c r="AG171" s="3076"/>
      <c r="AH171" s="3076"/>
      <c r="AI171" s="3076"/>
      <c r="AJ171" s="3076"/>
      <c r="AK171" s="3076"/>
      <c r="AL171" s="3076"/>
      <c r="AN171" s="997"/>
      <c r="AP171" s="940" t="s">
        <v>1150</v>
      </c>
      <c r="AQ171" s="940">
        <v>10</v>
      </c>
    </row>
    <row r="172" spans="1:81" s="940" customFormat="1" ht="12.75" customHeight="1">
      <c r="A172" s="924"/>
      <c r="B172" s="3092" t="s">
        <v>2142</v>
      </c>
      <c r="C172" s="3092"/>
      <c r="D172" s="3092"/>
      <c r="E172" s="3092"/>
      <c r="F172" s="3092"/>
      <c r="G172" s="3092"/>
      <c r="H172" s="3092"/>
      <c r="I172" s="3092"/>
      <c r="J172" s="3092"/>
      <c r="K172" s="3092"/>
      <c r="L172" s="3092"/>
      <c r="M172" s="3092"/>
      <c r="N172" s="3092"/>
      <c r="O172" s="3092"/>
      <c r="P172" s="3092"/>
      <c r="Q172" s="3092"/>
      <c r="R172" s="3092"/>
      <c r="S172" s="3092"/>
      <c r="T172" s="3077" t="s">
        <v>624</v>
      </c>
      <c r="U172" s="3077"/>
      <c r="V172" s="3077"/>
      <c r="W172" s="3077"/>
      <c r="X172" s="3077"/>
      <c r="Y172" s="3077"/>
      <c r="Z172" s="3077"/>
      <c r="AA172" s="3077"/>
      <c r="AB172" s="3077"/>
      <c r="AC172" s="3077"/>
      <c r="AD172" s="1003"/>
      <c r="AE172" s="1003"/>
      <c r="AF172" s="1003"/>
      <c r="AG172" s="1003"/>
      <c r="AH172" s="1003"/>
      <c r="AI172" s="1003"/>
      <c r="AJ172" s="1703"/>
      <c r="AK172" s="1002"/>
      <c r="AL172" s="1002"/>
      <c r="AM172" s="1002"/>
      <c r="AN172" s="997"/>
      <c r="AP172" s="940" t="s">
        <v>1149</v>
      </c>
      <c r="AQ172" s="940">
        <v>10</v>
      </c>
      <c r="AS172" s="940" t="s">
        <v>624</v>
      </c>
    </row>
    <row r="173" spans="1:81" s="1023" customFormat="1" ht="12.75" customHeight="1">
      <c r="A173" s="1003"/>
      <c r="B173" s="1013"/>
      <c r="C173" s="1013"/>
      <c r="D173" s="1013"/>
      <c r="E173" s="1013"/>
      <c r="F173" s="1013"/>
      <c r="G173" s="1013"/>
      <c r="H173" s="1013"/>
      <c r="I173" s="1013"/>
      <c r="J173" s="1013"/>
      <c r="K173" s="1013"/>
      <c r="L173" s="1013"/>
      <c r="M173" s="1013"/>
      <c r="N173" s="1013"/>
      <c r="O173" s="1013"/>
      <c r="P173" s="1013"/>
      <c r="Q173" s="1013"/>
      <c r="R173" s="1013"/>
      <c r="S173" s="1013"/>
      <c r="T173" s="1013"/>
      <c r="U173" s="1013"/>
      <c r="V173" s="1013"/>
      <c r="W173" s="1013"/>
      <c r="X173" s="1013"/>
      <c r="Y173" s="1013"/>
      <c r="Z173" s="1013"/>
      <c r="AA173" s="1013"/>
      <c r="AB173" s="1013"/>
      <c r="AC173" s="1013"/>
      <c r="AD173" s="1013"/>
      <c r="AE173" s="1003"/>
      <c r="AF173" s="1003"/>
      <c r="AG173" s="1003"/>
      <c r="AH173" s="1003"/>
      <c r="AI173" s="1003"/>
      <c r="AJ173" s="1693"/>
      <c r="AK173" s="1002"/>
      <c r="AL173" s="1002"/>
      <c r="AM173" s="1035"/>
      <c r="AP173" s="940" t="s">
        <v>1627</v>
      </c>
      <c r="AQ173" s="940">
        <v>10</v>
      </c>
      <c r="AS173" s="940" t="s">
        <v>1628</v>
      </c>
    </row>
    <row r="174" spans="1:81" s="940" customFormat="1" ht="12.75" customHeight="1">
      <c r="A174" s="1014"/>
      <c r="B174" s="1015"/>
      <c r="C174" s="1015"/>
      <c r="D174" s="1015"/>
      <c r="E174" s="1015"/>
      <c r="F174" s="1015"/>
      <c r="G174" s="1015"/>
      <c r="H174" s="1015"/>
      <c r="I174" s="1015"/>
      <c r="J174" s="1015"/>
      <c r="K174" s="1015"/>
      <c r="L174" s="1015"/>
      <c r="M174" s="1015"/>
      <c r="N174" s="1015"/>
      <c r="O174" s="1015"/>
      <c r="P174" s="1015"/>
      <c r="Q174" s="1015"/>
      <c r="R174" s="1015"/>
      <c r="S174" s="1015"/>
      <c r="T174" s="1015"/>
      <c r="U174" s="1015"/>
      <c r="V174" s="1015"/>
      <c r="W174" s="1015"/>
      <c r="X174" s="1015"/>
      <c r="Y174" s="1015"/>
      <c r="Z174" s="1015"/>
      <c r="AA174" s="1015"/>
      <c r="AB174" s="1015"/>
      <c r="AC174" s="1015"/>
      <c r="AD174" s="1015"/>
      <c r="AE174" s="1015"/>
      <c r="AF174" s="1015"/>
      <c r="AG174" s="1015"/>
      <c r="AH174" s="1015"/>
      <c r="AI174" s="956"/>
      <c r="AJ174" s="956" t="s">
        <v>1629</v>
      </c>
      <c r="AK174" s="3100">
        <f>IF(AK72&gt;0,VLOOKUP($B$171,AP168:AQ175,2,FALSE),0)</f>
        <v>10</v>
      </c>
      <c r="AL174" s="3101"/>
      <c r="AM174" s="3102"/>
      <c r="AN174" s="1036"/>
      <c r="AP174" s="940" t="s">
        <v>1630</v>
      </c>
      <c r="AQ174" s="940">
        <v>10</v>
      </c>
      <c r="AS174" s="940" t="s">
        <v>1631</v>
      </c>
    </row>
    <row r="175" spans="1:81" s="940" customFormat="1" ht="12.75" customHeight="1" thickBot="1">
      <c r="A175" s="1037"/>
      <c r="B175" s="1037"/>
      <c r="C175" s="1038"/>
      <c r="D175" s="1039"/>
      <c r="E175" s="1039"/>
      <c r="F175" s="1040"/>
      <c r="G175" s="1040"/>
      <c r="H175" s="1040"/>
      <c r="I175" s="1040"/>
      <c r="J175" s="1040"/>
      <c r="K175" s="1040"/>
      <c r="L175" s="1040"/>
      <c r="M175" s="1040"/>
      <c r="N175" s="1040"/>
      <c r="O175" s="1040"/>
      <c r="P175" s="1040"/>
      <c r="Q175" s="1040"/>
      <c r="R175" s="1040"/>
      <c r="S175" s="1040"/>
      <c r="T175" s="1040"/>
      <c r="U175" s="1040"/>
      <c r="V175" s="1040"/>
      <c r="W175" s="1040"/>
      <c r="X175" s="1040"/>
      <c r="Y175" s="1040"/>
      <c r="Z175" s="1040"/>
      <c r="AA175" s="1040"/>
      <c r="AB175" s="1040"/>
      <c r="AC175" s="1040"/>
      <c r="AD175" s="1040"/>
      <c r="AE175" s="1040"/>
      <c r="AF175" s="1040"/>
      <c r="AG175" s="1040"/>
      <c r="AH175" s="1040"/>
      <c r="AI175" s="1040"/>
      <c r="AJ175" s="1041"/>
      <c r="AK175" s="1041"/>
      <c r="AL175" s="1041"/>
      <c r="AM175" s="1041"/>
      <c r="AN175" s="997"/>
      <c r="AP175" s="999" t="s">
        <v>1632</v>
      </c>
      <c r="AQ175" s="999">
        <v>10</v>
      </c>
    </row>
    <row r="176" spans="1:81" s="940" customFormat="1" ht="12.75" customHeight="1" thickTop="1">
      <c r="A176" s="961"/>
      <c r="B176" s="962"/>
      <c r="C176" s="963"/>
      <c r="D176" s="963"/>
      <c r="E176" s="963"/>
      <c r="F176" s="963"/>
      <c r="G176" s="963"/>
      <c r="H176" s="963"/>
      <c r="I176" s="964"/>
      <c r="J176" s="964"/>
      <c r="K176" s="964"/>
      <c r="L176" s="964"/>
      <c r="M176" s="964"/>
      <c r="N176" s="964"/>
      <c r="O176" s="964"/>
      <c r="P176" s="964"/>
      <c r="Q176" s="964"/>
      <c r="R176" s="961"/>
      <c r="S176" s="929"/>
      <c r="T176" s="929"/>
      <c r="U176" s="929"/>
      <c r="V176" s="929"/>
      <c r="W176" s="929"/>
      <c r="X176" s="929"/>
      <c r="Y176" s="929"/>
      <c r="Z176" s="929"/>
      <c r="AA176" s="929"/>
      <c r="AB176" s="929"/>
      <c r="AC176" s="929"/>
      <c r="AD176" s="929"/>
      <c r="AE176" s="929"/>
      <c r="AF176" s="961"/>
      <c r="AG176" s="929"/>
      <c r="AH176" s="929"/>
      <c r="AI176" s="929"/>
      <c r="AJ176" s="929"/>
      <c r="AM176" s="1022"/>
      <c r="AN176" s="997"/>
    </row>
    <row r="177" spans="1:37" ht="13">
      <c r="A177" s="985" t="s">
        <v>1633</v>
      </c>
      <c r="B177" s="985" t="s">
        <v>1634</v>
      </c>
      <c r="C177" s="1028"/>
      <c r="D177" s="1029"/>
      <c r="E177" s="1029"/>
      <c r="F177" s="1029"/>
      <c r="G177" s="1029"/>
      <c r="H177" s="1029"/>
      <c r="I177" s="1029"/>
      <c r="J177" s="1029"/>
      <c r="K177" s="940"/>
      <c r="L177" s="940"/>
      <c r="M177" s="940"/>
      <c r="N177" s="940"/>
      <c r="O177" s="940"/>
      <c r="P177" s="940"/>
      <c r="Q177" s="940"/>
      <c r="R177" s="940"/>
      <c r="S177" s="940"/>
      <c r="T177" s="940"/>
      <c r="U177" s="940"/>
      <c r="V177" s="940"/>
      <c r="W177" s="940"/>
      <c r="X177" s="940"/>
      <c r="Y177" s="1030"/>
      <c r="Z177" s="1030"/>
      <c r="AA177" s="1030"/>
      <c r="AB177" s="1030"/>
      <c r="AC177" s="940"/>
      <c r="AD177" s="940"/>
      <c r="AE177" s="3090" t="s">
        <v>1635</v>
      </c>
      <c r="AF177" s="3090"/>
      <c r="AG177" s="3090"/>
      <c r="AH177" s="3090"/>
      <c r="AI177" s="3090"/>
      <c r="AJ177" s="3090"/>
      <c r="AK177" s="3090"/>
    </row>
    <row r="178" spans="1:37" ht="13">
      <c r="A178" s="985"/>
      <c r="B178" s="985"/>
      <c r="C178" s="1028"/>
      <c r="D178" s="1029"/>
      <c r="E178" s="1029"/>
      <c r="F178" s="1029"/>
      <c r="G178" s="1029"/>
      <c r="H178" s="1029"/>
      <c r="I178" s="1029"/>
      <c r="J178" s="1029"/>
      <c r="K178" s="924"/>
      <c r="L178" s="924"/>
      <c r="M178" s="924"/>
      <c r="N178" s="924"/>
      <c r="O178" s="924"/>
      <c r="P178" s="924"/>
      <c r="Q178" s="924"/>
      <c r="R178" s="924"/>
      <c r="S178" s="924"/>
      <c r="T178" s="924"/>
      <c r="U178" s="924"/>
      <c r="V178" s="924"/>
      <c r="W178" s="924"/>
      <c r="X178" s="924"/>
      <c r="Y178" s="1030"/>
      <c r="Z178" s="1030"/>
      <c r="AA178" s="1030"/>
      <c r="AB178" s="1030"/>
      <c r="AC178" s="924"/>
      <c r="AD178" s="924"/>
      <c r="AE178" s="1034"/>
      <c r="AF178" s="1034"/>
      <c r="AG178" s="1034"/>
      <c r="AH178" s="1034"/>
      <c r="AI178" s="1034"/>
      <c r="AJ178" s="1034"/>
      <c r="AK178" s="1034"/>
    </row>
    <row r="179" spans="1:37" ht="13">
      <c r="A179" s="985"/>
      <c r="B179" s="1392" t="s">
        <v>1885</v>
      </c>
      <c r="C179" s="1028"/>
      <c r="D179" s="1029"/>
      <c r="E179" s="1029"/>
      <c r="F179" s="1029"/>
      <c r="G179" s="1029"/>
      <c r="H179" s="1029"/>
      <c r="I179" s="1029"/>
      <c r="J179" s="1029"/>
      <c r="K179" s="924"/>
      <c r="L179" s="924"/>
      <c r="M179" s="924"/>
      <c r="N179" s="924"/>
      <c r="O179" s="924"/>
      <c r="P179" s="924"/>
      <c r="Q179" s="924"/>
      <c r="R179" s="924"/>
      <c r="S179" s="924"/>
      <c r="T179" s="924"/>
      <c r="U179" s="924"/>
      <c r="V179" s="924"/>
      <c r="W179" s="924"/>
      <c r="X179" s="924"/>
      <c r="Y179" s="1030"/>
      <c r="Z179" s="1030"/>
      <c r="AA179" s="1030"/>
      <c r="AB179" s="1030"/>
      <c r="AC179" s="924"/>
      <c r="AD179" s="924"/>
      <c r="AE179" s="1034"/>
      <c r="AF179" s="1034"/>
      <c r="AG179" s="1034"/>
      <c r="AH179" s="1034"/>
      <c r="AI179" s="1034"/>
      <c r="AJ179" s="1034"/>
      <c r="AK179" s="1034"/>
    </row>
    <row r="180" spans="1:37">
      <c r="A180" s="1013"/>
      <c r="B180" s="112"/>
      <c r="C180" s="1103"/>
      <c r="D180" s="1368"/>
      <c r="E180" s="1368"/>
      <c r="F180" s="1368"/>
      <c r="G180" s="1368"/>
      <c r="H180" s="1368"/>
      <c r="I180" s="1368"/>
      <c r="J180" s="1368"/>
      <c r="K180" s="924"/>
      <c r="L180" s="924"/>
      <c r="M180" s="924"/>
      <c r="N180" s="924"/>
      <c r="O180" s="924"/>
      <c r="P180" s="924"/>
      <c r="Q180" s="924"/>
      <c r="R180" s="924"/>
      <c r="S180" s="924"/>
      <c r="T180" s="924"/>
      <c r="U180" s="924"/>
      <c r="V180" s="924"/>
      <c r="W180" s="924"/>
      <c r="X180" s="924"/>
      <c r="Y180" s="1077"/>
      <c r="Z180" s="1077"/>
      <c r="AA180" s="1077"/>
      <c r="AB180" s="1077"/>
      <c r="AC180" s="924"/>
      <c r="AD180" s="924"/>
      <c r="AE180" s="1021"/>
      <c r="AF180" s="1021"/>
      <c r="AG180" s="1021"/>
      <c r="AH180" s="1021"/>
      <c r="AI180" s="1021"/>
      <c r="AJ180" s="1021"/>
      <c r="AK180" s="1021"/>
    </row>
    <row r="181" spans="1:37">
      <c r="A181" s="1013"/>
      <c r="B181" s="1393" t="s">
        <v>1921</v>
      </c>
      <c r="C181" s="1103"/>
      <c r="D181" s="1368"/>
      <c r="E181" s="1368"/>
      <c r="F181" s="1368"/>
      <c r="G181" s="1368"/>
      <c r="H181" s="1368"/>
      <c r="I181" s="1368"/>
      <c r="J181" s="1368"/>
      <c r="K181" s="924"/>
      <c r="L181" s="924"/>
      <c r="M181" s="924"/>
      <c r="N181" s="924"/>
      <c r="O181" s="924"/>
      <c r="P181" s="924"/>
      <c r="Q181" s="924"/>
      <c r="R181" s="924"/>
      <c r="S181" s="924"/>
      <c r="T181" s="924"/>
      <c r="U181" s="924"/>
      <c r="V181" s="924"/>
      <c r="W181" s="924"/>
      <c r="X181" s="924"/>
      <c r="Y181" s="1077"/>
      <c r="Z181" s="1077"/>
      <c r="AA181" s="1077"/>
      <c r="AB181" s="1077"/>
      <c r="AC181" s="924"/>
      <c r="AD181" s="924"/>
      <c r="AE181" s="1021"/>
      <c r="AF181" s="1021"/>
      <c r="AG181" s="1021"/>
      <c r="AH181" s="1021"/>
      <c r="AI181" s="1021"/>
      <c r="AJ181" s="1021"/>
      <c r="AK181" s="1021"/>
    </row>
    <row r="182" spans="1:37">
      <c r="A182" s="1013"/>
      <c r="B182" s="3082" t="s">
        <v>2573</v>
      </c>
      <c r="C182" s="3082"/>
      <c r="D182" s="3082"/>
      <c r="E182" s="3082"/>
      <c r="F182" s="3082"/>
      <c r="G182" s="3082"/>
      <c r="H182" s="3082"/>
      <c r="I182" s="3082"/>
      <c r="J182" s="3082"/>
      <c r="K182" s="3082"/>
      <c r="L182" s="3082"/>
      <c r="M182" s="3082"/>
      <c r="N182" s="3082"/>
      <c r="O182" s="3082"/>
      <c r="P182" s="3082"/>
      <c r="Q182" s="3082"/>
      <c r="R182" s="3082"/>
      <c r="S182" s="3082"/>
      <c r="T182" s="3082"/>
      <c r="U182" s="3082"/>
      <c r="V182" s="3082"/>
      <c r="W182" s="3082"/>
      <c r="X182" s="3082"/>
      <c r="Y182" s="3082"/>
      <c r="Z182" s="3082"/>
      <c r="AA182" s="3082"/>
      <c r="AB182" s="3082"/>
      <c r="AC182" s="1394"/>
      <c r="AD182" s="3085">
        <v>12150000</v>
      </c>
      <c r="AE182" s="3085"/>
      <c r="AF182" s="3085"/>
      <c r="AG182" s="3085"/>
      <c r="AH182" s="3085"/>
      <c r="AI182" s="3085"/>
      <c r="AJ182" s="3085"/>
      <c r="AK182" s="1021"/>
    </row>
    <row r="183" spans="1:37">
      <c r="A183" s="1013"/>
      <c r="B183" s="3082" t="s">
        <v>2579</v>
      </c>
      <c r="C183" s="3082"/>
      <c r="D183" s="3082"/>
      <c r="E183" s="3082"/>
      <c r="F183" s="3082"/>
      <c r="G183" s="3082"/>
      <c r="H183" s="3082"/>
      <c r="I183" s="3082"/>
      <c r="J183" s="3082"/>
      <c r="K183" s="3082"/>
      <c r="L183" s="3082"/>
      <c r="M183" s="3082"/>
      <c r="N183" s="3082"/>
      <c r="O183" s="3082"/>
      <c r="P183" s="3082"/>
      <c r="Q183" s="3082"/>
      <c r="R183" s="3082"/>
      <c r="S183" s="3082"/>
      <c r="T183" s="3082"/>
      <c r="U183" s="3082"/>
      <c r="V183" s="3082"/>
      <c r="W183" s="3082"/>
      <c r="X183" s="3082"/>
      <c r="Y183" s="3082"/>
      <c r="Z183" s="3082"/>
      <c r="AA183" s="3082"/>
      <c r="AB183" s="3082"/>
      <c r="AC183" s="1394"/>
      <c r="AD183" s="3085">
        <v>20000000</v>
      </c>
      <c r="AE183" s="3085"/>
      <c r="AF183" s="3085"/>
      <c r="AG183" s="3085"/>
      <c r="AH183" s="3085"/>
      <c r="AI183" s="3085"/>
      <c r="AJ183" s="3085"/>
      <c r="AK183" s="1021"/>
    </row>
    <row r="184" spans="1:37">
      <c r="A184" s="1013"/>
      <c r="B184" s="3082"/>
      <c r="C184" s="3082"/>
      <c r="D184" s="3082"/>
      <c r="E184" s="3082"/>
      <c r="F184" s="3082"/>
      <c r="G184" s="3082"/>
      <c r="H184" s="3082"/>
      <c r="I184" s="3082"/>
      <c r="J184" s="3082"/>
      <c r="K184" s="3082"/>
      <c r="L184" s="3082"/>
      <c r="M184" s="3082"/>
      <c r="N184" s="3082"/>
      <c r="O184" s="3082"/>
      <c r="P184" s="3082"/>
      <c r="Q184" s="3082"/>
      <c r="R184" s="3082"/>
      <c r="S184" s="3082"/>
      <c r="T184" s="3082"/>
      <c r="U184" s="3082"/>
      <c r="V184" s="3082"/>
      <c r="W184" s="3082"/>
      <c r="X184" s="3082"/>
      <c r="Y184" s="3082"/>
      <c r="Z184" s="3082"/>
      <c r="AA184" s="3082"/>
      <c r="AB184" s="3082"/>
      <c r="AC184" s="1394"/>
      <c r="AD184" s="3085"/>
      <c r="AE184" s="3085"/>
      <c r="AF184" s="3085"/>
      <c r="AG184" s="3085"/>
      <c r="AH184" s="3085"/>
      <c r="AI184" s="3085"/>
      <c r="AJ184" s="3085"/>
      <c r="AK184" s="1021"/>
    </row>
    <row r="185" spans="1:37">
      <c r="A185" s="1013"/>
      <c r="B185" s="3082"/>
      <c r="C185" s="3082"/>
      <c r="D185" s="3082"/>
      <c r="E185" s="3082"/>
      <c r="F185" s="3082"/>
      <c r="G185" s="3082"/>
      <c r="H185" s="3082"/>
      <c r="I185" s="3082"/>
      <c r="J185" s="3082"/>
      <c r="K185" s="3082"/>
      <c r="L185" s="3082"/>
      <c r="M185" s="3082"/>
      <c r="N185" s="3082"/>
      <c r="O185" s="3082"/>
      <c r="P185" s="3082"/>
      <c r="Q185" s="3082"/>
      <c r="R185" s="3082"/>
      <c r="S185" s="3082"/>
      <c r="T185" s="3082"/>
      <c r="U185" s="3082"/>
      <c r="V185" s="3082"/>
      <c r="W185" s="3082"/>
      <c r="X185" s="3082"/>
      <c r="Y185" s="3082"/>
      <c r="Z185" s="3082"/>
      <c r="AA185" s="3082"/>
      <c r="AB185" s="3082"/>
      <c r="AC185" s="1394"/>
      <c r="AD185" s="3085"/>
      <c r="AE185" s="3085"/>
      <c r="AF185" s="3085"/>
      <c r="AG185" s="3085"/>
      <c r="AH185" s="3085"/>
      <c r="AI185" s="3085"/>
      <c r="AJ185" s="3085"/>
      <c r="AK185" s="1021"/>
    </row>
    <row r="186" spans="1:37">
      <c r="A186" s="1013"/>
      <c r="B186" s="3082"/>
      <c r="C186" s="3082"/>
      <c r="D186" s="3082"/>
      <c r="E186" s="3082"/>
      <c r="F186" s="3082"/>
      <c r="G186" s="3082"/>
      <c r="H186" s="3082"/>
      <c r="I186" s="3082"/>
      <c r="J186" s="3082"/>
      <c r="K186" s="3082"/>
      <c r="L186" s="3082"/>
      <c r="M186" s="3082"/>
      <c r="N186" s="3082"/>
      <c r="O186" s="3082"/>
      <c r="P186" s="3082"/>
      <c r="Q186" s="3082"/>
      <c r="R186" s="3082"/>
      <c r="S186" s="3082"/>
      <c r="T186" s="3082"/>
      <c r="U186" s="3082"/>
      <c r="V186" s="3082"/>
      <c r="W186" s="3082"/>
      <c r="X186" s="3082"/>
      <c r="Y186" s="3082"/>
      <c r="Z186" s="3082"/>
      <c r="AA186" s="3082"/>
      <c r="AB186" s="3082"/>
      <c r="AC186" s="1394"/>
      <c r="AD186" s="3085"/>
      <c r="AE186" s="3085"/>
      <c r="AF186" s="3085"/>
      <c r="AG186" s="3085"/>
      <c r="AH186" s="3085"/>
      <c r="AI186" s="3085"/>
      <c r="AJ186" s="3085"/>
      <c r="AK186" s="1021"/>
    </row>
    <row r="187" spans="1:37">
      <c r="A187" s="1013"/>
      <c r="B187" s="3082"/>
      <c r="C187" s="3082"/>
      <c r="D187" s="3082"/>
      <c r="E187" s="3082"/>
      <c r="F187" s="3082"/>
      <c r="G187" s="3082"/>
      <c r="H187" s="3082"/>
      <c r="I187" s="3082"/>
      <c r="J187" s="3082"/>
      <c r="K187" s="3082"/>
      <c r="L187" s="3082"/>
      <c r="M187" s="3082"/>
      <c r="N187" s="3082"/>
      <c r="O187" s="3082"/>
      <c r="P187" s="3082"/>
      <c r="Q187" s="3082"/>
      <c r="R187" s="3082"/>
      <c r="S187" s="3082"/>
      <c r="T187" s="3082"/>
      <c r="U187" s="3082"/>
      <c r="V187" s="3082"/>
      <c r="W187" s="3082"/>
      <c r="X187" s="3082"/>
      <c r="Y187" s="3082"/>
      <c r="Z187" s="3082"/>
      <c r="AA187" s="3082"/>
      <c r="AB187" s="3082"/>
      <c r="AC187" s="1394"/>
      <c r="AD187" s="3085"/>
      <c r="AE187" s="3085"/>
      <c r="AF187" s="3085"/>
      <c r="AG187" s="3085"/>
      <c r="AH187" s="3085"/>
      <c r="AI187" s="3085"/>
      <c r="AJ187" s="3085"/>
      <c r="AK187" s="1021"/>
    </row>
    <row r="188" spans="1:37">
      <c r="A188" s="1013"/>
      <c r="B188" s="3082"/>
      <c r="C188" s="3082"/>
      <c r="D188" s="3082"/>
      <c r="E188" s="3082"/>
      <c r="F188" s="3082"/>
      <c r="G188" s="3082"/>
      <c r="H188" s="3082"/>
      <c r="I188" s="3082"/>
      <c r="J188" s="3082"/>
      <c r="K188" s="3082"/>
      <c r="L188" s="3082"/>
      <c r="M188" s="3082"/>
      <c r="N188" s="3082"/>
      <c r="O188" s="3082"/>
      <c r="P188" s="3082"/>
      <c r="Q188" s="3082"/>
      <c r="R188" s="3082"/>
      <c r="S188" s="3082"/>
      <c r="T188" s="3082"/>
      <c r="U188" s="3082"/>
      <c r="V188" s="3082"/>
      <c r="W188" s="3082"/>
      <c r="X188" s="3082"/>
      <c r="Y188" s="3082"/>
      <c r="Z188" s="3082"/>
      <c r="AA188" s="3082"/>
      <c r="AB188" s="3082"/>
      <c r="AC188" s="1394"/>
      <c r="AD188" s="3085"/>
      <c r="AE188" s="3085"/>
      <c r="AF188" s="3085"/>
      <c r="AG188" s="3085"/>
      <c r="AH188" s="3085"/>
      <c r="AI188" s="3085"/>
      <c r="AJ188" s="3085"/>
      <c r="AK188" s="1021"/>
    </row>
    <row r="189" spans="1:37">
      <c r="A189" s="1013"/>
      <c r="B189" s="3082"/>
      <c r="C189" s="3082"/>
      <c r="D189" s="3082"/>
      <c r="E189" s="3082"/>
      <c r="F189" s="3082"/>
      <c r="G189" s="3082"/>
      <c r="H189" s="3082"/>
      <c r="I189" s="3082"/>
      <c r="J189" s="3082"/>
      <c r="K189" s="3082"/>
      <c r="L189" s="3082"/>
      <c r="M189" s="3082"/>
      <c r="N189" s="3082"/>
      <c r="O189" s="3082"/>
      <c r="P189" s="3082"/>
      <c r="Q189" s="3082"/>
      <c r="R189" s="3082"/>
      <c r="S189" s="3082"/>
      <c r="T189" s="3082"/>
      <c r="U189" s="3082"/>
      <c r="V189" s="3082"/>
      <c r="W189" s="3082"/>
      <c r="X189" s="3082"/>
      <c r="Y189" s="3082"/>
      <c r="Z189" s="3082"/>
      <c r="AA189" s="3082"/>
      <c r="AB189" s="3082"/>
      <c r="AC189" s="1394"/>
      <c r="AD189" s="3085"/>
      <c r="AE189" s="3085"/>
      <c r="AF189" s="3085"/>
      <c r="AG189" s="3085"/>
      <c r="AH189" s="3085"/>
      <c r="AI189" s="3085"/>
      <c r="AJ189" s="3085"/>
      <c r="AK189" s="1021"/>
    </row>
    <row r="190" spans="1:37">
      <c r="A190" s="1013"/>
      <c r="B190" s="3082"/>
      <c r="C190" s="3082"/>
      <c r="D190" s="3082"/>
      <c r="E190" s="3082"/>
      <c r="F190" s="3082"/>
      <c r="G190" s="3082"/>
      <c r="H190" s="3082"/>
      <c r="I190" s="3082"/>
      <c r="J190" s="3082"/>
      <c r="K190" s="3082"/>
      <c r="L190" s="3082"/>
      <c r="M190" s="3082"/>
      <c r="N190" s="3082"/>
      <c r="O190" s="3082"/>
      <c r="P190" s="3082"/>
      <c r="Q190" s="3082"/>
      <c r="R190" s="3082"/>
      <c r="S190" s="3082"/>
      <c r="T190" s="3082"/>
      <c r="U190" s="3082"/>
      <c r="V190" s="3082"/>
      <c r="W190" s="3082"/>
      <c r="X190" s="3082"/>
      <c r="Y190" s="3082"/>
      <c r="Z190" s="3082"/>
      <c r="AA190" s="3082"/>
      <c r="AB190" s="3082"/>
      <c r="AC190" s="1394"/>
      <c r="AD190" s="3085"/>
      <c r="AE190" s="3085"/>
      <c r="AF190" s="3085"/>
      <c r="AG190" s="3085"/>
      <c r="AH190" s="3085"/>
      <c r="AI190" s="3085"/>
      <c r="AJ190" s="3085"/>
      <c r="AK190" s="1021"/>
    </row>
    <row r="191" spans="1:37">
      <c r="A191" s="1013"/>
      <c r="B191" s="3082"/>
      <c r="C191" s="3082"/>
      <c r="D191" s="3082"/>
      <c r="E191" s="3082"/>
      <c r="F191" s="3082"/>
      <c r="G191" s="3082"/>
      <c r="H191" s="3082"/>
      <c r="I191" s="3082"/>
      <c r="J191" s="3082"/>
      <c r="K191" s="3082"/>
      <c r="L191" s="3082"/>
      <c r="M191" s="3082"/>
      <c r="N191" s="3082"/>
      <c r="O191" s="3082"/>
      <c r="P191" s="3082"/>
      <c r="Q191" s="3082"/>
      <c r="R191" s="3082"/>
      <c r="S191" s="3082"/>
      <c r="T191" s="3082"/>
      <c r="U191" s="3082"/>
      <c r="V191" s="3082"/>
      <c r="W191" s="3082"/>
      <c r="X191" s="3082"/>
      <c r="Y191" s="3082"/>
      <c r="Z191" s="3082"/>
      <c r="AA191" s="3082"/>
      <c r="AB191" s="3082"/>
      <c r="AC191" s="1394"/>
      <c r="AD191" s="3085"/>
      <c r="AE191" s="3085"/>
      <c r="AF191" s="3085"/>
      <c r="AG191" s="3085"/>
      <c r="AH191" s="3085"/>
      <c r="AI191" s="3085"/>
      <c r="AJ191" s="3085"/>
      <c r="AK191" s="1021"/>
    </row>
    <row r="192" spans="1:37">
      <c r="A192" s="1013"/>
      <c r="B192" s="3250" t="s">
        <v>1923</v>
      </c>
      <c r="C192" s="3250"/>
      <c r="D192" s="3250"/>
      <c r="E192" s="3250"/>
      <c r="F192" s="3250"/>
      <c r="G192" s="3250"/>
      <c r="H192" s="3250"/>
      <c r="I192" s="3250"/>
      <c r="J192" s="3250"/>
      <c r="K192" s="3250"/>
      <c r="L192" s="3250"/>
      <c r="M192" s="3250"/>
      <c r="N192" s="3250"/>
      <c r="O192" s="3250"/>
      <c r="P192" s="3250"/>
      <c r="Q192" s="3250"/>
      <c r="R192" s="3250"/>
      <c r="S192" s="3250"/>
      <c r="T192" s="3250"/>
      <c r="U192" s="3250"/>
      <c r="V192" s="3250"/>
      <c r="W192" s="3250"/>
      <c r="X192" s="3250"/>
      <c r="Y192" s="3250"/>
      <c r="Z192" s="3250"/>
      <c r="AA192" s="3250"/>
      <c r="AB192" s="3250"/>
      <c r="AC192" s="924"/>
      <c r="AD192" s="3107">
        <f>AB243</f>
        <v>2911733.2302936926</v>
      </c>
      <c r="AE192" s="3107"/>
      <c r="AF192" s="3107"/>
      <c r="AG192" s="3107"/>
      <c r="AH192" s="3107"/>
      <c r="AI192" s="3107"/>
      <c r="AJ192" s="3107"/>
      <c r="AK192" s="1021"/>
    </row>
    <row r="193" spans="1:37">
      <c r="A193" s="1013"/>
      <c r="B193" s="3248" t="s">
        <v>1886</v>
      </c>
      <c r="C193" s="3248"/>
      <c r="D193" s="3248"/>
      <c r="E193" s="3248"/>
      <c r="F193" s="3248"/>
      <c r="G193" s="3248"/>
      <c r="H193" s="3248"/>
      <c r="I193" s="3248"/>
      <c r="J193" s="3248"/>
      <c r="K193" s="3248"/>
      <c r="L193" s="3248"/>
      <c r="M193" s="3248"/>
      <c r="N193" s="3248"/>
      <c r="O193" s="3248"/>
      <c r="P193" s="3248"/>
      <c r="Q193" s="3248"/>
      <c r="R193" s="3248"/>
      <c r="S193" s="3248"/>
      <c r="T193" s="3248"/>
      <c r="U193" s="3248"/>
      <c r="V193" s="3248"/>
      <c r="W193" s="3248"/>
      <c r="X193" s="3248"/>
      <c r="Y193" s="3248"/>
      <c r="Z193" s="3248"/>
      <c r="AA193" s="3248"/>
      <c r="AB193" s="3248"/>
      <c r="AC193" s="1394"/>
      <c r="AD193" s="3108">
        <f>'Sources and Uses Budget'!B15</f>
        <v>0</v>
      </c>
      <c r="AE193" s="3108"/>
      <c r="AF193" s="3108"/>
      <c r="AG193" s="3108"/>
      <c r="AH193" s="3108"/>
      <c r="AI193" s="3108"/>
      <c r="AJ193" s="3108"/>
      <c r="AK193" s="1021"/>
    </row>
    <row r="194" spans="1:37" ht="13">
      <c r="A194" s="1013"/>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7" t="s">
        <v>966</v>
      </c>
      <c r="AC194" s="924"/>
      <c r="AD194" s="3112">
        <f>SUM(AD182:AJ192)-AD193</f>
        <v>35061733.230293691</v>
      </c>
      <c r="AE194" s="3112"/>
      <c r="AF194" s="3112"/>
      <c r="AG194" s="3112"/>
      <c r="AH194" s="3112"/>
      <c r="AI194" s="3112"/>
      <c r="AJ194" s="3112"/>
      <c r="AK194" s="1021"/>
    </row>
    <row r="195" spans="1:37">
      <c r="A195" s="1013"/>
      <c r="B195" s="1013"/>
      <c r="C195" s="1103"/>
      <c r="D195" s="1368"/>
      <c r="E195" s="1368"/>
      <c r="F195" s="1368"/>
      <c r="G195" s="1368"/>
      <c r="H195" s="1368"/>
      <c r="I195" s="1368"/>
      <c r="J195" s="1368"/>
      <c r="K195" s="924"/>
      <c r="L195" s="924"/>
      <c r="M195" s="924"/>
      <c r="N195" s="924"/>
      <c r="O195" s="924"/>
      <c r="P195" s="924"/>
      <c r="Q195" s="924"/>
      <c r="R195" s="924"/>
      <c r="S195" s="924"/>
      <c r="T195" s="924"/>
      <c r="U195" s="924"/>
      <c r="V195" s="924"/>
      <c r="W195" s="924"/>
      <c r="X195" s="924"/>
      <c r="Y195" s="1077"/>
      <c r="Z195" s="1077"/>
      <c r="AA195" s="1077"/>
      <c r="AB195" s="1077"/>
      <c r="AC195" s="924"/>
      <c r="AD195" s="924"/>
      <c r="AE195" s="1021"/>
      <c r="AF195" s="1021"/>
      <c r="AG195" s="1021"/>
      <c r="AH195" s="1021"/>
      <c r="AI195" s="1021"/>
      <c r="AJ195" s="1021"/>
      <c r="AK195" s="1021"/>
    </row>
    <row r="196" spans="1:37" ht="13">
      <c r="A196" s="1013"/>
      <c r="B196" s="1377" t="s">
        <v>1891</v>
      </c>
      <c r="C196" s="1103"/>
      <c r="D196" s="1368"/>
      <c r="E196" s="1368"/>
      <c r="F196" s="1368"/>
      <c r="G196" s="1368"/>
      <c r="H196" s="1368"/>
      <c r="I196" s="1368"/>
      <c r="J196" s="1368"/>
      <c r="K196" s="924"/>
      <c r="L196" s="924"/>
      <c r="M196" s="924"/>
      <c r="N196" s="924"/>
      <c r="O196" s="924"/>
      <c r="P196" s="924"/>
      <c r="Q196" s="924"/>
      <c r="R196" s="924"/>
      <c r="S196" s="924"/>
      <c r="T196" s="924"/>
      <c r="U196" s="924"/>
      <c r="V196" s="924"/>
      <c r="W196" s="924"/>
      <c r="X196" s="924"/>
      <c r="Y196" s="1077"/>
      <c r="Z196" s="1077"/>
      <c r="AA196" s="1077"/>
      <c r="AB196" s="1077"/>
      <c r="AC196" s="924"/>
      <c r="AD196" s="924"/>
      <c r="AE196" s="1021"/>
      <c r="AF196" s="1021"/>
      <c r="AG196" s="1021"/>
      <c r="AH196" s="1021"/>
      <c r="AI196" s="1021"/>
      <c r="AJ196" s="1021"/>
      <c r="AK196" s="1021"/>
    </row>
    <row r="197" spans="1:37">
      <c r="A197" s="1013"/>
      <c r="B197" s="995" t="s">
        <v>1922</v>
      </c>
      <c r="C197" s="1103"/>
      <c r="D197" s="1368"/>
      <c r="E197" s="1368"/>
      <c r="F197" s="1368"/>
      <c r="G197" s="1368"/>
      <c r="H197" s="1368"/>
      <c r="I197" s="1368"/>
      <c r="J197" s="1368"/>
      <c r="K197" s="924"/>
      <c r="L197" s="924"/>
      <c r="M197" s="924"/>
      <c r="N197" s="924"/>
      <c r="O197" s="924"/>
      <c r="P197" s="924"/>
      <c r="Q197" s="924"/>
      <c r="R197" s="924"/>
      <c r="S197" s="924"/>
      <c r="T197" s="924"/>
      <c r="U197" s="924"/>
      <c r="V197" s="924"/>
      <c r="W197" s="924"/>
      <c r="X197" s="924"/>
      <c r="Y197" s="1077"/>
      <c r="Z197" s="1077"/>
      <c r="AA197" s="1077"/>
      <c r="AB197" s="1077"/>
      <c r="AC197" s="924"/>
      <c r="AD197" s="924"/>
      <c r="AE197" s="1021"/>
      <c r="AF197" s="1021"/>
      <c r="AG197" s="1021"/>
      <c r="AH197" s="1021"/>
      <c r="AI197" s="1021"/>
      <c r="AJ197" s="1021"/>
      <c r="AK197" s="1021"/>
    </row>
    <row r="198" spans="1:37">
      <c r="A198" s="1404"/>
      <c r="B198" s="1447" t="s">
        <v>1893</v>
      </c>
      <c r="C198" s="1448"/>
      <c r="D198" s="1449"/>
      <c r="E198" s="1449"/>
      <c r="F198" s="1449"/>
      <c r="G198" s="1449"/>
      <c r="H198" s="1449"/>
      <c r="I198" s="1449"/>
      <c r="J198" s="1449"/>
      <c r="K198" s="1450"/>
      <c r="L198" s="1450"/>
      <c r="M198" s="1450"/>
      <c r="N198" s="1450"/>
      <c r="O198" s="1450"/>
      <c r="P198" s="1450"/>
      <c r="Q198" s="1450"/>
      <c r="R198" s="1450"/>
      <c r="S198" s="1205"/>
      <c r="T198" s="1205"/>
      <c r="U198" s="1205"/>
      <c r="V198" s="1205"/>
      <c r="W198" s="1205"/>
      <c r="X198" s="1205"/>
      <c r="Y198" s="1369"/>
      <c r="Z198" s="1369"/>
      <c r="AA198" s="1369"/>
      <c r="AB198" s="1369"/>
      <c r="AC198" s="1205"/>
      <c r="AD198" s="1205"/>
      <c r="AE198" s="1370"/>
      <c r="AF198" s="1370"/>
      <c r="AG198" s="1370"/>
      <c r="AH198" s="1370"/>
      <c r="AI198" s="1370"/>
      <c r="AJ198" s="1371"/>
      <c r="AK198" s="1021"/>
    </row>
    <row r="199" spans="1:37">
      <c r="A199" s="1404"/>
      <c r="B199" s="1451" t="s">
        <v>1894</v>
      </c>
      <c r="C199" s="1452"/>
      <c r="D199" s="1453"/>
      <c r="E199" s="1453"/>
      <c r="F199" s="1453"/>
      <c r="G199" s="1453"/>
      <c r="H199" s="1453"/>
      <c r="I199" s="1453"/>
      <c r="J199" s="1453"/>
      <c r="K199" s="1454"/>
      <c r="L199" s="1454"/>
      <c r="M199" s="1454"/>
      <c r="N199" s="1454"/>
      <c r="O199" s="1454"/>
      <c r="P199" s="1454"/>
      <c r="Q199" s="1454"/>
      <c r="R199" s="1454"/>
      <c r="S199" s="988"/>
      <c r="T199" s="988"/>
      <c r="U199" s="988"/>
      <c r="V199" s="988"/>
      <c r="W199" s="988"/>
      <c r="X199" s="988"/>
      <c r="Y199" s="1077"/>
      <c r="Z199" s="1077"/>
      <c r="AA199" s="1077"/>
      <c r="AB199" s="1077"/>
      <c r="AC199" s="988"/>
      <c r="AD199" s="988"/>
      <c r="AE199" s="1021"/>
      <c r="AF199" s="1021"/>
      <c r="AG199" s="1021"/>
      <c r="AH199" s="1021"/>
      <c r="AI199" s="1021"/>
      <c r="AJ199" s="1372"/>
      <c r="AK199" s="1021"/>
    </row>
    <row r="200" spans="1:37">
      <c r="A200" s="1404"/>
      <c r="B200" s="1451" t="s">
        <v>1937</v>
      </c>
      <c r="C200" s="1452"/>
      <c r="D200" s="1453"/>
      <c r="E200" s="1453"/>
      <c r="F200" s="1453"/>
      <c r="G200" s="1453"/>
      <c r="H200" s="1453"/>
      <c r="I200" s="1453"/>
      <c r="J200" s="1453"/>
      <c r="K200" s="1454"/>
      <c r="L200" s="1454"/>
      <c r="M200" s="1454"/>
      <c r="N200" s="1454"/>
      <c r="O200" s="1454"/>
      <c r="P200" s="1454"/>
      <c r="Q200" s="1454"/>
      <c r="R200" s="1454"/>
      <c r="S200" s="988"/>
      <c r="T200" s="988"/>
      <c r="U200" s="988"/>
      <c r="V200" s="988"/>
      <c r="W200" s="988"/>
      <c r="X200" s="988"/>
      <c r="Y200" s="1077"/>
      <c r="Z200" s="1077"/>
      <c r="AA200" s="1077"/>
      <c r="AB200" s="1077"/>
      <c r="AC200" s="988"/>
      <c r="AD200" s="988"/>
      <c r="AE200" s="1021"/>
      <c r="AF200" s="1021"/>
      <c r="AG200" s="1021"/>
      <c r="AH200" s="1021"/>
      <c r="AI200" s="1021"/>
      <c r="AJ200" s="1372"/>
      <c r="AK200" s="1021"/>
    </row>
    <row r="201" spans="1:37">
      <c r="A201" s="1404"/>
      <c r="B201" s="1451" t="s">
        <v>1895</v>
      </c>
      <c r="C201" s="1452"/>
      <c r="D201" s="1453"/>
      <c r="E201" s="1453"/>
      <c r="F201" s="1453"/>
      <c r="G201" s="1453"/>
      <c r="H201" s="1453"/>
      <c r="I201" s="1453"/>
      <c r="J201" s="1453"/>
      <c r="K201" s="1454"/>
      <c r="L201" s="1454"/>
      <c r="M201" s="1454"/>
      <c r="N201" s="1454"/>
      <c r="O201" s="1454"/>
      <c r="P201" s="1454"/>
      <c r="Q201" s="1454"/>
      <c r="R201" s="1454"/>
      <c r="S201" s="988"/>
      <c r="T201" s="988"/>
      <c r="U201" s="988"/>
      <c r="V201" s="988"/>
      <c r="W201" s="988"/>
      <c r="X201" s="988"/>
      <c r="Y201" s="1077"/>
      <c r="Z201" s="1077"/>
      <c r="AA201" s="1077"/>
      <c r="AB201" s="1077"/>
      <c r="AC201" s="988"/>
      <c r="AD201" s="988"/>
      <c r="AE201" s="1021"/>
      <c r="AF201" s="1021"/>
      <c r="AG201" s="1021"/>
      <c r="AH201" s="1021"/>
      <c r="AI201" s="1021"/>
      <c r="AJ201" s="1372"/>
      <c r="AK201" s="1021"/>
    </row>
    <row r="202" spans="1:37">
      <c r="A202" s="1404"/>
      <c r="B202" s="1455" t="s">
        <v>1896</v>
      </c>
      <c r="C202" s="1452"/>
      <c r="D202" s="1453"/>
      <c r="E202" s="1453"/>
      <c r="F202" s="1453"/>
      <c r="G202" s="1453"/>
      <c r="H202" s="1453"/>
      <c r="I202" s="1453"/>
      <c r="J202" s="1453"/>
      <c r="K202" s="1454"/>
      <c r="L202" s="1454"/>
      <c r="M202" s="1454"/>
      <c r="N202" s="1454"/>
      <c r="O202" s="1454"/>
      <c r="P202" s="1454"/>
      <c r="Q202" s="1454"/>
      <c r="R202" s="1454"/>
      <c r="S202" s="988"/>
      <c r="T202" s="988"/>
      <c r="U202" s="988"/>
      <c r="V202" s="988"/>
      <c r="W202" s="988"/>
      <c r="X202" s="988"/>
      <c r="Y202" s="1077"/>
      <c r="Z202" s="1077"/>
      <c r="AA202" s="1077"/>
      <c r="AB202" s="1077"/>
      <c r="AC202" s="988"/>
      <c r="AD202" s="988"/>
      <c r="AE202" s="1021"/>
      <c r="AF202" s="1021"/>
      <c r="AG202" s="1021"/>
      <c r="AH202" s="1021"/>
      <c r="AI202" s="1021"/>
      <c r="AJ202" s="1372"/>
      <c r="AK202" s="1021"/>
    </row>
    <row r="203" spans="1:37" ht="13">
      <c r="A203" s="1404"/>
      <c r="B203" s="1456" t="s">
        <v>1938</v>
      </c>
      <c r="C203" s="1457"/>
      <c r="D203" s="1458"/>
      <c r="E203" s="1458"/>
      <c r="F203" s="1458"/>
      <c r="G203" s="1458"/>
      <c r="H203" s="1458"/>
      <c r="I203" s="1458"/>
      <c r="J203" s="1458"/>
      <c r="K203" s="1459"/>
      <c r="L203" s="1459"/>
      <c r="M203" s="1459"/>
      <c r="N203" s="1459"/>
      <c r="O203" s="1459"/>
      <c r="P203" s="1459"/>
      <c r="Q203" s="1459"/>
      <c r="R203" s="1459"/>
      <c r="S203" s="1195"/>
      <c r="T203" s="1195"/>
      <c r="U203" s="1195"/>
      <c r="V203" s="1195"/>
      <c r="W203" s="1195"/>
      <c r="X203" s="1195"/>
      <c r="Y203" s="1373"/>
      <c r="Z203" s="1373"/>
      <c r="AA203" s="1373"/>
      <c r="AB203" s="1373"/>
      <c r="AC203" s="1195"/>
      <c r="AD203" s="1195"/>
      <c r="AE203" s="1374"/>
      <c r="AF203" s="1374"/>
      <c r="AG203" s="1374"/>
      <c r="AH203" s="1374"/>
      <c r="AI203" s="1374"/>
      <c r="AJ203" s="1375"/>
      <c r="AK203" s="1021"/>
    </row>
    <row r="204" spans="1:37">
      <c r="A204" s="1013"/>
      <c r="B204" s="1013"/>
      <c r="C204" s="1103"/>
      <c r="D204" s="1368"/>
      <c r="E204" s="1368"/>
      <c r="F204" s="1368"/>
      <c r="G204" s="1368"/>
      <c r="H204" s="1368"/>
      <c r="I204" s="1368"/>
      <c r="J204" s="1368"/>
      <c r="K204" s="924"/>
      <c r="L204" s="924"/>
      <c r="M204" s="924"/>
      <c r="N204" s="924"/>
      <c r="O204" s="924"/>
      <c r="P204" s="924"/>
      <c r="Q204" s="924"/>
      <c r="R204" s="924"/>
      <c r="S204" s="924"/>
      <c r="T204" s="924"/>
      <c r="U204" s="924"/>
      <c r="V204" s="924"/>
      <c r="W204" s="924"/>
      <c r="X204" s="924"/>
      <c r="Y204" s="1077"/>
      <c r="Z204" s="1077"/>
      <c r="AA204" s="1077"/>
      <c r="AB204" s="1077"/>
      <c r="AC204" s="924"/>
      <c r="AD204" s="924"/>
      <c r="AE204" s="1021"/>
      <c r="AF204" s="1021"/>
      <c r="AG204" s="1021"/>
      <c r="AH204" s="1021"/>
      <c r="AI204" s="1021"/>
      <c r="AJ204" s="1021"/>
      <c r="AK204" s="1021"/>
    </row>
    <row r="205" spans="1:37">
      <c r="A205" s="1013"/>
      <c r="B205" s="1396"/>
      <c r="C205" s="991"/>
      <c r="D205" s="1397"/>
      <c r="E205" s="112"/>
      <c r="F205" s="112"/>
      <c r="G205" s="112"/>
      <c r="H205" s="112"/>
      <c r="I205" s="3088" t="s">
        <v>1903</v>
      </c>
      <c r="J205" s="3088"/>
      <c r="K205" s="3088"/>
      <c r="L205" s="988"/>
      <c r="M205" s="988"/>
      <c r="N205" s="988"/>
      <c r="O205" s="988"/>
      <c r="P205" s="988"/>
      <c r="Q205" s="988"/>
      <c r="R205" s="988"/>
      <c r="S205" s="988"/>
      <c r="T205" s="3284" t="s">
        <v>1897</v>
      </c>
      <c r="U205" s="3284"/>
      <c r="V205" s="3284"/>
      <c r="W205" s="3284"/>
      <c r="X205" s="3284"/>
      <c r="Y205" s="3284"/>
      <c r="Z205" s="1398"/>
      <c r="AA205" s="1399"/>
      <c r="AB205" s="3081" t="s">
        <v>1898</v>
      </c>
      <c r="AC205" s="3081"/>
      <c r="AD205" s="3081"/>
      <c r="AE205" s="3081"/>
      <c r="AF205" s="3081"/>
      <c r="AG205" s="3081"/>
      <c r="AH205" s="1368"/>
      <c r="AI205" s="1368"/>
      <c r="AJ205" s="1368"/>
      <c r="AK205" s="1021"/>
    </row>
    <row r="206" spans="1:37">
      <c r="A206" s="1013"/>
      <c r="B206" s="3086" t="s">
        <v>1876</v>
      </c>
      <c r="C206" s="3086"/>
      <c r="D206" s="3086"/>
      <c r="E206" s="3086"/>
      <c r="F206" s="3086"/>
      <c r="G206" s="3086"/>
      <c r="I206" s="3087" t="s">
        <v>1904</v>
      </c>
      <c r="J206" s="3087"/>
      <c r="K206" s="3087"/>
      <c r="L206" s="1702"/>
      <c r="N206" s="3074" t="s">
        <v>1899</v>
      </c>
      <c r="O206" s="3074"/>
      <c r="P206" s="3074"/>
      <c r="Q206" s="3074"/>
      <c r="R206" s="3074"/>
      <c r="T206" s="3074" t="s">
        <v>1900</v>
      </c>
      <c r="U206" s="3074"/>
      <c r="V206" s="3074"/>
      <c r="W206" s="3074"/>
      <c r="X206" s="3074"/>
      <c r="Y206" s="3074"/>
      <c r="Z206" s="1400"/>
      <c r="AA206" s="1399"/>
      <c r="AB206" s="3251" t="s">
        <v>1901</v>
      </c>
      <c r="AC206" s="3251"/>
      <c r="AD206" s="3251"/>
      <c r="AE206" s="3251"/>
      <c r="AF206" s="3251"/>
      <c r="AG206" s="3251"/>
      <c r="AH206" s="1368"/>
      <c r="AI206" s="1368"/>
      <c r="AJ206" s="1368"/>
      <c r="AK206" s="1021"/>
    </row>
    <row r="207" spans="1:37">
      <c r="A207" s="1013"/>
      <c r="B207" s="3089" t="s">
        <v>332</v>
      </c>
      <c r="C207" s="3089"/>
      <c r="D207" s="3089"/>
      <c r="E207" s="3089"/>
      <c r="F207" s="3089"/>
      <c r="G207" s="3089"/>
      <c r="H207" s="1402"/>
      <c r="I207" s="3072">
        <v>12</v>
      </c>
      <c r="J207" s="3072"/>
      <c r="K207" s="3072"/>
      <c r="L207" s="1702"/>
      <c r="N207" s="3075">
        <v>424</v>
      </c>
      <c r="O207" s="3075"/>
      <c r="P207" s="3075"/>
      <c r="Q207" s="3075"/>
      <c r="R207" s="3075"/>
      <c r="T207" s="3249">
        <v>2190</v>
      </c>
      <c r="U207" s="3249"/>
      <c r="V207" s="3249"/>
      <c r="W207" s="3249"/>
      <c r="X207" s="3249"/>
      <c r="Y207" s="3249"/>
      <c r="Z207" s="1401"/>
      <c r="AA207" s="1401"/>
      <c r="AB207" s="3071">
        <f t="shared" ref="AB207:AB216" si="0">MAX(($T207-$N207)*$I207*12,0)</f>
        <v>254304</v>
      </c>
      <c r="AC207" s="3071"/>
      <c r="AD207" s="3071"/>
      <c r="AE207" s="3071"/>
      <c r="AF207" s="3071"/>
      <c r="AG207" s="3071"/>
      <c r="AH207" s="1368"/>
      <c r="AI207" s="1368"/>
      <c r="AJ207" s="1368"/>
      <c r="AK207" s="1021"/>
    </row>
    <row r="208" spans="1:37">
      <c r="A208" s="1013"/>
      <c r="B208" s="3089" t="s">
        <v>2623</v>
      </c>
      <c r="C208" s="3089"/>
      <c r="D208" s="3089"/>
      <c r="E208" s="3089"/>
      <c r="F208" s="3089"/>
      <c r="G208" s="3089"/>
      <c r="I208" s="3072">
        <v>2</v>
      </c>
      <c r="J208" s="3072"/>
      <c r="K208" s="3072"/>
      <c r="L208" s="1702"/>
      <c r="N208" s="3075">
        <v>837</v>
      </c>
      <c r="O208" s="3075"/>
      <c r="P208" s="3075"/>
      <c r="Q208" s="3075"/>
      <c r="R208" s="3075"/>
      <c r="T208" s="3249">
        <v>3277</v>
      </c>
      <c r="U208" s="3249"/>
      <c r="V208" s="3249"/>
      <c r="W208" s="3249"/>
      <c r="X208" s="3249"/>
      <c r="Y208" s="3249"/>
      <c r="Z208" s="1401"/>
      <c r="AA208" s="1401"/>
      <c r="AB208" s="3071">
        <f t="shared" si="0"/>
        <v>58560</v>
      </c>
      <c r="AC208" s="3071"/>
      <c r="AD208" s="3071"/>
      <c r="AE208" s="3071"/>
      <c r="AF208" s="3071"/>
      <c r="AG208" s="3071"/>
      <c r="AH208" s="1368"/>
      <c r="AI208" s="1368"/>
      <c r="AJ208" s="1368"/>
      <c r="AK208" s="1021"/>
    </row>
    <row r="209" spans="1:37">
      <c r="A209" s="1013"/>
      <c r="B209" s="3089" t="s">
        <v>1377</v>
      </c>
      <c r="C209" s="3089"/>
      <c r="D209" s="3089"/>
      <c r="E209" s="3089"/>
      <c r="F209" s="3089"/>
      <c r="G209" s="3089"/>
      <c r="I209" s="3072"/>
      <c r="J209" s="3072"/>
      <c r="K209" s="3072"/>
      <c r="L209" s="1702"/>
      <c r="N209" s="3075"/>
      <c r="O209" s="3075"/>
      <c r="P209" s="3075"/>
      <c r="Q209" s="3075"/>
      <c r="R209" s="3075"/>
      <c r="T209" s="3249"/>
      <c r="U209" s="3249"/>
      <c r="V209" s="3249"/>
      <c r="W209" s="3249"/>
      <c r="X209" s="3249"/>
      <c r="Y209" s="3249"/>
      <c r="Z209" s="1401"/>
      <c r="AA209" s="1401"/>
      <c r="AB209" s="3071">
        <f t="shared" si="0"/>
        <v>0</v>
      </c>
      <c r="AC209" s="3071"/>
      <c r="AD209" s="3071"/>
      <c r="AE209" s="3071"/>
      <c r="AF209" s="3071"/>
      <c r="AG209" s="3071"/>
      <c r="AH209" s="1368"/>
      <c r="AI209" s="1368"/>
      <c r="AJ209" s="1368"/>
      <c r="AK209" s="1021"/>
    </row>
    <row r="210" spans="1:37">
      <c r="A210" s="1013"/>
      <c r="B210" s="3089" t="s">
        <v>1377</v>
      </c>
      <c r="C210" s="3089"/>
      <c r="D210" s="3089"/>
      <c r="E210" s="3089"/>
      <c r="F210" s="3089"/>
      <c r="G210" s="3089"/>
      <c r="I210" s="3072"/>
      <c r="J210" s="3072"/>
      <c r="K210" s="3072"/>
      <c r="L210" s="1702"/>
      <c r="N210" s="3075"/>
      <c r="O210" s="3075"/>
      <c r="P210" s="3075"/>
      <c r="Q210" s="3075"/>
      <c r="R210" s="3075"/>
      <c r="T210" s="3249"/>
      <c r="U210" s="3249"/>
      <c r="V210" s="3249"/>
      <c r="W210" s="3249"/>
      <c r="X210" s="3249"/>
      <c r="Y210" s="3249"/>
      <c r="Z210" s="1401"/>
      <c r="AA210" s="1401"/>
      <c r="AB210" s="3071">
        <f t="shared" si="0"/>
        <v>0</v>
      </c>
      <c r="AC210" s="3071"/>
      <c r="AD210" s="3071"/>
      <c r="AE210" s="3071"/>
      <c r="AF210" s="3071"/>
      <c r="AG210" s="3071"/>
      <c r="AH210" s="1368"/>
      <c r="AI210" s="1368"/>
      <c r="AJ210" s="1368"/>
      <c r="AK210" s="1021"/>
    </row>
    <row r="211" spans="1:37">
      <c r="A211" s="1013"/>
      <c r="B211" s="3089" t="s">
        <v>1377</v>
      </c>
      <c r="C211" s="3089"/>
      <c r="D211" s="3089"/>
      <c r="E211" s="3089"/>
      <c r="F211" s="3089"/>
      <c r="G211" s="3089"/>
      <c r="I211" s="3072"/>
      <c r="J211" s="3072"/>
      <c r="K211" s="3072"/>
      <c r="L211" s="1714"/>
      <c r="N211" s="3075"/>
      <c r="O211" s="3075"/>
      <c r="P211" s="3075"/>
      <c r="Q211" s="3075"/>
      <c r="R211" s="3075"/>
      <c r="T211" s="3249"/>
      <c r="U211" s="3249"/>
      <c r="V211" s="3249"/>
      <c r="W211" s="3249"/>
      <c r="X211" s="3249"/>
      <c r="Y211" s="3249"/>
      <c r="Z211" s="1401"/>
      <c r="AA211" s="1401"/>
      <c r="AB211" s="3071">
        <f t="shared" si="0"/>
        <v>0</v>
      </c>
      <c r="AC211" s="3071"/>
      <c r="AD211" s="3071"/>
      <c r="AE211" s="3071"/>
      <c r="AF211" s="3071"/>
      <c r="AG211" s="3071"/>
      <c r="AH211" s="1368"/>
      <c r="AI211" s="1368"/>
      <c r="AJ211" s="1368"/>
      <c r="AK211" s="1021"/>
    </row>
    <row r="212" spans="1:37">
      <c r="A212" s="1013"/>
      <c r="B212" s="3089" t="s">
        <v>1377</v>
      </c>
      <c r="C212" s="3089"/>
      <c r="D212" s="3089"/>
      <c r="E212" s="3089"/>
      <c r="F212" s="3089"/>
      <c r="G212" s="3089"/>
      <c r="I212" s="3072"/>
      <c r="J212" s="3072"/>
      <c r="K212" s="3072"/>
      <c r="L212" s="1714"/>
      <c r="N212" s="3075"/>
      <c r="O212" s="3075"/>
      <c r="P212" s="3075"/>
      <c r="Q212" s="3075"/>
      <c r="R212" s="3075"/>
      <c r="T212" s="3249"/>
      <c r="U212" s="3249"/>
      <c r="V212" s="3249"/>
      <c r="W212" s="3249"/>
      <c r="X212" s="3249"/>
      <c r="Y212" s="3249"/>
      <c r="Z212" s="1401"/>
      <c r="AA212" s="1401"/>
      <c r="AB212" s="3071">
        <f t="shared" si="0"/>
        <v>0</v>
      </c>
      <c r="AC212" s="3071"/>
      <c r="AD212" s="3071"/>
      <c r="AE212" s="3071"/>
      <c r="AF212" s="3071"/>
      <c r="AG212" s="3071"/>
      <c r="AH212" s="1368"/>
      <c r="AI212" s="1368"/>
      <c r="AJ212" s="1368"/>
      <c r="AK212" s="1021"/>
    </row>
    <row r="213" spans="1:37">
      <c r="A213" s="1013"/>
      <c r="B213" s="3089" t="s">
        <v>1377</v>
      </c>
      <c r="C213" s="3089"/>
      <c r="D213" s="3089"/>
      <c r="E213" s="3089"/>
      <c r="F213" s="3089"/>
      <c r="G213" s="3089"/>
      <c r="I213" s="3072"/>
      <c r="J213" s="3072"/>
      <c r="K213" s="3072"/>
      <c r="L213" s="1714"/>
      <c r="N213" s="3075"/>
      <c r="O213" s="3075"/>
      <c r="P213" s="3075"/>
      <c r="Q213" s="3075"/>
      <c r="R213" s="3075"/>
      <c r="T213" s="3249"/>
      <c r="U213" s="3249"/>
      <c r="V213" s="3249"/>
      <c r="W213" s="3249"/>
      <c r="X213" s="3249"/>
      <c r="Y213" s="3249"/>
      <c r="Z213" s="1401"/>
      <c r="AA213" s="1401"/>
      <c r="AB213" s="3071">
        <f t="shared" si="0"/>
        <v>0</v>
      </c>
      <c r="AC213" s="3071"/>
      <c r="AD213" s="3071"/>
      <c r="AE213" s="3071"/>
      <c r="AF213" s="3071"/>
      <c r="AG213" s="3071"/>
      <c r="AH213" s="1368"/>
      <c r="AI213" s="1368"/>
      <c r="AJ213" s="1368"/>
      <c r="AK213" s="1021"/>
    </row>
    <row r="214" spans="1:37">
      <c r="A214" s="1013"/>
      <c r="B214" s="3089" t="s">
        <v>1377</v>
      </c>
      <c r="C214" s="3089"/>
      <c r="D214" s="3089"/>
      <c r="E214" s="3089"/>
      <c r="F214" s="3089"/>
      <c r="G214" s="3089"/>
      <c r="I214" s="3072"/>
      <c r="J214" s="3072"/>
      <c r="K214" s="3072"/>
      <c r="L214" s="1714"/>
      <c r="N214" s="3075"/>
      <c r="O214" s="3075"/>
      <c r="P214" s="3075"/>
      <c r="Q214" s="3075"/>
      <c r="R214" s="3075"/>
      <c r="T214" s="3249"/>
      <c r="U214" s="3249"/>
      <c r="V214" s="3249"/>
      <c r="W214" s="3249"/>
      <c r="X214" s="3249"/>
      <c r="Y214" s="3249"/>
      <c r="Z214" s="1401"/>
      <c r="AA214" s="1401"/>
      <c r="AB214" s="3071">
        <f t="shared" si="0"/>
        <v>0</v>
      </c>
      <c r="AC214" s="3071"/>
      <c r="AD214" s="3071"/>
      <c r="AE214" s="3071"/>
      <c r="AF214" s="3071"/>
      <c r="AG214" s="3071"/>
      <c r="AH214" s="1368"/>
      <c r="AI214" s="1368"/>
      <c r="AJ214" s="1368"/>
      <c r="AK214" s="1021"/>
    </row>
    <row r="215" spans="1:37">
      <c r="A215" s="1013"/>
      <c r="B215" s="3089" t="s">
        <v>1377</v>
      </c>
      <c r="C215" s="3089"/>
      <c r="D215" s="3089"/>
      <c r="E215" s="3089"/>
      <c r="F215" s="3089"/>
      <c r="G215" s="3089"/>
      <c r="I215" s="3072"/>
      <c r="J215" s="3072"/>
      <c r="K215" s="3072"/>
      <c r="L215" s="1714"/>
      <c r="N215" s="3075"/>
      <c r="O215" s="3075"/>
      <c r="P215" s="3075"/>
      <c r="Q215" s="3075"/>
      <c r="R215" s="3075"/>
      <c r="T215" s="3249"/>
      <c r="U215" s="3249"/>
      <c r="V215" s="3249"/>
      <c r="W215" s="3249"/>
      <c r="X215" s="3249"/>
      <c r="Y215" s="3249"/>
      <c r="Z215" s="1401"/>
      <c r="AA215" s="1401"/>
      <c r="AB215" s="3071">
        <f t="shared" si="0"/>
        <v>0</v>
      </c>
      <c r="AC215" s="3071"/>
      <c r="AD215" s="3071"/>
      <c r="AE215" s="3071"/>
      <c r="AF215" s="3071"/>
      <c r="AG215" s="3071"/>
      <c r="AH215" s="1368"/>
      <c r="AI215" s="1368"/>
      <c r="AJ215" s="1368"/>
      <c r="AK215" s="1021"/>
    </row>
    <row r="216" spans="1:37">
      <c r="A216" s="1013"/>
      <c r="B216" s="3089" t="s">
        <v>1377</v>
      </c>
      <c r="C216" s="3089"/>
      <c r="D216" s="3089"/>
      <c r="E216" s="3089"/>
      <c r="F216" s="3089"/>
      <c r="G216" s="3089"/>
      <c r="I216" s="3073"/>
      <c r="J216" s="3073"/>
      <c r="K216" s="3073"/>
      <c r="L216" s="1714"/>
      <c r="N216" s="3075"/>
      <c r="O216" s="3075"/>
      <c r="P216" s="3075"/>
      <c r="Q216" s="3075"/>
      <c r="R216" s="3075"/>
      <c r="T216" s="3249"/>
      <c r="U216" s="3249"/>
      <c r="V216" s="3249"/>
      <c r="W216" s="3249"/>
      <c r="X216" s="3249"/>
      <c r="Y216" s="3249"/>
      <c r="Z216" s="1401"/>
      <c r="AA216" s="1401"/>
      <c r="AB216" s="3259">
        <f t="shared" si="0"/>
        <v>0</v>
      </c>
      <c r="AC216" s="3259"/>
      <c r="AD216" s="3259"/>
      <c r="AE216" s="3259"/>
      <c r="AF216" s="3259"/>
      <c r="AG216" s="3259"/>
      <c r="AH216" s="1368"/>
      <c r="AI216" s="1368"/>
      <c r="AJ216" s="1368"/>
      <c r="AK216" s="1021"/>
    </row>
    <row r="217" spans="1:37">
      <c r="A217" s="1013"/>
      <c r="B217" s="995"/>
      <c r="C217" s="1402"/>
      <c r="D217" s="991"/>
      <c r="K217" s="924"/>
      <c r="L217" s="924"/>
      <c r="M217" s="924"/>
      <c r="N217" s="924"/>
      <c r="O217" s="924"/>
      <c r="P217" s="924"/>
      <c r="Q217" s="924"/>
      <c r="R217" s="924"/>
      <c r="S217" s="924"/>
      <c r="T217" s="924"/>
      <c r="U217" s="924"/>
      <c r="V217" s="924"/>
      <c r="W217" s="924"/>
      <c r="X217" s="924"/>
      <c r="Y217" s="1403" t="s">
        <v>1902</v>
      </c>
      <c r="AA217" s="1701"/>
      <c r="AB217" s="3071">
        <f>SUM(AB207:AB216)</f>
        <v>312864</v>
      </c>
      <c r="AC217" s="3071"/>
      <c r="AD217" s="3071"/>
      <c r="AE217" s="3071"/>
      <c r="AF217" s="3071"/>
      <c r="AG217" s="3071"/>
      <c r="AH217" s="1368"/>
      <c r="AI217" s="1368"/>
      <c r="AJ217" s="1368"/>
      <c r="AK217" s="1021"/>
    </row>
    <row r="218" spans="1:37">
      <c r="A218" s="1013"/>
      <c r="B218" s="1013"/>
      <c r="C218" s="1103"/>
      <c r="D218" s="1368"/>
      <c r="E218" s="1368"/>
      <c r="F218" s="1368"/>
      <c r="G218" s="1368"/>
      <c r="H218" s="1368"/>
      <c r="I218" s="1368"/>
      <c r="J218" s="1368"/>
      <c r="K218" s="940"/>
      <c r="L218" s="940"/>
      <c r="M218" s="940"/>
      <c r="N218" s="940"/>
      <c r="O218" s="940"/>
      <c r="P218" s="940"/>
      <c r="Q218" s="940"/>
      <c r="R218" s="940"/>
      <c r="S218" s="940"/>
      <c r="T218" s="940"/>
      <c r="U218" s="940"/>
      <c r="V218" s="940"/>
      <c r="W218" s="940"/>
      <c r="X218" s="940"/>
      <c r="Y218" s="1077"/>
      <c r="Z218" s="1077"/>
      <c r="AA218" s="1077"/>
      <c r="AB218" s="1077"/>
      <c r="AC218" s="940"/>
      <c r="AD218" s="940"/>
      <c r="AE218" s="1021"/>
      <c r="AF218" s="1021"/>
      <c r="AG218" s="1021"/>
      <c r="AH218" s="1021"/>
      <c r="AI218" s="1021"/>
      <c r="AJ218" s="1021"/>
      <c r="AK218" s="1021"/>
    </row>
    <row r="219" spans="1:37" ht="13">
      <c r="A219" s="1013"/>
      <c r="B219" s="1377" t="s">
        <v>1892</v>
      </c>
      <c r="C219" s="1103"/>
      <c r="D219" s="1368"/>
      <c r="E219" s="1368"/>
      <c r="F219" s="1368"/>
      <c r="G219" s="1368"/>
      <c r="H219" s="1368"/>
      <c r="I219" s="1368"/>
      <c r="J219" s="1368"/>
      <c r="K219" s="924"/>
      <c r="L219" s="924"/>
      <c r="M219" s="924"/>
      <c r="N219" s="924"/>
      <c r="O219" s="924"/>
      <c r="P219" s="924"/>
      <c r="Q219" s="924"/>
      <c r="R219" s="924"/>
      <c r="S219" s="924"/>
      <c r="T219" s="924"/>
      <c r="U219" s="924"/>
      <c r="V219" s="924"/>
      <c r="W219" s="924"/>
      <c r="X219" s="924"/>
      <c r="Y219" s="1077"/>
      <c r="Z219" s="1077"/>
      <c r="AA219" s="1077"/>
      <c r="AB219" s="1077"/>
      <c r="AC219" s="924"/>
      <c r="AD219" s="924"/>
      <c r="AE219" s="1021"/>
      <c r="AF219" s="1021"/>
      <c r="AG219" s="1021"/>
      <c r="AH219" s="1021"/>
      <c r="AI219" s="1021"/>
      <c r="AJ219" s="1021"/>
      <c r="AK219" s="1021"/>
    </row>
    <row r="220" spans="1:37">
      <c r="A220" s="1013"/>
      <c r="B220" s="995" t="s">
        <v>1920</v>
      </c>
      <c r="C220" s="1103"/>
      <c r="D220" s="1368"/>
      <c r="E220" s="1368"/>
      <c r="F220" s="1368"/>
      <c r="G220" s="1368"/>
      <c r="H220" s="1368"/>
      <c r="I220" s="1368"/>
      <c r="J220" s="1368"/>
      <c r="K220" s="924"/>
      <c r="L220" s="924"/>
      <c r="M220" s="924"/>
      <c r="N220" s="924"/>
      <c r="O220" s="924"/>
      <c r="P220" s="924"/>
      <c r="Q220" s="924"/>
      <c r="R220" s="924"/>
      <c r="S220" s="924"/>
      <c r="T220" s="924"/>
      <c r="U220" s="924"/>
      <c r="V220" s="924"/>
      <c r="W220" s="924"/>
      <c r="X220" s="924"/>
      <c r="Y220" s="1077"/>
      <c r="Z220" s="1077"/>
      <c r="AA220" s="1077"/>
      <c r="AB220" s="1077"/>
      <c r="AC220" s="924"/>
      <c r="AD220" s="924"/>
      <c r="AE220" s="1021"/>
      <c r="AF220" s="1021"/>
      <c r="AG220" s="1021"/>
      <c r="AH220" s="1021"/>
      <c r="AI220" s="1021"/>
      <c r="AJ220" s="1021"/>
      <c r="AK220" s="1021"/>
    </row>
    <row r="221" spans="1:37">
      <c r="A221" s="1013"/>
      <c r="B221" s="995"/>
      <c r="C221" s="1103"/>
      <c r="D221" s="1368"/>
      <c r="E221" s="1368"/>
      <c r="F221" s="1368"/>
      <c r="G221" s="1368"/>
      <c r="H221" s="1368"/>
      <c r="I221" s="1368"/>
      <c r="J221" s="1368"/>
      <c r="K221" s="924"/>
      <c r="L221" s="924"/>
      <c r="M221" s="924"/>
      <c r="N221" s="924"/>
      <c r="O221" s="924"/>
      <c r="P221" s="924"/>
      <c r="Q221" s="924"/>
      <c r="R221" s="924"/>
      <c r="S221" s="924"/>
      <c r="T221" s="924"/>
      <c r="U221" s="924"/>
      <c r="V221" s="924"/>
      <c r="W221" s="924"/>
      <c r="X221" s="924"/>
      <c r="Y221" s="1077"/>
      <c r="Z221" s="1077"/>
      <c r="AA221" s="1077"/>
      <c r="AB221" s="1077"/>
      <c r="AC221" s="924"/>
      <c r="AD221" s="924"/>
      <c r="AE221" s="1021"/>
      <c r="AF221" s="1021"/>
      <c r="AG221" s="1021"/>
      <c r="AH221" s="1021"/>
      <c r="AI221" s="1021"/>
      <c r="AJ221" s="1021"/>
      <c r="AK221" s="1021"/>
    </row>
    <row r="222" spans="1:37">
      <c r="A222" s="1013"/>
      <c r="B222" s="1378" t="s">
        <v>1918</v>
      </c>
      <c r="C222" s="1103"/>
      <c r="D222" s="1368"/>
      <c r="E222" s="1368"/>
      <c r="F222" s="1368"/>
      <c r="G222" s="1368"/>
      <c r="H222" s="1368"/>
      <c r="I222" s="1368"/>
      <c r="J222" s="1368"/>
      <c r="K222" s="924"/>
      <c r="L222" s="924"/>
      <c r="M222" s="924"/>
      <c r="N222" s="924"/>
      <c r="O222" s="924"/>
      <c r="P222" s="924"/>
      <c r="Q222" s="924"/>
      <c r="R222" s="924"/>
      <c r="S222" s="924"/>
      <c r="T222" s="924"/>
      <c r="U222" s="924"/>
      <c r="V222" s="924"/>
      <c r="W222" s="924"/>
      <c r="X222" s="924"/>
      <c r="Y222" s="1077"/>
      <c r="Z222" s="1077"/>
      <c r="AA222" s="1077"/>
      <c r="AB222" s="1077"/>
      <c r="AC222" s="924"/>
      <c r="AD222" s="924"/>
      <c r="AE222" s="1021"/>
      <c r="AF222" s="1021"/>
      <c r="AG222" s="1021"/>
      <c r="AH222" s="1021"/>
      <c r="AI222" s="1021"/>
      <c r="AJ222" s="1021"/>
      <c r="AK222" s="1021"/>
    </row>
    <row r="223" spans="1:37">
      <c r="A223" s="1013"/>
      <c r="B223" s="1378" t="s">
        <v>1912</v>
      </c>
      <c r="C223" s="1103"/>
      <c r="D223" s="1368"/>
      <c r="E223" s="1368"/>
      <c r="F223" s="1368"/>
      <c r="G223" s="1368"/>
      <c r="H223" s="1368"/>
      <c r="I223" s="1368"/>
      <c r="J223" s="1368"/>
      <c r="K223" s="924"/>
      <c r="L223" s="924"/>
      <c r="M223" s="924"/>
      <c r="N223" s="924"/>
      <c r="O223" s="924"/>
      <c r="P223" s="924"/>
      <c r="Q223" s="924"/>
      <c r="R223" s="924"/>
      <c r="S223" s="924"/>
      <c r="T223" s="924"/>
      <c r="U223" s="924"/>
      <c r="V223" s="924"/>
      <c r="W223" s="924"/>
      <c r="X223" s="924"/>
      <c r="Y223" s="1077"/>
      <c r="Z223" s="1077"/>
      <c r="AA223" s="1077"/>
      <c r="AB223" s="3252"/>
      <c r="AC223" s="3252"/>
      <c r="AD223" s="3252"/>
      <c r="AE223" s="3252"/>
      <c r="AF223" s="3252"/>
      <c r="AG223" s="3252"/>
      <c r="AH223" s="1021"/>
      <c r="AI223" s="1021"/>
      <c r="AJ223" s="1021"/>
      <c r="AK223" s="1021"/>
    </row>
    <row r="224" spans="1:37" ht="13">
      <c r="A224" s="1013"/>
      <c r="B224" s="1380" t="s">
        <v>1917</v>
      </c>
      <c r="C224" s="1032"/>
      <c r="D224" s="1376"/>
      <c r="E224" s="1368"/>
      <c r="F224" s="1368"/>
      <c r="G224" s="1368"/>
      <c r="H224" s="1368"/>
      <c r="I224" s="1368"/>
      <c r="J224" s="1368"/>
      <c r="K224" s="924"/>
      <c r="L224" s="924"/>
      <c r="M224" s="924"/>
      <c r="N224" s="924"/>
      <c r="O224" s="924"/>
      <c r="P224" s="924"/>
      <c r="Q224" s="924"/>
      <c r="R224" s="924"/>
      <c r="S224" s="924"/>
      <c r="T224" s="924"/>
      <c r="U224" s="924"/>
      <c r="V224" s="924"/>
      <c r="W224" s="924"/>
      <c r="X224" s="924"/>
      <c r="Y224" s="1077"/>
      <c r="Z224" s="1077"/>
      <c r="AA224" s="1077"/>
      <c r="AB224" s="1077"/>
      <c r="AC224" s="924"/>
      <c r="AD224" s="924"/>
      <c r="AE224" s="1021"/>
      <c r="AF224" s="1021"/>
      <c r="AG224" s="1021"/>
      <c r="AH224" s="1021"/>
      <c r="AI224" s="1021"/>
      <c r="AJ224" s="1021"/>
      <c r="AK224" s="1021"/>
    </row>
    <row r="225" spans="1:37">
      <c r="A225" s="1013"/>
      <c r="B225" s="1381" t="s">
        <v>1919</v>
      </c>
      <c r="C225" s="1103"/>
      <c r="D225" s="1368"/>
      <c r="E225" s="1368"/>
      <c r="F225" s="1368"/>
      <c r="G225" s="1368"/>
      <c r="H225" s="1368"/>
      <c r="I225" s="1368"/>
      <c r="J225" s="1368"/>
      <c r="K225" s="924"/>
      <c r="L225" s="924"/>
      <c r="M225" s="924"/>
      <c r="N225" s="924"/>
      <c r="O225" s="924"/>
      <c r="P225" s="924"/>
      <c r="Q225" s="924"/>
      <c r="R225" s="924"/>
      <c r="S225" s="924"/>
      <c r="T225" s="924"/>
      <c r="U225" s="924"/>
      <c r="V225" s="924"/>
      <c r="W225" s="924"/>
      <c r="X225" s="924"/>
      <c r="Y225" s="1077"/>
      <c r="Z225" s="1077"/>
      <c r="AA225" s="1077"/>
      <c r="AB225" s="1077"/>
      <c r="AC225" s="924"/>
      <c r="AD225" s="924"/>
      <c r="AE225" s="1021"/>
      <c r="AF225" s="1021"/>
      <c r="AG225" s="1021"/>
      <c r="AH225" s="1021"/>
      <c r="AI225" s="1021"/>
      <c r="AJ225" s="1021"/>
      <c r="AK225" s="1021"/>
    </row>
    <row r="226" spans="1:37">
      <c r="A226" s="1013"/>
      <c r="B226" s="1381" t="s">
        <v>1913</v>
      </c>
      <c r="C226" s="1103"/>
      <c r="D226" s="1368"/>
      <c r="E226" s="1368"/>
      <c r="F226" s="1368"/>
      <c r="G226" s="1368"/>
      <c r="H226" s="1368"/>
      <c r="I226" s="1368"/>
      <c r="J226" s="1368"/>
      <c r="K226" s="924"/>
      <c r="L226" s="924"/>
      <c r="M226" s="924"/>
      <c r="N226" s="924"/>
      <c r="O226" s="924"/>
      <c r="P226" s="924"/>
      <c r="Q226" s="924"/>
      <c r="R226" s="924"/>
      <c r="S226" s="924"/>
      <c r="T226" s="924"/>
      <c r="U226" s="924"/>
      <c r="V226" s="924"/>
      <c r="W226" s="924"/>
      <c r="X226" s="924"/>
      <c r="Y226" s="1077"/>
      <c r="Z226" s="1077"/>
      <c r="AA226" s="1077"/>
      <c r="AB226" s="3252"/>
      <c r="AC226" s="3252"/>
      <c r="AD226" s="3252"/>
      <c r="AE226" s="3252"/>
      <c r="AF226" s="3252"/>
      <c r="AG226" s="3252"/>
      <c r="AH226" s="1021"/>
      <c r="AI226" s="1021"/>
      <c r="AJ226" s="1021"/>
      <c r="AK226" s="1021"/>
    </row>
    <row r="227" spans="1:37">
      <c r="A227" s="1013"/>
      <c r="B227" s="1381" t="s">
        <v>1914</v>
      </c>
      <c r="C227" s="1103"/>
      <c r="D227" s="1368"/>
      <c r="E227" s="1368"/>
      <c r="F227" s="1368"/>
      <c r="G227" s="1368"/>
      <c r="H227" s="1368"/>
      <c r="I227" s="1368"/>
      <c r="J227" s="1368"/>
      <c r="K227" s="924"/>
      <c r="L227" s="924"/>
      <c r="M227" s="924"/>
      <c r="N227" s="924"/>
      <c r="O227" s="924"/>
      <c r="P227" s="924"/>
      <c r="Q227" s="924"/>
      <c r="R227" s="924"/>
      <c r="S227" s="924"/>
      <c r="T227" s="924"/>
      <c r="U227" s="924"/>
      <c r="V227" s="924"/>
      <c r="W227" s="924"/>
      <c r="X227" s="924"/>
      <c r="Y227" s="1077"/>
      <c r="Z227" s="1077"/>
      <c r="AA227" s="1077"/>
      <c r="AB227" s="3283"/>
      <c r="AC227" s="3283"/>
      <c r="AD227" s="3283"/>
      <c r="AE227" s="3283"/>
      <c r="AF227" s="3283"/>
      <c r="AG227" s="3283"/>
      <c r="AH227" s="1021"/>
      <c r="AI227" s="1021"/>
      <c r="AJ227" s="1021"/>
      <c r="AK227" s="1021"/>
    </row>
    <row r="228" spans="1:37">
      <c r="A228" s="1013"/>
      <c r="B228" s="1381" t="s">
        <v>1915</v>
      </c>
      <c r="C228" s="1103"/>
      <c r="D228" s="1368"/>
      <c r="E228" s="1368"/>
      <c r="F228" s="1368"/>
      <c r="G228" s="1368"/>
      <c r="H228" s="1368"/>
      <c r="I228" s="1368"/>
      <c r="J228" s="1368"/>
      <c r="K228" s="924"/>
      <c r="L228" s="924"/>
      <c r="M228" s="924"/>
      <c r="N228" s="924"/>
      <c r="O228" s="924"/>
      <c r="P228" s="924"/>
      <c r="Q228" s="924"/>
      <c r="R228" s="924"/>
      <c r="S228" s="924"/>
      <c r="T228" s="924"/>
      <c r="U228" s="924"/>
      <c r="V228" s="924"/>
      <c r="W228" s="924"/>
      <c r="X228" s="924"/>
      <c r="Y228" s="1077"/>
      <c r="Z228" s="1077"/>
      <c r="AA228" s="1077"/>
      <c r="AB228" s="3260">
        <f>IFERROR(AB226/AB227,0)</f>
        <v>0</v>
      </c>
      <c r="AC228" s="3260"/>
      <c r="AD228" s="3260"/>
      <c r="AE228" s="3260"/>
      <c r="AF228" s="3260"/>
      <c r="AG228" s="3260"/>
      <c r="AH228" s="1021"/>
      <c r="AI228" s="1021"/>
      <c r="AJ228" s="1021"/>
      <c r="AK228" s="1021"/>
    </row>
    <row r="229" spans="1:37">
      <c r="A229" s="1013"/>
      <c r="B229" s="1379"/>
      <c r="C229" s="1103"/>
      <c r="D229" s="1368"/>
      <c r="E229" s="1368"/>
      <c r="F229" s="1368"/>
      <c r="G229" s="1368"/>
      <c r="H229" s="1368"/>
      <c r="I229" s="1368"/>
      <c r="J229" s="1368"/>
      <c r="K229" s="924"/>
      <c r="L229" s="924"/>
      <c r="M229" s="924"/>
      <c r="N229" s="924"/>
      <c r="O229" s="924"/>
      <c r="P229" s="924"/>
      <c r="Q229" s="924"/>
      <c r="R229" s="924"/>
      <c r="S229" s="924"/>
      <c r="T229" s="924"/>
      <c r="U229" s="924"/>
      <c r="V229" s="924"/>
      <c r="W229" s="924"/>
      <c r="X229" s="924"/>
      <c r="Y229" s="1077"/>
      <c r="Z229" s="1077"/>
      <c r="AA229" s="1077"/>
      <c r="AB229" s="1077"/>
      <c r="AC229" s="988"/>
      <c r="AD229" s="988"/>
      <c r="AE229" s="1021"/>
      <c r="AF229" s="1021"/>
      <c r="AG229" s="1021"/>
      <c r="AH229" s="1021"/>
      <c r="AI229" s="1021"/>
      <c r="AJ229" s="1021"/>
      <c r="AK229" s="1021"/>
    </row>
    <row r="230" spans="1:37">
      <c r="A230" s="1013"/>
      <c r="B230" s="1382" t="s">
        <v>1916</v>
      </c>
      <c r="C230" s="1103"/>
      <c r="D230" s="1368"/>
      <c r="E230" s="1368"/>
      <c r="F230" s="1368"/>
      <c r="G230" s="1368"/>
      <c r="H230" s="1368"/>
      <c r="I230" s="1368"/>
      <c r="J230" s="1368"/>
      <c r="K230" s="924"/>
      <c r="L230" s="924"/>
      <c r="M230" s="924"/>
      <c r="N230" s="924"/>
      <c r="O230" s="924"/>
      <c r="P230" s="924"/>
      <c r="Q230" s="924"/>
      <c r="R230" s="924"/>
      <c r="S230" s="924"/>
      <c r="T230" s="924"/>
      <c r="U230" s="924"/>
      <c r="V230" s="924"/>
      <c r="W230" s="924"/>
      <c r="X230" s="924"/>
      <c r="Y230" s="1077"/>
      <c r="Z230" s="1077"/>
      <c r="AA230" s="1077"/>
      <c r="AB230" s="3247">
        <f>MAX(AB223,AB228)</f>
        <v>0</v>
      </c>
      <c r="AC230" s="3247"/>
      <c r="AD230" s="3247"/>
      <c r="AE230" s="3247"/>
      <c r="AF230" s="3247"/>
      <c r="AG230" s="3247"/>
      <c r="AH230" s="1021"/>
      <c r="AI230" s="1021"/>
      <c r="AJ230" s="1021"/>
      <c r="AK230" s="1021"/>
    </row>
    <row r="231" spans="1:37">
      <c r="A231" s="1013"/>
      <c r="B231" s="1382"/>
      <c r="C231" s="1103"/>
      <c r="D231" s="1368"/>
      <c r="E231" s="1368"/>
      <c r="F231" s="1368"/>
      <c r="G231" s="1368"/>
      <c r="H231" s="1368"/>
      <c r="I231" s="1368"/>
      <c r="J231" s="1368"/>
      <c r="K231" s="924"/>
      <c r="L231" s="924"/>
      <c r="M231" s="924"/>
      <c r="N231" s="924"/>
      <c r="O231" s="924"/>
      <c r="P231" s="924"/>
      <c r="Q231" s="924"/>
      <c r="R231" s="924"/>
      <c r="S231" s="924"/>
      <c r="T231" s="924"/>
      <c r="U231" s="924"/>
      <c r="V231" s="924"/>
      <c r="W231" s="924"/>
      <c r="X231" s="924"/>
      <c r="Y231" s="1077"/>
      <c r="Z231" s="1077"/>
      <c r="AA231" s="1077"/>
      <c r="AB231" s="1077"/>
      <c r="AC231" s="924"/>
      <c r="AD231" s="924"/>
      <c r="AE231" s="1021"/>
      <c r="AF231" s="1021"/>
      <c r="AG231" s="1021"/>
      <c r="AH231" s="1021"/>
      <c r="AI231" s="1021"/>
      <c r="AJ231" s="1021"/>
      <c r="AK231" s="1021"/>
    </row>
    <row r="232" spans="1:37">
      <c r="A232" s="1013"/>
      <c r="B232" s="1382"/>
      <c r="C232" s="1103"/>
      <c r="D232" s="1368"/>
      <c r="E232" s="1368"/>
      <c r="F232" s="1368"/>
      <c r="G232" s="1368"/>
      <c r="H232" s="1368"/>
      <c r="I232" s="1368"/>
      <c r="J232" s="1368"/>
      <c r="K232" s="924"/>
      <c r="L232" s="924"/>
      <c r="M232" s="924"/>
      <c r="N232" s="924"/>
      <c r="O232" s="924"/>
      <c r="P232" s="924"/>
      <c r="Q232" s="924"/>
      <c r="R232" s="924"/>
      <c r="S232" s="924"/>
      <c r="T232" s="924"/>
      <c r="U232" s="924"/>
      <c r="V232" s="924"/>
      <c r="W232" s="924"/>
      <c r="X232" s="924"/>
      <c r="Y232" s="1077"/>
      <c r="Z232" s="1077"/>
      <c r="AA232" s="1077"/>
      <c r="AB232" s="1077"/>
      <c r="AC232" s="924"/>
      <c r="AD232" s="924"/>
      <c r="AE232" s="1021"/>
      <c r="AF232" s="1021"/>
      <c r="AG232" s="1021"/>
      <c r="AH232" s="1021"/>
      <c r="AI232" s="1021"/>
      <c r="AJ232" s="1021"/>
      <c r="AK232" s="1021"/>
    </row>
    <row r="233" spans="1:37">
      <c r="A233" s="1013"/>
      <c r="B233" s="995" t="s">
        <v>1905</v>
      </c>
      <c r="C233" s="1103"/>
      <c r="D233" s="1368"/>
      <c r="E233" s="1368"/>
      <c r="F233" s="1368"/>
      <c r="G233" s="1368"/>
      <c r="H233" s="1368"/>
      <c r="I233" s="1368"/>
      <c r="J233" s="1368"/>
      <c r="K233" s="924"/>
      <c r="L233" s="924"/>
      <c r="M233" s="924"/>
      <c r="N233" s="924"/>
      <c r="O233" s="924"/>
      <c r="P233" s="924"/>
      <c r="Q233" s="924"/>
      <c r="R233" s="924"/>
      <c r="S233" s="924"/>
      <c r="U233" s="1383"/>
      <c r="V233" s="1383"/>
      <c r="W233" s="1383"/>
      <c r="X233" s="1383"/>
      <c r="Y233" s="1383"/>
      <c r="Z233" s="1077"/>
      <c r="AA233" s="1077"/>
      <c r="AB233" s="3083">
        <f>AB217+AB230</f>
        <v>312864</v>
      </c>
      <c r="AC233" s="3083"/>
      <c r="AD233" s="3083"/>
      <c r="AE233" s="3083"/>
      <c r="AF233" s="3083"/>
      <c r="AG233" s="3083"/>
      <c r="AH233" s="1021"/>
      <c r="AI233" s="1021"/>
      <c r="AJ233" s="1021"/>
      <c r="AK233" s="1021"/>
    </row>
    <row r="234" spans="1:37">
      <c r="A234" s="1013"/>
      <c r="B234" s="995" t="s">
        <v>899</v>
      </c>
      <c r="C234" s="1103"/>
      <c r="D234" s="1368"/>
      <c r="E234" s="1368"/>
      <c r="F234" s="1368"/>
      <c r="G234" s="1368"/>
      <c r="H234" s="1368"/>
      <c r="I234" s="1368"/>
      <c r="J234" s="1368"/>
      <c r="K234" s="924"/>
      <c r="L234" s="924"/>
      <c r="M234" s="924"/>
      <c r="N234" s="924"/>
      <c r="O234" s="924"/>
      <c r="P234" s="924"/>
      <c r="Q234" s="924"/>
      <c r="R234" s="924"/>
      <c r="S234" s="924"/>
      <c r="T234" s="1059"/>
      <c r="U234" s="1384"/>
      <c r="V234" s="1384"/>
      <c r="W234" s="1384"/>
      <c r="X234" s="1384"/>
      <c r="Y234" s="1384"/>
      <c r="Z234" s="1077"/>
      <c r="AA234" s="1077"/>
      <c r="AB234" s="3116">
        <v>0.05</v>
      </c>
      <c r="AC234" s="3116"/>
      <c r="AD234" s="3116"/>
      <c r="AE234" s="3116"/>
      <c r="AF234" s="3116"/>
      <c r="AG234" s="3116"/>
      <c r="AH234" s="1021"/>
      <c r="AI234" s="1021"/>
      <c r="AJ234" s="1021"/>
      <c r="AK234" s="1021"/>
    </row>
    <row r="235" spans="1:37">
      <c r="A235" s="1013"/>
      <c r="B235" s="995" t="s">
        <v>1906</v>
      </c>
      <c r="C235" s="1103"/>
      <c r="D235" s="1368"/>
      <c r="E235" s="1368"/>
      <c r="F235" s="1368"/>
      <c r="G235" s="1368"/>
      <c r="H235" s="1368"/>
      <c r="I235" s="1368"/>
      <c r="J235" s="1368"/>
      <c r="K235" s="924"/>
      <c r="L235" s="924"/>
      <c r="M235" s="924"/>
      <c r="N235" s="924"/>
      <c r="O235" s="924"/>
      <c r="P235" s="924"/>
      <c r="Q235" s="924"/>
      <c r="R235" s="924"/>
      <c r="S235" s="924"/>
      <c r="T235" s="1059"/>
      <c r="U235" s="1385"/>
      <c r="V235" s="1385"/>
      <c r="W235" s="1385"/>
      <c r="X235" s="1385"/>
      <c r="Y235" s="1385"/>
      <c r="Z235" s="1077"/>
      <c r="AA235" s="1077"/>
      <c r="AB235" s="3117">
        <f>AB233-(AB233*AB234)</f>
        <v>297220.8</v>
      </c>
      <c r="AC235" s="3117"/>
      <c r="AD235" s="3117"/>
      <c r="AE235" s="3117"/>
      <c r="AF235" s="3117"/>
      <c r="AG235" s="3117"/>
      <c r="AH235" s="1021"/>
      <c r="AI235" s="1021"/>
      <c r="AJ235" s="1021"/>
      <c r="AK235" s="1021"/>
    </row>
    <row r="236" spans="1:37">
      <c r="A236" s="1013"/>
      <c r="B236" s="995" t="s">
        <v>1907</v>
      </c>
      <c r="C236" s="1103"/>
      <c r="D236" s="1368"/>
      <c r="E236" s="1368"/>
      <c r="F236" s="1368"/>
      <c r="G236" s="1368"/>
      <c r="H236" s="1368"/>
      <c r="I236" s="1368"/>
      <c r="J236" s="1368"/>
      <c r="K236" s="924"/>
      <c r="L236" s="924"/>
      <c r="M236" s="924"/>
      <c r="N236" s="924"/>
      <c r="O236" s="924"/>
      <c r="P236" s="924"/>
      <c r="Q236" s="924"/>
      <c r="R236" s="924"/>
      <c r="S236" s="924"/>
      <c r="T236" s="1059"/>
      <c r="U236" s="1003"/>
      <c r="V236" s="1003"/>
      <c r="W236" s="1003"/>
      <c r="X236" s="1003"/>
      <c r="Y236" s="1386"/>
      <c r="Z236" s="1077"/>
      <c r="AA236" s="1077"/>
      <c r="AB236" s="924"/>
      <c r="AC236" s="924"/>
      <c r="AD236" s="924"/>
      <c r="AE236" s="1021"/>
      <c r="AF236" s="1021"/>
      <c r="AG236" s="1021"/>
      <c r="AH236" s="1021"/>
      <c r="AI236" s="1021"/>
      <c r="AJ236" s="1021"/>
      <c r="AK236" s="1021"/>
    </row>
    <row r="237" spans="1:37">
      <c r="A237" s="1013"/>
      <c r="B237" s="995" t="s">
        <v>1908</v>
      </c>
      <c r="C237" s="1103"/>
      <c r="D237" s="1368"/>
      <c r="E237" s="1368"/>
      <c r="F237" s="1368"/>
      <c r="G237" s="1368"/>
      <c r="H237" s="1368"/>
      <c r="I237" s="1368"/>
      <c r="J237" s="1368"/>
      <c r="K237" s="924"/>
      <c r="L237" s="924"/>
      <c r="M237" s="924"/>
      <c r="N237" s="924"/>
      <c r="O237" s="924"/>
      <c r="P237" s="924"/>
      <c r="Q237" s="924"/>
      <c r="R237" s="924"/>
      <c r="S237" s="924"/>
      <c r="T237" s="1059"/>
      <c r="U237" s="1385"/>
      <c r="V237" s="1385"/>
      <c r="W237" s="1385"/>
      <c r="X237" s="1385"/>
      <c r="Y237" s="1385"/>
      <c r="Z237" s="1077"/>
      <c r="AA237" s="1077"/>
      <c r="AB237" s="3083">
        <f>AB235/AB241</f>
        <v>258452.86956521741</v>
      </c>
      <c r="AC237" s="3083"/>
      <c r="AD237" s="3083"/>
      <c r="AE237" s="3083"/>
      <c r="AF237" s="3083"/>
      <c r="AG237" s="3083"/>
      <c r="AH237" s="1021"/>
      <c r="AI237" s="1021"/>
      <c r="AJ237" s="1021"/>
      <c r="AK237" s="1021"/>
    </row>
    <row r="238" spans="1:37">
      <c r="A238" s="1013"/>
      <c r="B238" s="995"/>
      <c r="C238" s="1103"/>
      <c r="D238" s="1368"/>
      <c r="E238" s="1368"/>
      <c r="F238" s="1368"/>
      <c r="G238" s="1368"/>
      <c r="H238" s="1368"/>
      <c r="I238" s="1368"/>
      <c r="J238" s="1368"/>
      <c r="K238" s="924"/>
      <c r="L238" s="924"/>
      <c r="M238" s="924"/>
      <c r="N238" s="924"/>
      <c r="O238" s="924"/>
      <c r="P238" s="924"/>
      <c r="Q238" s="924"/>
      <c r="R238" s="924"/>
      <c r="S238" s="924"/>
      <c r="T238" s="1059"/>
      <c r="U238" s="1003"/>
      <c r="V238" s="1003"/>
      <c r="W238" s="1003"/>
      <c r="X238" s="1003"/>
      <c r="Y238" s="1387"/>
      <c r="Z238" s="1077"/>
      <c r="AA238" s="1077"/>
      <c r="AB238" s="924"/>
      <c r="AC238" s="924"/>
      <c r="AD238" s="924"/>
      <c r="AE238" s="1021"/>
      <c r="AF238" s="1021"/>
      <c r="AG238" s="1021"/>
      <c r="AH238" s="1021"/>
      <c r="AI238" s="1021"/>
      <c r="AJ238" s="1021"/>
      <c r="AK238" s="1021"/>
    </row>
    <row r="239" spans="1:37">
      <c r="A239" s="1013"/>
      <c r="B239" s="995" t="s">
        <v>1909</v>
      </c>
      <c r="C239" s="1103"/>
      <c r="D239" s="1368"/>
      <c r="E239" s="1368"/>
      <c r="F239" s="1368"/>
      <c r="G239" s="1368"/>
      <c r="H239" s="1368"/>
      <c r="I239" s="1368"/>
      <c r="J239" s="1368"/>
      <c r="K239" s="924"/>
      <c r="L239" s="924"/>
      <c r="M239" s="924"/>
      <c r="N239" s="924"/>
      <c r="O239" s="924"/>
      <c r="P239" s="924"/>
      <c r="Q239" s="924"/>
      <c r="R239" s="924"/>
      <c r="S239" s="924"/>
      <c r="T239" s="1059"/>
      <c r="U239" s="1388"/>
      <c r="V239" s="1388"/>
      <c r="W239" s="1388"/>
      <c r="X239" s="1388"/>
      <c r="Y239" s="1388"/>
      <c r="Z239" s="1077"/>
      <c r="AA239" s="1077"/>
      <c r="AB239" s="3084">
        <v>15</v>
      </c>
      <c r="AC239" s="3084"/>
      <c r="AD239" s="3084"/>
      <c r="AE239" s="3084"/>
      <c r="AF239" s="3084"/>
      <c r="AG239" s="3084"/>
      <c r="AH239" s="1021"/>
      <c r="AI239" s="1021"/>
      <c r="AJ239" s="1021"/>
      <c r="AK239" s="1021"/>
    </row>
    <row r="240" spans="1:37">
      <c r="A240" s="1013"/>
      <c r="B240" s="995" t="s">
        <v>1910</v>
      </c>
      <c r="C240" s="1103"/>
      <c r="D240" s="1368"/>
      <c r="E240" s="1368"/>
      <c r="F240" s="1368"/>
      <c r="G240" s="1368"/>
      <c r="H240" s="1368"/>
      <c r="I240" s="1368"/>
      <c r="J240" s="1368"/>
      <c r="K240" s="924"/>
      <c r="L240" s="924"/>
      <c r="M240" s="924"/>
      <c r="N240" s="924"/>
      <c r="O240" s="924"/>
      <c r="P240" s="924"/>
      <c r="Q240" s="924"/>
      <c r="R240" s="924"/>
      <c r="S240" s="924"/>
      <c r="T240" s="1059"/>
      <c r="U240" s="1384"/>
      <c r="V240" s="1384"/>
      <c r="W240" s="1384"/>
      <c r="X240" s="1384"/>
      <c r="Y240" s="1384"/>
      <c r="Z240" s="1077"/>
      <c r="AA240" s="1077"/>
      <c r="AB240" s="3118">
        <v>0.04</v>
      </c>
      <c r="AC240" s="3118"/>
      <c r="AD240" s="3118"/>
      <c r="AE240" s="3118"/>
      <c r="AF240" s="3118"/>
      <c r="AG240" s="3118"/>
      <c r="AH240" s="1021"/>
      <c r="AI240" s="1021"/>
      <c r="AJ240" s="1021"/>
      <c r="AK240" s="1021"/>
    </row>
    <row r="241" spans="1:39">
      <c r="A241" s="1013"/>
      <c r="B241" s="995" t="s">
        <v>911</v>
      </c>
      <c r="C241" s="1103"/>
      <c r="D241" s="1368"/>
      <c r="E241" s="1368"/>
      <c r="F241" s="1368"/>
      <c r="G241" s="1368"/>
      <c r="H241" s="1368"/>
      <c r="I241" s="1368"/>
      <c r="J241" s="1368"/>
      <c r="K241" s="924"/>
      <c r="L241" s="924"/>
      <c r="M241" s="924"/>
      <c r="N241" s="924"/>
      <c r="O241" s="924"/>
      <c r="P241" s="924"/>
      <c r="Q241" s="924"/>
      <c r="R241" s="924"/>
      <c r="S241" s="924"/>
      <c r="T241" s="1059"/>
      <c r="U241" s="1389"/>
      <c r="V241" s="1389"/>
      <c r="W241" s="1389"/>
      <c r="X241" s="1389"/>
      <c r="Y241" s="1389"/>
      <c r="Z241" s="1077"/>
      <c r="AA241" s="1077"/>
      <c r="AB241" s="3119">
        <v>1.1499999999999999</v>
      </c>
      <c r="AC241" s="3119"/>
      <c r="AD241" s="3119"/>
      <c r="AE241" s="3119"/>
      <c r="AF241" s="3119"/>
      <c r="AG241" s="3119"/>
      <c r="AH241" s="1021"/>
      <c r="AI241" s="1021"/>
      <c r="AJ241" s="1021"/>
      <c r="AK241" s="1021"/>
    </row>
    <row r="242" spans="1:39">
      <c r="A242" s="1013"/>
      <c r="B242" s="991"/>
      <c r="C242" s="1103"/>
      <c r="D242" s="1368"/>
      <c r="E242" s="1368"/>
      <c r="F242" s="1368"/>
      <c r="G242" s="1368"/>
      <c r="H242" s="1368"/>
      <c r="I242" s="1368"/>
      <c r="J242" s="1368"/>
      <c r="K242" s="924"/>
      <c r="L242" s="924"/>
      <c r="M242" s="924"/>
      <c r="N242" s="924"/>
      <c r="O242" s="924"/>
      <c r="P242" s="924"/>
      <c r="Q242" s="924"/>
      <c r="R242" s="924"/>
      <c r="S242" s="924"/>
      <c r="T242" s="1059"/>
      <c r="U242" s="1003"/>
      <c r="V242" s="1003"/>
      <c r="W242" s="1003"/>
      <c r="X242" s="1003"/>
      <c r="Y242" s="1390"/>
      <c r="Z242" s="1077"/>
      <c r="AA242" s="1077"/>
      <c r="AB242" s="924"/>
      <c r="AC242" s="924"/>
      <c r="AD242" s="924"/>
      <c r="AE242" s="1021"/>
      <c r="AF242" s="1021"/>
      <c r="AG242" s="1021"/>
      <c r="AH242" s="1021"/>
      <c r="AI242" s="1021"/>
      <c r="AJ242" s="1021"/>
      <c r="AK242" s="1021"/>
    </row>
    <row r="243" spans="1:39" ht="13">
      <c r="A243" s="1013"/>
      <c r="B243" s="1405" t="s">
        <v>1911</v>
      </c>
      <c r="C243" s="1103"/>
      <c r="D243" s="1368"/>
      <c r="E243" s="1368"/>
      <c r="F243" s="1368"/>
      <c r="G243" s="1368"/>
      <c r="H243" s="1368"/>
      <c r="I243" s="1368"/>
      <c r="J243" s="1368"/>
      <c r="K243" s="924"/>
      <c r="L243" s="924"/>
      <c r="M243" s="924"/>
      <c r="N243" s="924"/>
      <c r="O243" s="924"/>
      <c r="P243" s="924"/>
      <c r="Q243" s="924"/>
      <c r="R243" s="924"/>
      <c r="S243" s="924"/>
      <c r="T243" s="1059"/>
      <c r="U243" s="1391"/>
      <c r="V243" s="1391"/>
      <c r="W243" s="1391"/>
      <c r="X243" s="1391"/>
      <c r="Y243" s="1391"/>
      <c r="Z243" s="1077"/>
      <c r="AA243" s="1077"/>
      <c r="AB243" s="3109">
        <f>PV(AB240/12,AB239*12,-AB237/12, ,0)</f>
        <v>2911733.2302936926</v>
      </c>
      <c r="AC243" s="3110"/>
      <c r="AD243" s="3110"/>
      <c r="AE243" s="3110"/>
      <c r="AF243" s="3110"/>
      <c r="AG243" s="3111"/>
      <c r="AH243" s="1021"/>
      <c r="AI243" s="1021"/>
      <c r="AJ243" s="1021"/>
      <c r="AK243" s="1021"/>
    </row>
    <row r="244" spans="1:39" ht="13">
      <c r="A244" s="1013"/>
      <c r="B244" s="1405"/>
      <c r="C244" s="1103"/>
      <c r="D244" s="1368"/>
      <c r="E244" s="1368"/>
      <c r="F244" s="1368"/>
      <c r="G244" s="1368"/>
      <c r="H244" s="1368"/>
      <c r="I244" s="1368"/>
      <c r="J244" s="1368"/>
      <c r="K244" s="924"/>
      <c r="L244" s="924"/>
      <c r="M244" s="924"/>
      <c r="N244" s="924"/>
      <c r="O244" s="924"/>
      <c r="P244" s="924"/>
      <c r="Q244" s="924"/>
      <c r="R244" s="924"/>
      <c r="S244" s="924"/>
      <c r="T244" s="1059"/>
      <c r="U244" s="1391"/>
      <c r="V244" s="1391"/>
      <c r="W244" s="1391"/>
      <c r="X244" s="1391"/>
      <c r="Y244" s="1391"/>
      <c r="Z244" s="1077"/>
      <c r="AA244" s="1077"/>
      <c r="AB244" s="1406"/>
      <c r="AC244" s="1406"/>
      <c r="AD244" s="1406"/>
      <c r="AE244" s="1406"/>
      <c r="AF244" s="1406"/>
      <c r="AG244" s="1406"/>
      <c r="AH244" s="1021"/>
      <c r="AI244" s="1021"/>
      <c r="AJ244" s="1021"/>
      <c r="AK244" s="1021"/>
    </row>
    <row r="245" spans="1:39" ht="13">
      <c r="A245" s="1013"/>
      <c r="B245" s="1405"/>
      <c r="C245" s="1103"/>
      <c r="D245" s="1368"/>
      <c r="E245" s="1368"/>
      <c r="F245" s="1368"/>
      <c r="G245" s="1368"/>
      <c r="H245" s="1368"/>
      <c r="I245" s="1368"/>
      <c r="J245" s="1368"/>
      <c r="K245" s="924"/>
      <c r="L245" s="924"/>
      <c r="M245" s="924"/>
      <c r="N245" s="924"/>
      <c r="O245" s="924"/>
      <c r="P245" s="924"/>
      <c r="Q245" s="924"/>
      <c r="R245" s="924"/>
      <c r="S245" s="924"/>
      <c r="T245" s="1059"/>
      <c r="U245" s="1391"/>
      <c r="V245" s="1391"/>
      <c r="W245" s="1391"/>
      <c r="X245" s="1391"/>
      <c r="Y245" s="1391"/>
      <c r="Z245" s="1077"/>
      <c r="AA245" s="1077"/>
      <c r="AB245" s="1406"/>
      <c r="AC245" s="1406"/>
      <c r="AD245" s="1406"/>
      <c r="AE245" s="1406"/>
      <c r="AF245" s="1406"/>
      <c r="AG245" s="1406"/>
      <c r="AH245" s="1021"/>
      <c r="AI245" s="1021"/>
      <c r="AJ245" s="1021"/>
      <c r="AK245" s="1021"/>
    </row>
    <row r="246" spans="1:39" ht="13">
      <c r="A246" s="1013"/>
      <c r="B246" s="1395" t="s">
        <v>1887</v>
      </c>
      <c r="C246" s="1395"/>
      <c r="D246" s="1368"/>
      <c r="E246" s="1368"/>
      <c r="F246" s="1368"/>
      <c r="G246" s="1368"/>
      <c r="H246" s="1368"/>
      <c r="I246" s="1368"/>
      <c r="J246" s="1368"/>
      <c r="K246" s="924"/>
      <c r="L246" s="924"/>
      <c r="M246" s="924"/>
      <c r="N246" s="924"/>
      <c r="O246" s="924"/>
      <c r="P246" s="924"/>
      <c r="Q246" s="924"/>
      <c r="R246" s="924"/>
      <c r="S246" s="924"/>
      <c r="T246" s="924"/>
      <c r="U246" s="924"/>
      <c r="V246" s="924"/>
      <c r="W246" s="924"/>
      <c r="X246" s="924"/>
      <c r="Y246" s="1077"/>
      <c r="Z246" s="1077"/>
      <c r="AA246" s="1077"/>
      <c r="AB246" s="1077"/>
      <c r="AC246" s="924"/>
      <c r="AD246" s="924"/>
      <c r="AE246" s="1021"/>
      <c r="AF246" s="1021"/>
      <c r="AG246" s="1021"/>
      <c r="AH246" s="1021"/>
      <c r="AI246" s="1021"/>
      <c r="AJ246" s="1021"/>
      <c r="AK246" s="1021"/>
    </row>
    <row r="247" spans="1:39">
      <c r="A247" s="1013"/>
      <c r="B247" s="1013" t="s">
        <v>1890</v>
      </c>
      <c r="C247" s="1103"/>
      <c r="D247" s="1368"/>
      <c r="E247" s="1368"/>
      <c r="F247" s="1368"/>
      <c r="G247" s="1368"/>
      <c r="H247" s="1368"/>
      <c r="I247" s="1368"/>
      <c r="J247" s="1368"/>
      <c r="K247" s="924"/>
      <c r="L247" s="924"/>
      <c r="M247" s="924"/>
      <c r="N247" s="924"/>
      <c r="O247" s="924"/>
      <c r="P247" s="924"/>
      <c r="Q247" s="924"/>
      <c r="R247" s="924"/>
      <c r="S247" s="924"/>
      <c r="T247" s="924"/>
      <c r="U247" s="924"/>
      <c r="V247" s="924"/>
      <c r="W247" s="924"/>
      <c r="X247" s="924"/>
      <c r="Y247" s="1077"/>
      <c r="Z247" s="1077"/>
      <c r="AA247" s="1077"/>
      <c r="AB247" s="1077"/>
      <c r="AC247" s="924"/>
      <c r="AD247" s="924"/>
      <c r="AE247" s="1021"/>
      <c r="AF247" s="1021"/>
      <c r="AG247" s="1021"/>
      <c r="AH247" s="1021"/>
      <c r="AI247" s="1021"/>
      <c r="AJ247" s="1021"/>
      <c r="AK247" s="1021"/>
    </row>
    <row r="248" spans="1:39">
      <c r="A248" s="1013"/>
      <c r="B248" s="1013" t="s">
        <v>1889</v>
      </c>
      <c r="C248" s="1103"/>
      <c r="D248" s="1368"/>
      <c r="E248" s="1368"/>
      <c r="F248" s="1368"/>
      <c r="G248" s="1368"/>
      <c r="H248" s="1368"/>
      <c r="I248" s="1368"/>
      <c r="J248" s="1368"/>
      <c r="K248" s="924"/>
      <c r="L248" s="924"/>
      <c r="M248" s="924"/>
      <c r="N248" s="924"/>
      <c r="O248" s="924"/>
      <c r="P248" s="924"/>
      <c r="Q248" s="924"/>
      <c r="R248" s="924"/>
      <c r="S248" s="924"/>
      <c r="T248" s="924"/>
      <c r="U248" s="924"/>
      <c r="V248" s="924"/>
      <c r="W248" s="924"/>
      <c r="X248" s="924"/>
      <c r="Y248" s="1077"/>
      <c r="Z248" s="1077"/>
      <c r="AA248" s="1077"/>
      <c r="AB248" s="1077"/>
      <c r="AC248" s="924"/>
      <c r="AD248" s="924"/>
      <c r="AE248" s="1021"/>
      <c r="AF248" s="1021"/>
      <c r="AG248" s="1021"/>
      <c r="AH248" s="1021"/>
      <c r="AI248" s="1021"/>
      <c r="AJ248" s="1021"/>
      <c r="AK248" s="1021"/>
    </row>
    <row r="249" spans="1:39">
      <c r="A249" s="1013"/>
      <c r="B249" s="1013" t="s">
        <v>1888</v>
      </c>
      <c r="C249" s="1103"/>
      <c r="D249" s="1368"/>
      <c r="E249" s="1368"/>
      <c r="F249" s="1368"/>
      <c r="G249" s="1368"/>
      <c r="H249" s="1368"/>
      <c r="I249" s="1368"/>
      <c r="J249" s="1368"/>
      <c r="K249" s="924"/>
      <c r="L249" s="924"/>
      <c r="M249" s="924"/>
      <c r="N249" s="924"/>
      <c r="O249" s="924"/>
      <c r="P249" s="924"/>
      <c r="Q249" s="924"/>
      <c r="R249" s="924"/>
      <c r="S249" s="924"/>
      <c r="T249" s="924"/>
      <c r="U249" s="924"/>
      <c r="V249" s="924"/>
      <c r="W249" s="924"/>
      <c r="X249" s="924"/>
      <c r="Y249" s="1077"/>
      <c r="Z249" s="1077"/>
      <c r="AA249" s="1077"/>
      <c r="AB249" s="3113">
        <f>IFERROR(('Sources and Uses Budget'!D105/'Sources and Uses Budget'!B105),0)</f>
        <v>1.7789251229581325E-2</v>
      </c>
      <c r="AC249" s="3114"/>
      <c r="AD249" s="3114"/>
      <c r="AE249" s="3114"/>
      <c r="AF249" s="3114"/>
      <c r="AG249" s="3115"/>
      <c r="AH249" s="1408"/>
      <c r="AI249" s="1408"/>
      <c r="AJ249" s="1408"/>
      <c r="AK249" s="1021"/>
    </row>
    <row r="250" spans="1:39">
      <c r="A250" s="1013"/>
      <c r="B250" s="995"/>
      <c r="C250" s="1103"/>
      <c r="D250" s="1368"/>
      <c r="E250" s="1368"/>
      <c r="F250" s="1368"/>
      <c r="G250" s="1368"/>
      <c r="H250" s="1368"/>
      <c r="I250" s="1368"/>
      <c r="J250" s="1368"/>
      <c r="K250" s="924"/>
      <c r="L250" s="924"/>
      <c r="M250" s="924"/>
      <c r="N250" s="924"/>
      <c r="O250" s="924"/>
      <c r="P250" s="924"/>
      <c r="Q250" s="924"/>
      <c r="R250" s="924"/>
      <c r="S250" s="924"/>
      <c r="T250" s="924"/>
      <c r="U250" s="924"/>
      <c r="V250" s="924"/>
      <c r="W250" s="924"/>
      <c r="X250" s="924"/>
      <c r="Y250" s="1077"/>
      <c r="Z250" s="1077"/>
      <c r="AA250" s="1077"/>
      <c r="AB250" s="1077"/>
      <c r="AC250" s="924"/>
      <c r="AD250" s="924"/>
      <c r="AE250" s="1021"/>
      <c r="AF250" s="1021"/>
      <c r="AG250" s="1021"/>
      <c r="AH250" s="1021"/>
      <c r="AI250" s="1021"/>
      <c r="AJ250" s="1021"/>
      <c r="AK250" s="1021"/>
    </row>
    <row r="251" spans="1:39" ht="13">
      <c r="A251" s="1042"/>
      <c r="B251" s="921" t="s">
        <v>1636</v>
      </c>
      <c r="C251" s="1043"/>
      <c r="D251" s="1043"/>
      <c r="E251" s="1044"/>
      <c r="F251" s="1044"/>
      <c r="H251" s="1045"/>
      <c r="I251" s="1045"/>
      <c r="J251" s="1045"/>
      <c r="K251" s="1045"/>
      <c r="L251" s="1045"/>
      <c r="M251" s="1045"/>
      <c r="N251" s="1045"/>
      <c r="O251" s="1045"/>
      <c r="P251" s="1045"/>
      <c r="Q251" s="1045"/>
      <c r="R251" s="1045"/>
      <c r="Y251" s="1045"/>
      <c r="Z251" s="1045"/>
      <c r="AA251" s="1045"/>
      <c r="AB251" s="1042"/>
      <c r="AC251" s="1042"/>
      <c r="AD251" s="1042"/>
      <c r="AE251" s="1042"/>
      <c r="AG251" s="3103">
        <f>AD194*(1-AB249)</f>
        <v>34438011.249315441</v>
      </c>
      <c r="AH251" s="3103"/>
      <c r="AI251" s="3103"/>
      <c r="AJ251" s="3103"/>
      <c r="AK251" s="3103"/>
    </row>
    <row r="252" spans="1:39">
      <c r="A252" s="1042"/>
      <c r="B252" s="1046" t="s">
        <v>1637</v>
      </c>
      <c r="C252" s="1047"/>
      <c r="D252" s="1045"/>
      <c r="E252" s="1045"/>
      <c r="F252" s="1047"/>
      <c r="G252" s="1047"/>
      <c r="H252" s="1047"/>
      <c r="I252" s="1047"/>
      <c r="J252" s="1047"/>
      <c r="K252" s="1047"/>
      <c r="L252" s="1047"/>
      <c r="M252" s="1045"/>
      <c r="N252" s="1047"/>
      <c r="O252" s="1047"/>
      <c r="P252" s="1047"/>
      <c r="Q252" s="1047"/>
      <c r="R252" s="1047"/>
      <c r="Y252" s="1045"/>
      <c r="Z252" s="1045"/>
      <c r="AA252" s="1045"/>
      <c r="AB252" s="1042"/>
      <c r="AC252" s="1042"/>
      <c r="AD252" s="1042"/>
      <c r="AE252" s="1042"/>
      <c r="AG252" s="3103">
        <f>'Sources and Uses Budget'!C105</f>
        <v>79230088</v>
      </c>
      <c r="AH252" s="3103"/>
      <c r="AI252" s="3103"/>
      <c r="AJ252" s="3103"/>
      <c r="AK252" s="3103"/>
    </row>
    <row r="253" spans="1:39">
      <c r="A253" s="1042"/>
      <c r="B253" s="1045" t="s">
        <v>13</v>
      </c>
      <c r="C253" s="1045"/>
      <c r="D253" s="1045"/>
      <c r="E253" s="1045"/>
      <c r="F253" s="1045"/>
      <c r="G253" s="1045"/>
      <c r="H253" s="1045"/>
      <c r="I253" s="1045"/>
      <c r="J253" s="1045"/>
      <c r="K253" s="1045"/>
      <c r="L253" s="1045"/>
      <c r="M253" s="1045"/>
      <c r="N253" s="1045"/>
      <c r="O253" s="1045"/>
      <c r="P253" s="1045"/>
      <c r="Q253" s="1045"/>
      <c r="R253" s="1045"/>
      <c r="Y253" s="1045"/>
      <c r="Z253" s="1045"/>
      <c r="AA253" s="1045"/>
      <c r="AB253" s="1042"/>
      <c r="AC253" s="1042"/>
      <c r="AD253" s="1042"/>
      <c r="AE253" s="1042"/>
      <c r="AG253" s="3104">
        <f>ROUNDDOWN(IF(AND(C274="Yes",AK72=10),((AG251*2)/AG252),AG251/AG252),2)</f>
        <v>0.43</v>
      </c>
      <c r="AH253" s="3104"/>
      <c r="AI253" s="3104"/>
      <c r="AJ253" s="3104"/>
      <c r="AK253" s="3104"/>
    </row>
    <row r="254" spans="1:39" ht="13">
      <c r="A254" s="1042"/>
      <c r="B254" s="1604" t="s">
        <v>2158</v>
      </c>
      <c r="C254" s="1045"/>
      <c r="D254" s="1045"/>
      <c r="E254" s="1045"/>
      <c r="F254" s="1045"/>
      <c r="G254" s="1045"/>
      <c r="H254" s="1045"/>
      <c r="I254" s="1045"/>
      <c r="J254" s="1045"/>
      <c r="K254" s="1045"/>
      <c r="L254" s="1045"/>
      <c r="M254" s="1045"/>
      <c r="N254" s="1045"/>
      <c r="O254" s="1045"/>
      <c r="P254" s="1045"/>
      <c r="Q254" s="1045"/>
      <c r="R254" s="1045"/>
      <c r="Y254" s="1045"/>
      <c r="Z254" s="1045"/>
      <c r="AA254" s="1045"/>
      <c r="AB254" s="1042"/>
      <c r="AC254" s="1042"/>
      <c r="AD254" s="1042"/>
      <c r="AE254" s="1042"/>
      <c r="AG254" s="1603"/>
      <c r="AH254" s="1603"/>
      <c r="AI254" s="1603"/>
      <c r="AJ254" s="1603"/>
      <c r="AK254" s="1603"/>
    </row>
    <row r="255" spans="1:39">
      <c r="A255" s="1048"/>
      <c r="B255" s="1048"/>
      <c r="C255" s="1048"/>
      <c r="D255" s="1048"/>
      <c r="E255" s="1048"/>
      <c r="F255" s="1048"/>
      <c r="G255" s="1048"/>
      <c r="H255" s="1048"/>
      <c r="I255" s="1048"/>
      <c r="J255" s="1048"/>
      <c r="K255" s="1048"/>
      <c r="L255" s="1048"/>
      <c r="M255" s="1048"/>
      <c r="N255" s="1048"/>
      <c r="O255" s="1048"/>
      <c r="P255" s="1048"/>
      <c r="Q255" s="1048"/>
      <c r="R255" s="1048"/>
      <c r="S255" s="1048"/>
      <c r="T255" s="1048"/>
      <c r="U255" s="1048"/>
      <c r="V255" s="1048"/>
      <c r="W255" s="1048"/>
      <c r="X255" s="1048"/>
      <c r="Y255" s="1048"/>
      <c r="Z255" s="1048"/>
      <c r="AA255" s="1048"/>
      <c r="AB255" s="1048"/>
      <c r="AC255" s="1048"/>
      <c r="AD255" s="1048"/>
      <c r="AE255" s="1048"/>
      <c r="AF255" s="1048"/>
      <c r="AG255" s="1048"/>
      <c r="AH255" s="1048"/>
      <c r="AI255" s="1048"/>
      <c r="AJ255" s="1048"/>
    </row>
    <row r="256" spans="1:39" ht="13">
      <c r="A256" s="1049"/>
      <c r="B256" s="1049"/>
      <c r="C256" s="1049"/>
      <c r="D256" s="1049"/>
      <c r="E256" s="1049"/>
      <c r="F256" s="1049"/>
      <c r="G256" s="1049"/>
      <c r="H256" s="1049"/>
      <c r="I256" s="1049"/>
      <c r="J256" s="1049"/>
      <c r="K256" s="1049"/>
      <c r="L256" s="1049"/>
      <c r="M256" s="1049"/>
      <c r="N256" s="1049"/>
      <c r="O256" s="1049"/>
      <c r="P256" s="1049"/>
      <c r="Q256" s="1049"/>
      <c r="R256" s="1049"/>
      <c r="S256" s="1049"/>
      <c r="T256" s="1049"/>
      <c r="U256" s="1049"/>
      <c r="V256" s="1049"/>
      <c r="W256" s="1049"/>
      <c r="X256" s="1049"/>
      <c r="Y256" s="1049"/>
      <c r="Z256" s="1049"/>
      <c r="AA256" s="1049"/>
      <c r="AB256" s="1049"/>
      <c r="AC256" s="1049"/>
      <c r="AD256" s="1049"/>
      <c r="AE256" s="1049"/>
      <c r="AF256" s="1049"/>
      <c r="AG256" s="1049"/>
      <c r="AH256" s="1050"/>
      <c r="AI256" s="956"/>
      <c r="AJ256" s="956" t="s">
        <v>1638</v>
      </c>
      <c r="AK256" s="3105">
        <f>IF(AG253=0,0,IF((AG253*100)&gt;8,8,(AG253*100)))</f>
        <v>8</v>
      </c>
      <c r="AL256" s="3105"/>
      <c r="AM256" s="3106"/>
    </row>
    <row r="257" spans="1:81" ht="13" thickBot="1"/>
    <row r="258" spans="1:81" s="940" customFormat="1" ht="12.75" customHeight="1" thickTop="1">
      <c r="A258" s="1051"/>
      <c r="B258" s="1052"/>
      <c r="C258" s="1052"/>
      <c r="D258" s="1052"/>
      <c r="E258" s="1052"/>
      <c r="F258" s="1052"/>
      <c r="G258" s="1052"/>
      <c r="H258" s="1052"/>
      <c r="I258" s="1052"/>
      <c r="J258" s="1052"/>
      <c r="K258" s="1052"/>
      <c r="L258" s="1052"/>
      <c r="M258" s="1052"/>
      <c r="N258" s="1052"/>
      <c r="O258" s="1052"/>
      <c r="P258" s="1052"/>
      <c r="Q258" s="1052"/>
      <c r="R258" s="1052"/>
      <c r="S258" s="1052"/>
      <c r="T258" s="1052"/>
      <c r="U258" s="1052"/>
      <c r="V258" s="1052"/>
      <c r="W258" s="1052"/>
      <c r="X258" s="1052"/>
      <c r="Y258" s="1052"/>
      <c r="Z258" s="1052"/>
      <c r="AA258" s="1052"/>
      <c r="AB258" s="1052"/>
      <c r="AC258" s="1053"/>
      <c r="AD258" s="1052"/>
      <c r="AE258" s="1052"/>
      <c r="AF258" s="1052"/>
      <c r="AG258" s="1052"/>
      <c r="AH258" s="1026"/>
      <c r="AI258" s="1054"/>
      <c r="AJ258" s="1054"/>
      <c r="AK258" s="1055"/>
      <c r="AL258" s="1055"/>
      <c r="AM258" s="1056"/>
      <c r="AN258" s="997"/>
      <c r="AO258" s="1023"/>
      <c r="AP258" s="1003"/>
      <c r="AQ258" s="1003"/>
      <c r="AR258" s="1003"/>
      <c r="AS258" s="1003"/>
      <c r="AT258" s="1003"/>
      <c r="AU258" s="1003"/>
      <c r="AV258" s="1003"/>
      <c r="AW258" s="1003"/>
      <c r="AX258" s="1003"/>
      <c r="AY258" s="1003"/>
      <c r="AZ258" s="1003"/>
      <c r="BA258" s="1023"/>
      <c r="BB258" s="1023"/>
      <c r="BC258" s="1023"/>
      <c r="BD258" s="1023"/>
      <c r="BE258" s="1023"/>
      <c r="BF258" s="1023"/>
      <c r="BG258" s="1023"/>
      <c r="BH258" s="1023"/>
      <c r="BI258" s="1023"/>
      <c r="BJ258" s="1023"/>
      <c r="BK258" s="1023"/>
      <c r="BL258" s="1023"/>
      <c r="BM258" s="1023"/>
      <c r="BN258" s="1023"/>
      <c r="BO258" s="1023"/>
      <c r="BP258" s="1023"/>
      <c r="BQ258" s="1023"/>
      <c r="BR258" s="1023"/>
      <c r="BS258" s="1023"/>
      <c r="BT258" s="1023"/>
      <c r="BU258" s="1023"/>
      <c r="BV258" s="1023"/>
      <c r="BW258" s="1023"/>
      <c r="BX258" s="1023"/>
      <c r="BY258" s="1023"/>
      <c r="BZ258" s="1023"/>
      <c r="CA258" s="1023"/>
      <c r="CB258" s="1023"/>
      <c r="CC258" s="1023"/>
    </row>
    <row r="259" spans="1:81" ht="13">
      <c r="A259" s="985" t="s">
        <v>1639</v>
      </c>
      <c r="B259" s="985" t="s">
        <v>1640</v>
      </c>
      <c r="C259" s="1009"/>
      <c r="D259" s="940"/>
      <c r="E259" s="1057"/>
      <c r="F259" s="1023"/>
      <c r="G259" s="1023"/>
      <c r="H259" s="1023"/>
      <c r="I259" s="1023"/>
      <c r="J259" s="1023"/>
      <c r="K259" s="1023"/>
      <c r="L259" s="1023"/>
      <c r="M259" s="1023"/>
      <c r="N259" s="1023"/>
      <c r="O259" s="1023"/>
      <c r="P259" s="1023"/>
      <c r="Q259" s="1023"/>
      <c r="R259" s="1023"/>
      <c r="S259" s="1023"/>
      <c r="T259" s="1023"/>
      <c r="U259" s="1023"/>
      <c r="V259" s="1023"/>
      <c r="W259" s="1023"/>
      <c r="X259" s="1023"/>
      <c r="Y259" s="1023"/>
      <c r="Z259" s="1023"/>
      <c r="AA259" s="1023"/>
      <c r="AB259" s="1023"/>
      <c r="AC259" s="1023"/>
      <c r="AD259" s="1023"/>
      <c r="AE259" s="1023"/>
      <c r="AF259" s="1023"/>
      <c r="AG259" s="1023"/>
      <c r="AH259" s="1031" t="s">
        <v>1577</v>
      </c>
      <c r="AI259" s="1023"/>
      <c r="AJ259" s="940"/>
      <c r="AK259" s="1023"/>
      <c r="AL259" s="1023"/>
      <c r="AM259" s="1023"/>
      <c r="AN259" s="1058"/>
      <c r="AO259" s="1023"/>
      <c r="AP259" s="1059"/>
      <c r="AQ259" s="1059"/>
      <c r="AR259" s="1060"/>
      <c r="AS259" s="1060"/>
      <c r="AT259" s="1060"/>
      <c r="AU259" s="1059"/>
      <c r="AV259" s="1059"/>
      <c r="AW259" s="1059"/>
      <c r="AX259" s="1059"/>
      <c r="AY259" s="1059"/>
      <c r="AZ259" s="1059"/>
      <c r="BA259" s="1059"/>
      <c r="BB259" s="1059"/>
      <c r="BC259" s="1059"/>
      <c r="BD259" s="1061"/>
      <c r="BE259" s="1061"/>
      <c r="BF259" s="1061"/>
      <c r="BG259" s="1061"/>
      <c r="BH259" s="1061"/>
      <c r="BI259" s="1059"/>
      <c r="BJ259" s="1059"/>
      <c r="BK259" s="1059"/>
      <c r="BL259" s="1059"/>
      <c r="BM259" s="1059"/>
      <c r="BN259" s="1059"/>
      <c r="BO259" s="1059"/>
      <c r="BP259" s="1059"/>
      <c r="BQ259" s="1059"/>
      <c r="BR259" s="1059"/>
      <c r="BS259" s="1059"/>
      <c r="BT259" s="1059"/>
      <c r="BU259" s="1059"/>
      <c r="BV259" s="1059"/>
      <c r="BW259" s="1059"/>
      <c r="BX259" s="1059"/>
      <c r="BY259" s="1059"/>
      <c r="BZ259" s="1059"/>
      <c r="CA259" s="1059"/>
      <c r="CB259" s="1059"/>
      <c r="CC259" s="1059"/>
    </row>
    <row r="260" spans="1:81" ht="14.25" customHeight="1">
      <c r="A260" s="1031"/>
      <c r="AI260" s="941"/>
      <c r="AJ260" s="940"/>
      <c r="AK260" s="1023"/>
      <c r="AL260" s="1023"/>
      <c r="AM260" s="1023"/>
      <c r="AN260" s="1058"/>
      <c r="AO260" s="1023"/>
      <c r="AP260" s="1059"/>
      <c r="AQ260" s="1059"/>
      <c r="AR260" s="1060"/>
      <c r="AS260" s="1060"/>
      <c r="AT260" s="1060"/>
      <c r="AU260" s="1059"/>
      <c r="AV260" s="1059"/>
      <c r="AW260" s="1059"/>
      <c r="AX260" s="1059"/>
      <c r="AY260" s="1059"/>
      <c r="AZ260" s="1059"/>
      <c r="BA260" s="1059"/>
      <c r="BB260" s="1059"/>
      <c r="BC260" s="1059"/>
      <c r="BD260" s="1061"/>
      <c r="BE260" s="1061"/>
      <c r="BF260" s="1061"/>
      <c r="BG260" s="1061"/>
      <c r="BH260" s="1061"/>
      <c r="BI260" s="1059"/>
      <c r="BJ260" s="1059"/>
      <c r="BK260" s="1059"/>
      <c r="BL260" s="1059"/>
      <c r="BM260" s="1059"/>
      <c r="BN260" s="1059"/>
      <c r="BO260" s="1059"/>
      <c r="BP260" s="1059"/>
      <c r="BQ260" s="1059"/>
      <c r="BR260" s="1059"/>
      <c r="BS260" s="1059"/>
      <c r="BT260" s="1059"/>
      <c r="BU260" s="1059"/>
      <c r="BV260" s="1059"/>
      <c r="BW260" s="1059"/>
      <c r="BX260" s="1059"/>
      <c r="BY260" s="1059"/>
      <c r="BZ260" s="1059"/>
      <c r="CA260" s="1059"/>
      <c r="CB260" s="1059"/>
      <c r="CC260" s="1059"/>
    </row>
    <row r="261" spans="1:81" ht="13.75" customHeight="1">
      <c r="A261" s="1057"/>
      <c r="B261" s="1062"/>
      <c r="C261" s="3097" t="s">
        <v>576</v>
      </c>
      <c r="D261" s="3097"/>
      <c r="E261" s="937"/>
      <c r="F261" s="3268" t="s">
        <v>2330</v>
      </c>
      <c r="G261" s="3269"/>
      <c r="H261" s="3269"/>
      <c r="I261" s="3269"/>
      <c r="J261" s="3269"/>
      <c r="K261" s="3269"/>
      <c r="L261" s="3269"/>
      <c r="M261" s="3269"/>
      <c r="N261" s="3269"/>
      <c r="O261" s="3269"/>
      <c r="P261" s="3269"/>
      <c r="Q261" s="3269"/>
      <c r="R261" s="3269"/>
      <c r="S261" s="3269"/>
      <c r="T261" s="3269"/>
      <c r="U261" s="3269"/>
      <c r="V261" s="3269"/>
      <c r="W261" s="3269"/>
      <c r="X261" s="3269"/>
      <c r="Y261" s="3269"/>
      <c r="Z261" s="3269"/>
      <c r="AA261" s="3269"/>
      <c r="AB261" s="3269"/>
      <c r="AC261" s="3269"/>
      <c r="AD261" s="3270"/>
      <c r="AE261" s="940"/>
      <c r="AF261" s="1063"/>
      <c r="AG261" s="3098" t="s">
        <v>1626</v>
      </c>
      <c r="AH261" s="3098"/>
      <c r="AI261" s="3098"/>
      <c r="AJ261" s="3098"/>
      <c r="AK261" s="1023"/>
      <c r="AL261" s="1023"/>
      <c r="AM261" s="1023"/>
      <c r="AN261" s="1058"/>
      <c r="AO261" s="940"/>
      <c r="AS261" s="21"/>
      <c r="AT261" s="21"/>
    </row>
    <row r="262" spans="1:81" ht="13.75" customHeight="1">
      <c r="A262" s="1057"/>
      <c r="B262" s="1062"/>
      <c r="C262" s="1064"/>
      <c r="D262" s="940"/>
      <c r="E262" s="937"/>
      <c r="F262" s="3271"/>
      <c r="G262" s="3272"/>
      <c r="H262" s="3272"/>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72"/>
      <c r="AD262" s="3273"/>
      <c r="AE262" s="940"/>
      <c r="AF262" s="1063"/>
      <c r="AG262" s="1063"/>
      <c r="AH262" s="1063"/>
      <c r="AI262" s="1063"/>
      <c r="AJ262" s="940"/>
      <c r="AK262" s="1023"/>
      <c r="AL262" s="1023"/>
      <c r="AM262" s="1023"/>
      <c r="AN262" s="1058"/>
      <c r="AO262" s="940"/>
      <c r="AS262" s="21"/>
      <c r="AT262" s="21"/>
    </row>
    <row r="263" spans="1:81">
      <c r="A263" s="1057"/>
      <c r="B263" s="1062"/>
      <c r="C263" s="1064"/>
      <c r="D263" s="940"/>
      <c r="E263" s="937"/>
      <c r="F263" s="3271"/>
      <c r="G263" s="3272"/>
      <c r="H263" s="3272"/>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72"/>
      <c r="AD263" s="3273"/>
      <c r="AE263" s="940"/>
      <c r="AF263" s="1063"/>
      <c r="AG263" s="1063"/>
      <c r="AH263" s="1063"/>
      <c r="AI263" s="1063"/>
      <c r="AJ263" s="940"/>
      <c r="AK263" s="1023"/>
      <c r="AL263" s="1023"/>
      <c r="AM263" s="1023"/>
      <c r="AN263" s="1058"/>
      <c r="AO263" s="940"/>
      <c r="AP263" s="1065"/>
      <c r="AS263" s="21"/>
      <c r="AT263" s="21"/>
    </row>
    <row r="264" spans="1:81" ht="13.75" customHeight="1">
      <c r="A264" s="1057"/>
      <c r="B264" s="1062"/>
      <c r="C264" s="3099"/>
      <c r="D264" s="3099"/>
      <c r="E264" s="937"/>
      <c r="F264" s="3274"/>
      <c r="G264" s="3275"/>
      <c r="H264" s="3275"/>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75"/>
      <c r="AD264" s="3276"/>
      <c r="AE264" s="940"/>
      <c r="AF264" s="1063"/>
      <c r="AG264" s="3098"/>
      <c r="AH264" s="3098"/>
      <c r="AI264" s="3098"/>
      <c r="AJ264" s="3098"/>
      <c r="AK264" s="1023"/>
      <c r="AL264" s="1023"/>
      <c r="AM264" s="1023"/>
      <c r="AN264" s="1058"/>
      <c r="AS264" s="21"/>
      <c r="AT264" s="21"/>
    </row>
    <row r="265" spans="1:81" ht="13.75" hidden="1" customHeight="1">
      <c r="A265" s="1057"/>
      <c r="C265" s="1066"/>
      <c r="D265" s="1066"/>
      <c r="E265" s="1066"/>
      <c r="F265" s="1732"/>
      <c r="G265" s="1733"/>
      <c r="H265" s="1733"/>
      <c r="I265" s="1733"/>
      <c r="J265" s="1733"/>
      <c r="K265" s="1733"/>
      <c r="L265" s="1733"/>
      <c r="M265" s="1733"/>
      <c r="N265" s="1733"/>
      <c r="O265" s="1733"/>
      <c r="P265" s="1733"/>
      <c r="Q265" s="1733"/>
      <c r="R265" s="1733"/>
      <c r="S265" s="1733"/>
      <c r="T265" s="1733"/>
      <c r="U265" s="1733"/>
      <c r="V265" s="1733"/>
      <c r="W265" s="1733"/>
      <c r="X265" s="1733"/>
      <c r="Y265" s="1733"/>
      <c r="Z265" s="1733"/>
      <c r="AA265" s="1733"/>
      <c r="AB265" s="1733"/>
      <c r="AC265" s="1733"/>
      <c r="AD265" s="1734"/>
      <c r="AE265" s="1066"/>
      <c r="AF265" s="1066"/>
      <c r="AG265" s="1066"/>
      <c r="AH265" s="1066"/>
      <c r="AI265" s="1063"/>
      <c r="AJ265" s="940"/>
      <c r="AK265" s="1023"/>
      <c r="AL265" s="1023"/>
      <c r="AM265" s="1023"/>
      <c r="AN265" s="1058"/>
      <c r="AQ265" s="21"/>
      <c r="AR265" s="21"/>
      <c r="AS265" s="21"/>
      <c r="AT265" s="21"/>
    </row>
    <row r="266" spans="1:81">
      <c r="A266" s="1067"/>
      <c r="B266" s="1066"/>
      <c r="C266" s="1066"/>
      <c r="D266" s="1066"/>
      <c r="E266" s="1066"/>
      <c r="F266" s="1066"/>
      <c r="G266" s="1066"/>
      <c r="H266" s="1066"/>
      <c r="I266" s="1066"/>
      <c r="J266" s="1066"/>
      <c r="K266" s="1066"/>
      <c r="L266" s="1066"/>
      <c r="M266" s="1066"/>
      <c r="N266" s="1066"/>
      <c r="O266" s="1066"/>
      <c r="P266" s="1066"/>
      <c r="Q266" s="1066"/>
      <c r="R266" s="1066"/>
      <c r="S266" s="1066"/>
      <c r="T266" s="1066"/>
      <c r="U266" s="1066"/>
      <c r="V266" s="1066"/>
      <c r="W266" s="1066"/>
      <c r="X266" s="1066"/>
      <c r="Y266" s="1066"/>
      <c r="Z266" s="1066"/>
      <c r="AA266" s="1066"/>
      <c r="AB266" s="1066"/>
      <c r="AC266" s="1066"/>
      <c r="AD266" s="1066"/>
      <c r="AE266" s="1066"/>
      <c r="AF266" s="1066"/>
      <c r="AG266" s="1066"/>
      <c r="AH266" s="1066"/>
      <c r="AI266" s="1066"/>
      <c r="AJ266" s="1066"/>
      <c r="AK266" s="1066"/>
      <c r="AL266" s="1023"/>
      <c r="AM266" s="1023"/>
      <c r="AN266" s="110"/>
      <c r="AR266" s="21"/>
    </row>
    <row r="267" spans="1:81" ht="13">
      <c r="A267" s="1068"/>
      <c r="B267" s="955"/>
      <c r="C267" s="1015"/>
      <c r="D267" s="1015"/>
      <c r="E267" s="955"/>
      <c r="F267" s="1015"/>
      <c r="G267" s="1015"/>
      <c r="H267" s="1015"/>
      <c r="I267" s="1015"/>
      <c r="J267" s="1015"/>
      <c r="K267" s="1015"/>
      <c r="L267" s="1015"/>
      <c r="M267" s="1015"/>
      <c r="N267" s="1015"/>
      <c r="O267" s="1015"/>
      <c r="P267" s="1015"/>
      <c r="Q267" s="1015"/>
      <c r="R267" s="1015"/>
      <c r="S267" s="1015"/>
      <c r="T267" s="1015"/>
      <c r="U267" s="1015"/>
      <c r="V267" s="1015"/>
      <c r="W267" s="1015"/>
      <c r="X267" s="1015"/>
      <c r="Y267" s="1015"/>
      <c r="Z267" s="1015"/>
      <c r="AA267" s="1015"/>
      <c r="AB267" s="1015"/>
      <c r="AC267" s="1015"/>
      <c r="AD267" s="1015"/>
      <c r="AE267" s="1015"/>
      <c r="AF267" s="1015"/>
      <c r="AG267" s="1015"/>
      <c r="AH267" s="1015"/>
      <c r="AI267" s="956"/>
      <c r="AJ267" s="956" t="s">
        <v>1642</v>
      </c>
      <c r="AK267" s="3105">
        <f>IF($C$261="yes",10,0)</f>
        <v>10</v>
      </c>
      <c r="AL267" s="3105"/>
      <c r="AM267" s="3106"/>
      <c r="AN267" s="110"/>
      <c r="AR267" s="21"/>
    </row>
    <row r="268" spans="1:81" ht="13" thickBot="1"/>
    <row r="269" spans="1:81" ht="13" thickTop="1">
      <c r="A269" s="1069"/>
      <c r="B269" s="1069"/>
      <c r="C269" s="1069"/>
      <c r="D269" s="1069"/>
      <c r="E269" s="1069"/>
      <c r="F269" s="1069"/>
      <c r="G269" s="1069"/>
      <c r="H269" s="1069"/>
      <c r="I269" s="1069"/>
      <c r="J269" s="1069"/>
      <c r="K269" s="1069"/>
      <c r="L269" s="1069"/>
      <c r="M269" s="1069"/>
      <c r="N269" s="1069"/>
      <c r="O269" s="1069"/>
      <c r="P269" s="1069"/>
      <c r="Q269" s="1069"/>
      <c r="R269" s="1069"/>
      <c r="S269" s="1069"/>
      <c r="T269" s="1069"/>
      <c r="U269" s="1069"/>
      <c r="V269" s="1069"/>
      <c r="W269" s="1069"/>
      <c r="X269" s="1069"/>
      <c r="Y269" s="1069"/>
      <c r="Z269" s="1069"/>
      <c r="AA269" s="1069"/>
      <c r="AB269" s="1069"/>
      <c r="AC269" s="1069"/>
      <c r="AD269" s="1069"/>
      <c r="AE269" s="1069"/>
      <c r="AF269" s="1069"/>
      <c r="AG269" s="1069"/>
      <c r="AH269" s="1069"/>
      <c r="AI269" s="1069"/>
      <c r="AJ269" s="1069"/>
      <c r="AK269" s="1069"/>
      <c r="AL269" s="1069"/>
      <c r="AM269" s="1070"/>
    </row>
    <row r="270" spans="1:81" ht="13">
      <c r="A270" s="985" t="s">
        <v>1643</v>
      </c>
      <c r="B270" s="985" t="s">
        <v>2296</v>
      </c>
      <c r="AH270" s="1031" t="s">
        <v>1556</v>
      </c>
    </row>
    <row r="271" spans="1:81" ht="15" customHeight="1">
      <c r="B271" s="929" t="s">
        <v>2295</v>
      </c>
    </row>
    <row r="272" spans="1:81" ht="15" customHeight="1">
      <c r="B272" s="929" t="s">
        <v>2297</v>
      </c>
    </row>
    <row r="273" spans="1:53" ht="13">
      <c r="B273" s="940"/>
      <c r="C273" s="1071"/>
      <c r="D273" s="940"/>
      <c r="E273" s="940"/>
      <c r="F273" s="940"/>
      <c r="G273" s="940"/>
      <c r="H273" s="940"/>
      <c r="I273" s="940"/>
      <c r="J273" s="940"/>
      <c r="K273" s="940"/>
      <c r="L273" s="940"/>
      <c r="M273" s="940"/>
      <c r="N273" s="940"/>
      <c r="O273" s="940"/>
      <c r="P273" s="940"/>
      <c r="Q273" s="940"/>
      <c r="R273" s="940"/>
      <c r="S273" s="940"/>
      <c r="T273" s="940"/>
      <c r="U273" s="940"/>
      <c r="V273" s="940"/>
      <c r="W273" s="940"/>
      <c r="X273" s="940"/>
      <c r="Y273" s="940"/>
      <c r="Z273" s="940"/>
      <c r="AA273" s="940"/>
      <c r="AB273" s="940"/>
      <c r="AC273" s="940"/>
      <c r="AD273" s="940"/>
      <c r="AG273" s="940"/>
      <c r="AI273" s="940"/>
      <c r="AJ273" s="940"/>
      <c r="AK273" s="1023"/>
      <c r="AL273" s="1023"/>
      <c r="AM273" s="1023"/>
      <c r="AN273" s="110"/>
      <c r="AO273" s="51"/>
      <c r="AP273" s="1072"/>
      <c r="AQ273" s="1073"/>
      <c r="AR273" s="1072"/>
      <c r="AS273" s="1072"/>
      <c r="AT273" s="1072"/>
      <c r="AU273" s="1072"/>
      <c r="AV273" s="1074"/>
      <c r="AW273" s="1074"/>
      <c r="AX273" s="112"/>
      <c r="AY273" s="112"/>
      <c r="AZ273" s="112"/>
      <c r="BA273" s="112"/>
    </row>
    <row r="274" spans="1:53" ht="12.75" customHeight="1">
      <c r="A274" s="3126" t="s">
        <v>1645</v>
      </c>
      <c r="B274" s="3126"/>
      <c r="C274" s="3097" t="s">
        <v>624</v>
      </c>
      <c r="D274" s="3097"/>
      <c r="E274" s="937"/>
      <c r="F274" s="3127" t="s">
        <v>1646</v>
      </c>
      <c r="G274" s="3128"/>
      <c r="H274" s="3128"/>
      <c r="I274" s="3128"/>
      <c r="J274" s="3128"/>
      <c r="K274" s="3128"/>
      <c r="L274" s="3128"/>
      <c r="M274" s="3128"/>
      <c r="N274" s="3128"/>
      <c r="O274" s="3128"/>
      <c r="P274" s="3128"/>
      <c r="Q274" s="3128"/>
      <c r="R274" s="3128"/>
      <c r="S274" s="3128"/>
      <c r="T274" s="3128"/>
      <c r="U274" s="3128"/>
      <c r="V274" s="3128"/>
      <c r="W274" s="3128"/>
      <c r="X274" s="3128"/>
      <c r="Y274" s="3128"/>
      <c r="Z274" s="3128"/>
      <c r="AA274" s="3128"/>
      <c r="AB274" s="3128"/>
      <c r="AC274" s="3128"/>
      <c r="AD274" s="3129"/>
      <c r="AE274" s="1075"/>
      <c r="AF274" s="940"/>
      <c r="AG274" s="983" t="s">
        <v>1647</v>
      </c>
      <c r="AH274" s="940"/>
      <c r="AI274" s="940"/>
      <c r="AJ274" s="940"/>
      <c r="AK274" s="1023"/>
      <c r="AL274" s="1023"/>
      <c r="AM274" s="1023"/>
      <c r="AN274" s="110"/>
      <c r="AO274" s="51"/>
      <c r="AP274" s="126"/>
      <c r="AS274" s="1072"/>
      <c r="AT274" s="1072"/>
      <c r="AU274" s="1072"/>
      <c r="AV274" s="1074"/>
      <c r="AW274" s="1074"/>
      <c r="AX274" s="112"/>
      <c r="AY274" s="112"/>
      <c r="AZ274" s="112"/>
      <c r="BA274" s="112"/>
    </row>
    <row r="275" spans="1:53" ht="13">
      <c r="A275" s="1071"/>
      <c r="B275" s="1062"/>
      <c r="F275" s="3120"/>
      <c r="G275" s="3121"/>
      <c r="H275" s="3121"/>
      <c r="I275" s="3121"/>
      <c r="J275" s="3121"/>
      <c r="K275" s="3121"/>
      <c r="L275" s="3121"/>
      <c r="M275" s="3121"/>
      <c r="N275" s="3121"/>
      <c r="O275" s="3121"/>
      <c r="P275" s="3121"/>
      <c r="Q275" s="3121"/>
      <c r="R275" s="3121"/>
      <c r="S275" s="3121"/>
      <c r="T275" s="3121"/>
      <c r="U275" s="3121"/>
      <c r="V275" s="3121"/>
      <c r="W275" s="3121"/>
      <c r="X275" s="3121"/>
      <c r="Y275" s="3121"/>
      <c r="Z275" s="3121"/>
      <c r="AA275" s="3121"/>
      <c r="AB275" s="3121"/>
      <c r="AC275" s="3121"/>
      <c r="AD275" s="3122"/>
      <c r="AE275" s="1075"/>
      <c r="AF275" s="941"/>
      <c r="AH275" s="941"/>
      <c r="AI275" s="941"/>
      <c r="AJ275" s="940"/>
      <c r="AK275" s="1023"/>
      <c r="AL275" s="1023"/>
      <c r="AM275" s="1023"/>
      <c r="AN275" s="110"/>
      <c r="AO275" s="51"/>
      <c r="AP275" s="940">
        <f>IF($C$274="yes",20,0)</f>
        <v>0</v>
      </c>
      <c r="AR275" s="21"/>
      <c r="AS275" s="1072"/>
      <c r="AT275" s="1072"/>
      <c r="AU275" s="1072"/>
      <c r="AV275" s="1074"/>
      <c r="AW275" s="1074"/>
      <c r="AX275" s="112"/>
      <c r="AY275" s="112"/>
      <c r="AZ275" s="112"/>
      <c r="BA275" s="112"/>
    </row>
    <row r="276" spans="1:53" ht="15" customHeight="1">
      <c r="A276" s="1071"/>
      <c r="B276" s="1062"/>
      <c r="F276" s="3120"/>
      <c r="G276" s="3121"/>
      <c r="H276" s="3121"/>
      <c r="I276" s="3121"/>
      <c r="J276" s="3121"/>
      <c r="K276" s="3121"/>
      <c r="L276" s="3121"/>
      <c r="M276" s="3121"/>
      <c r="N276" s="3121"/>
      <c r="O276" s="3121"/>
      <c r="P276" s="3121"/>
      <c r="Q276" s="3121"/>
      <c r="R276" s="3121"/>
      <c r="S276" s="3121"/>
      <c r="T276" s="3121"/>
      <c r="U276" s="3121"/>
      <c r="V276" s="3121"/>
      <c r="W276" s="3121"/>
      <c r="X276" s="3121"/>
      <c r="Y276" s="3121"/>
      <c r="Z276" s="3121"/>
      <c r="AA276" s="3121"/>
      <c r="AB276" s="3121"/>
      <c r="AC276" s="3121"/>
      <c r="AD276" s="3122"/>
      <c r="AE276" s="1075"/>
      <c r="AF276" s="941"/>
      <c r="AH276" s="941"/>
      <c r="AI276" s="941"/>
      <c r="AJ276" s="940"/>
      <c r="AK276" s="1023"/>
      <c r="AL276" s="1023"/>
      <c r="AM276" s="1023"/>
      <c r="AN276" s="110"/>
      <c r="AO276" s="51"/>
      <c r="AP276" s="940">
        <f>IF($C$284="yes",9,0)</f>
        <v>0</v>
      </c>
      <c r="AR276" s="21"/>
      <c r="AS276" s="1072"/>
      <c r="AT276" s="1072"/>
      <c r="AU276" s="1072"/>
      <c r="AV276" s="1074"/>
      <c r="AW276" s="1074"/>
      <c r="AX276" s="112"/>
      <c r="AY276" s="112"/>
      <c r="AZ276" s="112"/>
      <c r="BA276" s="112"/>
    </row>
    <row r="277" spans="1:53" ht="12.75" customHeight="1">
      <c r="A277" s="1071"/>
      <c r="B277" s="1062"/>
      <c r="F277" s="3120" t="s">
        <v>1648</v>
      </c>
      <c r="G277" s="3121"/>
      <c r="H277" s="3121"/>
      <c r="I277" s="3121"/>
      <c r="J277" s="3121"/>
      <c r="K277" s="3121"/>
      <c r="L277" s="3121"/>
      <c r="M277" s="3121"/>
      <c r="N277" s="3121"/>
      <c r="O277" s="3121"/>
      <c r="P277" s="3121"/>
      <c r="Q277" s="3121"/>
      <c r="R277" s="3121"/>
      <c r="S277" s="3121"/>
      <c r="T277" s="3121"/>
      <c r="U277" s="3121"/>
      <c r="V277" s="3121"/>
      <c r="W277" s="3121"/>
      <c r="X277" s="3121"/>
      <c r="Y277" s="3121"/>
      <c r="Z277" s="3121"/>
      <c r="AA277" s="3121"/>
      <c r="AB277" s="3121"/>
      <c r="AC277" s="3121"/>
      <c r="AD277" s="3122"/>
      <c r="AE277" s="1075"/>
      <c r="AF277" s="941"/>
      <c r="AH277" s="941"/>
      <c r="AI277" s="941"/>
      <c r="AJ277" s="940"/>
      <c r="AK277" s="1023"/>
      <c r="AL277" s="1023"/>
      <c r="AM277" s="1023"/>
      <c r="AN277" s="110"/>
      <c r="AO277" s="51"/>
      <c r="AP277" s="940">
        <f>IF($C$292="yes",9,0)</f>
        <v>0</v>
      </c>
      <c r="AQ277" s="21"/>
      <c r="AR277" s="21"/>
      <c r="AS277" s="1072"/>
      <c r="AT277" s="1072"/>
      <c r="AU277" s="1072"/>
      <c r="AV277" s="1074"/>
      <c r="AW277" s="1074"/>
      <c r="AX277" s="112"/>
      <c r="AY277" s="112"/>
      <c r="AZ277" s="112"/>
      <c r="BA277" s="112"/>
    </row>
    <row r="278" spans="1:53" ht="13">
      <c r="A278" s="1071"/>
      <c r="B278" s="1062"/>
      <c r="F278" s="3120"/>
      <c r="G278" s="3121"/>
      <c r="H278" s="3121"/>
      <c r="I278" s="3121"/>
      <c r="J278" s="3121"/>
      <c r="K278" s="3121"/>
      <c r="L278" s="3121"/>
      <c r="M278" s="3121"/>
      <c r="N278" s="3121"/>
      <c r="O278" s="3121"/>
      <c r="P278" s="3121"/>
      <c r="Q278" s="3121"/>
      <c r="R278" s="3121"/>
      <c r="S278" s="3121"/>
      <c r="T278" s="3121"/>
      <c r="U278" s="3121"/>
      <c r="V278" s="3121"/>
      <c r="W278" s="3121"/>
      <c r="X278" s="3121"/>
      <c r="Y278" s="3121"/>
      <c r="Z278" s="3121"/>
      <c r="AA278" s="3121"/>
      <c r="AB278" s="3121"/>
      <c r="AC278" s="3121"/>
      <c r="AD278" s="3122"/>
      <c r="AE278" s="1075"/>
      <c r="AF278" s="941"/>
      <c r="AH278" s="941"/>
      <c r="AI278" s="941"/>
      <c r="AJ278" s="940"/>
      <c r="AK278" s="1023"/>
      <c r="AL278" s="1023"/>
      <c r="AM278" s="1023"/>
      <c r="AN278" s="110"/>
      <c r="AO278" s="51"/>
      <c r="AP278" s="940">
        <f>IF($C$315="yes",9,0)</f>
        <v>9</v>
      </c>
      <c r="AR278" s="21"/>
      <c r="AS278" s="1072"/>
      <c r="AT278" s="1072"/>
      <c r="AU278" s="1072"/>
      <c r="AV278" s="1074"/>
      <c r="AW278" s="1074"/>
      <c r="AX278" s="112"/>
      <c r="AY278" s="112"/>
      <c r="AZ278" s="112"/>
      <c r="BA278" s="112"/>
    </row>
    <row r="279" spans="1:53" ht="12.75" customHeight="1">
      <c r="A279" s="1057"/>
      <c r="B279" s="941"/>
      <c r="C279" s="940"/>
      <c r="D279" s="941"/>
      <c r="E279" s="940"/>
      <c r="F279" s="3120" t="s">
        <v>1649</v>
      </c>
      <c r="G279" s="3121"/>
      <c r="H279" s="3121"/>
      <c r="I279" s="3121"/>
      <c r="J279" s="3121"/>
      <c r="K279" s="3121"/>
      <c r="L279" s="3121"/>
      <c r="M279" s="3121"/>
      <c r="N279" s="3121"/>
      <c r="O279" s="3121"/>
      <c r="P279" s="3121"/>
      <c r="Q279" s="3121"/>
      <c r="R279" s="3121"/>
      <c r="S279" s="3121"/>
      <c r="T279" s="3121"/>
      <c r="U279" s="3121"/>
      <c r="V279" s="3121"/>
      <c r="W279" s="3121"/>
      <c r="X279" s="3121"/>
      <c r="Y279" s="3121"/>
      <c r="Z279" s="3121"/>
      <c r="AA279" s="3121"/>
      <c r="AB279" s="3121"/>
      <c r="AC279" s="3121"/>
      <c r="AD279" s="3122"/>
      <c r="AE279" s="1075"/>
      <c r="AF279" s="941"/>
      <c r="AG279" s="941"/>
      <c r="AH279" s="941"/>
      <c r="AI279" s="941"/>
      <c r="AJ279" s="940"/>
      <c r="AK279" s="1023"/>
      <c r="AL279" s="1023"/>
      <c r="AM279" s="1023"/>
      <c r="AN279" s="110"/>
      <c r="AO279" s="51"/>
      <c r="AP279" s="1076">
        <f>MAX(AP275,AP276,AP277,AP278)</f>
        <v>9</v>
      </c>
      <c r="AQ279" s="965" t="s">
        <v>1579</v>
      </c>
      <c r="AR279" s="21"/>
      <c r="AS279" s="1072"/>
      <c r="AT279" s="1072"/>
      <c r="AU279" s="1072"/>
      <c r="AV279" s="1074"/>
      <c r="AW279" s="1074"/>
      <c r="AX279" s="112"/>
      <c r="AY279" s="112"/>
      <c r="AZ279" s="112"/>
      <c r="BA279" s="112"/>
    </row>
    <row r="280" spans="1:53" ht="15" customHeight="1">
      <c r="A280" s="1057"/>
      <c r="B280" s="941"/>
      <c r="C280" s="941"/>
      <c r="D280" s="941"/>
      <c r="E280" s="941"/>
      <c r="F280" s="3120"/>
      <c r="G280" s="3121"/>
      <c r="H280" s="3121"/>
      <c r="I280" s="3121"/>
      <c r="J280" s="3121"/>
      <c r="K280" s="3121"/>
      <c r="L280" s="3121"/>
      <c r="M280" s="3121"/>
      <c r="N280" s="3121"/>
      <c r="O280" s="3121"/>
      <c r="P280" s="3121"/>
      <c r="Q280" s="3121"/>
      <c r="R280" s="3121"/>
      <c r="S280" s="3121"/>
      <c r="T280" s="3121"/>
      <c r="U280" s="3121"/>
      <c r="V280" s="3121"/>
      <c r="W280" s="3121"/>
      <c r="X280" s="3121"/>
      <c r="Y280" s="3121"/>
      <c r="Z280" s="3121"/>
      <c r="AA280" s="3121"/>
      <c r="AB280" s="3121"/>
      <c r="AC280" s="3121"/>
      <c r="AD280" s="3122"/>
      <c r="AE280" s="1075"/>
      <c r="AF280" s="941"/>
      <c r="AG280" s="941"/>
      <c r="AH280" s="941"/>
      <c r="AI280" s="941"/>
      <c r="AJ280" s="940"/>
      <c r="AK280" s="1023"/>
      <c r="AL280" s="1023"/>
      <c r="AM280" s="1023"/>
      <c r="AN280" s="110"/>
      <c r="AO280" s="51"/>
      <c r="AR280" s="21"/>
      <c r="AS280" s="1072"/>
      <c r="AT280" s="1072"/>
      <c r="AU280" s="1072"/>
      <c r="AV280" s="1074"/>
      <c r="AW280" s="1074"/>
      <c r="AX280" s="112"/>
      <c r="AY280" s="112"/>
      <c r="AZ280" s="112"/>
      <c r="BA280" s="112"/>
    </row>
    <row r="281" spans="1:53" ht="12.75" customHeight="1">
      <c r="A281" s="1057"/>
      <c r="B281" s="941"/>
      <c r="C281" s="941"/>
      <c r="D281" s="941"/>
      <c r="E281" s="941"/>
      <c r="F281" s="3120" t="s">
        <v>1650</v>
      </c>
      <c r="G281" s="3121"/>
      <c r="H281" s="3121"/>
      <c r="I281" s="3121"/>
      <c r="J281" s="3121"/>
      <c r="K281" s="3121"/>
      <c r="L281" s="3121"/>
      <c r="M281" s="3121"/>
      <c r="N281" s="3121"/>
      <c r="O281" s="3121"/>
      <c r="P281" s="3121"/>
      <c r="Q281" s="3121"/>
      <c r="R281" s="3121"/>
      <c r="S281" s="3121"/>
      <c r="T281" s="3121"/>
      <c r="U281" s="3121"/>
      <c r="V281" s="3121"/>
      <c r="W281" s="3121"/>
      <c r="X281" s="3121"/>
      <c r="Y281" s="3121"/>
      <c r="Z281" s="3121"/>
      <c r="AA281" s="3121"/>
      <c r="AB281" s="3121"/>
      <c r="AC281" s="3121"/>
      <c r="AD281" s="3122"/>
      <c r="AE281" s="1077"/>
      <c r="AF281" s="941"/>
      <c r="AG281" s="941"/>
      <c r="AH281" s="941"/>
      <c r="AI281" s="941"/>
      <c r="AJ281" s="940"/>
      <c r="AK281" s="1023"/>
      <c r="AL281" s="1023"/>
      <c r="AM281" s="1023"/>
      <c r="AN281" s="110"/>
      <c r="AO281" s="51"/>
      <c r="AP281" s="940"/>
      <c r="AR281" s="21"/>
      <c r="AS281" s="1072"/>
      <c r="AT281" s="1072"/>
      <c r="AU281" s="1072"/>
      <c r="AV281" s="1074"/>
      <c r="AW281" s="1074"/>
      <c r="AX281" s="112"/>
      <c r="AY281" s="112"/>
      <c r="AZ281" s="112"/>
      <c r="BA281" s="112"/>
    </row>
    <row r="282" spans="1:53">
      <c r="A282" s="1057"/>
      <c r="B282" s="941"/>
      <c r="C282" s="941"/>
      <c r="D282" s="941"/>
      <c r="E282" s="941"/>
      <c r="F282" s="3123"/>
      <c r="G282" s="3124"/>
      <c r="H282" s="3124"/>
      <c r="I282" s="3124"/>
      <c r="J282" s="3124"/>
      <c r="K282" s="3124"/>
      <c r="L282" s="3124"/>
      <c r="M282" s="3124"/>
      <c r="N282" s="3124"/>
      <c r="O282" s="3124"/>
      <c r="P282" s="3124"/>
      <c r="Q282" s="3124"/>
      <c r="R282" s="3124"/>
      <c r="S282" s="3124"/>
      <c r="T282" s="3124"/>
      <c r="U282" s="3124"/>
      <c r="V282" s="3124"/>
      <c r="W282" s="3124"/>
      <c r="X282" s="3124"/>
      <c r="Y282" s="3124"/>
      <c r="Z282" s="3124"/>
      <c r="AA282" s="3124"/>
      <c r="AB282" s="3124"/>
      <c r="AC282" s="3124"/>
      <c r="AD282" s="3125"/>
      <c r="AE282" s="1077"/>
      <c r="AF282" s="941"/>
      <c r="AG282" s="941"/>
      <c r="AH282" s="941"/>
      <c r="AI282" s="941"/>
      <c r="AJ282" s="940"/>
      <c r="AK282" s="1023"/>
      <c r="AL282" s="1023"/>
      <c r="AM282" s="1023"/>
      <c r="AN282" s="110"/>
      <c r="AO282" s="51"/>
      <c r="AP282" s="940"/>
      <c r="AR282" s="21"/>
      <c r="AS282" s="1072"/>
      <c r="AT282" s="1072"/>
      <c r="AU282" s="1072"/>
      <c r="AV282" s="1074"/>
      <c r="AW282" s="1074"/>
      <c r="AX282" s="112"/>
      <c r="AY282" s="112"/>
      <c r="AZ282" s="112"/>
      <c r="BA282" s="112"/>
    </row>
    <row r="283" spans="1:53">
      <c r="A283" s="1057"/>
      <c r="B283" s="941"/>
      <c r="C283" s="941"/>
      <c r="D283" s="941"/>
      <c r="E283" s="941"/>
      <c r="F283" s="1077"/>
      <c r="G283" s="1077"/>
      <c r="H283" s="1077"/>
      <c r="I283" s="1077"/>
      <c r="J283" s="1077"/>
      <c r="K283" s="1077"/>
      <c r="L283" s="1077"/>
      <c r="M283" s="1077"/>
      <c r="N283" s="1077"/>
      <c r="O283" s="1077"/>
      <c r="P283" s="1077"/>
      <c r="Q283" s="1077"/>
      <c r="R283" s="1077"/>
      <c r="S283" s="1077"/>
      <c r="T283" s="1077"/>
      <c r="U283" s="1077"/>
      <c r="V283" s="1077"/>
      <c r="W283" s="1077"/>
      <c r="X283" s="1077"/>
      <c r="Y283" s="1077"/>
      <c r="Z283" s="1077"/>
      <c r="AA283" s="1077"/>
      <c r="AB283" s="1077"/>
      <c r="AC283" s="1077"/>
      <c r="AD283" s="1077"/>
      <c r="AE283" s="941"/>
      <c r="AF283" s="941"/>
      <c r="AG283" s="941"/>
      <c r="AH283" s="941"/>
      <c r="AI283" s="941"/>
      <c r="AJ283" s="940"/>
      <c r="AK283" s="1023"/>
      <c r="AL283" s="1023"/>
      <c r="AM283" s="1023"/>
      <c r="AN283" s="110"/>
      <c r="AO283" s="51"/>
      <c r="AR283" s="21"/>
      <c r="AS283" s="1078"/>
      <c r="AT283" s="1078"/>
      <c r="AU283" s="1078"/>
      <c r="AV283" s="54"/>
      <c r="AW283" s="54"/>
    </row>
    <row r="284" spans="1:53" ht="15" customHeight="1">
      <c r="A284" s="3126" t="s">
        <v>1651</v>
      </c>
      <c r="B284" s="3126"/>
      <c r="C284" s="3097" t="s">
        <v>624</v>
      </c>
      <c r="D284" s="3097"/>
      <c r="E284" s="937"/>
      <c r="F284" s="1079" t="s">
        <v>1652</v>
      </c>
      <c r="G284" s="1080"/>
      <c r="H284" s="1080"/>
      <c r="I284" s="1080"/>
      <c r="J284" s="1080"/>
      <c r="K284" s="1080"/>
      <c r="L284" s="1080"/>
      <c r="M284" s="1080"/>
      <c r="N284" s="1080"/>
      <c r="O284" s="1080"/>
      <c r="P284" s="1080"/>
      <c r="Q284" s="1080"/>
      <c r="R284" s="1080"/>
      <c r="S284" s="1080"/>
      <c r="T284" s="1080"/>
      <c r="U284" s="1080"/>
      <c r="V284" s="1080"/>
      <c r="W284" s="1080"/>
      <c r="X284" s="1080"/>
      <c r="Y284" s="1080"/>
      <c r="Z284" s="1080"/>
      <c r="AA284" s="1080"/>
      <c r="AB284" s="1080"/>
      <c r="AC284" s="1080"/>
      <c r="AD284" s="1081"/>
      <c r="AE284" s="941"/>
      <c r="AF284" s="941"/>
      <c r="AG284" s="983" t="s">
        <v>1653</v>
      </c>
      <c r="AH284" s="941"/>
      <c r="AI284" s="941"/>
      <c r="AJ284" s="940"/>
      <c r="AK284" s="1023"/>
      <c r="AL284" s="1023"/>
      <c r="AM284" s="1023"/>
      <c r="AN284" s="1082"/>
      <c r="AO284" s="51"/>
      <c r="AR284" s="21"/>
    </row>
    <row r="285" spans="1:53">
      <c r="A285" s="1057"/>
      <c r="B285" s="941"/>
      <c r="C285" s="940"/>
      <c r="D285" s="941"/>
      <c r="E285" s="940"/>
      <c r="F285" s="3120" t="s">
        <v>1654</v>
      </c>
      <c r="G285" s="3121"/>
      <c r="H285" s="3121"/>
      <c r="I285" s="3121"/>
      <c r="J285" s="3121"/>
      <c r="K285" s="3121"/>
      <c r="L285" s="3121"/>
      <c r="M285" s="3121"/>
      <c r="N285" s="3121"/>
      <c r="O285" s="3121"/>
      <c r="P285" s="3121"/>
      <c r="Q285" s="3121"/>
      <c r="R285" s="3121"/>
      <c r="S285" s="3121"/>
      <c r="T285" s="3121"/>
      <c r="U285" s="3121"/>
      <c r="V285" s="3121"/>
      <c r="W285" s="3121"/>
      <c r="X285" s="3121"/>
      <c r="Y285" s="3121"/>
      <c r="Z285" s="3121"/>
      <c r="AA285" s="3121"/>
      <c r="AB285" s="3121"/>
      <c r="AC285" s="3121"/>
      <c r="AD285" s="3122"/>
      <c r="AE285" s="941"/>
      <c r="AF285" s="941"/>
      <c r="AG285" s="941"/>
      <c r="AH285" s="941"/>
      <c r="AI285" s="941"/>
      <c r="AJ285" s="940"/>
      <c r="AK285" s="1023"/>
      <c r="AL285" s="1023"/>
      <c r="AM285" s="1023"/>
      <c r="AR285" s="1083"/>
    </row>
    <row r="286" spans="1:53" ht="15" customHeight="1">
      <c r="A286" s="1057"/>
      <c r="B286" s="941"/>
      <c r="C286" s="940"/>
      <c r="D286" s="941"/>
      <c r="E286" s="940"/>
      <c r="F286" s="3120"/>
      <c r="G286" s="3121"/>
      <c r="H286" s="3121"/>
      <c r="I286" s="3121"/>
      <c r="J286" s="3121"/>
      <c r="K286" s="3121"/>
      <c r="L286" s="3121"/>
      <c r="M286" s="3121"/>
      <c r="N286" s="3121"/>
      <c r="O286" s="3121"/>
      <c r="P286" s="3121"/>
      <c r="Q286" s="3121"/>
      <c r="R286" s="3121"/>
      <c r="S286" s="3121"/>
      <c r="T286" s="3121"/>
      <c r="U286" s="3121"/>
      <c r="V286" s="3121"/>
      <c r="W286" s="3121"/>
      <c r="X286" s="3121"/>
      <c r="Y286" s="3121"/>
      <c r="Z286" s="3121"/>
      <c r="AA286" s="3121"/>
      <c r="AB286" s="3121"/>
      <c r="AC286" s="3121"/>
      <c r="AD286" s="3122"/>
      <c r="AE286" s="941"/>
      <c r="AF286" s="941"/>
      <c r="AG286" s="941"/>
      <c r="AH286" s="941"/>
      <c r="AI286" s="941"/>
      <c r="AJ286" s="940"/>
      <c r="AK286" s="1023"/>
      <c r="AL286" s="1023"/>
      <c r="AM286" s="1023"/>
      <c r="AR286" s="1083"/>
    </row>
    <row r="287" spans="1:53">
      <c r="A287" s="1057"/>
      <c r="B287" s="941"/>
      <c r="C287" s="940"/>
      <c r="D287" s="941"/>
      <c r="E287" s="940"/>
      <c r="F287" s="3120" t="s">
        <v>1649</v>
      </c>
      <c r="G287" s="3121"/>
      <c r="H287" s="3121"/>
      <c r="I287" s="3121"/>
      <c r="J287" s="3121"/>
      <c r="K287" s="3121"/>
      <c r="L287" s="3121"/>
      <c r="M287" s="3121"/>
      <c r="N287" s="3121"/>
      <c r="O287" s="3121"/>
      <c r="P287" s="3121"/>
      <c r="Q287" s="3121"/>
      <c r="R287" s="3121"/>
      <c r="S287" s="3121"/>
      <c r="T287" s="3121"/>
      <c r="U287" s="3121"/>
      <c r="V287" s="3121"/>
      <c r="W287" s="3121"/>
      <c r="X287" s="3121"/>
      <c r="Y287" s="3121"/>
      <c r="Z287" s="3121"/>
      <c r="AA287" s="3121"/>
      <c r="AB287" s="3121"/>
      <c r="AC287" s="3121"/>
      <c r="AD287" s="3122"/>
      <c r="AE287" s="941"/>
      <c r="AF287" s="941"/>
      <c r="AG287" s="941"/>
      <c r="AH287" s="941"/>
      <c r="AI287" s="941"/>
      <c r="AJ287" s="940"/>
      <c r="AK287" s="1023"/>
      <c r="AL287" s="1023"/>
      <c r="AM287" s="1023"/>
      <c r="AP287" s="1076"/>
      <c r="AQ287" s="965"/>
      <c r="AR287" s="1083"/>
    </row>
    <row r="288" spans="1:53" ht="15" customHeight="1">
      <c r="A288" s="1057"/>
      <c r="B288" s="941"/>
      <c r="C288" s="940"/>
      <c r="D288" s="941"/>
      <c r="E288" s="940"/>
      <c r="F288" s="3120"/>
      <c r="G288" s="3121"/>
      <c r="H288" s="3121"/>
      <c r="I288" s="3121"/>
      <c r="J288" s="3121"/>
      <c r="K288" s="3121"/>
      <c r="L288" s="3121"/>
      <c r="M288" s="3121"/>
      <c r="N288" s="3121"/>
      <c r="O288" s="3121"/>
      <c r="P288" s="3121"/>
      <c r="Q288" s="3121"/>
      <c r="R288" s="3121"/>
      <c r="S288" s="3121"/>
      <c r="T288" s="3121"/>
      <c r="U288" s="3121"/>
      <c r="V288" s="3121"/>
      <c r="W288" s="3121"/>
      <c r="X288" s="3121"/>
      <c r="Y288" s="3121"/>
      <c r="Z288" s="3121"/>
      <c r="AA288" s="3121"/>
      <c r="AB288" s="3121"/>
      <c r="AC288" s="3121"/>
      <c r="AD288" s="3122"/>
      <c r="AE288" s="941"/>
      <c r="AF288" s="941"/>
      <c r="AG288" s="941"/>
      <c r="AH288" s="941"/>
      <c r="AI288" s="941"/>
      <c r="AJ288" s="940"/>
      <c r="AK288" s="1023"/>
      <c r="AL288" s="1023"/>
      <c r="AM288" s="1023"/>
      <c r="AP288" s="1076"/>
      <c r="AQ288" s="965"/>
      <c r="AR288" s="1083"/>
    </row>
    <row r="289" spans="1:60">
      <c r="A289" s="1057"/>
      <c r="B289" s="941"/>
      <c r="C289" s="940"/>
      <c r="D289" s="941"/>
      <c r="E289" s="940"/>
      <c r="F289" s="3120" t="s">
        <v>1655</v>
      </c>
      <c r="G289" s="3121"/>
      <c r="H289" s="3121"/>
      <c r="I289" s="3121"/>
      <c r="J289" s="3121"/>
      <c r="K289" s="3121"/>
      <c r="L289" s="3121"/>
      <c r="M289" s="3121"/>
      <c r="N289" s="3121"/>
      <c r="O289" s="3121"/>
      <c r="P289" s="3121"/>
      <c r="Q289" s="3121"/>
      <c r="R289" s="3121"/>
      <c r="S289" s="3121"/>
      <c r="T289" s="3121"/>
      <c r="U289" s="3121"/>
      <c r="V289" s="3121"/>
      <c r="W289" s="3121"/>
      <c r="X289" s="3121"/>
      <c r="Y289" s="3121"/>
      <c r="Z289" s="3121"/>
      <c r="AA289" s="3121"/>
      <c r="AB289" s="3121"/>
      <c r="AC289" s="3121"/>
      <c r="AD289" s="3122"/>
      <c r="AE289" s="941"/>
      <c r="AF289" s="941"/>
      <c r="AG289" s="941"/>
      <c r="AH289" s="941"/>
      <c r="AI289" s="941"/>
      <c r="AJ289" s="940"/>
      <c r="AK289" s="1023"/>
      <c r="AL289" s="1023"/>
      <c r="AM289" s="1023"/>
      <c r="AP289" s="1076"/>
      <c r="AQ289" s="965"/>
      <c r="AR289" s="1083"/>
    </row>
    <row r="290" spans="1:60">
      <c r="A290" s="1057"/>
      <c r="B290" s="941"/>
      <c r="C290" s="940"/>
      <c r="D290" s="941"/>
      <c r="E290" s="940"/>
      <c r="F290" s="3123"/>
      <c r="G290" s="3124"/>
      <c r="H290" s="3124"/>
      <c r="I290" s="3124"/>
      <c r="J290" s="3124"/>
      <c r="K290" s="3124"/>
      <c r="L290" s="3124"/>
      <c r="M290" s="3124"/>
      <c r="N290" s="3124"/>
      <c r="O290" s="3124"/>
      <c r="P290" s="3124"/>
      <c r="Q290" s="3124"/>
      <c r="R290" s="3124"/>
      <c r="S290" s="3124"/>
      <c r="T290" s="3124"/>
      <c r="U290" s="3124"/>
      <c r="V290" s="3124"/>
      <c r="W290" s="3124"/>
      <c r="X290" s="3124"/>
      <c r="Y290" s="3124"/>
      <c r="Z290" s="3124"/>
      <c r="AA290" s="3124"/>
      <c r="AB290" s="3124"/>
      <c r="AC290" s="3124"/>
      <c r="AD290" s="3125"/>
      <c r="AE290" s="941"/>
      <c r="AF290" s="941"/>
      <c r="AG290" s="941"/>
      <c r="AH290" s="941"/>
      <c r="AI290" s="941"/>
      <c r="AJ290" s="940"/>
      <c r="AK290" s="1023"/>
      <c r="AL290" s="1023"/>
      <c r="AM290" s="1023"/>
      <c r="AP290" s="1076"/>
      <c r="AQ290" s="965"/>
      <c r="AR290" s="1083"/>
    </row>
    <row r="291" spans="1:60">
      <c r="A291" s="1057"/>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c r="AA291" s="941"/>
      <c r="AB291" s="941"/>
      <c r="AC291" s="941"/>
      <c r="AD291" s="941"/>
      <c r="AE291" s="941"/>
      <c r="AF291" s="941"/>
      <c r="AG291" s="941"/>
      <c r="AH291" s="941"/>
      <c r="AI291" s="941"/>
      <c r="AJ291" s="940"/>
      <c r="AK291" s="1023"/>
      <c r="AL291" s="1023"/>
      <c r="AM291" s="1023"/>
      <c r="AN291" s="110"/>
      <c r="AO291" s="51"/>
      <c r="AR291" s="21"/>
    </row>
    <row r="292" spans="1:60" ht="13">
      <c r="A292" s="3126" t="s">
        <v>1656</v>
      </c>
      <c r="B292" s="3126"/>
      <c r="C292" s="3097" t="s">
        <v>624</v>
      </c>
      <c r="D292" s="3097"/>
      <c r="E292" s="937"/>
      <c r="F292" s="1079" t="s">
        <v>1652</v>
      </c>
      <c r="G292" s="1084"/>
      <c r="H292" s="1084"/>
      <c r="I292" s="1084"/>
      <c r="J292" s="1084"/>
      <c r="K292" s="1084"/>
      <c r="L292" s="1084"/>
      <c r="M292" s="1084"/>
      <c r="N292" s="1084"/>
      <c r="O292" s="1084"/>
      <c r="P292" s="1084"/>
      <c r="Q292" s="1084"/>
      <c r="R292" s="1084"/>
      <c r="S292" s="1084"/>
      <c r="T292" s="1084"/>
      <c r="U292" s="1084"/>
      <c r="V292" s="1084"/>
      <c r="W292" s="1084"/>
      <c r="X292" s="1084"/>
      <c r="Y292" s="1084"/>
      <c r="Z292" s="1084"/>
      <c r="AA292" s="1084"/>
      <c r="AB292" s="1084"/>
      <c r="AC292" s="1084"/>
      <c r="AD292" s="1085"/>
      <c r="AE292" s="941"/>
      <c r="AF292" s="941"/>
      <c r="AG292" s="1009" t="s">
        <v>1653</v>
      </c>
      <c r="AH292" s="941"/>
      <c r="AI292" s="941"/>
      <c r="AJ292" s="940"/>
      <c r="AK292" s="1023"/>
      <c r="AL292" s="1023"/>
      <c r="AM292" s="1023"/>
      <c r="AN292" s="110"/>
      <c r="AO292" s="51"/>
      <c r="AR292" s="21"/>
    </row>
    <row r="293" spans="1:60" ht="13">
      <c r="A293" s="1699"/>
      <c r="B293" s="1699"/>
      <c r="C293" s="1695"/>
      <c r="D293" s="1695"/>
      <c r="E293" s="937"/>
      <c r="F293" s="3120" t="s">
        <v>1657</v>
      </c>
      <c r="G293" s="3121"/>
      <c r="H293" s="3121"/>
      <c r="I293" s="3121"/>
      <c r="J293" s="3121"/>
      <c r="K293" s="3121"/>
      <c r="L293" s="3121"/>
      <c r="M293" s="3121"/>
      <c r="N293" s="3121"/>
      <c r="O293" s="3121"/>
      <c r="P293" s="3121"/>
      <c r="Q293" s="3121"/>
      <c r="R293" s="3121"/>
      <c r="S293" s="3121"/>
      <c r="T293" s="3121"/>
      <c r="U293" s="3121"/>
      <c r="V293" s="3121"/>
      <c r="W293" s="3121"/>
      <c r="X293" s="3121"/>
      <c r="Y293" s="3121"/>
      <c r="Z293" s="3121"/>
      <c r="AA293" s="3121"/>
      <c r="AB293" s="3121"/>
      <c r="AC293" s="3121"/>
      <c r="AD293" s="3122"/>
      <c r="AE293" s="941"/>
      <c r="AF293" s="941"/>
      <c r="AG293" s="1009"/>
      <c r="AH293" s="941"/>
      <c r="AI293" s="941"/>
      <c r="AJ293" s="940"/>
      <c r="AK293" s="1023"/>
      <c r="AL293" s="1023"/>
      <c r="AM293" s="1023"/>
      <c r="AN293" s="110"/>
      <c r="AO293" s="51"/>
      <c r="AP293" s="947" t="s">
        <v>1377</v>
      </c>
      <c r="AR293" s="21"/>
    </row>
    <row r="294" spans="1:60" s="21" customFormat="1">
      <c r="F294" s="3120"/>
      <c r="G294" s="3121"/>
      <c r="H294" s="3121"/>
      <c r="I294" s="3121"/>
      <c r="J294" s="3121"/>
      <c r="K294" s="3121"/>
      <c r="L294" s="3121"/>
      <c r="M294" s="3121"/>
      <c r="N294" s="3121"/>
      <c r="O294" s="3121"/>
      <c r="P294" s="3121"/>
      <c r="Q294" s="3121"/>
      <c r="R294" s="3121"/>
      <c r="S294" s="3121"/>
      <c r="T294" s="3121"/>
      <c r="U294" s="3121"/>
      <c r="V294" s="3121"/>
      <c r="W294" s="3121"/>
      <c r="X294" s="3121"/>
      <c r="Y294" s="3121"/>
      <c r="Z294" s="3121"/>
      <c r="AA294" s="3121"/>
      <c r="AB294" s="3121"/>
      <c r="AC294" s="3121"/>
      <c r="AD294" s="3122"/>
      <c r="AE294" s="941"/>
      <c r="AF294" s="941"/>
      <c r="AH294" s="941"/>
      <c r="AI294" s="941"/>
      <c r="AJ294" s="1086"/>
      <c r="AK294" s="1057"/>
      <c r="AL294" s="1057"/>
      <c r="AM294" s="1057"/>
      <c r="AN294" s="1087"/>
      <c r="AP294" s="1088" t="s">
        <v>2146</v>
      </c>
      <c r="BD294" s="1089"/>
      <c r="BE294" s="1089"/>
      <c r="BF294" s="1089"/>
      <c r="BG294" s="1089"/>
      <c r="BH294" s="1089"/>
    </row>
    <row r="295" spans="1:60" ht="13">
      <c r="A295" s="1057"/>
      <c r="B295" s="941"/>
      <c r="C295" s="1695"/>
      <c r="D295" s="1695"/>
      <c r="E295" s="937"/>
      <c r="F295" s="1091" t="s">
        <v>1658</v>
      </c>
      <c r="G295" s="1103"/>
      <c r="H295" s="1103"/>
      <c r="I295" s="1103"/>
      <c r="J295" s="1103"/>
      <c r="K295" s="1103"/>
      <c r="L295" s="1103"/>
      <c r="M295" s="1103"/>
      <c r="N295" s="1103"/>
      <c r="O295" s="1103"/>
      <c r="P295" s="1103"/>
      <c r="Q295" s="1103"/>
      <c r="R295" s="1103"/>
      <c r="S295" s="1103"/>
      <c r="T295" s="1103"/>
      <c r="U295" s="1103"/>
      <c r="V295" s="1103"/>
      <c r="W295" s="1103"/>
      <c r="X295" s="1103"/>
      <c r="Y295" s="1103"/>
      <c r="Z295" s="1103"/>
      <c r="AA295" s="1103"/>
      <c r="AB295" s="1103"/>
      <c r="AC295" s="1103"/>
      <c r="AD295" s="1722"/>
      <c r="AE295" s="941"/>
      <c r="AF295" s="941"/>
      <c r="AG295" s="983"/>
      <c r="AH295" s="941"/>
      <c r="AI295" s="941"/>
      <c r="AJ295" s="940"/>
      <c r="AK295" s="1023"/>
      <c r="AL295" s="1023"/>
      <c r="AM295" s="1023"/>
      <c r="AN295" s="110"/>
      <c r="AO295" s="51"/>
      <c r="AP295" s="1088" t="s">
        <v>2148</v>
      </c>
      <c r="AR295" s="21"/>
    </row>
    <row r="296" spans="1:60" ht="13">
      <c r="A296" s="1057"/>
      <c r="B296" s="941"/>
      <c r="C296" s="1695"/>
      <c r="D296" s="1695"/>
      <c r="E296" s="937"/>
      <c r="F296" s="1091"/>
      <c r="G296" s="1103"/>
      <c r="H296" s="1103"/>
      <c r="I296" s="1103"/>
      <c r="J296" s="1103"/>
      <c r="K296" s="1103"/>
      <c r="L296" s="1103"/>
      <c r="M296" s="1103"/>
      <c r="N296" s="1103"/>
      <c r="O296" s="1103"/>
      <c r="P296" s="1103"/>
      <c r="Q296" s="1103"/>
      <c r="R296" s="1103"/>
      <c r="S296" s="1103"/>
      <c r="T296" s="1103"/>
      <c r="U296" s="1103"/>
      <c r="V296" s="1103"/>
      <c r="W296" s="1103"/>
      <c r="X296" s="1103"/>
      <c r="Y296" s="1103"/>
      <c r="Z296" s="1103"/>
      <c r="AA296" s="1103"/>
      <c r="AB296" s="1103"/>
      <c r="AC296" s="1103"/>
      <c r="AD296" s="1722"/>
      <c r="AE296" s="941"/>
      <c r="AF296" s="941"/>
      <c r="AG296" s="983"/>
      <c r="AH296" s="941"/>
      <c r="AI296" s="941"/>
      <c r="AJ296" s="1022"/>
      <c r="AK296" s="1023"/>
      <c r="AL296" s="1023"/>
      <c r="AM296" s="1023"/>
      <c r="AN296" s="110"/>
      <c r="AO296" s="51"/>
      <c r="AP296" s="1088" t="s">
        <v>2299</v>
      </c>
      <c r="AR296" s="21"/>
    </row>
    <row r="297" spans="1:60" ht="12.75" customHeight="1">
      <c r="A297" s="1057"/>
      <c r="B297" s="941"/>
      <c r="C297" s="1695"/>
      <c r="D297" s="1695"/>
      <c r="E297" s="937"/>
      <c r="F297" s="1091"/>
      <c r="G297" s="1075"/>
      <c r="H297" s="1075"/>
      <c r="I297" s="1075"/>
      <c r="J297" s="1075"/>
      <c r="K297" s="1075"/>
      <c r="L297" s="1075"/>
      <c r="M297" s="1075"/>
      <c r="N297" s="1075"/>
      <c r="O297" s="1075"/>
      <c r="P297" s="1075"/>
      <c r="Q297" s="1075"/>
      <c r="R297" s="1075"/>
      <c r="S297" s="1075"/>
      <c r="T297" s="1075"/>
      <c r="U297" s="1075"/>
      <c r="V297" s="1075"/>
      <c r="W297" s="1075"/>
      <c r="X297" s="1075"/>
      <c r="Y297" s="1075"/>
      <c r="Z297" s="1075"/>
      <c r="AA297" s="1075"/>
      <c r="AB297" s="1075"/>
      <c r="AC297" s="1075"/>
      <c r="AD297" s="1092"/>
      <c r="AE297" s="941"/>
      <c r="AF297" s="941"/>
      <c r="AG297" s="983"/>
      <c r="AH297" s="941"/>
      <c r="AI297" s="941"/>
      <c r="AJ297" s="1023"/>
      <c r="AK297" s="1023"/>
      <c r="AL297" s="1023"/>
      <c r="AM297" s="1023"/>
      <c r="AN297" s="110"/>
      <c r="AO297" s="51"/>
      <c r="AP297" s="126"/>
      <c r="AR297" s="21"/>
    </row>
    <row r="298" spans="1:60" ht="12.75" customHeight="1">
      <c r="A298" s="1057"/>
      <c r="B298" s="941"/>
      <c r="C298" s="1695"/>
      <c r="D298" s="1695"/>
      <c r="E298" s="937"/>
      <c r="F298" s="3130" t="s">
        <v>1377</v>
      </c>
      <c r="G298" s="3131"/>
      <c r="H298" s="3131"/>
      <c r="I298" s="3131"/>
      <c r="J298" s="3131"/>
      <c r="K298" s="3131"/>
      <c r="L298" s="3131"/>
      <c r="M298" s="3131"/>
      <c r="N298" s="3131"/>
      <c r="O298" s="3131"/>
      <c r="P298" s="3131"/>
      <c r="Q298" s="3131"/>
      <c r="R298" s="3131"/>
      <c r="S298" s="3131"/>
      <c r="T298" s="3131"/>
      <c r="U298" s="3131"/>
      <c r="V298" s="3131"/>
      <c r="W298" s="3131"/>
      <c r="X298" s="3131"/>
      <c r="Y298" s="3131"/>
      <c r="Z298" s="3131"/>
      <c r="AA298" s="3131"/>
      <c r="AB298" s="3131"/>
      <c r="AC298" s="3131"/>
      <c r="AD298" s="3132"/>
      <c r="AE298" s="1075"/>
      <c r="AF298" s="1075"/>
      <c r="AG298" s="1075"/>
      <c r="AH298" s="1075"/>
      <c r="AI298" s="1075"/>
      <c r="AJ298" s="1075"/>
      <c r="AK298" s="1075"/>
      <c r="AL298" s="1023"/>
      <c r="AM298" s="1023"/>
      <c r="AN298" s="110"/>
      <c r="AO298" s="51"/>
      <c r="AP298" s="126"/>
      <c r="AR298" s="21"/>
    </row>
    <row r="299" spans="1:60" ht="13">
      <c r="A299" s="1057"/>
      <c r="B299" s="941"/>
      <c r="C299" s="1695"/>
      <c r="D299" s="1695"/>
      <c r="E299" s="937"/>
      <c r="F299" s="3130"/>
      <c r="G299" s="3131"/>
      <c r="H299" s="3131"/>
      <c r="I299" s="3131"/>
      <c r="J299" s="3131"/>
      <c r="K299" s="3131"/>
      <c r="L299" s="3131"/>
      <c r="M299" s="3131"/>
      <c r="N299" s="3131"/>
      <c r="O299" s="3131"/>
      <c r="P299" s="3131"/>
      <c r="Q299" s="3131"/>
      <c r="R299" s="3131"/>
      <c r="S299" s="3131"/>
      <c r="T299" s="3131"/>
      <c r="U299" s="3131"/>
      <c r="V299" s="3131"/>
      <c r="W299" s="3131"/>
      <c r="X299" s="3131"/>
      <c r="Y299" s="3131"/>
      <c r="Z299" s="3131"/>
      <c r="AA299" s="3131"/>
      <c r="AB299" s="3131"/>
      <c r="AC299" s="3131"/>
      <c r="AD299" s="3132"/>
      <c r="AE299" s="941"/>
      <c r="AF299" s="941"/>
      <c r="AG299" s="983"/>
      <c r="AH299" s="941"/>
      <c r="AI299" s="941"/>
      <c r="AJ299" s="1023"/>
      <c r="AK299" s="1023"/>
      <c r="AL299" s="1023"/>
      <c r="AM299" s="1023"/>
      <c r="AN299" s="110"/>
      <c r="AO299" s="51"/>
      <c r="AP299" s="126"/>
      <c r="AR299" s="21"/>
    </row>
    <row r="300" spans="1:60" ht="13">
      <c r="A300" s="1057"/>
      <c r="B300" s="941"/>
      <c r="C300" s="1695"/>
      <c r="D300" s="1695"/>
      <c r="E300" s="937"/>
      <c r="F300" s="3130"/>
      <c r="G300" s="3131"/>
      <c r="H300" s="3131"/>
      <c r="I300" s="3131"/>
      <c r="J300" s="3131"/>
      <c r="K300" s="3131"/>
      <c r="L300" s="3131"/>
      <c r="M300" s="3131"/>
      <c r="N300" s="3131"/>
      <c r="O300" s="3131"/>
      <c r="P300" s="3131"/>
      <c r="Q300" s="3131"/>
      <c r="R300" s="3131"/>
      <c r="S300" s="3131"/>
      <c r="T300" s="3131"/>
      <c r="U300" s="3131"/>
      <c r="V300" s="3131"/>
      <c r="W300" s="3131"/>
      <c r="X300" s="3131"/>
      <c r="Y300" s="3131"/>
      <c r="Z300" s="3131"/>
      <c r="AA300" s="3131"/>
      <c r="AB300" s="3131"/>
      <c r="AC300" s="3131"/>
      <c r="AD300" s="3132"/>
      <c r="AE300" s="941"/>
      <c r="AF300" s="941"/>
      <c r="AG300" s="983"/>
      <c r="AH300" s="941"/>
      <c r="AI300" s="941"/>
      <c r="AJ300" s="1023"/>
      <c r="AK300" s="1023"/>
      <c r="AL300" s="1023"/>
      <c r="AM300" s="1023"/>
      <c r="AN300" s="110"/>
      <c r="AO300" s="51"/>
      <c r="AP300" s="126"/>
      <c r="AR300" s="21"/>
    </row>
    <row r="301" spans="1:60" ht="13">
      <c r="A301" s="1057"/>
      <c r="B301" s="941"/>
      <c r="C301" s="1695"/>
      <c r="D301" s="1695"/>
      <c r="E301" s="937"/>
      <c r="F301" s="3130"/>
      <c r="G301" s="3131"/>
      <c r="H301" s="3131"/>
      <c r="I301" s="3131"/>
      <c r="J301" s="3131"/>
      <c r="K301" s="3131"/>
      <c r="L301" s="3131"/>
      <c r="M301" s="3131"/>
      <c r="N301" s="3131"/>
      <c r="O301" s="3131"/>
      <c r="P301" s="3131"/>
      <c r="Q301" s="3131"/>
      <c r="R301" s="3131"/>
      <c r="S301" s="3131"/>
      <c r="T301" s="3131"/>
      <c r="U301" s="3131"/>
      <c r="V301" s="3131"/>
      <c r="W301" s="3131"/>
      <c r="X301" s="3131"/>
      <c r="Y301" s="3131"/>
      <c r="Z301" s="3131"/>
      <c r="AA301" s="3131"/>
      <c r="AB301" s="3131"/>
      <c r="AC301" s="3131"/>
      <c r="AD301" s="3132"/>
      <c r="AE301" s="941"/>
      <c r="AF301" s="941"/>
      <c r="AG301" s="983"/>
      <c r="AH301" s="941"/>
      <c r="AI301" s="941"/>
      <c r="AJ301" s="1023"/>
      <c r="AK301" s="1023"/>
      <c r="AL301" s="1023"/>
      <c r="AM301" s="1023"/>
      <c r="AN301" s="110"/>
      <c r="AO301" s="51"/>
      <c r="AP301" s="126"/>
      <c r="AR301" s="21"/>
    </row>
    <row r="302" spans="1:60" ht="13">
      <c r="A302" s="1057"/>
      <c r="B302" s="941"/>
      <c r="C302" s="1695"/>
      <c r="D302" s="1695"/>
      <c r="E302" s="937"/>
      <c r="F302" s="3133"/>
      <c r="G302" s="3134"/>
      <c r="H302" s="3134"/>
      <c r="I302" s="3134"/>
      <c r="J302" s="3134"/>
      <c r="K302" s="3134"/>
      <c r="L302" s="3134"/>
      <c r="M302" s="3134"/>
      <c r="N302" s="3134"/>
      <c r="O302" s="3134"/>
      <c r="P302" s="3134"/>
      <c r="Q302" s="3134"/>
      <c r="R302" s="3134"/>
      <c r="S302" s="3134"/>
      <c r="T302" s="3134"/>
      <c r="U302" s="3134"/>
      <c r="V302" s="3134"/>
      <c r="W302" s="3134"/>
      <c r="X302" s="3134"/>
      <c r="Y302" s="3134"/>
      <c r="Z302" s="3134"/>
      <c r="AA302" s="3134"/>
      <c r="AB302" s="3134"/>
      <c r="AC302" s="3134"/>
      <c r="AD302" s="3135"/>
      <c r="AE302" s="941"/>
      <c r="AF302" s="941"/>
      <c r="AG302" s="983"/>
      <c r="AH302" s="941"/>
      <c r="AI302" s="941"/>
      <c r="AJ302" s="1022"/>
      <c r="AK302" s="1023"/>
      <c r="AL302" s="1023"/>
      <c r="AM302" s="1023"/>
      <c r="AN302" s="110"/>
      <c r="AO302" s="51"/>
      <c r="AP302" s="126"/>
      <c r="AR302" s="21"/>
    </row>
    <row r="303" spans="1:60" s="56" customFormat="1" ht="13">
      <c r="A303" s="1057"/>
      <c r="B303" s="941"/>
      <c r="C303" s="1695"/>
      <c r="D303" s="1695"/>
      <c r="E303" s="937"/>
      <c r="F303" s="1598"/>
      <c r="G303" s="1075"/>
      <c r="H303" s="1075"/>
      <c r="I303" s="1075"/>
      <c r="J303" s="1075"/>
      <c r="K303" s="1075"/>
      <c r="L303" s="1075"/>
      <c r="M303" s="1075"/>
      <c r="N303" s="1075"/>
      <c r="O303" s="1075"/>
      <c r="P303" s="1075"/>
      <c r="Q303" s="1075"/>
      <c r="R303" s="1075"/>
      <c r="S303" s="1075"/>
      <c r="T303" s="1075"/>
      <c r="U303" s="1075"/>
      <c r="V303" s="1075"/>
      <c r="W303" s="1075"/>
      <c r="X303" s="1075"/>
      <c r="Y303" s="1075"/>
      <c r="Z303" s="1075"/>
      <c r="AA303" s="1075"/>
      <c r="AB303" s="1075"/>
      <c r="AC303" s="1075"/>
      <c r="AD303" s="1092"/>
      <c r="AE303" s="941"/>
      <c r="AF303" s="941"/>
      <c r="AG303" s="983"/>
      <c r="AH303" s="941"/>
      <c r="AI303" s="941"/>
      <c r="AJ303" s="1023"/>
      <c r="AK303" s="1023"/>
      <c r="AL303" s="1023"/>
      <c r="AM303" s="1023"/>
      <c r="AN303" s="1599"/>
      <c r="AP303" s="1600"/>
      <c r="AR303" s="1601"/>
      <c r="BD303" s="55"/>
      <c r="BE303" s="55"/>
      <c r="BF303" s="55"/>
      <c r="BG303" s="55"/>
      <c r="BH303" s="55"/>
    </row>
    <row r="304" spans="1:60" ht="13">
      <c r="A304" s="1057"/>
      <c r="B304" s="941"/>
      <c r="C304" s="1695"/>
      <c r="D304" s="1695"/>
      <c r="E304" s="937"/>
      <c r="F304" s="1093" t="s">
        <v>2147</v>
      </c>
      <c r="G304" s="941"/>
      <c r="H304" s="941"/>
      <c r="I304" s="941"/>
      <c r="J304" s="941"/>
      <c r="K304" s="941"/>
      <c r="L304" s="941"/>
      <c r="M304" s="941"/>
      <c r="N304" s="941"/>
      <c r="O304" s="941"/>
      <c r="P304" s="941"/>
      <c r="Q304" s="941"/>
      <c r="R304" s="941"/>
      <c r="S304" s="941"/>
      <c r="T304" s="941"/>
      <c r="U304" s="941"/>
      <c r="V304" s="941"/>
      <c r="W304" s="941"/>
      <c r="X304" s="941"/>
      <c r="Y304" s="941"/>
      <c r="Z304" s="941"/>
      <c r="AA304" s="941"/>
      <c r="AB304" s="941"/>
      <c r="AC304" s="941"/>
      <c r="AD304" s="1094"/>
      <c r="AE304" s="941"/>
      <c r="AF304" s="941"/>
      <c r="AG304" s="983"/>
      <c r="AH304" s="941"/>
      <c r="AI304" s="941"/>
      <c r="AJ304" s="940"/>
      <c r="AK304" s="1023"/>
      <c r="AL304" s="1023"/>
      <c r="AM304" s="1023"/>
      <c r="AN304" s="110"/>
      <c r="AO304" s="51"/>
      <c r="AP304" s="126"/>
      <c r="AR304" s="21"/>
    </row>
    <row r="305" spans="1:60" ht="13">
      <c r="A305" s="1057"/>
      <c r="B305" s="941"/>
      <c r="C305" s="1695"/>
      <c r="D305" s="1695"/>
      <c r="E305" s="937"/>
      <c r="F305" s="1093"/>
      <c r="G305" s="941"/>
      <c r="H305" s="941"/>
      <c r="I305" s="941"/>
      <c r="J305" s="941"/>
      <c r="K305" s="941"/>
      <c r="L305" s="941"/>
      <c r="M305" s="941"/>
      <c r="N305" s="941"/>
      <c r="O305" s="941"/>
      <c r="P305" s="941"/>
      <c r="Q305" s="941"/>
      <c r="R305" s="941"/>
      <c r="S305" s="941"/>
      <c r="T305" s="941"/>
      <c r="U305" s="941"/>
      <c r="V305" s="941"/>
      <c r="W305" s="941"/>
      <c r="X305" s="941"/>
      <c r="Y305" s="941"/>
      <c r="Z305" s="941"/>
      <c r="AA305" s="941"/>
      <c r="AB305" s="941"/>
      <c r="AC305" s="941"/>
      <c r="AD305" s="1094"/>
      <c r="AE305" s="941"/>
      <c r="AF305" s="941"/>
      <c r="AG305" s="983"/>
      <c r="AH305" s="941"/>
      <c r="AI305" s="941"/>
      <c r="AJ305" s="940"/>
      <c r="AK305" s="1023"/>
      <c r="AL305" s="1023"/>
      <c r="AM305" s="1023"/>
      <c r="AN305" s="110"/>
      <c r="AO305" s="51"/>
      <c r="AP305" s="947" t="s">
        <v>1377</v>
      </c>
      <c r="AR305" s="21"/>
    </row>
    <row r="306" spans="1:60" ht="12.75" customHeight="1">
      <c r="A306" s="1057"/>
      <c r="B306" s="941"/>
      <c r="C306" s="1695"/>
      <c r="D306" s="1695"/>
      <c r="E306" s="937"/>
      <c r="F306" s="1095"/>
      <c r="G306" s="966" t="s">
        <v>723</v>
      </c>
      <c r="H306" s="966"/>
      <c r="I306" s="3136" t="s">
        <v>1377</v>
      </c>
      <c r="J306" s="3136"/>
      <c r="K306" s="3136"/>
      <c r="L306" s="3136"/>
      <c r="M306" s="3136"/>
      <c r="N306" s="3136"/>
      <c r="O306" s="3136"/>
      <c r="P306" s="3136"/>
      <c r="Q306" s="3136"/>
      <c r="R306" s="3136"/>
      <c r="S306" s="3136"/>
      <c r="T306" s="3136"/>
      <c r="U306" s="3136"/>
      <c r="V306" s="3136"/>
      <c r="W306" s="3136"/>
      <c r="X306" s="3136"/>
      <c r="Y306" s="3136"/>
      <c r="Z306" s="3136"/>
      <c r="AA306" s="3136"/>
      <c r="AB306" s="3136"/>
      <c r="AC306" s="3136"/>
      <c r="AD306" s="3137"/>
      <c r="AE306" s="941"/>
      <c r="AF306" s="941"/>
      <c r="AG306" s="983"/>
      <c r="AH306" s="941"/>
      <c r="AI306" s="941"/>
      <c r="AJ306" s="940"/>
      <c r="AK306" s="1023"/>
      <c r="AL306" s="1023"/>
      <c r="AM306" s="1023"/>
      <c r="AN306" s="110"/>
      <c r="AO306" s="51"/>
      <c r="AP306" s="947" t="s">
        <v>1941</v>
      </c>
      <c r="AR306" s="21"/>
    </row>
    <row r="307" spans="1:60" ht="13">
      <c r="A307" s="1057"/>
      <c r="B307" s="941"/>
      <c r="C307" s="1695"/>
      <c r="D307" s="1695"/>
      <c r="E307" s="937"/>
      <c r="F307" s="1095"/>
      <c r="G307" s="966"/>
      <c r="H307" s="966"/>
      <c r="I307" s="3136"/>
      <c r="J307" s="3136"/>
      <c r="K307" s="3136"/>
      <c r="L307" s="3136"/>
      <c r="M307" s="3136"/>
      <c r="N307" s="3136"/>
      <c r="O307" s="3136"/>
      <c r="P307" s="3136"/>
      <c r="Q307" s="3136"/>
      <c r="R307" s="3136"/>
      <c r="S307" s="3136"/>
      <c r="T307" s="3136"/>
      <c r="U307" s="3136"/>
      <c r="V307" s="3136"/>
      <c r="W307" s="3136"/>
      <c r="X307" s="3136"/>
      <c r="Y307" s="3136"/>
      <c r="Z307" s="3136"/>
      <c r="AA307" s="3136"/>
      <c r="AB307" s="3136"/>
      <c r="AC307" s="3136"/>
      <c r="AD307" s="3137"/>
      <c r="AE307" s="941"/>
      <c r="AF307" s="941"/>
      <c r="AG307" s="983"/>
      <c r="AH307" s="941"/>
      <c r="AI307" s="941"/>
      <c r="AJ307" s="940"/>
      <c r="AK307" s="1023"/>
      <c r="AL307" s="1023"/>
      <c r="AM307" s="1023"/>
      <c r="AN307" s="110"/>
      <c r="AO307" s="51"/>
      <c r="AP307" s="947" t="s">
        <v>2149</v>
      </c>
      <c r="AR307" s="21"/>
    </row>
    <row r="308" spans="1:60" ht="13">
      <c r="A308" s="1057"/>
      <c r="B308" s="941"/>
      <c r="C308" s="1090"/>
      <c r="D308" s="1090"/>
      <c r="E308" s="937"/>
      <c r="F308" s="1095"/>
      <c r="G308" s="966"/>
      <c r="H308" s="966"/>
      <c r="I308" s="3136"/>
      <c r="J308" s="3136"/>
      <c r="K308" s="3136"/>
      <c r="L308" s="3136"/>
      <c r="M308" s="3136"/>
      <c r="N308" s="3136"/>
      <c r="O308" s="3136"/>
      <c r="P308" s="3136"/>
      <c r="Q308" s="3136"/>
      <c r="R308" s="3136"/>
      <c r="S308" s="3136"/>
      <c r="T308" s="3136"/>
      <c r="U308" s="3136"/>
      <c r="V308" s="3136"/>
      <c r="W308" s="3136"/>
      <c r="X308" s="3136"/>
      <c r="Y308" s="3136"/>
      <c r="Z308" s="3136"/>
      <c r="AA308" s="3136"/>
      <c r="AB308" s="3136"/>
      <c r="AC308" s="3136"/>
      <c r="AD308" s="3137"/>
      <c r="AE308" s="941"/>
      <c r="AF308" s="941"/>
      <c r="AG308" s="983"/>
      <c r="AH308" s="941"/>
      <c r="AI308" s="941"/>
      <c r="AJ308" s="940"/>
      <c r="AK308" s="1023"/>
      <c r="AL308" s="1023"/>
      <c r="AM308" s="1023"/>
      <c r="AN308" s="110"/>
      <c r="AO308" s="51"/>
      <c r="AP308" s="947" t="s">
        <v>2151</v>
      </c>
      <c r="AR308" s="21"/>
    </row>
    <row r="309" spans="1:60" ht="13">
      <c r="A309" s="1057"/>
      <c r="B309" s="941"/>
      <c r="C309" s="1090"/>
      <c r="D309" s="1090"/>
      <c r="E309" s="937"/>
      <c r="F309" s="1093"/>
      <c r="G309" s="941"/>
      <c r="H309" s="941"/>
      <c r="I309" s="3138"/>
      <c r="J309" s="3138"/>
      <c r="K309" s="3138"/>
      <c r="L309" s="3138"/>
      <c r="M309" s="3138"/>
      <c r="N309" s="3138"/>
      <c r="O309" s="3138"/>
      <c r="P309" s="3138"/>
      <c r="Q309" s="3138"/>
      <c r="R309" s="3138"/>
      <c r="S309" s="3138"/>
      <c r="T309" s="3138"/>
      <c r="U309" s="3138"/>
      <c r="V309" s="3138"/>
      <c r="W309" s="3138"/>
      <c r="X309" s="3138"/>
      <c r="Y309" s="3138"/>
      <c r="Z309" s="3138"/>
      <c r="AA309" s="3138"/>
      <c r="AB309" s="3138"/>
      <c r="AC309" s="3138"/>
      <c r="AD309" s="3139"/>
      <c r="AE309" s="941"/>
      <c r="AF309" s="941"/>
      <c r="AG309" s="983"/>
      <c r="AH309" s="941"/>
      <c r="AI309" s="941"/>
      <c r="AJ309" s="940"/>
      <c r="AK309" s="1023"/>
      <c r="AL309" s="1023"/>
      <c r="AM309" s="1023"/>
      <c r="AN309" s="110"/>
      <c r="AO309" s="51"/>
      <c r="AP309" s="947" t="s">
        <v>2150</v>
      </c>
      <c r="AR309" s="21"/>
    </row>
    <row r="310" spans="1:60" ht="13">
      <c r="A310" s="1057"/>
      <c r="B310" s="941"/>
      <c r="C310" s="1090"/>
      <c r="D310" s="1090"/>
      <c r="E310" s="937"/>
      <c r="F310" s="1093"/>
      <c r="G310" s="941"/>
      <c r="H310" s="941"/>
      <c r="I310" s="941"/>
      <c r="J310" s="941"/>
      <c r="K310" s="941"/>
      <c r="L310" s="941"/>
      <c r="M310" s="941"/>
      <c r="N310" s="941"/>
      <c r="O310" s="941"/>
      <c r="P310" s="941"/>
      <c r="Q310" s="941"/>
      <c r="R310" s="941"/>
      <c r="S310" s="941"/>
      <c r="T310" s="941"/>
      <c r="U310" s="941"/>
      <c r="V310" s="941"/>
      <c r="W310" s="941"/>
      <c r="X310" s="941"/>
      <c r="Y310" s="941"/>
      <c r="Z310" s="941"/>
      <c r="AA310" s="941"/>
      <c r="AB310" s="941"/>
      <c r="AC310" s="941"/>
      <c r="AD310" s="1094"/>
      <c r="AE310" s="941"/>
      <c r="AF310" s="941"/>
      <c r="AG310" s="983"/>
      <c r="AH310" s="941"/>
      <c r="AI310" s="941"/>
      <c r="AJ310" s="940"/>
      <c r="AK310" s="1023"/>
      <c r="AL310" s="1023"/>
      <c r="AM310" s="1023"/>
      <c r="AN310" s="110"/>
      <c r="AO310" s="51"/>
      <c r="AP310" s="126"/>
      <c r="AR310" s="21"/>
    </row>
    <row r="311" spans="1:60" ht="13">
      <c r="A311" s="1057"/>
      <c r="B311" s="941"/>
      <c r="C311" s="1090"/>
      <c r="D311" s="1090"/>
      <c r="E311" s="937"/>
      <c r="F311" s="1093"/>
      <c r="G311" s="941" t="s">
        <v>540</v>
      </c>
      <c r="H311" s="941"/>
      <c r="I311" s="3136" t="s">
        <v>1377</v>
      </c>
      <c r="J311" s="3136"/>
      <c r="K311" s="3136"/>
      <c r="L311" s="3136"/>
      <c r="M311" s="3136"/>
      <c r="N311" s="3136"/>
      <c r="O311" s="3136"/>
      <c r="P311" s="3136"/>
      <c r="Q311" s="3136"/>
      <c r="R311" s="3136"/>
      <c r="S311" s="3136"/>
      <c r="T311" s="3136"/>
      <c r="U311" s="3136"/>
      <c r="V311" s="3136"/>
      <c r="W311" s="3136"/>
      <c r="X311" s="3136"/>
      <c r="Y311" s="3136"/>
      <c r="Z311" s="3136"/>
      <c r="AA311" s="3136"/>
      <c r="AB311" s="3136"/>
      <c r="AC311" s="3136"/>
      <c r="AD311" s="3137"/>
      <c r="AE311" s="941"/>
      <c r="AF311" s="941"/>
      <c r="AG311" s="983"/>
      <c r="AH311" s="941"/>
      <c r="AI311" s="941"/>
      <c r="AJ311" s="940"/>
      <c r="AK311" s="1023"/>
      <c r="AL311" s="1023"/>
      <c r="AM311" s="1023"/>
      <c r="AN311" s="110"/>
      <c r="AO311" s="51"/>
      <c r="AR311" s="21"/>
    </row>
    <row r="312" spans="1:60" ht="13">
      <c r="A312" s="1057"/>
      <c r="B312" s="941"/>
      <c r="C312" s="1090"/>
      <c r="D312" s="1090"/>
      <c r="E312" s="937"/>
      <c r="F312" s="1093"/>
      <c r="G312" s="941"/>
      <c r="H312" s="941"/>
      <c r="I312" s="3136"/>
      <c r="J312" s="3136"/>
      <c r="K312" s="3136"/>
      <c r="L312" s="3136"/>
      <c r="M312" s="3136"/>
      <c r="N312" s="3136"/>
      <c r="O312" s="3136"/>
      <c r="P312" s="3136"/>
      <c r="Q312" s="3136"/>
      <c r="R312" s="3136"/>
      <c r="S312" s="3136"/>
      <c r="T312" s="3136"/>
      <c r="U312" s="3136"/>
      <c r="V312" s="3136"/>
      <c r="W312" s="3136"/>
      <c r="X312" s="3136"/>
      <c r="Y312" s="3136"/>
      <c r="Z312" s="3136"/>
      <c r="AA312" s="3136"/>
      <c r="AB312" s="3136"/>
      <c r="AC312" s="3136"/>
      <c r="AD312" s="3137"/>
      <c r="AE312" s="941"/>
      <c r="AF312" s="941"/>
      <c r="AG312" s="983"/>
      <c r="AH312" s="941"/>
      <c r="AI312" s="941"/>
      <c r="AJ312" s="940"/>
      <c r="AK312" s="1023"/>
      <c r="AL312" s="1023"/>
      <c r="AM312" s="1023"/>
      <c r="AN312" s="110"/>
      <c r="AO312" s="51"/>
      <c r="AP312" s="947" t="s">
        <v>1377</v>
      </c>
      <c r="AR312" s="21"/>
    </row>
    <row r="313" spans="1:60" ht="13">
      <c r="A313" s="1057"/>
      <c r="B313" s="941"/>
      <c r="C313" s="1090"/>
      <c r="D313" s="1090"/>
      <c r="E313" s="937"/>
      <c r="F313" s="1096"/>
      <c r="G313" s="1097"/>
      <c r="H313" s="1097"/>
      <c r="I313" s="3138"/>
      <c r="J313" s="3138"/>
      <c r="K313" s="3138"/>
      <c r="L313" s="3138"/>
      <c r="M313" s="3138"/>
      <c r="N313" s="3138"/>
      <c r="O313" s="3138"/>
      <c r="P313" s="3138"/>
      <c r="Q313" s="3138"/>
      <c r="R313" s="3138"/>
      <c r="S313" s="3138"/>
      <c r="T313" s="3138"/>
      <c r="U313" s="3138"/>
      <c r="V313" s="3138"/>
      <c r="W313" s="3138"/>
      <c r="X313" s="3138"/>
      <c r="Y313" s="3138"/>
      <c r="Z313" s="3138"/>
      <c r="AA313" s="3138"/>
      <c r="AB313" s="3138"/>
      <c r="AC313" s="3138"/>
      <c r="AD313" s="3139"/>
      <c r="AE313" s="941"/>
      <c r="AF313" s="941"/>
      <c r="AG313" s="983"/>
      <c r="AH313" s="941"/>
      <c r="AI313" s="941"/>
      <c r="AJ313" s="940"/>
      <c r="AK313" s="1023"/>
      <c r="AL313" s="1023"/>
      <c r="AM313" s="1023"/>
      <c r="AN313" s="110"/>
      <c r="AO313" s="51"/>
      <c r="AP313" s="947" t="s">
        <v>1659</v>
      </c>
      <c r="AR313" s="21"/>
    </row>
    <row r="314" spans="1:60">
      <c r="A314" s="1057"/>
      <c r="B314" s="941"/>
      <c r="C314" s="940"/>
      <c r="D314" s="941"/>
      <c r="E314" s="940"/>
      <c r="F314" s="1032"/>
      <c r="G314" s="941"/>
      <c r="H314" s="941"/>
      <c r="I314" s="941"/>
      <c r="J314" s="941"/>
      <c r="K314" s="941"/>
      <c r="L314" s="941"/>
      <c r="M314" s="941"/>
      <c r="N314" s="941"/>
      <c r="O314" s="941"/>
      <c r="P314" s="941"/>
      <c r="Q314" s="941"/>
      <c r="R314" s="941"/>
      <c r="S314" s="941"/>
      <c r="T314" s="941"/>
      <c r="U314" s="941"/>
      <c r="V314" s="941"/>
      <c r="W314" s="941"/>
      <c r="X314" s="941"/>
      <c r="Y314" s="941"/>
      <c r="Z314" s="941"/>
      <c r="AA314" s="941"/>
      <c r="AB314" s="941"/>
      <c r="AC314" s="941"/>
      <c r="AD314" s="941"/>
      <c r="AE314" s="941"/>
      <c r="AF314" s="941"/>
      <c r="AG314" s="941"/>
      <c r="AH314" s="941"/>
      <c r="AI314" s="941"/>
      <c r="AJ314" s="940"/>
      <c r="AK314" s="1023"/>
      <c r="AL314" s="1023"/>
      <c r="AM314" s="1023"/>
      <c r="AN314" s="110"/>
      <c r="AO314" s="51"/>
      <c r="AP314" s="947" t="s">
        <v>1942</v>
      </c>
    </row>
    <row r="315" spans="1:60" ht="12.75" customHeight="1">
      <c r="A315" s="3126" t="s">
        <v>1660</v>
      </c>
      <c r="B315" s="3126"/>
      <c r="C315" s="3097" t="s">
        <v>576</v>
      </c>
      <c r="D315" s="3097"/>
      <c r="E315" s="937"/>
      <c r="F315" s="3029" t="s">
        <v>1661</v>
      </c>
      <c r="G315" s="3030"/>
      <c r="H315" s="3030"/>
      <c r="I315" s="3030"/>
      <c r="J315" s="3030"/>
      <c r="K315" s="3030"/>
      <c r="L315" s="3030"/>
      <c r="M315" s="3030"/>
      <c r="N315" s="3030"/>
      <c r="O315" s="3030"/>
      <c r="P315" s="3030"/>
      <c r="Q315" s="3030"/>
      <c r="R315" s="3030"/>
      <c r="S315" s="3030"/>
      <c r="T315" s="3030"/>
      <c r="U315" s="3030"/>
      <c r="V315" s="3030"/>
      <c r="W315" s="3030"/>
      <c r="X315" s="3030"/>
      <c r="Y315" s="3030"/>
      <c r="Z315" s="3030"/>
      <c r="AA315" s="3030"/>
      <c r="AB315" s="3030"/>
      <c r="AC315" s="3030"/>
      <c r="AD315" s="3031"/>
      <c r="AE315" s="941"/>
      <c r="AF315" s="941"/>
      <c r="AG315" s="983" t="s">
        <v>1653</v>
      </c>
      <c r="AH315" s="941"/>
      <c r="AI315" s="941"/>
      <c r="AJ315" s="940"/>
      <c r="AK315" s="1023"/>
      <c r="AL315" s="1023"/>
      <c r="AM315" s="1023"/>
      <c r="AN315" s="110"/>
      <c r="AO315" s="51"/>
    </row>
    <row r="316" spans="1:60" ht="15" customHeight="1">
      <c r="A316" s="1057"/>
      <c r="B316" s="941"/>
      <c r="C316" s="941"/>
      <c r="D316" s="941"/>
      <c r="E316" s="941"/>
      <c r="F316" s="3035"/>
      <c r="G316" s="3036"/>
      <c r="H316" s="3036"/>
      <c r="I316" s="3036"/>
      <c r="J316" s="3036"/>
      <c r="K316" s="3036"/>
      <c r="L316" s="3036"/>
      <c r="M316" s="3036"/>
      <c r="N316" s="3036"/>
      <c r="O316" s="3036"/>
      <c r="P316" s="3036"/>
      <c r="Q316" s="3036"/>
      <c r="R316" s="3036"/>
      <c r="S316" s="3036"/>
      <c r="T316" s="3036"/>
      <c r="U316" s="3036"/>
      <c r="V316" s="3036"/>
      <c r="W316" s="3036"/>
      <c r="X316" s="3036"/>
      <c r="Y316" s="3036"/>
      <c r="Z316" s="3036"/>
      <c r="AA316" s="3036"/>
      <c r="AB316" s="3036"/>
      <c r="AC316" s="3036"/>
      <c r="AD316" s="3037"/>
      <c r="AE316" s="941"/>
      <c r="AF316" s="941"/>
      <c r="AG316" s="941"/>
      <c r="AH316" s="941"/>
      <c r="AI316" s="941"/>
      <c r="AJ316" s="940"/>
      <c r="AK316" s="1023"/>
      <c r="AL316" s="1023"/>
      <c r="AM316" s="1023"/>
      <c r="AN316" s="110"/>
      <c r="AO316" s="51"/>
    </row>
    <row r="317" spans="1:60" ht="15" customHeight="1">
      <c r="A317" s="1057"/>
      <c r="B317" s="941"/>
      <c r="C317" s="941"/>
      <c r="D317" s="941"/>
      <c r="E317" s="941"/>
      <c r="F317" s="3035"/>
      <c r="G317" s="3036"/>
      <c r="H317" s="3036"/>
      <c r="I317" s="3036"/>
      <c r="J317" s="3036"/>
      <c r="K317" s="3036"/>
      <c r="L317" s="3036"/>
      <c r="M317" s="3036"/>
      <c r="N317" s="3036"/>
      <c r="O317" s="3036"/>
      <c r="P317" s="3036"/>
      <c r="Q317" s="3036"/>
      <c r="R317" s="3036"/>
      <c r="S317" s="3036"/>
      <c r="T317" s="3036"/>
      <c r="U317" s="3036"/>
      <c r="V317" s="3036"/>
      <c r="W317" s="3036"/>
      <c r="X317" s="3036"/>
      <c r="Y317" s="3036"/>
      <c r="Z317" s="3036"/>
      <c r="AA317" s="3036"/>
      <c r="AB317" s="3036"/>
      <c r="AC317" s="3036"/>
      <c r="AD317" s="3037"/>
      <c r="AE317" s="941"/>
      <c r="AF317" s="941"/>
      <c r="AG317" s="941"/>
      <c r="AH317" s="941"/>
      <c r="AI317" s="941"/>
      <c r="AJ317" s="940"/>
      <c r="AK317" s="1023"/>
      <c r="AL317" s="1023"/>
      <c r="AM317" s="1098"/>
      <c r="AN317" s="112"/>
      <c r="AO317" s="51"/>
    </row>
    <row r="318" spans="1:60" s="1059" customFormat="1">
      <c r="A318" s="1057"/>
      <c r="B318" s="941"/>
      <c r="C318" s="1023"/>
      <c r="D318" s="941"/>
      <c r="E318" s="1023"/>
      <c r="F318" s="1099" t="s">
        <v>1662</v>
      </c>
      <c r="G318" s="1100"/>
      <c r="H318" s="1100"/>
      <c r="I318" s="1100"/>
      <c r="J318" s="1100"/>
      <c r="K318" s="1100"/>
      <c r="L318" s="1100"/>
      <c r="M318" s="1100"/>
      <c r="N318" s="1100"/>
      <c r="O318" s="1100"/>
      <c r="P318" s="1100"/>
      <c r="Q318" s="1100"/>
      <c r="R318" s="1100"/>
      <c r="S318" s="1100"/>
      <c r="T318" s="1100"/>
      <c r="U318" s="1100"/>
      <c r="V318" s="1100"/>
      <c r="W318" s="1100"/>
      <c r="X318" s="1100"/>
      <c r="Y318" s="1100"/>
      <c r="Z318" s="1100"/>
      <c r="AA318" s="1100"/>
      <c r="AB318" s="1100"/>
      <c r="AC318" s="1100"/>
      <c r="AD318" s="1101"/>
      <c r="AE318" s="941"/>
      <c r="AF318" s="941"/>
      <c r="AG318" s="941"/>
      <c r="AH318" s="941"/>
      <c r="AI318" s="941"/>
      <c r="AJ318" s="1023"/>
      <c r="AK318" s="1023"/>
      <c r="AL318" s="1023"/>
      <c r="AM318" s="1098"/>
      <c r="AN318" s="1102"/>
      <c r="AO318" s="1102"/>
      <c r="BD318" s="1061"/>
      <c r="BE318" s="1061"/>
      <c r="BF318" s="1061"/>
      <c r="BG318" s="1061"/>
      <c r="BH318" s="1061"/>
    </row>
    <row r="319" spans="1:60" s="1059" customFormat="1">
      <c r="A319" s="1057"/>
      <c r="B319" s="941"/>
      <c r="C319" s="1023"/>
      <c r="D319" s="941"/>
      <c r="E319" s="1023"/>
      <c r="F319" s="1103"/>
      <c r="G319" s="1103"/>
      <c r="H319" s="1103"/>
      <c r="I319" s="1103"/>
      <c r="J319" s="1103"/>
      <c r="K319" s="1103"/>
      <c r="L319" s="1103"/>
      <c r="M319" s="1103"/>
      <c r="N319" s="1103"/>
      <c r="O319" s="1103"/>
      <c r="P319" s="1103"/>
      <c r="Q319" s="1103"/>
      <c r="R319" s="1103"/>
      <c r="S319" s="1103"/>
      <c r="T319" s="1103"/>
      <c r="U319" s="1103"/>
      <c r="V319" s="1103"/>
      <c r="W319" s="1103"/>
      <c r="X319" s="1103"/>
      <c r="Y319" s="1103"/>
      <c r="Z319" s="1103"/>
      <c r="AA319" s="1103"/>
      <c r="AB319" s="1103"/>
      <c r="AC319" s="1103"/>
      <c r="AD319" s="1103"/>
      <c r="AE319" s="941"/>
      <c r="AF319" s="941"/>
      <c r="AG319" s="941"/>
      <c r="AH319" s="941"/>
      <c r="AI319" s="941"/>
      <c r="AJ319" s="1023"/>
      <c r="AK319" s="1023"/>
      <c r="AL319" s="1023"/>
      <c r="AM319" s="1098"/>
      <c r="AN319" s="1102"/>
      <c r="AO319" s="1102"/>
      <c r="BD319" s="1061"/>
      <c r="BE319" s="1061"/>
      <c r="BF319" s="1061"/>
      <c r="BG319" s="1061"/>
      <c r="BH319" s="1061"/>
    </row>
    <row r="320" spans="1:60" s="1059" customFormat="1" ht="13">
      <c r="A320" s="1014"/>
      <c r="B320" s="1104"/>
      <c r="C320" s="1104"/>
      <c r="D320" s="1104"/>
      <c r="E320" s="1104"/>
      <c r="F320" s="1104"/>
      <c r="G320" s="1104"/>
      <c r="H320" s="1104"/>
      <c r="I320" s="1104"/>
      <c r="J320" s="1104"/>
      <c r="K320" s="1104"/>
      <c r="L320" s="1104"/>
      <c r="M320" s="1104"/>
      <c r="N320" s="1104"/>
      <c r="O320" s="1104"/>
      <c r="P320" s="1104"/>
      <c r="Q320" s="1104"/>
      <c r="R320" s="1104"/>
      <c r="S320" s="1104"/>
      <c r="T320" s="1104"/>
      <c r="U320" s="1104"/>
      <c r="V320" s="1104"/>
      <c r="W320" s="1104"/>
      <c r="X320" s="1104"/>
      <c r="Y320" s="1104"/>
      <c r="Z320" s="1104"/>
      <c r="AA320" s="1104"/>
      <c r="AB320" s="1104"/>
      <c r="AC320" s="1105"/>
      <c r="AD320" s="1104"/>
      <c r="AE320" s="1015"/>
      <c r="AF320" s="1015"/>
      <c r="AG320" s="1015"/>
      <c r="AH320" s="1015"/>
      <c r="AI320" s="956"/>
      <c r="AJ320" s="956" t="s">
        <v>1663</v>
      </c>
      <c r="AK320" s="3100">
        <f>AP279</f>
        <v>9</v>
      </c>
      <c r="AL320" s="3101"/>
      <c r="AM320" s="3102"/>
      <c r="AN320" s="1102"/>
      <c r="AO320" s="1102"/>
      <c r="BD320" s="1061"/>
      <c r="BE320" s="1061"/>
      <c r="BF320" s="1061"/>
      <c r="BG320" s="1061"/>
      <c r="BH320" s="1061"/>
    </row>
    <row r="321" spans="1:42" s="1023" customFormat="1" ht="12.75" customHeight="1">
      <c r="A321" s="1020"/>
      <c r="B321" s="1020"/>
      <c r="C321" s="1020"/>
      <c r="D321" s="1057"/>
      <c r="E321" s="1057"/>
      <c r="AE321" s="1020"/>
      <c r="AF321" s="1020"/>
      <c r="AG321" s="1020"/>
      <c r="AH321" s="1020"/>
      <c r="AI321" s="1020"/>
      <c r="AJ321" s="1020"/>
      <c r="AK321" s="1020"/>
      <c r="AL321" s="1020"/>
      <c r="AM321" s="1098"/>
    </row>
    <row r="322" spans="1:42" s="940" customFormat="1" ht="12.75" customHeight="1">
      <c r="A322" s="1106"/>
      <c r="B322" s="1107"/>
      <c r="C322" s="1106"/>
      <c r="D322" s="1108"/>
      <c r="E322" s="1108"/>
      <c r="F322" s="1109"/>
      <c r="G322" s="1109"/>
      <c r="H322" s="1109"/>
      <c r="I322" s="1109"/>
      <c r="J322" s="1109"/>
      <c r="K322" s="1109"/>
      <c r="L322" s="1109"/>
      <c r="M322" s="1109"/>
      <c r="N322" s="1109"/>
      <c r="O322" s="1109"/>
      <c r="P322" s="1109"/>
      <c r="Q322" s="1109"/>
      <c r="R322" s="1109"/>
      <c r="S322" s="1109"/>
      <c r="T322" s="1109"/>
      <c r="U322" s="1109"/>
      <c r="V322" s="1109"/>
      <c r="W322" s="1109"/>
      <c r="X322" s="1109"/>
      <c r="Y322" s="1109"/>
      <c r="Z322" s="1109"/>
      <c r="AA322" s="1109"/>
      <c r="AB322" s="1109"/>
      <c r="AC322" s="1110"/>
      <c r="AD322" s="1110"/>
      <c r="AE322" s="1110"/>
      <c r="AF322" s="1107"/>
      <c r="AG322" s="1107"/>
      <c r="AH322" s="1107"/>
      <c r="AI322" s="1107"/>
      <c r="AJ322" s="1107"/>
      <c r="AK322" s="1107"/>
      <c r="AL322" s="1107"/>
      <c r="AM322" s="1111"/>
      <c r="AN322" s="997"/>
    </row>
    <row r="323" spans="1:42" s="940" customFormat="1" ht="12.75" customHeight="1">
      <c r="A323" s="1112"/>
      <c r="B323" s="929" t="s">
        <v>1664</v>
      </c>
      <c r="C323" s="1024"/>
      <c r="D323" s="1024"/>
      <c r="E323" s="1024"/>
      <c r="F323" s="1024"/>
      <c r="G323" s="1024"/>
      <c r="H323" s="1024"/>
      <c r="I323" s="1024"/>
      <c r="J323" s="1024"/>
      <c r="K323" s="1024"/>
      <c r="L323" s="1024"/>
      <c r="M323" s="1024"/>
      <c r="N323" s="1024"/>
      <c r="O323" s="1024"/>
      <c r="P323" s="1024"/>
      <c r="Q323" s="1024"/>
      <c r="R323" s="1024"/>
      <c r="S323" s="1024"/>
      <c r="T323" s="1024"/>
      <c r="U323" s="1024"/>
      <c r="V323" s="1024"/>
      <c r="W323" s="1024"/>
      <c r="X323" s="1024"/>
      <c r="Y323" s="1024"/>
      <c r="Z323" s="1024"/>
      <c r="AA323" s="1024"/>
      <c r="AB323" s="1024"/>
      <c r="AC323" s="1024"/>
      <c r="AD323" s="1024"/>
      <c r="AE323" s="3090" t="s">
        <v>1577</v>
      </c>
      <c r="AF323" s="3090"/>
      <c r="AG323" s="3090"/>
      <c r="AH323" s="3090"/>
      <c r="AI323" s="3090"/>
      <c r="AJ323" s="3090"/>
      <c r="AK323" s="3090"/>
      <c r="AL323" s="1031"/>
      <c r="AM323" s="1024"/>
      <c r="AN323" s="997"/>
    </row>
    <row r="324" spans="1:42" s="940" customFormat="1" ht="12.75" customHeight="1">
      <c r="C324" s="1024"/>
      <c r="D324" s="1024"/>
      <c r="E324" s="1024"/>
      <c r="F324" s="1024"/>
      <c r="G324" s="1024"/>
      <c r="H324" s="1024"/>
      <c r="I324" s="1024"/>
      <c r="J324" s="1024"/>
      <c r="K324" s="1024"/>
      <c r="L324" s="1024"/>
      <c r="M324" s="1024"/>
      <c r="N324" s="1024"/>
      <c r="O324" s="1024"/>
      <c r="P324" s="1024"/>
      <c r="Q324" s="1024"/>
      <c r="R324" s="1024"/>
      <c r="S324" s="1024"/>
      <c r="T324" s="1024"/>
      <c r="U324" s="1024"/>
      <c r="V324" s="1024"/>
      <c r="W324" s="1024"/>
      <c r="X324" s="1024"/>
      <c r="Y324" s="1024"/>
      <c r="Z324" s="1024"/>
      <c r="AA324" s="1024"/>
      <c r="AB324" s="1024"/>
      <c r="AC324" s="1024"/>
      <c r="AD324" s="1024"/>
      <c r="AE324" s="1024"/>
      <c r="AF324" s="1024"/>
      <c r="AG324" s="1024"/>
      <c r="AH324" s="1024"/>
      <c r="AI324" s="1024"/>
      <c r="AJ324" s="1024"/>
      <c r="AK324" s="1024"/>
      <c r="AL324" s="1024"/>
      <c r="AM324" s="1024"/>
      <c r="AN324" s="997"/>
    </row>
    <row r="325" spans="1:42" s="940" customFormat="1" ht="12.75" customHeight="1">
      <c r="A325" s="1024"/>
      <c r="B325" s="3121" t="s">
        <v>2109</v>
      </c>
      <c r="C325" s="3121"/>
      <c r="D325" s="3121"/>
      <c r="E325" s="3121"/>
      <c r="F325" s="3121"/>
      <c r="G325" s="3121"/>
      <c r="H325" s="3121"/>
      <c r="I325" s="3121"/>
      <c r="J325" s="3121"/>
      <c r="K325" s="3121"/>
      <c r="L325" s="3121"/>
      <c r="M325" s="3121"/>
      <c r="N325" s="3121"/>
      <c r="O325" s="3121"/>
      <c r="P325" s="3121"/>
      <c r="Q325" s="3121"/>
      <c r="R325" s="3121"/>
      <c r="S325" s="3121"/>
      <c r="T325" s="3121"/>
      <c r="U325" s="3121"/>
      <c r="V325" s="3121"/>
      <c r="W325" s="3121"/>
      <c r="X325" s="3121"/>
      <c r="Y325" s="3121"/>
      <c r="Z325" s="3121"/>
      <c r="AA325" s="3121"/>
      <c r="AB325" s="3121"/>
      <c r="AC325" s="3121"/>
      <c r="AD325" s="3121"/>
      <c r="AE325" s="3121"/>
      <c r="AF325" s="3121"/>
      <c r="AG325" s="3121"/>
      <c r="AH325" s="3121"/>
      <c r="AI325" s="3121"/>
      <c r="AJ325" s="3121"/>
      <c r="AK325" s="1075"/>
      <c r="AL325" s="964"/>
      <c r="AM325" s="1024"/>
      <c r="AN325" s="997"/>
    </row>
    <row r="326" spans="1:42" s="940" customFormat="1" ht="12.75" customHeight="1">
      <c r="A326" s="1024"/>
      <c r="B326" s="3121"/>
      <c r="C326" s="3121"/>
      <c r="D326" s="3121"/>
      <c r="E326" s="3121"/>
      <c r="F326" s="3121"/>
      <c r="G326" s="3121"/>
      <c r="H326" s="3121"/>
      <c r="I326" s="3121"/>
      <c r="J326" s="3121"/>
      <c r="K326" s="3121"/>
      <c r="L326" s="3121"/>
      <c r="M326" s="3121"/>
      <c r="N326" s="3121"/>
      <c r="O326" s="3121"/>
      <c r="P326" s="3121"/>
      <c r="Q326" s="3121"/>
      <c r="R326" s="3121"/>
      <c r="S326" s="3121"/>
      <c r="T326" s="3121"/>
      <c r="U326" s="3121"/>
      <c r="V326" s="3121"/>
      <c r="W326" s="3121"/>
      <c r="X326" s="3121"/>
      <c r="Y326" s="3121"/>
      <c r="Z326" s="3121"/>
      <c r="AA326" s="3121"/>
      <c r="AB326" s="3121"/>
      <c r="AC326" s="3121"/>
      <c r="AD326" s="3121"/>
      <c r="AE326" s="3121"/>
      <c r="AF326" s="3121"/>
      <c r="AG326" s="3121"/>
      <c r="AH326" s="3121"/>
      <c r="AI326" s="3121"/>
      <c r="AJ326" s="3121"/>
      <c r="AK326" s="1075"/>
      <c r="AL326" s="964"/>
      <c r="AM326" s="1024"/>
      <c r="AN326" s="997"/>
    </row>
    <row r="327" spans="1:42" s="940" customFormat="1" ht="12.75" customHeight="1">
      <c r="A327" s="1024"/>
      <c r="B327" s="3121"/>
      <c r="C327" s="3121"/>
      <c r="D327" s="3121"/>
      <c r="E327" s="3121"/>
      <c r="F327" s="3121"/>
      <c r="G327" s="3121"/>
      <c r="H327" s="3121"/>
      <c r="I327" s="3121"/>
      <c r="J327" s="3121"/>
      <c r="K327" s="3121"/>
      <c r="L327" s="3121"/>
      <c r="M327" s="3121"/>
      <c r="N327" s="3121"/>
      <c r="O327" s="3121"/>
      <c r="P327" s="3121"/>
      <c r="Q327" s="3121"/>
      <c r="R327" s="3121"/>
      <c r="S327" s="3121"/>
      <c r="T327" s="3121"/>
      <c r="U327" s="3121"/>
      <c r="V327" s="3121"/>
      <c r="W327" s="3121"/>
      <c r="X327" s="3121"/>
      <c r="Y327" s="3121"/>
      <c r="Z327" s="3121"/>
      <c r="AA327" s="3121"/>
      <c r="AB327" s="3121"/>
      <c r="AC327" s="3121"/>
      <c r="AD327" s="3121"/>
      <c r="AE327" s="3121"/>
      <c r="AF327" s="3121"/>
      <c r="AG327" s="3121"/>
      <c r="AH327" s="3121"/>
      <c r="AI327" s="3121"/>
      <c r="AJ327" s="3121"/>
      <c r="AK327" s="1075"/>
      <c r="AL327" s="964"/>
      <c r="AM327" s="1024"/>
      <c r="AN327" s="997"/>
    </row>
    <row r="328" spans="1:42" s="940" customFormat="1" ht="12.75" customHeight="1">
      <c r="A328" s="1024"/>
      <c r="B328" s="3121"/>
      <c r="C328" s="3121"/>
      <c r="D328" s="3121"/>
      <c r="E328" s="3121"/>
      <c r="F328" s="3121"/>
      <c r="G328" s="3121"/>
      <c r="H328" s="3121"/>
      <c r="I328" s="3121"/>
      <c r="J328" s="3121"/>
      <c r="K328" s="3121"/>
      <c r="L328" s="3121"/>
      <c r="M328" s="3121"/>
      <c r="N328" s="3121"/>
      <c r="O328" s="3121"/>
      <c r="P328" s="3121"/>
      <c r="Q328" s="3121"/>
      <c r="R328" s="3121"/>
      <c r="S328" s="3121"/>
      <c r="T328" s="3121"/>
      <c r="U328" s="3121"/>
      <c r="V328" s="3121"/>
      <c r="W328" s="3121"/>
      <c r="X328" s="3121"/>
      <c r="Y328" s="3121"/>
      <c r="Z328" s="3121"/>
      <c r="AA328" s="3121"/>
      <c r="AB328" s="3121"/>
      <c r="AC328" s="3121"/>
      <c r="AD328" s="3121"/>
      <c r="AE328" s="3121"/>
      <c r="AF328" s="3121"/>
      <c r="AG328" s="3121"/>
      <c r="AH328" s="3121"/>
      <c r="AI328" s="3121"/>
      <c r="AJ328" s="3121"/>
      <c r="AK328" s="1075"/>
      <c r="AL328" s="964"/>
      <c r="AM328" s="1024"/>
      <c r="AN328" s="997"/>
    </row>
    <row r="329" spans="1:42" s="940" customFormat="1" ht="12.75" customHeight="1">
      <c r="A329" s="1024"/>
      <c r="B329" s="3121"/>
      <c r="C329" s="3121"/>
      <c r="D329" s="3121"/>
      <c r="E329" s="3121"/>
      <c r="F329" s="3121"/>
      <c r="G329" s="3121"/>
      <c r="H329" s="3121"/>
      <c r="I329" s="3121"/>
      <c r="J329" s="3121"/>
      <c r="K329" s="3121"/>
      <c r="L329" s="3121"/>
      <c r="M329" s="3121"/>
      <c r="N329" s="3121"/>
      <c r="O329" s="3121"/>
      <c r="P329" s="3121"/>
      <c r="Q329" s="3121"/>
      <c r="R329" s="3121"/>
      <c r="S329" s="3121"/>
      <c r="T329" s="3121"/>
      <c r="U329" s="3121"/>
      <c r="V329" s="3121"/>
      <c r="W329" s="3121"/>
      <c r="X329" s="3121"/>
      <c r="Y329" s="3121"/>
      <c r="Z329" s="3121"/>
      <c r="AA329" s="3121"/>
      <c r="AB329" s="3121"/>
      <c r="AC329" s="3121"/>
      <c r="AD329" s="3121"/>
      <c r="AE329" s="3121"/>
      <c r="AF329" s="3121"/>
      <c r="AG329" s="3121"/>
      <c r="AH329" s="3121"/>
      <c r="AI329" s="3121"/>
      <c r="AJ329" s="3121"/>
      <c r="AK329" s="1075"/>
      <c r="AL329" s="964"/>
      <c r="AM329" s="1024"/>
      <c r="AN329" s="997"/>
    </row>
    <row r="330" spans="1:42" s="940" customFormat="1" ht="12.75" customHeight="1">
      <c r="A330" s="1024"/>
      <c r="B330" s="3121"/>
      <c r="C330" s="3121"/>
      <c r="D330" s="3121"/>
      <c r="E330" s="3121"/>
      <c r="F330" s="3121"/>
      <c r="G330" s="3121"/>
      <c r="H330" s="3121"/>
      <c r="I330" s="3121"/>
      <c r="J330" s="3121"/>
      <c r="K330" s="3121"/>
      <c r="L330" s="3121"/>
      <c r="M330" s="3121"/>
      <c r="N330" s="3121"/>
      <c r="O330" s="3121"/>
      <c r="P330" s="3121"/>
      <c r="Q330" s="3121"/>
      <c r="R330" s="3121"/>
      <c r="S330" s="3121"/>
      <c r="T330" s="3121"/>
      <c r="U330" s="3121"/>
      <c r="V330" s="3121"/>
      <c r="W330" s="3121"/>
      <c r="X330" s="3121"/>
      <c r="Y330" s="3121"/>
      <c r="Z330" s="3121"/>
      <c r="AA330" s="3121"/>
      <c r="AB330" s="3121"/>
      <c r="AC330" s="3121"/>
      <c r="AD330" s="3121"/>
      <c r="AE330" s="3121"/>
      <c r="AF330" s="3121"/>
      <c r="AG330" s="3121"/>
      <c r="AH330" s="3121"/>
      <c r="AI330" s="3121"/>
      <c r="AJ330" s="3121"/>
      <c r="AK330" s="1075"/>
      <c r="AL330" s="964"/>
      <c r="AM330" s="1024"/>
      <c r="AN330" s="997"/>
    </row>
    <row r="331" spans="1:42" s="940" customFormat="1" ht="12.75" customHeight="1">
      <c r="A331" s="1024"/>
      <c r="B331" s="3121"/>
      <c r="C331" s="3121"/>
      <c r="D331" s="3121"/>
      <c r="E331" s="3121"/>
      <c r="F331" s="3121"/>
      <c r="G331" s="3121"/>
      <c r="H331" s="3121"/>
      <c r="I331" s="3121"/>
      <c r="J331" s="3121"/>
      <c r="K331" s="3121"/>
      <c r="L331" s="3121"/>
      <c r="M331" s="3121"/>
      <c r="N331" s="3121"/>
      <c r="O331" s="3121"/>
      <c r="P331" s="3121"/>
      <c r="Q331" s="3121"/>
      <c r="R331" s="3121"/>
      <c r="S331" s="3121"/>
      <c r="T331" s="3121"/>
      <c r="U331" s="3121"/>
      <c r="V331" s="3121"/>
      <c r="W331" s="3121"/>
      <c r="X331" s="3121"/>
      <c r="Y331" s="3121"/>
      <c r="Z331" s="3121"/>
      <c r="AA331" s="3121"/>
      <c r="AB331" s="3121"/>
      <c r="AC331" s="3121"/>
      <c r="AD331" s="3121"/>
      <c r="AE331" s="3121"/>
      <c r="AF331" s="3121"/>
      <c r="AG331" s="3121"/>
      <c r="AH331" s="3121"/>
      <c r="AI331" s="3121"/>
      <c r="AJ331" s="3121"/>
      <c r="AK331" s="1075"/>
      <c r="AL331" s="964"/>
      <c r="AM331" s="1024"/>
      <c r="AN331" s="997"/>
    </row>
    <row r="332" spans="1:42" ht="12.75" customHeight="1">
      <c r="A332" s="1024"/>
      <c r="B332" s="3121"/>
      <c r="C332" s="3121"/>
      <c r="D332" s="3121"/>
      <c r="E332" s="3121"/>
      <c r="F332" s="3121"/>
      <c r="G332" s="3121"/>
      <c r="H332" s="3121"/>
      <c r="I332" s="3121"/>
      <c r="J332" s="3121"/>
      <c r="K332" s="3121"/>
      <c r="L332" s="3121"/>
      <c r="M332" s="3121"/>
      <c r="N332" s="3121"/>
      <c r="O332" s="3121"/>
      <c r="P332" s="3121"/>
      <c r="Q332" s="3121"/>
      <c r="R332" s="3121"/>
      <c r="S332" s="3121"/>
      <c r="T332" s="3121"/>
      <c r="U332" s="3121"/>
      <c r="V332" s="3121"/>
      <c r="W332" s="3121"/>
      <c r="X332" s="3121"/>
      <c r="Y332" s="3121"/>
      <c r="Z332" s="3121"/>
      <c r="AA332" s="3121"/>
      <c r="AB332" s="3121"/>
      <c r="AC332" s="3121"/>
      <c r="AD332" s="3121"/>
      <c r="AE332" s="3121"/>
      <c r="AF332" s="3121"/>
      <c r="AG332" s="3121"/>
      <c r="AH332" s="3121"/>
      <c r="AI332" s="3121"/>
      <c r="AJ332" s="3121"/>
      <c r="AK332" s="1075"/>
      <c r="AL332" s="964"/>
      <c r="AM332" s="1024"/>
    </row>
    <row r="333" spans="1:42" s="940" customFormat="1" ht="12.75" customHeight="1">
      <c r="A333" s="1057"/>
      <c r="B333" s="3121"/>
      <c r="C333" s="3121"/>
      <c r="D333" s="3121"/>
      <c r="E333" s="3121"/>
      <c r="F333" s="3121"/>
      <c r="G333" s="3121"/>
      <c r="H333" s="3121"/>
      <c r="I333" s="3121"/>
      <c r="J333" s="3121"/>
      <c r="K333" s="3121"/>
      <c r="L333" s="3121"/>
      <c r="M333" s="3121"/>
      <c r="N333" s="3121"/>
      <c r="O333" s="3121"/>
      <c r="P333" s="3121"/>
      <c r="Q333" s="3121"/>
      <c r="R333" s="3121"/>
      <c r="S333" s="3121"/>
      <c r="T333" s="3121"/>
      <c r="U333" s="3121"/>
      <c r="V333" s="3121"/>
      <c r="W333" s="3121"/>
      <c r="X333" s="3121"/>
      <c r="Y333" s="3121"/>
      <c r="Z333" s="3121"/>
      <c r="AA333" s="3121"/>
      <c r="AB333" s="3121"/>
      <c r="AC333" s="3121"/>
      <c r="AD333" s="3121"/>
      <c r="AE333" s="3121"/>
      <c r="AF333" s="3121"/>
      <c r="AG333" s="3121"/>
      <c r="AH333" s="3121"/>
      <c r="AI333" s="3121"/>
      <c r="AJ333" s="3121"/>
      <c r="AK333" s="1075"/>
      <c r="AL333" s="964"/>
      <c r="AM333" s="1023"/>
      <c r="AN333" s="997"/>
    </row>
    <row r="334" spans="1:42" s="940" customFormat="1" ht="12.75" customHeight="1">
      <c r="A334" s="1057"/>
      <c r="B334" s="1075"/>
      <c r="C334" s="1075"/>
      <c r="D334" s="1075"/>
      <c r="E334" s="1075"/>
      <c r="F334" s="1075"/>
      <c r="G334" s="1075"/>
      <c r="H334" s="1075"/>
      <c r="I334" s="1075"/>
      <c r="J334" s="1075"/>
      <c r="K334" s="1075"/>
      <c r="L334" s="1075"/>
      <c r="M334" s="1075"/>
      <c r="N334" s="1075"/>
      <c r="O334" s="1075"/>
      <c r="P334" s="1075"/>
      <c r="Q334" s="1075"/>
      <c r="R334" s="1075"/>
      <c r="S334" s="1075"/>
      <c r="T334" s="1075"/>
      <c r="U334" s="1075"/>
      <c r="V334" s="1075"/>
      <c r="W334" s="1075"/>
      <c r="X334" s="1075"/>
      <c r="Y334" s="1075"/>
      <c r="Z334" s="1075"/>
      <c r="AA334" s="1075"/>
      <c r="AB334" s="1075"/>
      <c r="AC334" s="1075"/>
      <c r="AD334" s="1075"/>
      <c r="AE334" s="1075"/>
      <c r="AF334" s="1075"/>
      <c r="AG334" s="1075"/>
      <c r="AH334" s="1075"/>
      <c r="AI334" s="1075"/>
      <c r="AJ334" s="1075"/>
      <c r="AK334" s="1075"/>
      <c r="AL334" s="964"/>
      <c r="AM334" s="1023"/>
      <c r="AN334" s="997"/>
    </row>
    <row r="335" spans="1:42" s="940" customFormat="1" ht="12.75" customHeight="1">
      <c r="A335" s="1057"/>
      <c r="B335" s="1103" t="s">
        <v>1665</v>
      </c>
      <c r="C335" s="1113"/>
      <c r="D335" s="964"/>
      <c r="E335" s="964"/>
      <c r="F335" s="964"/>
      <c r="G335" s="964"/>
      <c r="H335" s="964"/>
      <c r="I335" s="964"/>
      <c r="J335" s="964"/>
      <c r="K335" s="964"/>
      <c r="L335" s="964"/>
      <c r="M335" s="964"/>
      <c r="N335" s="964"/>
      <c r="O335" s="964"/>
      <c r="P335" s="964"/>
      <c r="Q335" s="964"/>
      <c r="R335" s="964"/>
      <c r="S335" s="964"/>
      <c r="T335" s="964"/>
      <c r="U335" s="964"/>
      <c r="V335" s="964"/>
      <c r="W335" s="964"/>
      <c r="X335" s="964"/>
      <c r="Y335" s="964"/>
      <c r="Z335" s="964"/>
      <c r="AA335" s="964"/>
      <c r="AB335" s="964"/>
      <c r="AC335" s="964"/>
      <c r="AD335" s="964"/>
      <c r="AE335" s="964"/>
      <c r="AF335" s="964"/>
      <c r="AG335" s="964"/>
      <c r="AH335" s="964"/>
      <c r="AI335" s="964"/>
      <c r="AK335" s="1023"/>
      <c r="AL335" s="1023"/>
      <c r="AM335" s="1023"/>
      <c r="AN335" s="997"/>
      <c r="AP335" s="940" t="s">
        <v>624</v>
      </c>
    </row>
    <row r="336" spans="1:42" s="940" customFormat="1" ht="12.75" customHeight="1">
      <c r="A336" s="1057"/>
      <c r="B336" s="927"/>
      <c r="C336" s="1113"/>
      <c r="D336" s="964"/>
      <c r="E336" s="964"/>
      <c r="F336" s="964"/>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K336" s="1023"/>
      <c r="AL336" s="1023"/>
      <c r="AM336" s="1023"/>
      <c r="AN336" s="997"/>
      <c r="AP336" s="940" t="s">
        <v>576</v>
      </c>
    </row>
    <row r="337" spans="1:42" s="940" customFormat="1" ht="12.75" customHeight="1">
      <c r="A337" s="1057"/>
      <c r="B337" s="1057"/>
      <c r="C337" s="983" t="s">
        <v>1666</v>
      </c>
      <c r="D337" s="1114"/>
      <c r="E337" s="964"/>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K337" s="1023"/>
      <c r="AL337" s="1023"/>
      <c r="AM337" s="1023"/>
      <c r="AN337" s="997"/>
    </row>
    <row r="338" spans="1:42" s="940" customFormat="1" ht="12.75" customHeight="1">
      <c r="A338" s="1057"/>
      <c r="B338" s="1020"/>
      <c r="C338" s="1003"/>
      <c r="D338" s="1503"/>
      <c r="E338" s="1502"/>
      <c r="F338" s="1502"/>
      <c r="G338" s="1502"/>
      <c r="H338" s="1502"/>
      <c r="I338" s="1502"/>
      <c r="J338" s="1502"/>
      <c r="K338" s="1502"/>
      <c r="L338" s="1502"/>
      <c r="M338" s="1502"/>
      <c r="N338" s="1502"/>
      <c r="O338" s="1502"/>
      <c r="P338" s="1502"/>
      <c r="Q338" s="1502"/>
      <c r="R338" s="1502"/>
      <c r="S338" s="1502"/>
      <c r="T338" s="1502"/>
      <c r="U338" s="1502"/>
      <c r="V338" s="1502"/>
      <c r="W338" s="1502"/>
      <c r="X338" s="1502"/>
      <c r="Y338" s="1502"/>
      <c r="Z338" s="1502"/>
      <c r="AA338" s="1502"/>
      <c r="AB338" s="1502"/>
      <c r="AC338" s="1502"/>
      <c r="AD338" s="1502"/>
      <c r="AE338" s="1502"/>
      <c r="AF338" s="924"/>
      <c r="AG338" s="924"/>
      <c r="AH338" s="924"/>
      <c r="AI338" s="924"/>
      <c r="AJ338" s="924"/>
      <c r="AK338" s="924"/>
      <c r="AL338" s="924"/>
      <c r="AM338" s="1023"/>
      <c r="AN338" s="997"/>
    </row>
    <row r="339" spans="1:42" s="940" customFormat="1" ht="12.75" customHeight="1">
      <c r="A339" s="1057"/>
      <c r="B339" s="924"/>
      <c r="C339" s="924"/>
      <c r="D339" s="1103" t="s">
        <v>723</v>
      </c>
      <c r="E339" s="1541" t="s">
        <v>2114</v>
      </c>
      <c r="F339" s="1075"/>
      <c r="G339" s="1075"/>
      <c r="H339" s="1075"/>
      <c r="I339" s="1075"/>
      <c r="J339" s="1075"/>
      <c r="K339" s="1075"/>
      <c r="L339" s="1075"/>
      <c r="M339" s="1075"/>
      <c r="N339" s="1075"/>
      <c r="O339" s="1075"/>
      <c r="P339" s="1075"/>
      <c r="Q339" s="1075"/>
      <c r="R339" s="1075"/>
      <c r="S339" s="1075"/>
      <c r="T339" s="1075"/>
      <c r="U339" s="1075"/>
      <c r="V339" s="1075"/>
      <c r="W339" s="1075"/>
      <c r="X339" s="1075"/>
      <c r="Y339" s="1075"/>
      <c r="Z339" s="1075"/>
      <c r="AA339" s="1075"/>
      <c r="AB339" s="1075"/>
      <c r="AC339" s="924"/>
      <c r="AD339" s="924"/>
      <c r="AE339" s="924"/>
      <c r="AF339" s="3076" t="s">
        <v>1601</v>
      </c>
      <c r="AG339" s="3076"/>
      <c r="AH339" s="3076"/>
      <c r="AI339" s="3076"/>
      <c r="AJ339" s="3076"/>
      <c r="AK339" s="3076"/>
      <c r="AL339" s="3076"/>
      <c r="AM339" s="1023"/>
      <c r="AN339" s="997"/>
    </row>
    <row r="340" spans="1:42" s="940" customFormat="1" ht="12.75" customHeight="1">
      <c r="A340" s="1023"/>
      <c r="B340" s="1003"/>
      <c r="C340" s="1032"/>
      <c r="D340" s="1103"/>
      <c r="E340" s="1541" t="s">
        <v>2115</v>
      </c>
      <c r="F340" s="1075"/>
      <c r="G340" s="1075"/>
      <c r="H340" s="1075"/>
      <c r="I340" s="1075"/>
      <c r="J340" s="1075"/>
      <c r="K340" s="1075"/>
      <c r="L340" s="1075"/>
      <c r="M340" s="1075"/>
      <c r="N340" s="1075"/>
      <c r="O340" s="1075"/>
      <c r="P340" s="1075"/>
      <c r="Q340" s="1075"/>
      <c r="R340" s="1075"/>
      <c r="S340" s="1075"/>
      <c r="T340" s="1075"/>
      <c r="U340" s="1075"/>
      <c r="V340" s="1075"/>
      <c r="W340" s="1075"/>
      <c r="X340" s="1075"/>
      <c r="Y340" s="1075"/>
      <c r="Z340" s="1075"/>
      <c r="AA340" s="1075"/>
      <c r="AB340" s="1075"/>
      <c r="AC340" s="924"/>
      <c r="AD340" s="924"/>
      <c r="AE340" s="1032"/>
      <c r="AF340" s="1032"/>
      <c r="AG340" s="1032"/>
      <c r="AH340" s="1032"/>
      <c r="AI340" s="1032"/>
      <c r="AJ340" s="1032"/>
      <c r="AK340" s="1032"/>
      <c r="AL340" s="1032"/>
      <c r="AM340" s="1023"/>
      <c r="AN340" s="997"/>
    </row>
    <row r="341" spans="1:42" s="940" customFormat="1" ht="12.75" customHeight="1">
      <c r="A341" s="1023"/>
      <c r="B341" s="1003"/>
      <c r="C341" s="1032"/>
      <c r="D341" s="1103"/>
      <c r="E341" s="1541" t="s">
        <v>2116</v>
      </c>
      <c r="F341" s="1075"/>
      <c r="G341" s="1075"/>
      <c r="H341" s="1075"/>
      <c r="I341" s="1075"/>
      <c r="J341" s="1075"/>
      <c r="K341" s="1075"/>
      <c r="L341" s="1075"/>
      <c r="M341" s="1075"/>
      <c r="N341" s="1075"/>
      <c r="O341" s="1075"/>
      <c r="P341" s="1075"/>
      <c r="Q341" s="1075"/>
      <c r="R341" s="1075"/>
      <c r="S341" s="1075"/>
      <c r="T341" s="1075"/>
      <c r="U341" s="1075"/>
      <c r="V341" s="1075"/>
      <c r="W341" s="1075"/>
      <c r="X341" s="1075"/>
      <c r="Y341" s="1075"/>
      <c r="Z341" s="1075"/>
      <c r="AA341" s="1075"/>
      <c r="AB341" s="1075"/>
      <c r="AC341" s="924"/>
      <c r="AD341" s="924"/>
      <c r="AE341" s="1032"/>
      <c r="AF341" s="1032"/>
      <c r="AG341" s="1032"/>
      <c r="AH341" s="1032"/>
      <c r="AI341" s="1032"/>
      <c r="AJ341" s="1032"/>
      <c r="AK341" s="1032"/>
      <c r="AL341" s="1032"/>
      <c r="AM341" s="1023"/>
      <c r="AN341" s="997"/>
    </row>
    <row r="342" spans="1:42" s="940" customFormat="1" ht="12.75" customHeight="1">
      <c r="A342" s="1023"/>
      <c r="B342" s="1003"/>
      <c r="C342" s="1032"/>
      <c r="D342" s="1103"/>
      <c r="E342" s="1541" t="s">
        <v>2117</v>
      </c>
      <c r="F342" s="1075"/>
      <c r="G342" s="1075"/>
      <c r="H342" s="1075"/>
      <c r="I342" s="1075"/>
      <c r="J342" s="1075"/>
      <c r="K342" s="1075"/>
      <c r="L342" s="1075"/>
      <c r="M342" s="1075"/>
      <c r="N342" s="1075"/>
      <c r="O342" s="1075"/>
      <c r="P342" s="1075"/>
      <c r="Q342" s="1075"/>
      <c r="R342" s="1075"/>
      <c r="S342" s="1075"/>
      <c r="T342" s="1075"/>
      <c r="U342" s="1075"/>
      <c r="V342" s="1075"/>
      <c r="W342" s="1075"/>
      <c r="X342" s="1075"/>
      <c r="Y342" s="1075"/>
      <c r="Z342" s="1075"/>
      <c r="AA342" s="1075"/>
      <c r="AB342" s="1075"/>
      <c r="AC342" s="924"/>
      <c r="AD342" s="924"/>
      <c r="AE342" s="1032"/>
      <c r="AF342" s="1032"/>
      <c r="AG342" s="1032"/>
      <c r="AH342" s="1032"/>
      <c r="AI342" s="1032"/>
      <c r="AJ342" s="1032"/>
      <c r="AK342" s="1032"/>
      <c r="AL342" s="1032"/>
      <c r="AM342" s="1023"/>
      <c r="AN342" s="997"/>
    </row>
    <row r="343" spans="1:42" s="940" customFormat="1" ht="12.75" customHeight="1">
      <c r="A343" s="1023"/>
      <c r="B343" s="1003"/>
      <c r="C343" s="1032"/>
      <c r="D343" s="1103"/>
      <c r="E343" s="1541" t="s">
        <v>2118</v>
      </c>
      <c r="F343" s="1075"/>
      <c r="G343" s="1075"/>
      <c r="H343" s="1075"/>
      <c r="I343" s="1075"/>
      <c r="J343" s="1075"/>
      <c r="K343" s="1075"/>
      <c r="L343" s="1075"/>
      <c r="M343" s="1075"/>
      <c r="N343" s="1075"/>
      <c r="O343" s="1075"/>
      <c r="P343" s="1075"/>
      <c r="Q343" s="1075"/>
      <c r="R343" s="1075"/>
      <c r="S343" s="1075"/>
      <c r="T343" s="1075"/>
      <c r="U343" s="1075"/>
      <c r="V343" s="1075"/>
      <c r="W343" s="1075"/>
      <c r="X343" s="1075"/>
      <c r="Y343" s="1075"/>
      <c r="Z343" s="1075"/>
      <c r="AA343" s="1075"/>
      <c r="AB343" s="1075"/>
      <c r="AC343" s="924"/>
      <c r="AD343" s="924"/>
      <c r="AE343" s="1032"/>
      <c r="AF343" s="1032"/>
      <c r="AG343" s="1032"/>
      <c r="AH343" s="1032"/>
      <c r="AI343" s="1032"/>
      <c r="AJ343" s="1032"/>
      <c r="AK343" s="1032"/>
      <c r="AL343" s="1032"/>
      <c r="AM343" s="1023"/>
      <c r="AN343" s="997"/>
    </row>
    <row r="344" spans="1:42" s="940" customFormat="1" ht="12.75" customHeight="1">
      <c r="A344" s="1023"/>
      <c r="B344" s="1003"/>
      <c r="C344" s="1032"/>
      <c r="D344" s="1103"/>
      <c r="E344" s="1541" t="s">
        <v>2119</v>
      </c>
      <c r="F344" s="1075"/>
      <c r="G344" s="1075"/>
      <c r="H344" s="1075"/>
      <c r="I344" s="1075"/>
      <c r="J344" s="1075"/>
      <c r="K344" s="1075"/>
      <c r="L344" s="1075"/>
      <c r="M344" s="1075"/>
      <c r="N344" s="1075"/>
      <c r="O344" s="1075"/>
      <c r="P344" s="1075"/>
      <c r="Q344" s="1075"/>
      <c r="R344" s="1075"/>
      <c r="S344" s="1075"/>
      <c r="T344" s="1075"/>
      <c r="U344" s="1075"/>
      <c r="V344" s="1075"/>
      <c r="W344" s="1075"/>
      <c r="X344" s="1075"/>
      <c r="Y344" s="1075"/>
      <c r="Z344" s="1075"/>
      <c r="AA344" s="1075"/>
      <c r="AB344" s="1075"/>
      <c r="AC344" s="924"/>
      <c r="AD344" s="924"/>
      <c r="AE344" s="1032"/>
      <c r="AF344" s="1032"/>
      <c r="AG344" s="1032"/>
      <c r="AH344" s="1032"/>
      <c r="AI344" s="1032"/>
      <c r="AJ344" s="1032"/>
      <c r="AK344" s="1032"/>
      <c r="AL344" s="1032"/>
      <c r="AM344" s="1023"/>
      <c r="AN344" s="997"/>
    </row>
    <row r="345" spans="1:42" s="999" customFormat="1" ht="12.75" customHeight="1">
      <c r="A345" s="1023"/>
      <c r="B345" s="1003"/>
      <c r="C345" s="1032"/>
      <c r="D345" s="1103"/>
      <c r="E345" s="1541"/>
      <c r="F345" s="1075"/>
      <c r="G345" s="1075"/>
      <c r="H345" s="1075"/>
      <c r="I345" s="1075"/>
      <c r="J345" s="1075"/>
      <c r="K345" s="1075"/>
      <c r="L345" s="1075"/>
      <c r="M345" s="1075"/>
      <c r="N345" s="1075"/>
      <c r="O345" s="1075"/>
      <c r="P345" s="1075"/>
      <c r="Q345" s="1075"/>
      <c r="R345" s="1075"/>
      <c r="S345" s="1075"/>
      <c r="T345" s="1075"/>
      <c r="U345" s="1075"/>
      <c r="V345" s="1075"/>
      <c r="W345" s="1075"/>
      <c r="X345" s="1075"/>
      <c r="Y345" s="1075"/>
      <c r="Z345" s="1075"/>
      <c r="AA345" s="1075"/>
      <c r="AB345" s="1075"/>
      <c r="AC345" s="924"/>
      <c r="AD345" s="924"/>
      <c r="AE345" s="1032"/>
      <c r="AF345" s="927"/>
      <c r="AG345" s="927"/>
      <c r="AH345" s="927"/>
      <c r="AI345" s="927"/>
      <c r="AJ345" s="927"/>
      <c r="AK345" s="927"/>
      <c r="AL345" s="927"/>
      <c r="AM345" s="1023"/>
      <c r="AN345" s="998"/>
    </row>
    <row r="346" spans="1:42" s="940" customFormat="1" ht="12.75" customHeight="1">
      <c r="A346" s="1116"/>
      <c r="B346" s="1003"/>
      <c r="C346" s="1542"/>
      <c r="D346" s="1103" t="s">
        <v>540</v>
      </c>
      <c r="E346" s="1541" t="s">
        <v>2120</v>
      </c>
      <c r="F346" s="1543"/>
      <c r="G346" s="1543"/>
      <c r="H346" s="1543"/>
      <c r="I346" s="1543"/>
      <c r="J346" s="1543"/>
      <c r="K346" s="1543"/>
      <c r="L346" s="1543"/>
      <c r="M346" s="1543"/>
      <c r="N346" s="1543"/>
      <c r="O346" s="1543"/>
      <c r="P346" s="1543"/>
      <c r="Q346" s="1543"/>
      <c r="R346" s="1543"/>
      <c r="S346" s="1543"/>
      <c r="T346" s="1543"/>
      <c r="U346" s="1543"/>
      <c r="V346" s="1543"/>
      <c r="W346" s="1543"/>
      <c r="X346" s="1543"/>
      <c r="Y346" s="1543"/>
      <c r="Z346" s="1543"/>
      <c r="AA346" s="1543"/>
      <c r="AB346" s="1543"/>
      <c r="AC346" s="924"/>
      <c r="AD346" s="924"/>
      <c r="AE346" s="924"/>
      <c r="AF346" s="3076" t="s">
        <v>1667</v>
      </c>
      <c r="AG346" s="3076"/>
      <c r="AH346" s="3076"/>
      <c r="AI346" s="3076"/>
      <c r="AJ346" s="3076"/>
      <c r="AK346" s="3076"/>
      <c r="AL346" s="3076"/>
      <c r="AM346" s="1023"/>
      <c r="AN346" s="997"/>
    </row>
    <row r="347" spans="1:42" s="940" customFormat="1" ht="12.75" customHeight="1">
      <c r="A347" s="1057"/>
      <c r="B347" s="1020"/>
      <c r="C347" s="1544"/>
      <c r="D347" s="1103"/>
      <c r="E347" s="1541" t="s">
        <v>2121</v>
      </c>
      <c r="F347" s="1543"/>
      <c r="G347" s="1543"/>
      <c r="H347" s="1543"/>
      <c r="I347" s="1543"/>
      <c r="J347" s="1543"/>
      <c r="K347" s="1543"/>
      <c r="L347" s="1543"/>
      <c r="M347" s="1543"/>
      <c r="N347" s="1543"/>
      <c r="O347" s="1543"/>
      <c r="P347" s="1543"/>
      <c r="Q347" s="1543"/>
      <c r="R347" s="1543"/>
      <c r="S347" s="1543"/>
      <c r="T347" s="1543"/>
      <c r="U347" s="1543"/>
      <c r="V347" s="1543"/>
      <c r="W347" s="1543"/>
      <c r="X347" s="1543"/>
      <c r="Y347" s="1543"/>
      <c r="Z347" s="1543"/>
      <c r="AA347" s="1543"/>
      <c r="AB347" s="1543"/>
      <c r="AC347" s="924"/>
      <c r="AD347" s="924"/>
      <c r="AE347" s="1003"/>
      <c r="AF347" s="1003"/>
      <c r="AG347" s="1003"/>
      <c r="AH347" s="1003"/>
      <c r="AI347" s="1003"/>
      <c r="AJ347" s="1003"/>
      <c r="AK347" s="1003"/>
      <c r="AL347" s="1003"/>
      <c r="AM347" s="1023"/>
      <c r="AN347" s="997"/>
      <c r="AO347" s="940" t="s">
        <v>624</v>
      </c>
      <c r="AP347" s="1117">
        <v>0</v>
      </c>
    </row>
    <row r="348" spans="1:42" s="940" customFormat="1" ht="12.75" customHeight="1">
      <c r="A348" s="1057"/>
      <c r="B348" s="1021"/>
      <c r="C348" s="1545"/>
      <c r="D348" s="1103"/>
      <c r="E348" s="1541" t="s">
        <v>2122</v>
      </c>
      <c r="F348" s="1543"/>
      <c r="G348" s="1543"/>
      <c r="H348" s="1543"/>
      <c r="I348" s="1543"/>
      <c r="J348" s="1543"/>
      <c r="K348" s="1543"/>
      <c r="L348" s="1543"/>
      <c r="M348" s="1543"/>
      <c r="N348" s="1543"/>
      <c r="O348" s="1543"/>
      <c r="P348" s="1543"/>
      <c r="Q348" s="1543"/>
      <c r="R348" s="1543"/>
      <c r="S348" s="1543"/>
      <c r="T348" s="1543"/>
      <c r="U348" s="1543"/>
      <c r="V348" s="1543"/>
      <c r="W348" s="1543"/>
      <c r="X348" s="1543"/>
      <c r="Y348" s="1543"/>
      <c r="Z348" s="1543"/>
      <c r="AA348" s="1543"/>
      <c r="AB348" s="1543"/>
      <c r="AC348" s="924"/>
      <c r="AD348" s="924"/>
      <c r="AE348" s="1020"/>
      <c r="AF348" s="1020"/>
      <c r="AG348" s="1020"/>
      <c r="AH348" s="1020"/>
      <c r="AI348" s="1020"/>
      <c r="AJ348" s="1020"/>
      <c r="AK348" s="1020"/>
      <c r="AL348" s="1020"/>
      <c r="AM348" s="1023"/>
      <c r="AN348" s="997"/>
      <c r="AO348" s="1115" t="s">
        <v>723</v>
      </c>
      <c r="AP348" s="940">
        <v>7</v>
      </c>
    </row>
    <row r="349" spans="1:42" s="940" customFormat="1" ht="12.75" customHeight="1">
      <c r="A349" s="1057"/>
      <c r="B349" s="1021"/>
      <c r="C349" s="1545"/>
      <c r="D349" s="1103"/>
      <c r="E349" s="1541" t="s">
        <v>2124</v>
      </c>
      <c r="F349" s="1543"/>
      <c r="G349" s="1543"/>
      <c r="H349" s="1543"/>
      <c r="I349" s="1543"/>
      <c r="J349" s="1543"/>
      <c r="K349" s="1543"/>
      <c r="L349" s="1543"/>
      <c r="M349" s="1543"/>
      <c r="N349" s="1543"/>
      <c r="O349" s="1543"/>
      <c r="P349" s="1543"/>
      <c r="Q349" s="1543"/>
      <c r="R349" s="1543"/>
      <c r="S349" s="1543"/>
      <c r="T349" s="1543"/>
      <c r="U349" s="1543"/>
      <c r="V349" s="1543"/>
      <c r="W349" s="1543"/>
      <c r="X349" s="1543"/>
      <c r="Y349" s="1543"/>
      <c r="Z349" s="1543"/>
      <c r="AA349" s="1543"/>
      <c r="AB349" s="1543"/>
      <c r="AC349" s="924"/>
      <c r="AD349" s="924"/>
      <c r="AE349" s="1020"/>
      <c r="AF349" s="1020"/>
      <c r="AG349" s="1020"/>
      <c r="AH349" s="1020"/>
      <c r="AI349" s="1020"/>
      <c r="AJ349" s="1020"/>
      <c r="AK349" s="1020"/>
      <c r="AL349" s="1020"/>
      <c r="AM349" s="1023"/>
      <c r="AN349" s="997"/>
      <c r="AO349" s="1115" t="s">
        <v>540</v>
      </c>
      <c r="AP349" s="940">
        <v>6</v>
      </c>
    </row>
    <row r="350" spans="1:42" s="940" customFormat="1" ht="12.75" customHeight="1">
      <c r="A350" s="1057"/>
      <c r="B350" s="1021"/>
      <c r="C350" s="1545"/>
      <c r="D350" s="1103"/>
      <c r="E350" s="1541" t="s">
        <v>2123</v>
      </c>
      <c r="F350" s="1543"/>
      <c r="G350" s="1543"/>
      <c r="H350" s="1543"/>
      <c r="I350" s="1543"/>
      <c r="J350" s="1543"/>
      <c r="K350" s="1543"/>
      <c r="L350" s="1543"/>
      <c r="M350" s="1543"/>
      <c r="N350" s="1543"/>
      <c r="O350" s="1543"/>
      <c r="P350" s="1543"/>
      <c r="Q350" s="1543"/>
      <c r="R350" s="1543"/>
      <c r="S350" s="1543"/>
      <c r="T350" s="1543"/>
      <c r="U350" s="1543"/>
      <c r="V350" s="1543"/>
      <c r="W350" s="1543"/>
      <c r="X350" s="1543"/>
      <c r="Y350" s="1543"/>
      <c r="Z350" s="1543"/>
      <c r="AA350" s="1543"/>
      <c r="AB350" s="1543"/>
      <c r="AC350" s="924"/>
      <c r="AD350" s="924"/>
      <c r="AE350" s="1020"/>
      <c r="AF350" s="1020"/>
      <c r="AG350" s="1020"/>
      <c r="AH350" s="1020"/>
      <c r="AI350" s="1020"/>
      <c r="AJ350" s="1020"/>
      <c r="AK350" s="1020"/>
      <c r="AL350" s="1020"/>
      <c r="AM350" s="1023"/>
      <c r="AN350" s="997"/>
      <c r="AO350" s="1115" t="s">
        <v>283</v>
      </c>
      <c r="AP350" s="940">
        <v>5</v>
      </c>
    </row>
    <row r="351" spans="1:42" s="940" customFormat="1" ht="12.75" customHeight="1">
      <c r="A351" s="1057"/>
      <c r="B351" s="1021"/>
      <c r="C351" s="1545"/>
      <c r="D351" s="1103"/>
      <c r="E351" s="1546"/>
      <c r="F351" s="1547"/>
      <c r="G351" s="1547"/>
      <c r="H351" s="1547"/>
      <c r="I351" s="1032"/>
      <c r="J351" s="1032"/>
      <c r="K351" s="1032"/>
      <c r="L351" s="1032"/>
      <c r="M351" s="1032"/>
      <c r="N351" s="1032"/>
      <c r="O351" s="1032"/>
      <c r="P351" s="1032"/>
      <c r="Q351" s="1032"/>
      <c r="R351" s="1032"/>
      <c r="S351" s="1032"/>
      <c r="T351" s="1032"/>
      <c r="U351" s="1032"/>
      <c r="V351" s="1032"/>
      <c r="W351" s="1032"/>
      <c r="X351" s="1032"/>
      <c r="Y351" s="1032"/>
      <c r="Z351" s="1032"/>
      <c r="AA351" s="1032"/>
      <c r="AB351" s="1032"/>
      <c r="AC351" s="924"/>
      <c r="AD351" s="924"/>
      <c r="AE351" s="1032"/>
      <c r="AF351" s="924"/>
      <c r="AG351" s="924"/>
      <c r="AH351" s="924"/>
      <c r="AI351" s="924"/>
      <c r="AJ351" s="924"/>
      <c r="AK351" s="924"/>
      <c r="AL351" s="924"/>
      <c r="AM351" s="1023"/>
      <c r="AN351" s="997"/>
      <c r="AO351" s="1115" t="s">
        <v>1668</v>
      </c>
      <c r="AP351" s="940">
        <v>4</v>
      </c>
    </row>
    <row r="352" spans="1:42" s="940" customFormat="1" ht="12.75" customHeight="1">
      <c r="A352" s="1057"/>
      <c r="B352" s="1003"/>
      <c r="C352" s="1542"/>
      <c r="D352" s="1103" t="s">
        <v>283</v>
      </c>
      <c r="E352" s="1541" t="s">
        <v>2125</v>
      </c>
      <c r="F352" s="1543"/>
      <c r="G352" s="1543"/>
      <c r="H352" s="1543"/>
      <c r="I352" s="1543"/>
      <c r="J352" s="1543"/>
      <c r="K352" s="1543"/>
      <c r="L352" s="1543"/>
      <c r="M352" s="1543"/>
      <c r="N352" s="1543"/>
      <c r="O352" s="1543"/>
      <c r="P352" s="1543"/>
      <c r="Q352" s="1543"/>
      <c r="R352" s="1543"/>
      <c r="S352" s="1543"/>
      <c r="T352" s="1543"/>
      <c r="U352" s="1543"/>
      <c r="V352" s="1543"/>
      <c r="W352" s="1543"/>
      <c r="X352" s="1543"/>
      <c r="Y352" s="1543"/>
      <c r="Z352" s="1543"/>
      <c r="AA352" s="1543"/>
      <c r="AB352" s="1543"/>
      <c r="AC352" s="924"/>
      <c r="AD352" s="924"/>
      <c r="AE352" s="924"/>
      <c r="AF352" s="3076" t="s">
        <v>1641</v>
      </c>
      <c r="AG352" s="3076"/>
      <c r="AH352" s="3076"/>
      <c r="AI352" s="3076"/>
      <c r="AJ352" s="3076"/>
      <c r="AK352" s="3076"/>
      <c r="AL352" s="3076"/>
      <c r="AM352" s="1023"/>
      <c r="AN352" s="997"/>
      <c r="AO352" s="1115" t="s">
        <v>1669</v>
      </c>
      <c r="AP352" s="940">
        <v>3</v>
      </c>
    </row>
    <row r="353" spans="1:53" s="940" customFormat="1" ht="12.75" customHeight="1">
      <c r="A353" s="1057"/>
      <c r="B353" s="1020"/>
      <c r="C353" s="1544"/>
      <c r="D353" s="1103"/>
      <c r="E353" s="1541" t="s">
        <v>2121</v>
      </c>
      <c r="F353" s="1543"/>
      <c r="G353" s="1543"/>
      <c r="H353" s="1543"/>
      <c r="I353" s="1543"/>
      <c r="J353" s="1543"/>
      <c r="K353" s="1543"/>
      <c r="L353" s="1543"/>
      <c r="M353" s="1543"/>
      <c r="N353" s="1543"/>
      <c r="O353" s="1543"/>
      <c r="P353" s="1543"/>
      <c r="Q353" s="1543"/>
      <c r="R353" s="1543"/>
      <c r="S353" s="1543"/>
      <c r="T353" s="1543"/>
      <c r="U353" s="1543"/>
      <c r="V353" s="1543"/>
      <c r="W353" s="1543"/>
      <c r="X353" s="1543"/>
      <c r="Y353" s="1543"/>
      <c r="Z353" s="1543"/>
      <c r="AA353" s="1543"/>
      <c r="AB353" s="1543"/>
      <c r="AC353" s="924"/>
      <c r="AD353" s="924"/>
      <c r="AE353" s="1020"/>
      <c r="AF353" s="1020"/>
      <c r="AG353" s="1020"/>
      <c r="AH353" s="1020"/>
      <c r="AI353" s="1020"/>
      <c r="AJ353" s="1020"/>
      <c r="AK353" s="1020"/>
      <c r="AL353" s="1020"/>
      <c r="AM353" s="1023"/>
      <c r="AN353" s="997"/>
    </row>
    <row r="354" spans="1:53" s="940" customFormat="1" ht="12.75" customHeight="1">
      <c r="A354" s="1057"/>
      <c r="B354" s="1020"/>
      <c r="C354" s="1544"/>
      <c r="D354" s="1103"/>
      <c r="E354" s="1541" t="s">
        <v>2122</v>
      </c>
      <c r="F354" s="1543"/>
      <c r="G354" s="1543"/>
      <c r="H354" s="1543"/>
      <c r="I354" s="1543"/>
      <c r="J354" s="1543"/>
      <c r="K354" s="1543"/>
      <c r="L354" s="1543"/>
      <c r="M354" s="1543"/>
      <c r="N354" s="1543"/>
      <c r="O354" s="1543"/>
      <c r="P354" s="1543"/>
      <c r="Q354" s="1543"/>
      <c r="R354" s="1543"/>
      <c r="S354" s="1543"/>
      <c r="T354" s="1543"/>
      <c r="U354" s="1543"/>
      <c r="V354" s="1543"/>
      <c r="W354" s="1543"/>
      <c r="X354" s="1543"/>
      <c r="Y354" s="1543"/>
      <c r="Z354" s="1543"/>
      <c r="AA354" s="1543"/>
      <c r="AB354" s="1543"/>
      <c r="AC354" s="924"/>
      <c r="AD354" s="924"/>
      <c r="AE354" s="1020"/>
      <c r="AF354" s="1020"/>
      <c r="AG354" s="1020"/>
      <c r="AH354" s="1020"/>
      <c r="AI354" s="1020"/>
      <c r="AJ354" s="1020"/>
      <c r="AK354" s="1020"/>
      <c r="AL354" s="1020"/>
      <c r="AM354" s="1023"/>
      <c r="AN354" s="997"/>
    </row>
    <row r="355" spans="1:53" s="940" customFormat="1" ht="12.75" customHeight="1">
      <c r="A355" s="1057"/>
      <c r="B355" s="1020"/>
      <c r="C355" s="1544"/>
      <c r="D355" s="1103"/>
      <c r="E355" s="1541" t="s">
        <v>2124</v>
      </c>
      <c r="F355" s="1543"/>
      <c r="G355" s="1543"/>
      <c r="H355" s="1543"/>
      <c r="I355" s="1543"/>
      <c r="J355" s="1543"/>
      <c r="K355" s="1543"/>
      <c r="L355" s="1543"/>
      <c r="M355" s="1543"/>
      <c r="N355" s="1543"/>
      <c r="O355" s="1543"/>
      <c r="P355" s="1543"/>
      <c r="Q355" s="1543"/>
      <c r="R355" s="1543"/>
      <c r="S355" s="1543"/>
      <c r="T355" s="1543"/>
      <c r="U355" s="1543"/>
      <c r="V355" s="1543"/>
      <c r="W355" s="1543"/>
      <c r="X355" s="1543"/>
      <c r="Y355" s="1543"/>
      <c r="Z355" s="1543"/>
      <c r="AA355" s="1543"/>
      <c r="AB355" s="1543"/>
      <c r="AC355" s="924"/>
      <c r="AD355" s="924"/>
      <c r="AE355" s="1020"/>
      <c r="AF355" s="1020"/>
      <c r="AG355" s="1020"/>
      <c r="AH355" s="1020"/>
      <c r="AI355" s="1020"/>
      <c r="AJ355" s="1020"/>
      <c r="AK355" s="1020"/>
      <c r="AL355" s="1020"/>
      <c r="AM355" s="1023"/>
      <c r="AN355" s="997"/>
    </row>
    <row r="356" spans="1:53" s="940" customFormat="1" ht="12.75" customHeight="1">
      <c r="A356" s="1057"/>
      <c r="B356" s="1020"/>
      <c r="C356" s="1544"/>
      <c r="D356" s="1103"/>
      <c r="E356" s="1541" t="s">
        <v>2123</v>
      </c>
      <c r="F356" s="1543"/>
      <c r="G356" s="1543"/>
      <c r="H356" s="1543"/>
      <c r="I356" s="1543"/>
      <c r="J356" s="1543"/>
      <c r="K356" s="1543"/>
      <c r="L356" s="1543"/>
      <c r="M356" s="1543"/>
      <c r="N356" s="1543"/>
      <c r="O356" s="1543"/>
      <c r="P356" s="1543"/>
      <c r="Q356" s="1543"/>
      <c r="R356" s="1543"/>
      <c r="S356" s="1543"/>
      <c r="T356" s="1543"/>
      <c r="U356" s="1543"/>
      <c r="V356" s="1543"/>
      <c r="W356" s="1543"/>
      <c r="X356" s="1543"/>
      <c r="Y356" s="1543"/>
      <c r="Z356" s="1543"/>
      <c r="AA356" s="1543"/>
      <c r="AB356" s="1543"/>
      <c r="AC356" s="924"/>
      <c r="AD356" s="924"/>
      <c r="AE356" s="1020"/>
      <c r="AF356" s="1020"/>
      <c r="AG356" s="1020"/>
      <c r="AH356" s="1020"/>
      <c r="AI356" s="1020"/>
      <c r="AJ356" s="1020"/>
      <c r="AK356" s="1020"/>
      <c r="AL356" s="1020"/>
      <c r="AM356" s="1023"/>
      <c r="AN356" s="997"/>
    </row>
    <row r="357" spans="1:53" s="940" customFormat="1" ht="12.75" customHeight="1">
      <c r="A357" s="51"/>
      <c r="B357" s="51"/>
      <c r="C357" s="1059"/>
      <c r="D357" s="1103"/>
      <c r="E357" s="1118"/>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4"/>
      <c r="AD357" s="924"/>
      <c r="AE357" s="51"/>
      <c r="AF357" s="924"/>
      <c r="AG357" s="924"/>
      <c r="AH357" s="924"/>
      <c r="AI357" s="924"/>
      <c r="AJ357" s="924"/>
      <c r="AK357" s="924"/>
      <c r="AL357" s="924"/>
      <c r="AM357" s="51"/>
      <c r="AN357" s="997"/>
    </row>
    <row r="358" spans="1:53" s="940" customFormat="1" ht="12.75" customHeight="1">
      <c r="A358" s="1057"/>
      <c r="B358" s="1003"/>
      <c r="C358" s="1542"/>
      <c r="D358" s="1103" t="s">
        <v>1668</v>
      </c>
      <c r="E358" s="1541" t="s">
        <v>2126</v>
      </c>
      <c r="F358" s="1543"/>
      <c r="G358" s="1543"/>
      <c r="H358" s="1543"/>
      <c r="I358" s="1543"/>
      <c r="J358" s="1543"/>
      <c r="K358" s="1543"/>
      <c r="L358" s="1543"/>
      <c r="M358" s="1543"/>
      <c r="N358" s="1543"/>
      <c r="O358" s="1543"/>
      <c r="P358" s="1543"/>
      <c r="Q358" s="1543"/>
      <c r="R358" s="1543"/>
      <c r="S358" s="1543"/>
      <c r="T358" s="1543"/>
      <c r="U358" s="1543"/>
      <c r="V358" s="1543"/>
      <c r="W358" s="1543"/>
      <c r="X358" s="1543"/>
      <c r="Y358" s="1543"/>
      <c r="Z358" s="1543"/>
      <c r="AA358" s="1543"/>
      <c r="AB358" s="1543"/>
      <c r="AC358" s="924"/>
      <c r="AD358" s="924"/>
      <c r="AE358" s="924"/>
      <c r="AF358" s="3076" t="s">
        <v>1670</v>
      </c>
      <c r="AG358" s="3076"/>
      <c r="AH358" s="3076"/>
      <c r="AI358" s="3076"/>
      <c r="AJ358" s="3076"/>
      <c r="AK358" s="3076"/>
      <c r="AL358" s="3076"/>
      <c r="AM358" s="1023"/>
      <c r="AN358" s="997"/>
      <c r="AO358" s="940" t="str">
        <f>X395</f>
        <v>N/A</v>
      </c>
    </row>
    <row r="359" spans="1:53" s="940" customFormat="1" ht="12.75" customHeight="1">
      <c r="A359" s="1057"/>
      <c r="B359" s="1020"/>
      <c r="C359" s="1544"/>
      <c r="D359" s="1103"/>
      <c r="E359" s="1541" t="s">
        <v>2127</v>
      </c>
      <c r="F359" s="1543"/>
      <c r="G359" s="1543"/>
      <c r="H359" s="1543"/>
      <c r="I359" s="1543"/>
      <c r="J359" s="1543"/>
      <c r="K359" s="1543"/>
      <c r="L359" s="1543"/>
      <c r="M359" s="1543"/>
      <c r="N359" s="1543"/>
      <c r="O359" s="1543"/>
      <c r="P359" s="1543"/>
      <c r="Q359" s="1543"/>
      <c r="R359" s="1543"/>
      <c r="S359" s="1543"/>
      <c r="T359" s="1543"/>
      <c r="U359" s="1543"/>
      <c r="V359" s="1543"/>
      <c r="W359" s="1543"/>
      <c r="X359" s="1543"/>
      <c r="Y359" s="1543"/>
      <c r="Z359" s="1543"/>
      <c r="AA359" s="1543"/>
      <c r="AB359" s="1543"/>
      <c r="AC359" s="51"/>
      <c r="AD359" s="51"/>
      <c r="AE359" s="1020"/>
      <c r="AF359" s="1020"/>
      <c r="AG359" s="1020"/>
      <c r="AH359" s="1020"/>
      <c r="AI359" s="1020"/>
      <c r="AJ359" s="1020"/>
      <c r="AK359" s="1020"/>
      <c r="AL359" s="1020"/>
      <c r="AM359" s="1023"/>
      <c r="AN359" s="997"/>
      <c r="AU359" s="987"/>
      <c r="AV359" s="987"/>
      <c r="AW359" s="987"/>
      <c r="AX359" s="987"/>
      <c r="AY359" s="987"/>
      <c r="AZ359" s="987"/>
      <c r="BA359" s="987"/>
    </row>
    <row r="360" spans="1:53" s="940" customFormat="1" ht="12.75" customHeight="1">
      <c r="A360" s="1057"/>
      <c r="B360" s="1021"/>
      <c r="C360" s="1545"/>
      <c r="D360" s="1103"/>
      <c r="E360" s="1541" t="s">
        <v>2128</v>
      </c>
      <c r="F360" s="1543"/>
      <c r="G360" s="1543"/>
      <c r="H360" s="1543"/>
      <c r="I360" s="1543"/>
      <c r="J360" s="1543"/>
      <c r="K360" s="1543"/>
      <c r="L360" s="1543"/>
      <c r="M360" s="1543"/>
      <c r="N360" s="1543"/>
      <c r="O360" s="1543"/>
      <c r="P360" s="1543"/>
      <c r="Q360" s="1543"/>
      <c r="R360" s="1543"/>
      <c r="S360" s="1543"/>
      <c r="T360" s="1543"/>
      <c r="U360" s="1543"/>
      <c r="V360" s="1543"/>
      <c r="W360" s="1543"/>
      <c r="X360" s="1543"/>
      <c r="Y360" s="1543"/>
      <c r="Z360" s="1543"/>
      <c r="AA360" s="1543"/>
      <c r="AB360" s="1543"/>
      <c r="AC360" s="924"/>
      <c r="AD360" s="924"/>
      <c r="AE360" s="1020"/>
      <c r="AF360" s="1020"/>
      <c r="AG360" s="1020"/>
      <c r="AH360" s="1020"/>
      <c r="AI360" s="1020"/>
      <c r="AJ360" s="1020"/>
      <c r="AK360" s="1020"/>
      <c r="AL360" s="1020"/>
      <c r="AM360" s="1023"/>
      <c r="AN360" s="997"/>
    </row>
    <row r="361" spans="1:53" s="940" customFormat="1" ht="12.75" customHeight="1">
      <c r="A361" s="1057"/>
      <c r="B361" s="1021"/>
      <c r="C361" s="1545"/>
      <c r="D361" s="1103"/>
      <c r="E361" s="1541"/>
      <c r="F361" s="1543"/>
      <c r="G361" s="1543"/>
      <c r="H361" s="1543"/>
      <c r="I361" s="1543"/>
      <c r="J361" s="1543"/>
      <c r="K361" s="1543"/>
      <c r="L361" s="1543"/>
      <c r="M361" s="1543"/>
      <c r="N361" s="1543"/>
      <c r="O361" s="1543"/>
      <c r="P361" s="1543"/>
      <c r="Q361" s="1543"/>
      <c r="R361" s="1543"/>
      <c r="S361" s="1543"/>
      <c r="T361" s="1543"/>
      <c r="U361" s="1543"/>
      <c r="V361" s="1543"/>
      <c r="W361" s="1543"/>
      <c r="X361" s="1543"/>
      <c r="Y361" s="1543"/>
      <c r="Z361" s="1543"/>
      <c r="AA361" s="1543"/>
      <c r="AB361" s="1543"/>
      <c r="AC361" s="924"/>
      <c r="AD361" s="924"/>
      <c r="AE361" s="1020"/>
      <c r="AF361" s="1020"/>
      <c r="AG361" s="1020"/>
      <c r="AH361" s="1020"/>
      <c r="AI361" s="1020"/>
      <c r="AJ361" s="1020"/>
      <c r="AK361" s="1020"/>
      <c r="AL361" s="1020"/>
      <c r="AM361" s="1023"/>
      <c r="AN361" s="997"/>
    </row>
    <row r="362" spans="1:53" s="940" customFormat="1" ht="12.75" customHeight="1">
      <c r="A362" s="1057"/>
      <c r="B362" s="1021"/>
      <c r="C362" s="1545"/>
      <c r="D362" s="1103"/>
      <c r="E362" s="924" t="s">
        <v>2311</v>
      </c>
      <c r="O362" s="3143" t="s">
        <v>1377</v>
      </c>
      <c r="P362" s="3143"/>
      <c r="Q362" s="3143"/>
      <c r="R362" s="3143"/>
      <c r="S362" s="3143"/>
      <c r="T362" s="3143"/>
      <c r="U362" s="3143"/>
      <c r="V362" s="3143"/>
      <c r="W362" s="3143"/>
      <c r="X362" s="3143"/>
      <c r="Y362" s="3143"/>
      <c r="Z362" s="3143"/>
      <c r="AA362" s="3143"/>
      <c r="AB362" s="3143"/>
      <c r="AH362" s="1020"/>
      <c r="AI362" s="1020"/>
      <c r="AJ362" s="1020"/>
      <c r="AK362" s="1020"/>
      <c r="AL362" s="1020"/>
      <c r="AM362" s="1023"/>
      <c r="AN362" s="997"/>
    </row>
    <row r="363" spans="1:53" s="940" customFormat="1" ht="12.75" customHeight="1">
      <c r="A363" s="1057"/>
      <c r="B363" s="1021"/>
      <c r="C363" s="1545"/>
      <c r="D363" s="1103"/>
      <c r="E363" s="1541"/>
      <c r="F363" s="1543"/>
      <c r="G363" s="1543"/>
      <c r="H363" s="1543"/>
      <c r="I363" s="1543"/>
      <c r="J363" s="1543"/>
      <c r="K363" s="1543"/>
      <c r="L363" s="1543"/>
      <c r="M363" s="1543"/>
      <c r="N363" s="1543"/>
      <c r="O363" s="1543"/>
      <c r="P363" s="1543"/>
      <c r="Q363" s="1543"/>
      <c r="R363" s="1543"/>
      <c r="S363" s="1543"/>
      <c r="T363" s="1543"/>
      <c r="U363" s="1543"/>
      <c r="V363" s="1543"/>
      <c r="W363" s="1543"/>
      <c r="X363" s="1543"/>
      <c r="Y363" s="1543"/>
      <c r="Z363" s="1543"/>
      <c r="AA363" s="1543"/>
      <c r="AB363" s="1543"/>
      <c r="AC363" s="924"/>
      <c r="AD363" s="924"/>
      <c r="AE363" s="1020"/>
      <c r="AF363" s="1020"/>
      <c r="AG363" s="1020"/>
      <c r="AH363" s="1020"/>
      <c r="AI363" s="1020"/>
      <c r="AJ363" s="1020"/>
      <c r="AK363" s="1020"/>
      <c r="AL363" s="1020"/>
      <c r="AM363" s="1023"/>
      <c r="AN363" s="997"/>
    </row>
    <row r="364" spans="1:53" s="999" customFormat="1" ht="12.75" customHeight="1">
      <c r="A364" s="1057"/>
      <c r="B364" s="1003"/>
      <c r="C364" s="1542"/>
      <c r="D364" s="1103" t="s">
        <v>1669</v>
      </c>
      <c r="E364" s="1541" t="s">
        <v>2130</v>
      </c>
      <c r="F364" s="1543"/>
      <c r="G364" s="1543"/>
      <c r="H364" s="1543"/>
      <c r="I364" s="1543"/>
      <c r="J364" s="1543"/>
      <c r="K364" s="1543"/>
      <c r="L364" s="1543"/>
      <c r="M364" s="1543"/>
      <c r="N364" s="1543"/>
      <c r="O364" s="1543"/>
      <c r="P364" s="1543"/>
      <c r="Q364" s="1543"/>
      <c r="R364" s="1543"/>
      <c r="S364" s="1543"/>
      <c r="T364" s="1543"/>
      <c r="U364" s="1543"/>
      <c r="V364" s="1543"/>
      <c r="W364" s="1543"/>
      <c r="X364" s="1543"/>
      <c r="Y364" s="1543"/>
      <c r="Z364" s="1543"/>
      <c r="AA364" s="1543"/>
      <c r="AB364" s="1543"/>
      <c r="AC364" s="924"/>
      <c r="AD364" s="924"/>
      <c r="AE364" s="927"/>
      <c r="AF364" s="3076" t="s">
        <v>1615</v>
      </c>
      <c r="AG364" s="3076"/>
      <c r="AH364" s="3076"/>
      <c r="AI364" s="3076"/>
      <c r="AJ364" s="3076"/>
      <c r="AK364" s="3076"/>
      <c r="AL364" s="3076"/>
      <c r="AM364" s="1023"/>
      <c r="AN364" s="998"/>
    </row>
    <row r="365" spans="1:53" s="940" customFormat="1" ht="12.75" customHeight="1">
      <c r="A365" s="1057"/>
      <c r="B365" s="1003"/>
      <c r="C365" s="1542"/>
      <c r="D365" s="1103"/>
      <c r="E365" s="1541" t="s">
        <v>2129</v>
      </c>
      <c r="F365" s="1543"/>
      <c r="G365" s="1543"/>
      <c r="H365" s="1543"/>
      <c r="I365" s="1543"/>
      <c r="J365" s="1543"/>
      <c r="K365" s="1543"/>
      <c r="L365" s="1543"/>
      <c r="M365" s="1543"/>
      <c r="N365" s="1543"/>
      <c r="O365" s="1543"/>
      <c r="P365" s="1543"/>
      <c r="Q365" s="1543"/>
      <c r="R365" s="1543"/>
      <c r="S365" s="1543"/>
      <c r="T365" s="1543"/>
      <c r="U365" s="1543"/>
      <c r="V365" s="1543"/>
      <c r="W365" s="1543"/>
      <c r="X365" s="1543"/>
      <c r="Y365" s="1543"/>
      <c r="Z365" s="1543"/>
      <c r="AA365" s="1543"/>
      <c r="AB365" s="1543"/>
      <c r="AC365" s="924"/>
      <c r="AD365" s="924"/>
      <c r="AE365" s="1501"/>
      <c r="AF365" s="924"/>
      <c r="AG365" s="924"/>
      <c r="AH365" s="924"/>
      <c r="AI365" s="924"/>
      <c r="AJ365" s="924"/>
      <c r="AK365" s="924"/>
      <c r="AL365" s="924"/>
      <c r="AM365" s="1023"/>
      <c r="AN365" s="997"/>
    </row>
    <row r="366" spans="1:53" s="940" customFormat="1" ht="12.75" customHeight="1">
      <c r="A366" s="1057"/>
      <c r="B366" s="1020"/>
      <c r="C366" s="1544"/>
      <c r="D366" s="1020"/>
      <c r="E366" s="1032"/>
      <c r="F366" s="1548"/>
      <c r="G366" s="1548"/>
      <c r="H366" s="1548"/>
      <c r="I366" s="1548"/>
      <c r="J366" s="1548"/>
      <c r="K366" s="1548"/>
      <c r="L366" s="1548"/>
      <c r="M366" s="1548"/>
      <c r="N366" s="1548"/>
      <c r="O366" s="1548"/>
      <c r="P366" s="1548"/>
      <c r="Q366" s="1548"/>
      <c r="R366" s="1548"/>
      <c r="S366" s="1548"/>
      <c r="T366" s="1548"/>
      <c r="U366" s="1548"/>
      <c r="V366" s="1548"/>
      <c r="W366" s="1548"/>
      <c r="X366" s="1548"/>
      <c r="Y366" s="1548"/>
      <c r="Z366" s="1548"/>
      <c r="AA366" s="1548"/>
      <c r="AB366" s="1548"/>
      <c r="AC366" s="1020"/>
      <c r="AD366" s="1020"/>
      <c r="AE366" s="1020"/>
      <c r="AF366" s="1020"/>
      <c r="AG366" s="1020"/>
      <c r="AH366" s="1020"/>
      <c r="AI366" s="1020"/>
      <c r="AJ366" s="924"/>
      <c r="AK366" s="1003"/>
      <c r="AL366" s="1003"/>
      <c r="AM366" s="1023"/>
      <c r="AN366" s="997"/>
      <c r="AO366" s="940" t="s">
        <v>624</v>
      </c>
      <c r="AP366" s="1117">
        <v>0</v>
      </c>
      <c r="AT366" s="940" t="s">
        <v>624</v>
      </c>
      <c r="AU366" s="1117">
        <v>0</v>
      </c>
    </row>
    <row r="367" spans="1:53" s="940" customFormat="1" ht="12.75" customHeight="1">
      <c r="A367" s="1057"/>
      <c r="B367" s="1020"/>
      <c r="C367" s="1544"/>
      <c r="D367" s="1020" t="s">
        <v>1671</v>
      </c>
      <c r="E367" s="1548"/>
      <c r="F367" s="1548"/>
      <c r="G367" s="1548"/>
      <c r="H367" s="3140" t="s">
        <v>723</v>
      </c>
      <c r="I367" s="3140"/>
      <c r="J367" s="1548"/>
      <c r="K367" s="1548"/>
      <c r="L367" s="1548"/>
      <c r="M367" s="1548"/>
      <c r="N367" s="924"/>
      <c r="O367" s="924"/>
      <c r="P367" s="924"/>
      <c r="Q367" s="924"/>
      <c r="R367" s="924"/>
      <c r="S367" s="924"/>
      <c r="T367" s="924"/>
      <c r="U367" s="924"/>
      <c r="V367" s="924"/>
      <c r="W367" s="924"/>
      <c r="X367" s="924"/>
      <c r="Y367" s="924"/>
      <c r="Z367" s="924"/>
      <c r="AA367" s="924"/>
      <c r="AB367" s="924"/>
      <c r="AC367" s="924"/>
      <c r="AD367" s="924"/>
      <c r="AE367" s="924"/>
      <c r="AF367" s="924"/>
      <c r="AG367" s="924"/>
      <c r="AH367" s="924"/>
      <c r="AI367" s="924"/>
      <c r="AJ367" s="924"/>
      <c r="AK367" s="924"/>
      <c r="AL367" s="924"/>
      <c r="AN367" s="997"/>
      <c r="AO367" s="1115" t="s">
        <v>723</v>
      </c>
      <c r="AP367" s="940">
        <v>3</v>
      </c>
      <c r="AT367" s="1115" t="s">
        <v>723</v>
      </c>
      <c r="AU367" s="940">
        <v>3</v>
      </c>
    </row>
    <row r="368" spans="1:53" s="940" customFormat="1" ht="12.75" customHeight="1">
      <c r="A368" s="1057"/>
      <c r="B368" s="1020"/>
      <c r="C368" s="1544"/>
      <c r="D368" s="1020"/>
      <c r="E368" s="1548"/>
      <c r="F368" s="1548"/>
      <c r="G368" s="1548"/>
      <c r="H368" s="1548"/>
      <c r="I368" s="1548"/>
      <c r="J368" s="1548"/>
      <c r="K368" s="1548"/>
      <c r="L368" s="1548"/>
      <c r="M368" s="1548"/>
      <c r="N368" s="924"/>
      <c r="O368" s="924"/>
      <c r="P368" s="924"/>
      <c r="Q368" s="924"/>
      <c r="R368" s="924"/>
      <c r="S368" s="924"/>
      <c r="T368" s="924"/>
      <c r="U368" s="924"/>
      <c r="V368" s="924"/>
      <c r="W368" s="924"/>
      <c r="X368" s="924"/>
      <c r="Y368" s="924"/>
      <c r="Z368" s="924"/>
      <c r="AA368" s="924"/>
      <c r="AB368" s="924"/>
      <c r="AC368" s="924"/>
      <c r="AD368" s="924"/>
      <c r="AE368" s="924"/>
      <c r="AF368" s="924"/>
      <c r="AG368" s="924"/>
      <c r="AH368" s="924"/>
      <c r="AI368" s="924"/>
      <c r="AJ368" s="924"/>
      <c r="AK368" s="924"/>
      <c r="AL368" s="924"/>
      <c r="AN368" s="997"/>
      <c r="AO368" s="1115" t="s">
        <v>540</v>
      </c>
      <c r="AP368" s="940">
        <v>2</v>
      </c>
      <c r="AT368" s="1115" t="s">
        <v>540</v>
      </c>
      <c r="AU368" s="940">
        <v>2</v>
      </c>
    </row>
    <row r="369" spans="1:46" s="940" customFormat="1" ht="12.75" customHeight="1">
      <c r="A369" s="1057"/>
      <c r="B369" s="1020"/>
      <c r="C369" s="1544"/>
      <c r="D369" s="1020"/>
      <c r="E369" s="1548"/>
      <c r="F369" s="1548"/>
      <c r="G369" s="1548"/>
      <c r="H369" s="1548"/>
      <c r="I369" s="1548"/>
      <c r="J369" s="1548"/>
      <c r="K369" s="1548"/>
      <c r="L369" s="1548"/>
      <c r="M369" s="1548"/>
      <c r="N369" s="924"/>
      <c r="O369" s="924"/>
      <c r="P369" s="924"/>
      <c r="Q369" s="924"/>
      <c r="R369" s="924"/>
      <c r="S369" s="924"/>
      <c r="T369" s="924"/>
      <c r="U369" s="924"/>
      <c r="V369" s="924"/>
      <c r="W369" s="924"/>
      <c r="X369" s="924"/>
      <c r="Y369" s="924"/>
      <c r="Z369" s="924"/>
      <c r="AA369" s="924"/>
      <c r="AB369" s="924"/>
      <c r="AC369" s="924"/>
      <c r="AD369" s="924"/>
      <c r="AE369" s="924"/>
      <c r="AF369" s="924"/>
      <c r="AG369" s="924"/>
      <c r="AH369" s="924"/>
      <c r="AI369" s="924"/>
      <c r="AJ369" s="924"/>
      <c r="AK369" s="924"/>
      <c r="AL369" s="924"/>
      <c r="AN369" s="997"/>
      <c r="AO369" s="1115"/>
      <c r="AT369" s="1115"/>
    </row>
    <row r="370" spans="1:46" s="940" customFormat="1" ht="12.75" customHeight="1">
      <c r="A370" s="1057"/>
      <c r="B370" s="1020"/>
      <c r="C370" s="1544"/>
      <c r="D370" s="1020" t="s">
        <v>2131</v>
      </c>
      <c r="E370" s="1548"/>
      <c r="F370" s="1548"/>
      <c r="G370" s="1548"/>
      <c r="H370" s="1548"/>
      <c r="I370" s="1548"/>
      <c r="J370" s="1548"/>
      <c r="K370" s="1548"/>
      <c r="L370" s="1548"/>
      <c r="M370" s="1548"/>
      <c r="N370" s="924"/>
      <c r="O370" s="924"/>
      <c r="P370" s="924"/>
      <c r="Q370" s="924"/>
      <c r="R370" s="924"/>
      <c r="S370" s="924"/>
      <c r="T370" s="924"/>
      <c r="U370" s="924"/>
      <c r="V370" s="924"/>
      <c r="W370" s="924"/>
      <c r="X370" s="924"/>
      <c r="Y370" s="924"/>
      <c r="Z370" s="924"/>
      <c r="AA370" s="924"/>
      <c r="AB370" s="924"/>
      <c r="AC370" s="924"/>
      <c r="AD370" s="924"/>
      <c r="AE370" s="924"/>
      <c r="AF370" s="924"/>
      <c r="AG370" s="924"/>
      <c r="AH370" s="924"/>
      <c r="AI370" s="924"/>
      <c r="AJ370" s="924"/>
      <c r="AK370" s="924"/>
      <c r="AL370" s="924"/>
      <c r="AN370" s="997"/>
    </row>
    <row r="371" spans="1:46" s="940" customFormat="1" ht="12.75" customHeight="1">
      <c r="A371" s="1057"/>
      <c r="B371" s="1020"/>
      <c r="C371" s="1544"/>
      <c r="D371" s="1020" t="s">
        <v>2132</v>
      </c>
      <c r="E371" s="1548"/>
      <c r="F371" s="1548"/>
      <c r="G371" s="1548"/>
      <c r="H371" s="1548"/>
      <c r="I371" s="1548"/>
      <c r="J371" s="1548"/>
      <c r="K371" s="1548"/>
      <c r="L371" s="1548"/>
      <c r="M371" s="1548"/>
      <c r="N371" s="924"/>
      <c r="O371" s="924"/>
      <c r="P371" s="924"/>
      <c r="Q371" s="924"/>
      <c r="R371" s="924"/>
      <c r="S371" s="924"/>
      <c r="T371" s="924"/>
      <c r="U371" s="924"/>
      <c r="V371" s="924"/>
      <c r="W371" s="924"/>
      <c r="X371" s="924"/>
      <c r="Y371" s="924"/>
      <c r="Z371" s="924"/>
      <c r="AA371" s="924"/>
      <c r="AB371" s="924"/>
      <c r="AC371" s="924"/>
      <c r="AD371" s="924"/>
      <c r="AE371" s="924"/>
      <c r="AF371" s="924"/>
      <c r="AG371" s="924"/>
      <c r="AH371" s="924"/>
      <c r="AI371" s="924"/>
      <c r="AJ371" s="924"/>
      <c r="AK371" s="924"/>
      <c r="AL371" s="924"/>
      <c r="AN371" s="997"/>
    </row>
    <row r="372" spans="1:46" s="940" customFormat="1" ht="12.75" customHeight="1">
      <c r="A372" s="1057"/>
      <c r="B372" s="1020"/>
      <c r="C372" s="1544"/>
      <c r="D372" s="1020" t="s">
        <v>2133</v>
      </c>
      <c r="E372" s="1548"/>
      <c r="F372" s="1548"/>
      <c r="G372" s="1548"/>
      <c r="H372" s="1548"/>
      <c r="I372" s="1548"/>
      <c r="J372" s="1548"/>
      <c r="K372" s="1548"/>
      <c r="L372" s="1548"/>
      <c r="M372" s="1548"/>
      <c r="N372" s="924"/>
      <c r="O372" s="924"/>
      <c r="P372" s="924"/>
      <c r="Q372" s="924"/>
      <c r="R372" s="924"/>
      <c r="S372" s="924"/>
      <c r="T372" s="924"/>
      <c r="U372" s="924"/>
      <c r="V372" s="924"/>
      <c r="W372" s="924"/>
      <c r="X372" s="924"/>
      <c r="Y372" s="924"/>
      <c r="Z372" s="924"/>
      <c r="AA372" s="924"/>
      <c r="AB372" s="924"/>
      <c r="AC372" s="924"/>
      <c r="AD372" s="924"/>
      <c r="AE372" s="924"/>
      <c r="AF372" s="924"/>
      <c r="AG372" s="924"/>
      <c r="AH372" s="924"/>
      <c r="AI372" s="924"/>
      <c r="AJ372" s="924"/>
      <c r="AK372" s="924"/>
      <c r="AL372" s="924"/>
      <c r="AN372" s="997"/>
    </row>
    <row r="373" spans="1:46" s="940" customFormat="1" ht="12.75" customHeight="1">
      <c r="A373" s="1057"/>
      <c r="B373" s="1020"/>
      <c r="C373" s="1544"/>
      <c r="D373" s="1013" t="s">
        <v>2134</v>
      </c>
      <c r="E373" s="1548"/>
      <c r="F373" s="1548"/>
      <c r="G373" s="1548"/>
      <c r="H373" s="1548"/>
      <c r="I373" s="1548"/>
      <c r="J373" s="1548"/>
      <c r="K373" s="1548"/>
      <c r="L373" s="1548"/>
      <c r="M373" s="1548"/>
      <c r="N373" s="924"/>
      <c r="O373" s="924"/>
      <c r="P373" s="924"/>
      <c r="Q373" s="924"/>
      <c r="R373" s="924"/>
      <c r="S373" s="924"/>
      <c r="T373" s="924"/>
      <c r="U373" s="924"/>
      <c r="V373" s="924"/>
      <c r="W373" s="924"/>
      <c r="X373" s="924"/>
      <c r="Y373" s="924"/>
      <c r="Z373" s="924"/>
      <c r="AA373" s="924"/>
      <c r="AB373" s="924"/>
      <c r="AC373" s="924"/>
      <c r="AD373" s="924"/>
      <c r="AE373" s="924"/>
      <c r="AF373" s="924"/>
      <c r="AG373" s="924"/>
      <c r="AH373" s="924"/>
      <c r="AI373" s="924"/>
      <c r="AJ373" s="924"/>
      <c r="AK373" s="924"/>
      <c r="AL373" s="924"/>
      <c r="AN373" s="997"/>
    </row>
    <row r="374" spans="1:46" s="940" customFormat="1" ht="12.75" customHeight="1">
      <c r="A374" s="1057"/>
      <c r="B374" s="1020"/>
      <c r="C374" s="1544"/>
      <c r="D374" s="1020"/>
      <c r="E374" s="1020"/>
      <c r="F374" s="924"/>
      <c r="G374" s="924"/>
      <c r="H374" s="924"/>
      <c r="I374" s="924"/>
      <c r="J374" s="924"/>
      <c r="K374" s="924"/>
      <c r="L374" s="924"/>
      <c r="M374" s="924"/>
      <c r="N374" s="924"/>
      <c r="O374" s="924"/>
      <c r="P374" s="924"/>
      <c r="Q374" s="924"/>
      <c r="R374" s="924"/>
      <c r="S374" s="924"/>
      <c r="T374" s="924"/>
      <c r="U374" s="924"/>
      <c r="V374" s="924"/>
      <c r="W374" s="924"/>
      <c r="X374" s="924"/>
      <c r="Y374" s="924"/>
      <c r="Z374" s="924"/>
      <c r="AA374" s="924"/>
      <c r="AB374" s="924"/>
      <c r="AC374" s="924"/>
      <c r="AD374" s="924"/>
      <c r="AE374" s="924"/>
      <c r="AF374" s="924"/>
      <c r="AG374" s="924"/>
      <c r="AH374" s="924"/>
      <c r="AI374" s="924"/>
      <c r="AJ374" s="924"/>
      <c r="AK374" s="924"/>
      <c r="AL374" s="924"/>
      <c r="AN374" s="997"/>
      <c r="AO374" s="940" t="s">
        <v>624</v>
      </c>
      <c r="AP374" s="1117">
        <v>0</v>
      </c>
    </row>
    <row r="375" spans="1:46" s="940" customFormat="1" ht="12.75" customHeight="1">
      <c r="A375" s="1057"/>
      <c r="B375" s="1020"/>
      <c r="C375" s="1544"/>
      <c r="D375" s="1020"/>
      <c r="E375" s="1020" t="s">
        <v>1671</v>
      </c>
      <c r="F375" s="1548"/>
      <c r="G375" s="1548"/>
      <c r="I375" s="3142" t="s">
        <v>624</v>
      </c>
      <c r="J375" s="3142"/>
      <c r="K375" s="3142"/>
      <c r="L375" s="3142"/>
      <c r="M375" s="3142"/>
      <c r="N375" s="3142"/>
      <c r="O375" s="3142"/>
      <c r="P375" s="3142"/>
      <c r="Q375" s="3142"/>
      <c r="R375" s="3142"/>
      <c r="S375" s="3142"/>
      <c r="T375" s="3142"/>
      <c r="U375" s="3142"/>
      <c r="V375" s="3142"/>
      <c r="W375" s="3142"/>
      <c r="X375" s="3142"/>
      <c r="Y375" s="3142"/>
      <c r="Z375" s="3142"/>
      <c r="AA375" s="3142"/>
      <c r="AB375" s="3142"/>
      <c r="AC375" s="3142"/>
      <c r="AD375" s="3142"/>
      <c r="AE375" s="3142"/>
      <c r="AF375" s="924"/>
      <c r="AG375" s="924"/>
      <c r="AH375" s="924"/>
      <c r="AI375" s="924"/>
      <c r="AJ375" s="924"/>
      <c r="AK375" s="924"/>
      <c r="AL375" s="924"/>
      <c r="AN375" s="997"/>
      <c r="AO375" s="940" t="s">
        <v>1672</v>
      </c>
      <c r="AP375" s="940">
        <v>3</v>
      </c>
    </row>
    <row r="376" spans="1:46" s="999" customFormat="1" ht="12.75" customHeight="1">
      <c r="A376" s="1057"/>
      <c r="B376" s="927"/>
      <c r="C376" s="927"/>
      <c r="D376" s="1020"/>
      <c r="E376" s="927"/>
      <c r="F376" s="1075"/>
      <c r="G376" s="1075"/>
      <c r="H376" s="1075"/>
      <c r="I376" s="1075"/>
      <c r="J376" s="1075"/>
      <c r="K376" s="1075"/>
      <c r="L376" s="1075"/>
      <c r="M376" s="1075"/>
      <c r="N376" s="1075"/>
      <c r="O376" s="1075"/>
      <c r="P376" s="1075"/>
      <c r="Q376" s="1075"/>
      <c r="R376" s="1075"/>
      <c r="S376" s="1075"/>
      <c r="T376" s="1075"/>
      <c r="U376" s="1075"/>
      <c r="V376" s="1075"/>
      <c r="W376" s="1075"/>
      <c r="X376" s="1075"/>
      <c r="Y376" s="1075"/>
      <c r="Z376" s="1075"/>
      <c r="AA376" s="1075"/>
      <c r="AB376" s="1075"/>
      <c r="AC376" s="1075"/>
      <c r="AD376" s="1075"/>
      <c r="AE376" s="1075"/>
      <c r="AF376" s="1549"/>
      <c r="AG376" s="1549"/>
      <c r="AH376" s="1549"/>
      <c r="AI376" s="1549"/>
      <c r="AJ376" s="1549"/>
      <c r="AK376" s="1549"/>
      <c r="AL376" s="1549"/>
      <c r="AM376" s="940"/>
      <c r="AN376" s="998"/>
      <c r="AO376" s="940" t="s">
        <v>1673</v>
      </c>
      <c r="AP376" s="940">
        <v>2</v>
      </c>
    </row>
    <row r="377" spans="1:46" s="940" customFormat="1" ht="12.75" customHeight="1">
      <c r="A377" s="1057"/>
      <c r="B377" s="3094" t="s">
        <v>624</v>
      </c>
      <c r="C377" s="3094"/>
      <c r="D377" s="1549"/>
      <c r="E377" s="3121" t="s">
        <v>1674</v>
      </c>
      <c r="F377" s="3121"/>
      <c r="G377" s="3121"/>
      <c r="H377" s="3121"/>
      <c r="I377" s="3121"/>
      <c r="J377" s="3121"/>
      <c r="K377" s="3121"/>
      <c r="L377" s="3121"/>
      <c r="M377" s="3121"/>
      <c r="N377" s="3121"/>
      <c r="O377" s="3121"/>
      <c r="P377" s="3121"/>
      <c r="Q377" s="3121"/>
      <c r="R377" s="3121"/>
      <c r="S377" s="3121"/>
      <c r="T377" s="3121"/>
      <c r="U377" s="3121"/>
      <c r="V377" s="3121"/>
      <c r="W377" s="3121"/>
      <c r="X377" s="3121"/>
      <c r="Y377" s="3121"/>
      <c r="Z377" s="3121"/>
      <c r="AA377" s="3121"/>
      <c r="AB377" s="3121"/>
      <c r="AC377" s="3121"/>
      <c r="AD377" s="3121"/>
      <c r="AE377" s="3121"/>
      <c r="AF377" s="3121"/>
      <c r="AG377" s="3121"/>
      <c r="AH377" s="1549"/>
      <c r="AI377" s="1549"/>
      <c r="AJ377" s="1549"/>
      <c r="AK377" s="1549"/>
      <c r="AL377" s="1549"/>
      <c r="AN377" s="997"/>
    </row>
    <row r="378" spans="1:46" s="940" customFormat="1" ht="12.75" customHeight="1">
      <c r="A378" s="1057"/>
      <c r="B378" s="1020"/>
      <c r="C378" s="1544"/>
      <c r="D378" s="1549"/>
      <c r="E378" s="3121"/>
      <c r="F378" s="3121"/>
      <c r="G378" s="3121"/>
      <c r="H378" s="3121"/>
      <c r="I378" s="3121"/>
      <c r="J378" s="3121"/>
      <c r="K378" s="3121"/>
      <c r="L378" s="3121"/>
      <c r="M378" s="3121"/>
      <c r="N378" s="3121"/>
      <c r="O378" s="3121"/>
      <c r="P378" s="3121"/>
      <c r="Q378" s="3121"/>
      <c r="R378" s="3121"/>
      <c r="S378" s="3121"/>
      <c r="T378" s="3121"/>
      <c r="U378" s="3121"/>
      <c r="V378" s="3121"/>
      <c r="W378" s="3121"/>
      <c r="X378" s="3121"/>
      <c r="Y378" s="3121"/>
      <c r="Z378" s="3121"/>
      <c r="AA378" s="3121"/>
      <c r="AB378" s="3121"/>
      <c r="AC378" s="3121"/>
      <c r="AD378" s="3121"/>
      <c r="AE378" s="3121"/>
      <c r="AF378" s="3121"/>
      <c r="AG378" s="3121"/>
      <c r="AH378" s="1549"/>
      <c r="AI378" s="1549"/>
      <c r="AJ378" s="1549"/>
      <c r="AK378" s="1549"/>
      <c r="AL378" s="1549"/>
      <c r="AN378" s="997"/>
    </row>
    <row r="379" spans="1:46" s="940" customFormat="1" ht="12.75" customHeight="1">
      <c r="A379" s="1057"/>
      <c r="B379" s="1020"/>
      <c r="C379" s="1544"/>
      <c r="D379" s="1549"/>
      <c r="E379" s="3121"/>
      <c r="F379" s="3121"/>
      <c r="G379" s="3121"/>
      <c r="H379" s="3121"/>
      <c r="I379" s="3121"/>
      <c r="J379" s="3121"/>
      <c r="K379" s="3121"/>
      <c r="L379" s="3121"/>
      <c r="M379" s="3121"/>
      <c r="N379" s="3121"/>
      <c r="O379" s="3121"/>
      <c r="P379" s="3121"/>
      <c r="Q379" s="3121"/>
      <c r="R379" s="3121"/>
      <c r="S379" s="3121"/>
      <c r="T379" s="3121"/>
      <c r="U379" s="3121"/>
      <c r="V379" s="3121"/>
      <c r="W379" s="3121"/>
      <c r="X379" s="3121"/>
      <c r="Y379" s="3121"/>
      <c r="Z379" s="3121"/>
      <c r="AA379" s="3121"/>
      <c r="AB379" s="3121"/>
      <c r="AC379" s="3121"/>
      <c r="AD379" s="3121"/>
      <c r="AE379" s="3121"/>
      <c r="AF379" s="3121"/>
      <c r="AG379" s="3121"/>
      <c r="AH379" s="1549"/>
      <c r="AI379" s="1549"/>
      <c r="AJ379" s="1549"/>
      <c r="AK379" s="1549"/>
      <c r="AL379" s="1549"/>
      <c r="AN379" s="997"/>
    </row>
    <row r="380" spans="1:46" s="940" customFormat="1" ht="12.75" customHeight="1">
      <c r="A380" s="1057"/>
      <c r="B380" s="1020"/>
      <c r="C380" s="1544"/>
      <c r="D380" s="1551"/>
      <c r="E380" s="3121"/>
      <c r="F380" s="3121"/>
      <c r="G380" s="3121"/>
      <c r="H380" s="3121"/>
      <c r="I380" s="3121"/>
      <c r="J380" s="3121"/>
      <c r="K380" s="3121"/>
      <c r="L380" s="3121"/>
      <c r="M380" s="3121"/>
      <c r="N380" s="3121"/>
      <c r="O380" s="3121"/>
      <c r="P380" s="3121"/>
      <c r="Q380" s="3121"/>
      <c r="R380" s="3121"/>
      <c r="S380" s="3121"/>
      <c r="T380" s="3121"/>
      <c r="U380" s="3121"/>
      <c r="V380" s="3121"/>
      <c r="W380" s="3121"/>
      <c r="X380" s="3121"/>
      <c r="Y380" s="3121"/>
      <c r="Z380" s="3121"/>
      <c r="AA380" s="3121"/>
      <c r="AB380" s="3121"/>
      <c r="AC380" s="3121"/>
      <c r="AD380" s="3121"/>
      <c r="AE380" s="3121"/>
      <c r="AF380" s="3121"/>
      <c r="AG380" s="3121"/>
      <c r="AH380" s="1551"/>
      <c r="AI380" s="1551"/>
      <c r="AJ380" s="1551"/>
      <c r="AK380" s="1551"/>
      <c r="AL380" s="1551"/>
      <c r="AN380" s="997"/>
    </row>
    <row r="381" spans="1:46" s="940" customFormat="1" ht="12.75" customHeight="1">
      <c r="A381" s="1057"/>
      <c r="B381" s="1020"/>
      <c r="C381" s="1544"/>
      <c r="D381" s="1550"/>
      <c r="E381" s="1574"/>
      <c r="F381" s="1574"/>
      <c r="G381" s="1574"/>
      <c r="H381" s="1574"/>
      <c r="I381" s="1574"/>
      <c r="J381" s="1574"/>
      <c r="K381" s="1574"/>
      <c r="L381" s="1574"/>
      <c r="M381" s="1574"/>
      <c r="N381" s="1574"/>
      <c r="O381" s="1574"/>
      <c r="P381" s="1574"/>
      <c r="Q381" s="1574"/>
      <c r="R381" s="1574"/>
      <c r="S381" s="1574"/>
      <c r="T381" s="1574"/>
      <c r="U381" s="1574"/>
      <c r="V381" s="1574"/>
      <c r="W381" s="1574"/>
      <c r="X381" s="1574"/>
      <c r="Y381" s="1574"/>
      <c r="Z381" s="1574"/>
      <c r="AA381" s="1574"/>
      <c r="AB381" s="1574"/>
      <c r="AC381" s="1574"/>
      <c r="AD381" s="1574"/>
      <c r="AE381" s="1574"/>
      <c r="AF381" s="1574"/>
      <c r="AG381" s="1574"/>
      <c r="AH381" s="1550"/>
      <c r="AI381" s="1550"/>
      <c r="AJ381" s="1550"/>
      <c r="AK381" s="1550"/>
      <c r="AL381" s="1551"/>
      <c r="AN381" s="997"/>
    </row>
    <row r="382" spans="1:46" s="940" customFormat="1" ht="12.75" customHeight="1">
      <c r="A382" s="1068"/>
      <c r="B382" s="1016"/>
      <c r="C382" s="1552"/>
      <c r="D382" s="1016"/>
      <c r="E382" s="1553"/>
      <c r="F382" s="1553"/>
      <c r="G382" s="1553"/>
      <c r="H382" s="1553"/>
      <c r="I382" s="1553"/>
      <c r="J382" s="1553"/>
      <c r="K382" s="1553"/>
      <c r="L382" s="1553"/>
      <c r="M382" s="1553"/>
      <c r="N382" s="1553"/>
      <c r="O382" s="1553"/>
      <c r="P382" s="1553"/>
      <c r="Q382" s="1553"/>
      <c r="R382" s="1553"/>
      <c r="S382" s="1553"/>
      <c r="T382" s="1553"/>
      <c r="U382" s="1553"/>
      <c r="V382" s="1553"/>
      <c r="W382" s="1553"/>
      <c r="X382" s="1553"/>
      <c r="Y382" s="1553"/>
      <c r="Z382" s="1553"/>
      <c r="AA382" s="1553"/>
      <c r="AB382" s="1016"/>
      <c r="AC382" s="1016"/>
      <c r="AD382" s="1016"/>
      <c r="AE382" s="1016"/>
      <c r="AF382" s="1016"/>
      <c r="AG382" s="1016"/>
      <c r="AH382" s="1016"/>
      <c r="AI382" s="956" t="s">
        <v>1675</v>
      </c>
      <c r="AJ382" s="3100">
        <f>VLOOKUP($H$367,$AO$347:$AP$352,2,FALSE)+VLOOKUP($I$375,$AO$374:$AP$376,2,FALSE)</f>
        <v>7</v>
      </c>
      <c r="AK382" s="3102"/>
      <c r="AL382" s="1002"/>
      <c r="AM382" s="1119"/>
      <c r="AN382" s="997"/>
    </row>
    <row r="383" spans="1:46" s="940" customFormat="1" ht="12.75" customHeight="1">
      <c r="A383" s="1057"/>
      <c r="B383" s="1020"/>
      <c r="C383" s="1544"/>
      <c r="D383" s="1020"/>
      <c r="E383" s="1548"/>
      <c r="F383" s="1548"/>
      <c r="G383" s="1548"/>
      <c r="H383" s="1548"/>
      <c r="I383" s="1548"/>
      <c r="J383" s="1548"/>
      <c r="K383" s="1548"/>
      <c r="L383" s="1548"/>
      <c r="M383" s="1548"/>
      <c r="N383" s="1548"/>
      <c r="O383" s="1548"/>
      <c r="P383" s="1548"/>
      <c r="Q383" s="1548"/>
      <c r="R383" s="1548"/>
      <c r="S383" s="1548"/>
      <c r="T383" s="1548"/>
      <c r="U383" s="1548"/>
      <c r="V383" s="1548"/>
      <c r="W383" s="1548"/>
      <c r="X383" s="1548"/>
      <c r="Y383" s="1548"/>
      <c r="Z383" s="1548"/>
      <c r="AA383" s="1548"/>
      <c r="AB383" s="1548"/>
      <c r="AC383" s="1020"/>
      <c r="AD383" s="1020"/>
      <c r="AE383" s="1548"/>
      <c r="AF383" s="1548"/>
      <c r="AG383" s="1548"/>
      <c r="AH383" s="1548"/>
      <c r="AI383" s="1548"/>
      <c r="AJ383" s="1548"/>
      <c r="AK383" s="1548"/>
      <c r="AL383" s="1548"/>
      <c r="AM383" s="1119"/>
      <c r="AN383" s="997"/>
    </row>
    <row r="384" spans="1:46" s="940" customFormat="1" ht="12.75" customHeight="1">
      <c r="A384" s="1057"/>
      <c r="B384" s="1020"/>
      <c r="C384" s="983" t="s">
        <v>1676</v>
      </c>
      <c r="D384" s="1009"/>
      <c r="E384" s="1548"/>
      <c r="F384" s="1548"/>
      <c r="G384" s="1548"/>
      <c r="H384" s="1548"/>
      <c r="I384" s="1548"/>
      <c r="J384" s="1548"/>
      <c r="K384" s="1548"/>
      <c r="L384" s="1548"/>
      <c r="M384" s="1548"/>
      <c r="N384" s="1548"/>
      <c r="O384" s="1548"/>
      <c r="P384" s="1548"/>
      <c r="Q384" s="1548"/>
      <c r="R384" s="1548"/>
      <c r="S384" s="1548"/>
      <c r="T384" s="1548"/>
      <c r="U384" s="1548"/>
      <c r="V384" s="1548"/>
      <c r="W384" s="1548"/>
      <c r="X384" s="1548"/>
      <c r="Y384" s="1548"/>
      <c r="Z384" s="1548"/>
      <c r="AA384" s="1548"/>
      <c r="AB384" s="1548"/>
      <c r="AC384" s="1020"/>
      <c r="AD384" s="1020"/>
      <c r="AE384" s="1020"/>
      <c r="AF384" s="1020"/>
      <c r="AG384" s="1020"/>
      <c r="AH384" s="988"/>
      <c r="AI384" s="1020"/>
      <c r="AJ384" s="1020"/>
      <c r="AK384" s="1020"/>
      <c r="AL384" s="1020"/>
      <c r="AM384" s="1057"/>
      <c r="AN384" s="997"/>
    </row>
    <row r="385" spans="1:42" s="940" customFormat="1" ht="12.75" customHeight="1">
      <c r="A385" s="1057"/>
      <c r="B385" s="1021"/>
      <c r="C385" s="924"/>
      <c r="D385" s="1547"/>
      <c r="E385" s="1548"/>
      <c r="F385" s="1548"/>
      <c r="G385" s="1548"/>
      <c r="H385" s="1548"/>
      <c r="I385" s="1548"/>
      <c r="J385" s="1548"/>
      <c r="K385" s="1548"/>
      <c r="L385" s="1548"/>
      <c r="M385" s="1548"/>
      <c r="N385" s="1548"/>
      <c r="O385" s="1548"/>
      <c r="P385" s="1548"/>
      <c r="Q385" s="1548"/>
      <c r="R385" s="1548"/>
      <c r="S385" s="1548"/>
      <c r="T385" s="1548"/>
      <c r="U385" s="1548"/>
      <c r="V385" s="1548"/>
      <c r="W385" s="1548"/>
      <c r="X385" s="1548"/>
      <c r="Y385" s="1548"/>
      <c r="Z385" s="1548"/>
      <c r="AA385" s="1548"/>
      <c r="AB385" s="1548"/>
      <c r="AC385" s="1020"/>
      <c r="AD385" s="1020"/>
      <c r="AE385" s="924"/>
      <c r="AF385" s="924"/>
      <c r="AG385" s="924"/>
      <c r="AH385" s="924"/>
      <c r="AI385" s="924"/>
      <c r="AJ385" s="924"/>
      <c r="AK385" s="924"/>
      <c r="AL385" s="924"/>
      <c r="AM385" s="1023"/>
      <c r="AN385" s="997"/>
    </row>
    <row r="386" spans="1:42" s="990" customFormat="1" ht="12.75" customHeight="1">
      <c r="A386" s="1057"/>
      <c r="B386" s="924"/>
      <c r="C386" s="924"/>
      <c r="D386" s="1103" t="s">
        <v>723</v>
      </c>
      <c r="E386" s="3141" t="s">
        <v>2110</v>
      </c>
      <c r="F386" s="3141"/>
      <c r="G386" s="3141"/>
      <c r="H386" s="3141"/>
      <c r="I386" s="3141"/>
      <c r="J386" s="3141"/>
      <c r="K386" s="3141"/>
      <c r="L386" s="3141"/>
      <c r="M386" s="3141"/>
      <c r="N386" s="3141"/>
      <c r="O386" s="3141"/>
      <c r="P386" s="3141"/>
      <c r="Q386" s="3141"/>
      <c r="R386" s="3141"/>
      <c r="S386" s="3141"/>
      <c r="T386" s="3141"/>
      <c r="U386" s="3141"/>
      <c r="V386" s="3141"/>
      <c r="W386" s="3141"/>
      <c r="X386" s="3141"/>
      <c r="Y386" s="3141"/>
      <c r="Z386" s="3141"/>
      <c r="AA386" s="3141"/>
      <c r="AB386" s="3141"/>
      <c r="AC386" s="3141"/>
      <c r="AD386" s="3141"/>
      <c r="AE386" s="929"/>
      <c r="AF386" s="3076" t="s">
        <v>1615</v>
      </c>
      <c r="AG386" s="3076"/>
      <c r="AH386" s="3076"/>
      <c r="AI386" s="3076"/>
      <c r="AJ386" s="3076"/>
      <c r="AK386" s="3076"/>
      <c r="AL386" s="3076"/>
      <c r="AM386" s="1023"/>
      <c r="AN386" s="1122"/>
    </row>
    <row r="387" spans="1:42" s="940" customFormat="1" ht="12.75" customHeight="1">
      <c r="A387" s="1123"/>
      <c r="B387" s="1020"/>
      <c r="C387" s="1544"/>
      <c r="D387" s="1103"/>
      <c r="E387" s="3141"/>
      <c r="F387" s="3141"/>
      <c r="G387" s="3141"/>
      <c r="H387" s="3141"/>
      <c r="I387" s="3141"/>
      <c r="J387" s="3141"/>
      <c r="K387" s="3141"/>
      <c r="L387" s="3141"/>
      <c r="M387" s="3141"/>
      <c r="N387" s="3141"/>
      <c r="O387" s="3141"/>
      <c r="P387" s="3141"/>
      <c r="Q387" s="3141"/>
      <c r="R387" s="3141"/>
      <c r="S387" s="3141"/>
      <c r="T387" s="3141"/>
      <c r="U387" s="3141"/>
      <c r="V387" s="3141"/>
      <c r="W387" s="3141"/>
      <c r="X387" s="3141"/>
      <c r="Y387" s="3141"/>
      <c r="Z387" s="3141"/>
      <c r="AA387" s="3141"/>
      <c r="AB387" s="3141"/>
      <c r="AC387" s="3141"/>
      <c r="AD387" s="3141"/>
      <c r="AE387" s="1003"/>
      <c r="AF387" s="1003"/>
      <c r="AG387" s="1003"/>
      <c r="AH387" s="1003"/>
      <c r="AI387" s="1003"/>
      <c r="AJ387" s="1003"/>
      <c r="AK387" s="1003"/>
      <c r="AL387" s="1003"/>
      <c r="AM387" s="1023"/>
      <c r="AN387" s="997"/>
    </row>
    <row r="388" spans="1:42" s="940" customFormat="1" ht="12.75" customHeight="1">
      <c r="A388" s="1057"/>
      <c r="B388" s="1020"/>
      <c r="C388" s="1545"/>
      <c r="D388" s="1103"/>
      <c r="E388" s="3141"/>
      <c r="F388" s="3141"/>
      <c r="G388" s="3141"/>
      <c r="H388" s="3141"/>
      <c r="I388" s="3141"/>
      <c r="J388" s="3141"/>
      <c r="K388" s="3141"/>
      <c r="L388" s="3141"/>
      <c r="M388" s="3141"/>
      <c r="N388" s="3141"/>
      <c r="O388" s="3141"/>
      <c r="P388" s="3141"/>
      <c r="Q388" s="3141"/>
      <c r="R388" s="3141"/>
      <c r="S388" s="3141"/>
      <c r="T388" s="3141"/>
      <c r="U388" s="3141"/>
      <c r="V388" s="3141"/>
      <c r="W388" s="3141"/>
      <c r="X388" s="3141"/>
      <c r="Y388" s="3141"/>
      <c r="Z388" s="3141"/>
      <c r="AA388" s="3141"/>
      <c r="AB388" s="3141"/>
      <c r="AC388" s="3141"/>
      <c r="AD388" s="3141"/>
      <c r="AE388" s="1003"/>
      <c r="AF388" s="1003"/>
      <c r="AG388" s="1003"/>
      <c r="AH388" s="1003"/>
      <c r="AI388" s="1003"/>
      <c r="AJ388" s="1003"/>
      <c r="AK388" s="1003"/>
      <c r="AL388" s="1003"/>
      <c r="AM388" s="1023"/>
      <c r="AN388" s="997"/>
    </row>
    <row r="389" spans="1:42" s="940" customFormat="1" ht="12.75" customHeight="1">
      <c r="A389" s="1057"/>
      <c r="B389" s="1020"/>
      <c r="C389" s="1545"/>
      <c r="D389" s="1103"/>
      <c r="E389" s="3141"/>
      <c r="F389" s="3141"/>
      <c r="G389" s="3141"/>
      <c r="H389" s="3141"/>
      <c r="I389" s="3141"/>
      <c r="J389" s="3141"/>
      <c r="K389" s="3141"/>
      <c r="L389" s="3141"/>
      <c r="M389" s="3141"/>
      <c r="N389" s="3141"/>
      <c r="O389" s="3141"/>
      <c r="P389" s="3141"/>
      <c r="Q389" s="3141"/>
      <c r="R389" s="3141"/>
      <c r="S389" s="3141"/>
      <c r="T389" s="3141"/>
      <c r="U389" s="3141"/>
      <c r="V389" s="3141"/>
      <c r="W389" s="3141"/>
      <c r="X389" s="3141"/>
      <c r="Y389" s="3141"/>
      <c r="Z389" s="3141"/>
      <c r="AA389" s="3141"/>
      <c r="AB389" s="3141"/>
      <c r="AC389" s="3141"/>
      <c r="AD389" s="3141"/>
      <c r="AE389" s="1003"/>
      <c r="AF389" s="1003"/>
      <c r="AG389" s="1003"/>
      <c r="AH389" s="1003"/>
      <c r="AI389" s="1003"/>
      <c r="AJ389" s="1003"/>
      <c r="AK389" s="1003"/>
      <c r="AL389" s="1003"/>
      <c r="AM389" s="1023"/>
      <c r="AN389" s="997"/>
    </row>
    <row r="390" spans="1:42" s="940" customFormat="1" ht="12.75" customHeight="1">
      <c r="A390" s="1057"/>
      <c r="B390" s="1020"/>
      <c r="C390" s="1545"/>
      <c r="D390" s="1103"/>
      <c r="E390" s="3141"/>
      <c r="F390" s="3141"/>
      <c r="G390" s="3141"/>
      <c r="H390" s="3141"/>
      <c r="I390" s="3141"/>
      <c r="J390" s="3141"/>
      <c r="K390" s="3141"/>
      <c r="L390" s="3141"/>
      <c r="M390" s="3141"/>
      <c r="N390" s="3141"/>
      <c r="O390" s="3141"/>
      <c r="P390" s="3141"/>
      <c r="Q390" s="3141"/>
      <c r="R390" s="3141"/>
      <c r="S390" s="3141"/>
      <c r="T390" s="3141"/>
      <c r="U390" s="3141"/>
      <c r="V390" s="3141"/>
      <c r="W390" s="3141"/>
      <c r="X390" s="3141"/>
      <c r="Y390" s="3141"/>
      <c r="Z390" s="3141"/>
      <c r="AA390" s="3141"/>
      <c r="AB390" s="3141"/>
      <c r="AC390" s="3141"/>
      <c r="AD390" s="3141"/>
      <c r="AE390" s="1003"/>
      <c r="AF390" s="1003"/>
      <c r="AG390" s="1003"/>
      <c r="AH390" s="1003"/>
      <c r="AI390" s="1003"/>
      <c r="AJ390" s="1003"/>
      <c r="AK390" s="1003"/>
      <c r="AL390" s="1003"/>
      <c r="AM390" s="1023"/>
      <c r="AN390" s="997"/>
    </row>
    <row r="391" spans="1:42" s="940" customFormat="1" ht="12.75" customHeight="1">
      <c r="A391" s="1057"/>
      <c r="B391" s="1020"/>
      <c r="C391" s="1545"/>
      <c r="D391" s="1103"/>
      <c r="E391" s="3141"/>
      <c r="F391" s="3141"/>
      <c r="G391" s="3141"/>
      <c r="H391" s="3141"/>
      <c r="I391" s="3141"/>
      <c r="J391" s="3141"/>
      <c r="K391" s="3141"/>
      <c r="L391" s="3141"/>
      <c r="M391" s="3141"/>
      <c r="N391" s="3141"/>
      <c r="O391" s="3141"/>
      <c r="P391" s="3141"/>
      <c r="Q391" s="3141"/>
      <c r="R391" s="3141"/>
      <c r="S391" s="3141"/>
      <c r="T391" s="3141"/>
      <c r="U391" s="3141"/>
      <c r="V391" s="3141"/>
      <c r="W391" s="3141"/>
      <c r="X391" s="3141"/>
      <c r="Y391" s="3141"/>
      <c r="Z391" s="3141"/>
      <c r="AA391" s="3141"/>
      <c r="AB391" s="3141"/>
      <c r="AC391" s="3141"/>
      <c r="AD391" s="3141"/>
      <c r="AE391" s="1003"/>
      <c r="AF391" s="1003"/>
      <c r="AG391" s="1003"/>
      <c r="AH391" s="1003"/>
      <c r="AI391" s="1003"/>
      <c r="AJ391" s="1003"/>
      <c r="AK391" s="1003"/>
      <c r="AL391" s="1003"/>
      <c r="AM391" s="1023"/>
      <c r="AN391" s="997"/>
    </row>
    <row r="392" spans="1:42" s="940" customFormat="1" ht="12.75" customHeight="1">
      <c r="A392" s="1116"/>
      <c r="B392" s="1032"/>
      <c r="C392" s="1554"/>
      <c r="D392" s="1103"/>
      <c r="E392" s="3141"/>
      <c r="F392" s="3141"/>
      <c r="G392" s="3141"/>
      <c r="H392" s="3141"/>
      <c r="I392" s="3141"/>
      <c r="J392" s="3141"/>
      <c r="K392" s="3141"/>
      <c r="L392" s="3141"/>
      <c r="M392" s="3141"/>
      <c r="N392" s="3141"/>
      <c r="O392" s="3141"/>
      <c r="P392" s="3141"/>
      <c r="Q392" s="3141"/>
      <c r="R392" s="3141"/>
      <c r="S392" s="3141"/>
      <c r="T392" s="3141"/>
      <c r="U392" s="3141"/>
      <c r="V392" s="3141"/>
      <c r="W392" s="3141"/>
      <c r="X392" s="3141"/>
      <c r="Y392" s="3141"/>
      <c r="Z392" s="3141"/>
      <c r="AA392" s="3141"/>
      <c r="AB392" s="3141"/>
      <c r="AC392" s="3141"/>
      <c r="AD392" s="3141"/>
      <c r="AE392" s="1032"/>
      <c r="AF392" s="1032"/>
      <c r="AG392" s="1032"/>
      <c r="AH392" s="1032"/>
      <c r="AI392" s="1032"/>
      <c r="AJ392" s="1032"/>
      <c r="AK392" s="1003"/>
      <c r="AL392" s="1003"/>
      <c r="AM392" s="1023"/>
      <c r="AN392" s="997"/>
    </row>
    <row r="393" spans="1:42" s="940" customFormat="1" ht="12.75" customHeight="1">
      <c r="A393" s="1057"/>
      <c r="B393" s="1032"/>
      <c r="C393" s="1554"/>
      <c r="D393" s="1103"/>
      <c r="E393" s="3141"/>
      <c r="F393" s="3141"/>
      <c r="G393" s="3141"/>
      <c r="H393" s="3141"/>
      <c r="I393" s="3141"/>
      <c r="J393" s="3141"/>
      <c r="K393" s="3141"/>
      <c r="L393" s="3141"/>
      <c r="M393" s="3141"/>
      <c r="N393" s="3141"/>
      <c r="O393" s="3141"/>
      <c r="P393" s="3141"/>
      <c r="Q393" s="3141"/>
      <c r="R393" s="3141"/>
      <c r="S393" s="3141"/>
      <c r="T393" s="3141"/>
      <c r="U393" s="3141"/>
      <c r="V393" s="3141"/>
      <c r="W393" s="3141"/>
      <c r="X393" s="3141"/>
      <c r="Y393" s="3141"/>
      <c r="Z393" s="3141"/>
      <c r="AA393" s="3141"/>
      <c r="AB393" s="3141"/>
      <c r="AC393" s="3141"/>
      <c r="AD393" s="3141"/>
      <c r="AE393" s="1032"/>
      <c r="AF393" s="1032"/>
      <c r="AG393" s="1032"/>
      <c r="AH393" s="1032"/>
      <c r="AI393" s="1032"/>
      <c r="AJ393" s="1032"/>
      <c r="AK393" s="1003"/>
      <c r="AL393" s="1003"/>
      <c r="AM393" s="1023"/>
      <c r="AN393" s="997"/>
    </row>
    <row r="394" spans="1:42" s="940" customFormat="1" ht="12" customHeight="1">
      <c r="A394" s="1057"/>
      <c r="B394" s="1032"/>
      <c r="C394" s="1554"/>
      <c r="D394" s="1103"/>
      <c r="E394" s="1573"/>
      <c r="F394" s="1573"/>
      <c r="G394" s="1573"/>
      <c r="H394" s="1573"/>
      <c r="I394" s="1573"/>
      <c r="J394" s="1573"/>
      <c r="K394" s="1573"/>
      <c r="L394" s="1573"/>
      <c r="M394" s="1573"/>
      <c r="N394" s="1573"/>
      <c r="O394" s="1573"/>
      <c r="P394" s="1573"/>
      <c r="Q394" s="1573"/>
      <c r="R394" s="1573"/>
      <c r="S394" s="1573"/>
      <c r="T394" s="1573"/>
      <c r="U394" s="1573"/>
      <c r="V394" s="1573"/>
      <c r="W394" s="1573"/>
      <c r="X394" s="1573"/>
      <c r="Y394" s="1573"/>
      <c r="Z394" s="1573"/>
      <c r="AA394" s="1573"/>
      <c r="AB394" s="1573"/>
      <c r="AC394" s="1573"/>
      <c r="AD394" s="1573"/>
      <c r="AE394" s="1032"/>
      <c r="AF394" s="1032"/>
      <c r="AG394" s="1032"/>
      <c r="AH394" s="1032"/>
      <c r="AI394" s="1032"/>
      <c r="AJ394" s="1032"/>
      <c r="AK394" s="1003"/>
      <c r="AL394" s="1003"/>
      <c r="AM394" s="1023"/>
      <c r="AN394" s="997"/>
      <c r="AO394" s="999" t="s">
        <v>624</v>
      </c>
      <c r="AP394" s="1124">
        <v>0</v>
      </c>
    </row>
    <row r="395" spans="1:42" s="940" customFormat="1" ht="12.75" customHeight="1">
      <c r="A395" s="1057"/>
      <c r="B395" s="1032"/>
      <c r="C395" s="1542"/>
      <c r="D395" s="1103"/>
      <c r="E395" s="1032" t="s">
        <v>1677</v>
      </c>
      <c r="F395" s="1555"/>
      <c r="G395" s="1555"/>
      <c r="H395" s="1555"/>
      <c r="I395" s="1555"/>
      <c r="J395" s="1555"/>
      <c r="K395" s="1555"/>
      <c r="L395" s="1555"/>
      <c r="M395" s="1555"/>
      <c r="N395" s="1555"/>
      <c r="O395" s="1555"/>
      <c r="P395" s="1555"/>
      <c r="Q395" s="1555"/>
      <c r="R395" s="1555"/>
      <c r="U395" s="1555"/>
      <c r="V395" s="1555"/>
      <c r="W395" s="1555"/>
      <c r="X395" s="3094" t="s">
        <v>624</v>
      </c>
      <c r="Y395" s="3094"/>
      <c r="Z395" s="1555"/>
      <c r="AA395" s="1555"/>
      <c r="AB395" s="1555"/>
      <c r="AC395" s="1555"/>
      <c r="AD395" s="1555"/>
      <c r="AE395" s="924"/>
      <c r="AF395" s="1032"/>
      <c r="AG395" s="1032"/>
      <c r="AH395" s="1032"/>
      <c r="AI395" s="1032"/>
      <c r="AJ395" s="1032"/>
      <c r="AK395" s="1003"/>
      <c r="AL395" s="1003"/>
      <c r="AM395" s="1023"/>
      <c r="AN395" s="997"/>
      <c r="AO395" s="1115" t="s">
        <v>723</v>
      </c>
      <c r="AP395" s="940">
        <v>5</v>
      </c>
    </row>
    <row r="396" spans="1:42" s="940" customFormat="1" ht="12.75" customHeight="1">
      <c r="A396" s="1057"/>
      <c r="B396" s="1032"/>
      <c r="C396" s="1554"/>
      <c r="D396" s="924"/>
      <c r="E396" s="924"/>
      <c r="F396" s="924"/>
      <c r="G396" s="924"/>
      <c r="H396" s="924"/>
      <c r="I396" s="924"/>
      <c r="J396" s="924"/>
      <c r="K396" s="924"/>
      <c r="L396" s="924"/>
      <c r="M396" s="924"/>
      <c r="N396" s="924"/>
      <c r="O396" s="924"/>
      <c r="P396" s="924"/>
      <c r="Q396" s="924"/>
      <c r="R396" s="924"/>
      <c r="S396" s="924"/>
      <c r="T396" s="924"/>
      <c r="U396" s="924"/>
      <c r="V396" s="924"/>
      <c r="W396" s="1032"/>
      <c r="X396" s="1032"/>
      <c r="Y396" s="1032"/>
      <c r="Z396" s="1032"/>
      <c r="AA396" s="1032"/>
      <c r="AB396" s="1032"/>
      <c r="AC396" s="924"/>
      <c r="AD396" s="924"/>
      <c r="AE396" s="924"/>
      <c r="AF396" s="924"/>
      <c r="AG396" s="924"/>
      <c r="AH396" s="924"/>
      <c r="AI396" s="924"/>
      <c r="AJ396" s="924"/>
      <c r="AK396" s="924"/>
      <c r="AL396" s="924"/>
      <c r="AM396" s="1023"/>
      <c r="AN396" s="997"/>
      <c r="AO396" s="1115" t="s">
        <v>540</v>
      </c>
      <c r="AP396" s="1125">
        <v>4</v>
      </c>
    </row>
    <row r="397" spans="1:42" s="940" customFormat="1" ht="12.75" customHeight="1">
      <c r="A397" s="1057"/>
      <c r="B397" s="1003"/>
      <c r="C397" s="1542"/>
      <c r="D397" s="1103" t="s">
        <v>540</v>
      </c>
      <c r="E397" s="945" t="s">
        <v>1678</v>
      </c>
      <c r="F397" s="1556"/>
      <c r="G397" s="1556"/>
      <c r="H397" s="1556"/>
      <c r="I397" s="1556"/>
      <c r="J397" s="1556"/>
      <c r="K397" s="1556"/>
      <c r="L397" s="1556"/>
      <c r="M397" s="1556"/>
      <c r="N397" s="1556"/>
      <c r="O397" s="1556"/>
      <c r="P397" s="1556"/>
      <c r="Q397" s="1556"/>
      <c r="R397" s="1556"/>
      <c r="S397" s="1556"/>
      <c r="T397" s="1556"/>
      <c r="U397" s="924"/>
      <c r="V397" s="924"/>
      <c r="W397" s="1556"/>
      <c r="X397" s="1556"/>
      <c r="Y397" s="1556"/>
      <c r="Z397" s="1556"/>
      <c r="AA397" s="1556"/>
      <c r="AB397" s="1556"/>
      <c r="AC397" s="924"/>
      <c r="AD397" s="924"/>
      <c r="AE397" s="924"/>
      <c r="AF397" s="3076" t="s">
        <v>1679</v>
      </c>
      <c r="AG397" s="3076"/>
      <c r="AH397" s="3076"/>
      <c r="AI397" s="3076"/>
      <c r="AJ397" s="3076"/>
      <c r="AK397" s="3076"/>
      <c r="AL397" s="3076"/>
      <c r="AM397" s="1023"/>
      <c r="AN397" s="997"/>
      <c r="AO397" s="1115" t="s">
        <v>283</v>
      </c>
      <c r="AP397" s="940">
        <v>3</v>
      </c>
    </row>
    <row r="398" spans="1:42" s="999" customFormat="1" ht="12.75" customHeight="1">
      <c r="A398" s="1057"/>
      <c r="B398" s="1003"/>
      <c r="C398" s="1542"/>
      <c r="D398" s="1020"/>
      <c r="E398" s="927"/>
      <c r="F398" s="1556"/>
      <c r="G398" s="1556"/>
      <c r="H398" s="1556"/>
      <c r="I398" s="1556"/>
      <c r="J398" s="1556"/>
      <c r="K398" s="1556"/>
      <c r="L398" s="1556"/>
      <c r="M398" s="1556"/>
      <c r="N398" s="1556"/>
      <c r="O398" s="1556"/>
      <c r="P398" s="1556"/>
      <c r="Q398" s="1556"/>
      <c r="R398" s="1556"/>
      <c r="S398" s="1556"/>
      <c r="T398" s="1556"/>
      <c r="U398" s="924"/>
      <c r="V398" s="927"/>
      <c r="W398" s="927"/>
      <c r="X398" s="1556"/>
      <c r="Y398" s="1556"/>
      <c r="Z398" s="1556"/>
      <c r="AA398" s="1556"/>
      <c r="AB398" s="1556"/>
      <c r="AC398" s="924"/>
      <c r="AD398" s="924"/>
      <c r="AE398" s="924"/>
      <c r="AF398" s="924"/>
      <c r="AG398" s="924"/>
      <c r="AH398" s="924"/>
      <c r="AI398" s="924"/>
      <c r="AJ398" s="924"/>
      <c r="AK398" s="1003"/>
      <c r="AL398" s="1003"/>
      <c r="AM398" s="1023"/>
      <c r="AN398" s="998"/>
      <c r="AO398" s="1115" t="s">
        <v>1668</v>
      </c>
      <c r="AP398" s="1125">
        <v>4</v>
      </c>
    </row>
    <row r="399" spans="1:42" s="940" customFormat="1" ht="12.75" customHeight="1">
      <c r="A399" s="1057"/>
      <c r="B399" s="1003"/>
      <c r="C399" s="1542"/>
      <c r="D399" s="1020" t="s">
        <v>1671</v>
      </c>
      <c r="E399" s="1548"/>
      <c r="F399" s="1548"/>
      <c r="G399" s="1548"/>
      <c r="H399" s="3140" t="s">
        <v>723</v>
      </c>
      <c r="I399" s="3140"/>
      <c r="J399" s="1556"/>
      <c r="K399" s="1556"/>
      <c r="L399" s="1556"/>
      <c r="M399" s="1556"/>
      <c r="N399" s="1556"/>
      <c r="O399" s="1556"/>
      <c r="P399" s="1556"/>
      <c r="Q399" s="1556"/>
      <c r="R399" s="1556"/>
      <c r="S399" s="1556"/>
      <c r="T399" s="1556"/>
      <c r="U399" s="1548"/>
      <c r="V399" s="1548"/>
      <c r="W399" s="1548"/>
      <c r="X399" s="924"/>
      <c r="Y399" s="924"/>
      <c r="Z399" s="924"/>
      <c r="AA399" s="924"/>
      <c r="AB399" s="924"/>
      <c r="AC399" s="924"/>
      <c r="AD399" s="924"/>
      <c r="AE399" s="924"/>
      <c r="AF399" s="924"/>
      <c r="AG399" s="924"/>
      <c r="AH399" s="924"/>
      <c r="AI399" s="924"/>
      <c r="AJ399" s="924"/>
      <c r="AK399" s="924"/>
      <c r="AL399" s="924"/>
      <c r="AN399" s="997"/>
      <c r="AO399" s="1115" t="s">
        <v>1669</v>
      </c>
      <c r="AP399" s="940">
        <v>3</v>
      </c>
    </row>
    <row r="400" spans="1:42" s="940" customFormat="1" ht="12.75" customHeight="1">
      <c r="A400" s="1057"/>
      <c r="B400" s="1003"/>
      <c r="C400" s="1542"/>
      <c r="D400" s="924"/>
      <c r="E400" s="1548"/>
      <c r="F400" s="1556"/>
      <c r="G400" s="1556"/>
      <c r="H400" s="1556"/>
      <c r="I400" s="1557"/>
      <c r="J400" s="1556"/>
      <c r="K400" s="1556"/>
      <c r="L400" s="1556"/>
      <c r="M400" s="1556"/>
      <c r="N400" s="1556"/>
      <c r="O400" s="1556"/>
      <c r="P400" s="1556"/>
      <c r="Q400" s="1556"/>
      <c r="R400" s="924"/>
      <c r="S400" s="924"/>
      <c r="T400" s="1556"/>
      <c r="U400" s="1548"/>
      <c r="V400" s="1548"/>
      <c r="W400" s="1548"/>
      <c r="X400" s="1548"/>
      <c r="Y400" s="1548"/>
      <c r="Z400" s="1548"/>
      <c r="AA400" s="1548"/>
      <c r="AB400" s="1548"/>
      <c r="AC400" s="1020"/>
      <c r="AD400" s="1020"/>
      <c r="AE400" s="1020"/>
      <c r="AF400" s="1020"/>
      <c r="AG400" s="1020"/>
      <c r="AH400" s="1020"/>
      <c r="AI400" s="1556"/>
      <c r="AJ400" s="1556"/>
      <c r="AK400" s="1556"/>
      <c r="AL400" s="1556"/>
      <c r="AM400" s="1126"/>
      <c r="AN400" s="997"/>
      <c r="AO400" s="1115" t="s">
        <v>1680</v>
      </c>
      <c r="AP400" s="940">
        <v>2</v>
      </c>
    </row>
    <row r="401" spans="1:42" s="940" customFormat="1" ht="12.75" customHeight="1">
      <c r="A401" s="1068"/>
      <c r="B401" s="1006"/>
      <c r="C401" s="1558"/>
      <c r="D401" s="1016"/>
      <c r="E401" s="1553"/>
      <c r="F401" s="1553"/>
      <c r="G401" s="1559"/>
      <c r="H401" s="1559"/>
      <c r="I401" s="1559"/>
      <c r="J401" s="1559"/>
      <c r="K401" s="1559"/>
      <c r="L401" s="1559"/>
      <c r="M401" s="1559"/>
      <c r="N401" s="1559"/>
      <c r="O401" s="1559"/>
      <c r="P401" s="1559"/>
      <c r="Q401" s="1559"/>
      <c r="R401" s="1559"/>
      <c r="S401" s="1559"/>
      <c r="T401" s="1553"/>
      <c r="U401" s="1553"/>
      <c r="V401" s="1553"/>
      <c r="W401" s="1553"/>
      <c r="X401" s="1553"/>
      <c r="Y401" s="1553"/>
      <c r="Z401" s="1553"/>
      <c r="AA401" s="1553"/>
      <c r="AB401" s="1016"/>
      <c r="AC401" s="1016"/>
      <c r="AD401" s="1016"/>
      <c r="AE401" s="1016"/>
      <c r="AF401" s="1016"/>
      <c r="AG401" s="1016"/>
      <c r="AH401" s="1016"/>
      <c r="AI401" s="956" t="s">
        <v>1681</v>
      </c>
      <c r="AJ401" s="3100">
        <f>VLOOKUP($H$399,$AO$366:$AP$368,2,FALSE)</f>
        <v>3</v>
      </c>
      <c r="AK401" s="3102"/>
      <c r="AL401" s="1002"/>
      <c r="AM401" s="999"/>
      <c r="AN401" s="997"/>
      <c r="AO401" s="1115" t="s">
        <v>1682</v>
      </c>
      <c r="AP401" s="940">
        <v>1</v>
      </c>
    </row>
    <row r="402" spans="1:42" s="940" customFormat="1" ht="12.75" customHeight="1">
      <c r="A402" s="1057"/>
      <c r="B402" s="1003"/>
      <c r="C402" s="1542"/>
      <c r="D402" s="1020"/>
      <c r="E402" s="1548"/>
      <c r="F402" s="1548"/>
      <c r="G402" s="1548"/>
      <c r="H402" s="1020"/>
      <c r="I402" s="1020"/>
      <c r="J402" s="1556"/>
      <c r="K402" s="1556"/>
      <c r="L402" s="1556"/>
      <c r="M402" s="1556"/>
      <c r="N402" s="1556"/>
      <c r="O402" s="1556"/>
      <c r="P402" s="1556"/>
      <c r="Q402" s="1556"/>
      <c r="R402" s="1556"/>
      <c r="S402" s="1556"/>
      <c r="T402" s="1556"/>
      <c r="U402" s="1548"/>
      <c r="V402" s="1548"/>
      <c r="W402" s="1548"/>
      <c r="X402" s="1548"/>
      <c r="Y402" s="1548"/>
      <c r="Z402" s="1548"/>
      <c r="AA402" s="1548"/>
      <c r="AB402" s="1548"/>
      <c r="AC402" s="1020"/>
      <c r="AD402" s="1020"/>
      <c r="AE402" s="1020"/>
      <c r="AF402" s="1020"/>
      <c r="AG402" s="1020"/>
      <c r="AH402" s="1020"/>
      <c r="AI402" s="1020"/>
      <c r="AJ402" s="1499"/>
      <c r="AK402" s="1020"/>
      <c r="AL402" s="1020"/>
      <c r="AM402" s="1057"/>
      <c r="AN402" s="997"/>
    </row>
    <row r="403" spans="1:42" s="940" customFormat="1" ht="12.75" customHeight="1">
      <c r="A403" s="1057"/>
      <c r="B403" s="1003"/>
      <c r="C403" s="983" t="s">
        <v>1683</v>
      </c>
      <c r="D403" s="1020"/>
      <c r="E403" s="1548"/>
      <c r="F403" s="1556"/>
      <c r="G403" s="1556"/>
      <c r="H403" s="1556"/>
      <c r="I403" s="1556"/>
      <c r="J403" s="1556"/>
      <c r="K403" s="1556"/>
      <c r="L403" s="1556"/>
      <c r="M403" s="1556"/>
      <c r="N403" s="1556"/>
      <c r="O403" s="1556"/>
      <c r="P403" s="1556"/>
      <c r="Q403" s="1556"/>
      <c r="R403" s="1556"/>
      <c r="S403" s="1556"/>
      <c r="T403" s="1556"/>
      <c r="U403" s="988"/>
      <c r="V403" s="988"/>
      <c r="W403" s="1556"/>
      <c r="X403" s="1556"/>
      <c r="Y403" s="1556"/>
      <c r="Z403" s="1556"/>
      <c r="AA403" s="1556"/>
      <c r="AB403" s="1556"/>
      <c r="AC403" s="1501"/>
      <c r="AD403" s="1501"/>
      <c r="AE403" s="1501"/>
      <c r="AF403" s="1501"/>
      <c r="AG403" s="1501"/>
      <c r="AH403" s="1501"/>
      <c r="AI403" s="1501"/>
      <c r="AJ403" s="988"/>
      <c r="AK403" s="1003"/>
      <c r="AL403" s="1003"/>
      <c r="AM403" s="1023"/>
      <c r="AN403" s="997"/>
    </row>
    <row r="404" spans="1:42" s="940" customFormat="1" ht="12.75" customHeight="1">
      <c r="A404" s="1116"/>
      <c r="B404" s="1020"/>
      <c r="C404" s="1544"/>
      <c r="D404" s="1020"/>
      <c r="E404" s="1556"/>
      <c r="F404" s="1556"/>
      <c r="G404" s="1556"/>
      <c r="H404" s="1556"/>
      <c r="I404" s="1556"/>
      <c r="J404" s="1556"/>
      <c r="K404" s="1556"/>
      <c r="L404" s="1556"/>
      <c r="M404" s="1556"/>
      <c r="N404" s="1556"/>
      <c r="O404" s="1556"/>
      <c r="P404" s="1556"/>
      <c r="Q404" s="1556"/>
      <c r="R404" s="1556"/>
      <c r="S404" s="1556"/>
      <c r="T404" s="1556"/>
      <c r="U404" s="1556"/>
      <c r="V404" s="1556"/>
      <c r="W404" s="1556"/>
      <c r="X404" s="1556"/>
      <c r="Y404" s="1556"/>
      <c r="Z404" s="1556"/>
      <c r="AA404" s="1556"/>
      <c r="AB404" s="1556"/>
      <c r="AC404" s="1020"/>
      <c r="AD404" s="1020"/>
      <c r="AE404" s="924"/>
      <c r="AF404" s="924"/>
      <c r="AG404" s="924"/>
      <c r="AH404" s="924"/>
      <c r="AI404" s="924"/>
      <c r="AJ404" s="924"/>
      <c r="AK404" s="924"/>
      <c r="AL404" s="1003"/>
      <c r="AM404" s="1023"/>
      <c r="AN404" s="997"/>
    </row>
    <row r="405" spans="1:42" s="940" customFormat="1" ht="12.75" customHeight="1">
      <c r="A405" s="1057"/>
      <c r="B405" s="924"/>
      <c r="C405" s="924"/>
      <c r="D405" s="1103" t="s">
        <v>723</v>
      </c>
      <c r="E405" s="1032" t="s">
        <v>1684</v>
      </c>
      <c r="F405" s="1556"/>
      <c r="G405" s="1556"/>
      <c r="H405" s="1556"/>
      <c r="I405" s="1556"/>
      <c r="J405" s="1556"/>
      <c r="K405" s="1556"/>
      <c r="L405" s="1556"/>
      <c r="M405" s="1556"/>
      <c r="N405" s="1556"/>
      <c r="O405" s="1556"/>
      <c r="P405" s="1556"/>
      <c r="Q405" s="1556"/>
      <c r="R405" s="1556"/>
      <c r="S405" s="1556"/>
      <c r="T405" s="1556"/>
      <c r="U405" s="1556"/>
      <c r="V405" s="1556"/>
      <c r="W405" s="1556"/>
      <c r="X405" s="1556"/>
      <c r="Y405" s="1556"/>
      <c r="Z405" s="1556"/>
      <c r="AA405" s="1556"/>
      <c r="AB405" s="1556"/>
      <c r="AC405" s="924"/>
      <c r="AD405" s="924"/>
      <c r="AE405" s="924"/>
      <c r="AF405" s="3076" t="s">
        <v>1615</v>
      </c>
      <c r="AG405" s="3076"/>
      <c r="AH405" s="3076"/>
      <c r="AI405" s="3076"/>
      <c r="AJ405" s="3076"/>
      <c r="AK405" s="3076"/>
      <c r="AL405" s="3076"/>
      <c r="AM405" s="1023"/>
      <c r="AN405" s="997"/>
    </row>
    <row r="406" spans="1:42" s="940" customFormat="1" ht="12.75" customHeight="1">
      <c r="A406" s="1057"/>
      <c r="B406" s="924"/>
      <c r="C406" s="924"/>
      <c r="D406" s="1103"/>
      <c r="E406" s="1032" t="s">
        <v>1685</v>
      </c>
      <c r="F406" s="1556"/>
      <c r="G406" s="1556"/>
      <c r="H406" s="1556"/>
      <c r="I406" s="1556"/>
      <c r="J406" s="1556"/>
      <c r="K406" s="1556"/>
      <c r="L406" s="1556"/>
      <c r="M406" s="1556"/>
      <c r="N406" s="1556"/>
      <c r="O406" s="1556"/>
      <c r="P406" s="1556"/>
      <c r="Q406" s="1556"/>
      <c r="R406" s="1556"/>
      <c r="S406" s="1556"/>
      <c r="T406" s="1556"/>
      <c r="U406" s="1556"/>
      <c r="V406" s="1556"/>
      <c r="W406" s="1556"/>
      <c r="X406" s="1556"/>
      <c r="Y406" s="1556"/>
      <c r="Z406" s="1556"/>
      <c r="AA406" s="1556"/>
      <c r="AB406" s="1556"/>
      <c r="AC406" s="924"/>
      <c r="AD406" s="924"/>
      <c r="AE406" s="1501"/>
      <c r="AF406" s="1501"/>
      <c r="AG406" s="1501"/>
      <c r="AH406" s="1501"/>
      <c r="AI406" s="1501"/>
      <c r="AJ406" s="1501"/>
      <c r="AK406" s="1501"/>
      <c r="AL406" s="1501"/>
      <c r="AM406" s="1023"/>
      <c r="AN406" s="997"/>
    </row>
    <row r="407" spans="1:42" s="940" customFormat="1" ht="12.75" customHeight="1">
      <c r="A407" s="1057"/>
      <c r="B407" s="1032"/>
      <c r="C407" s="1554"/>
      <c r="D407" s="1103"/>
      <c r="E407" s="1032"/>
      <c r="F407" s="1032"/>
      <c r="G407" s="1032"/>
      <c r="H407" s="1032"/>
      <c r="I407" s="1032"/>
      <c r="J407" s="1032"/>
      <c r="K407" s="1032"/>
      <c r="L407" s="1032"/>
      <c r="M407" s="1032"/>
      <c r="N407" s="1032"/>
      <c r="O407" s="1032"/>
      <c r="P407" s="1032"/>
      <c r="Q407" s="1032"/>
      <c r="R407" s="1032"/>
      <c r="S407" s="1032"/>
      <c r="T407" s="1032"/>
      <c r="U407" s="1032"/>
      <c r="V407" s="1032"/>
      <c r="W407" s="1032"/>
      <c r="X407" s="1032"/>
      <c r="Y407" s="1032"/>
      <c r="Z407" s="1032"/>
      <c r="AA407" s="1032"/>
      <c r="AB407" s="1032"/>
      <c r="AC407" s="924"/>
      <c r="AD407" s="924"/>
      <c r="AE407" s="1032"/>
      <c r="AF407" s="924"/>
      <c r="AG407" s="924"/>
      <c r="AH407" s="924"/>
      <c r="AI407" s="924"/>
      <c r="AJ407" s="924"/>
      <c r="AK407" s="924"/>
      <c r="AL407" s="924"/>
      <c r="AM407" s="1023"/>
      <c r="AN407" s="997"/>
    </row>
    <row r="408" spans="1:42" s="940" customFormat="1" ht="12.75" customHeight="1">
      <c r="A408" s="1057"/>
      <c r="B408" s="1003"/>
      <c r="C408" s="1542"/>
      <c r="D408" s="1103" t="s">
        <v>540</v>
      </c>
      <c r="E408" s="1032" t="s">
        <v>1686</v>
      </c>
      <c r="F408" s="1032"/>
      <c r="G408" s="1032"/>
      <c r="H408" s="1032"/>
      <c r="I408" s="1032"/>
      <c r="J408" s="1032"/>
      <c r="K408" s="1032"/>
      <c r="L408" s="1032"/>
      <c r="M408" s="1032"/>
      <c r="N408" s="1032"/>
      <c r="O408" s="1032"/>
      <c r="P408" s="1032"/>
      <c r="Q408" s="1032"/>
      <c r="R408" s="1032"/>
      <c r="S408" s="1032"/>
      <c r="T408" s="1032"/>
      <c r="U408" s="1032"/>
      <c r="V408" s="1032"/>
      <c r="W408" s="1032"/>
      <c r="X408" s="1032"/>
      <c r="Y408" s="1032"/>
      <c r="Z408" s="1032"/>
      <c r="AA408" s="1032"/>
      <c r="AB408" s="1032"/>
      <c r="AC408" s="924"/>
      <c r="AD408" s="924"/>
      <c r="AE408" s="924"/>
      <c r="AF408" s="3076" t="s">
        <v>1679</v>
      </c>
      <c r="AG408" s="3076"/>
      <c r="AH408" s="3076"/>
      <c r="AI408" s="3076"/>
      <c r="AJ408" s="3076"/>
      <c r="AK408" s="3076"/>
      <c r="AL408" s="3076"/>
      <c r="AM408" s="1023"/>
      <c r="AN408" s="997"/>
    </row>
    <row r="409" spans="1:42" s="940" customFormat="1" ht="12.75" customHeight="1">
      <c r="A409" s="1057"/>
      <c r="B409" s="1003"/>
      <c r="C409" s="1542"/>
      <c r="D409" s="1103"/>
      <c r="E409" s="1032" t="s">
        <v>1687</v>
      </c>
      <c r="F409" s="1032"/>
      <c r="G409" s="1032"/>
      <c r="H409" s="1032"/>
      <c r="I409" s="1032"/>
      <c r="J409" s="1032"/>
      <c r="K409" s="1032"/>
      <c r="L409" s="1032"/>
      <c r="M409" s="1032"/>
      <c r="N409" s="1032"/>
      <c r="O409" s="1032"/>
      <c r="P409" s="1032"/>
      <c r="Q409" s="1032"/>
      <c r="R409" s="1032"/>
      <c r="S409" s="1032"/>
      <c r="T409" s="1032"/>
      <c r="U409" s="1032"/>
      <c r="V409" s="1032"/>
      <c r="W409" s="1032"/>
      <c r="X409" s="1032"/>
      <c r="Y409" s="1032"/>
      <c r="Z409" s="1032"/>
      <c r="AA409" s="1032"/>
      <c r="AB409" s="1032"/>
      <c r="AC409" s="924"/>
      <c r="AD409" s="924"/>
      <c r="AE409" s="1501"/>
      <c r="AF409" s="1501"/>
      <c r="AG409" s="1501"/>
      <c r="AH409" s="1501"/>
      <c r="AI409" s="1501"/>
      <c r="AJ409" s="1501"/>
      <c r="AK409" s="1501"/>
      <c r="AL409" s="1501"/>
      <c r="AM409" s="1023"/>
      <c r="AN409" s="997"/>
    </row>
    <row r="410" spans="1:42" s="999" customFormat="1" ht="12.75" customHeight="1">
      <c r="A410" s="1057"/>
      <c r="B410" s="1003"/>
      <c r="C410" s="1542"/>
      <c r="D410" s="1020"/>
      <c r="E410" s="1032"/>
      <c r="F410" s="1032"/>
      <c r="G410" s="1032"/>
      <c r="H410" s="1032"/>
      <c r="I410" s="1032"/>
      <c r="J410" s="1032"/>
      <c r="K410" s="1032"/>
      <c r="L410" s="1032"/>
      <c r="M410" s="1032"/>
      <c r="N410" s="1032"/>
      <c r="O410" s="1032"/>
      <c r="P410" s="1032"/>
      <c r="Q410" s="1032"/>
      <c r="R410" s="1032"/>
      <c r="S410" s="1032"/>
      <c r="T410" s="1032"/>
      <c r="U410" s="1032"/>
      <c r="V410" s="1032"/>
      <c r="W410" s="1032"/>
      <c r="X410" s="1032"/>
      <c r="Y410" s="1032"/>
      <c r="Z410" s="1032"/>
      <c r="AA410" s="1032"/>
      <c r="AB410" s="1032"/>
      <c r="AC410" s="924"/>
      <c r="AD410" s="924"/>
      <c r="AE410" s="924"/>
      <c r="AF410" s="924"/>
      <c r="AG410" s="924"/>
      <c r="AH410" s="924"/>
      <c r="AI410" s="924"/>
      <c r="AJ410" s="924"/>
      <c r="AK410" s="1003"/>
      <c r="AL410" s="1003"/>
      <c r="AM410" s="1023"/>
      <c r="AN410" s="998"/>
      <c r="AP410" s="1125"/>
    </row>
    <row r="411" spans="1:42" s="940" customFormat="1" ht="12.75" customHeight="1">
      <c r="A411" s="1057"/>
      <c r="B411" s="1003"/>
      <c r="C411" s="1542"/>
      <c r="D411" s="1020" t="s">
        <v>1671</v>
      </c>
      <c r="E411" s="1548"/>
      <c r="F411" s="1548"/>
      <c r="G411" s="1548"/>
      <c r="H411" s="3140" t="s">
        <v>723</v>
      </c>
      <c r="I411" s="3140"/>
      <c r="J411" s="1032"/>
      <c r="K411" s="1032"/>
      <c r="L411" s="1032"/>
      <c r="M411" s="1032"/>
      <c r="N411" s="1032"/>
      <c r="O411" s="1032"/>
      <c r="P411" s="1032"/>
      <c r="Q411" s="1032"/>
      <c r="R411" s="1032"/>
      <c r="S411" s="1032"/>
      <c r="T411" s="1032"/>
      <c r="U411" s="1032"/>
      <c r="V411" s="1032"/>
      <c r="W411" s="924"/>
      <c r="X411" s="924"/>
      <c r="Y411" s="924"/>
      <c r="Z411" s="924"/>
      <c r="AA411" s="924"/>
      <c r="AB411" s="924"/>
      <c r="AC411" s="924"/>
      <c r="AD411" s="924"/>
      <c r="AE411" s="924"/>
      <c r="AF411" s="924"/>
      <c r="AG411" s="924"/>
      <c r="AH411" s="924"/>
      <c r="AI411" s="924"/>
      <c r="AJ411" s="924"/>
      <c r="AK411" s="924"/>
      <c r="AL411" s="924"/>
      <c r="AN411" s="997"/>
    </row>
    <row r="412" spans="1:42" s="940" customFormat="1" ht="12.75" customHeight="1">
      <c r="A412" s="1057"/>
      <c r="B412" s="1003"/>
      <c r="C412" s="1542"/>
      <c r="D412" s="1020"/>
      <c r="E412" s="1548"/>
      <c r="F412" s="1548"/>
      <c r="G412" s="1032"/>
      <c r="H412" s="1032"/>
      <c r="I412" s="1032"/>
      <c r="J412" s="1032"/>
      <c r="K412" s="1032"/>
      <c r="L412" s="1032"/>
      <c r="M412" s="1032"/>
      <c r="N412" s="1032"/>
      <c r="O412" s="1032"/>
      <c r="P412" s="1032"/>
      <c r="Q412" s="1032"/>
      <c r="R412" s="1032"/>
      <c r="S412" s="1032"/>
      <c r="T412" s="1032"/>
      <c r="U412" s="1032"/>
      <c r="V412" s="1032"/>
      <c r="W412" s="1032"/>
      <c r="X412" s="1032"/>
      <c r="Y412" s="1032"/>
      <c r="Z412" s="1548"/>
      <c r="AA412" s="1548"/>
      <c r="AB412" s="1548"/>
      <c r="AC412" s="924"/>
      <c r="AD412" s="924"/>
      <c r="AE412" s="924"/>
      <c r="AF412" s="924"/>
      <c r="AG412" s="924"/>
      <c r="AH412" s="924"/>
      <c r="AI412" s="924"/>
      <c r="AJ412" s="1032"/>
      <c r="AK412" s="1032"/>
      <c r="AL412" s="1032"/>
      <c r="AM412" s="941"/>
      <c r="AN412" s="997"/>
    </row>
    <row r="413" spans="1:42" s="999" customFormat="1" ht="12.75" customHeight="1">
      <c r="A413" s="1068"/>
      <c r="B413" s="1006"/>
      <c r="C413" s="1558"/>
      <c r="D413" s="1016"/>
      <c r="E413" s="1553"/>
      <c r="F413" s="1553"/>
      <c r="G413" s="1105"/>
      <c r="H413" s="1105"/>
      <c r="I413" s="1105"/>
      <c r="J413" s="1105"/>
      <c r="K413" s="1105"/>
      <c r="L413" s="1105"/>
      <c r="M413" s="1105"/>
      <c r="N413" s="1105"/>
      <c r="O413" s="1105"/>
      <c r="P413" s="1105"/>
      <c r="Q413" s="1105"/>
      <c r="R413" s="1105"/>
      <c r="S413" s="1105"/>
      <c r="T413" s="1105"/>
      <c r="U413" s="1105"/>
      <c r="V413" s="1105"/>
      <c r="W413" s="1105"/>
      <c r="X413" s="1105"/>
      <c r="Y413" s="1553"/>
      <c r="Z413" s="1553"/>
      <c r="AA413" s="1553"/>
      <c r="AB413" s="1016"/>
      <c r="AC413" s="1016"/>
      <c r="AD413" s="1016"/>
      <c r="AE413" s="1016"/>
      <c r="AF413" s="1016"/>
      <c r="AG413" s="1016"/>
      <c r="AH413" s="1016"/>
      <c r="AI413" s="956" t="s">
        <v>1688</v>
      </c>
      <c r="AJ413" s="3100">
        <f>VLOOKUP(H411,AT366:AU368,2,FALSE)</f>
        <v>3</v>
      </c>
      <c r="AK413" s="3102"/>
      <c r="AL413" s="1002"/>
      <c r="AN413" s="998"/>
      <c r="AO413" s="999" t="s">
        <v>624</v>
      </c>
      <c r="AP413" s="1124">
        <v>0</v>
      </c>
    </row>
    <row r="414" spans="1:42" s="940" customFormat="1" ht="12.75" customHeight="1">
      <c r="A414" s="1057"/>
      <c r="B414" s="1003"/>
      <c r="C414" s="1542"/>
      <c r="D414" s="924"/>
      <c r="E414" s="924"/>
      <c r="F414" s="924"/>
      <c r="G414" s="924"/>
      <c r="H414" s="924"/>
      <c r="I414" s="924"/>
      <c r="J414" s="924"/>
      <c r="K414" s="924"/>
      <c r="L414" s="924"/>
      <c r="M414" s="924"/>
      <c r="N414" s="924"/>
      <c r="O414" s="924"/>
      <c r="P414" s="924"/>
      <c r="Q414" s="924"/>
      <c r="R414" s="924"/>
      <c r="S414" s="924"/>
      <c r="T414" s="924"/>
      <c r="U414" s="924"/>
      <c r="V414" s="924"/>
      <c r="W414" s="924"/>
      <c r="X414" s="924"/>
      <c r="Y414" s="924"/>
      <c r="Z414" s="924"/>
      <c r="AA414" s="924"/>
      <c r="AB414" s="924"/>
      <c r="AC414" s="924"/>
      <c r="AD414" s="924"/>
      <c r="AE414" s="924"/>
      <c r="AF414" s="924"/>
      <c r="AG414" s="924"/>
      <c r="AH414" s="924"/>
      <c r="AI414" s="924"/>
      <c r="AJ414" s="924"/>
      <c r="AK414" s="924"/>
      <c r="AL414" s="924"/>
      <c r="AN414" s="997"/>
      <c r="AO414" s="1115" t="s">
        <v>723</v>
      </c>
      <c r="AP414" s="940">
        <v>3</v>
      </c>
    </row>
    <row r="415" spans="1:42" s="940" customFormat="1" ht="12.75" customHeight="1">
      <c r="B415" s="924"/>
      <c r="C415" s="983" t="s">
        <v>1689</v>
      </c>
      <c r="D415" s="924"/>
      <c r="E415" s="924"/>
      <c r="F415" s="924"/>
      <c r="G415" s="924"/>
      <c r="H415" s="924"/>
      <c r="I415" s="924"/>
      <c r="J415" s="924"/>
      <c r="K415" s="924"/>
      <c r="L415" s="924"/>
      <c r="M415" s="924"/>
      <c r="N415" s="924"/>
      <c r="O415" s="924"/>
      <c r="P415" s="924"/>
      <c r="Q415" s="924"/>
      <c r="R415" s="924"/>
      <c r="S415" s="924"/>
      <c r="T415" s="924"/>
      <c r="U415" s="924"/>
      <c r="V415" s="924"/>
      <c r="W415" s="924"/>
      <c r="X415" s="924"/>
      <c r="Y415" s="924"/>
      <c r="Z415" s="924"/>
      <c r="AA415" s="924"/>
      <c r="AB415" s="924"/>
      <c r="AC415" s="924"/>
      <c r="AD415" s="924"/>
      <c r="AE415" s="924"/>
      <c r="AF415" s="924"/>
      <c r="AG415" s="924"/>
      <c r="AH415" s="924"/>
      <c r="AI415" s="924"/>
      <c r="AJ415" s="924"/>
      <c r="AK415" s="924"/>
      <c r="AL415" s="924"/>
      <c r="AN415" s="997"/>
      <c r="AO415" s="1115" t="s">
        <v>540</v>
      </c>
      <c r="AP415" s="940">
        <v>2</v>
      </c>
    </row>
    <row r="416" spans="1:42" s="940" customFormat="1" ht="12.75" customHeight="1">
      <c r="B416" s="924"/>
      <c r="C416" s="983"/>
      <c r="D416" s="1127" t="s">
        <v>1690</v>
      </c>
      <c r="E416" s="924"/>
      <c r="F416" s="924"/>
      <c r="G416" s="924"/>
      <c r="H416" s="924"/>
      <c r="I416" s="924"/>
      <c r="J416" s="924"/>
      <c r="K416" s="924"/>
      <c r="L416" s="924"/>
      <c r="M416" s="924"/>
      <c r="N416" s="924"/>
      <c r="O416" s="924"/>
      <c r="P416" s="924"/>
      <c r="Q416" s="924"/>
      <c r="R416" s="924"/>
      <c r="S416" s="924"/>
      <c r="T416" s="924"/>
      <c r="U416" s="924"/>
      <c r="V416" s="924"/>
      <c r="W416" s="924"/>
      <c r="X416" s="924"/>
      <c r="Y416" s="924"/>
      <c r="Z416" s="924"/>
      <c r="AA416" s="924"/>
      <c r="AB416" s="924"/>
      <c r="AC416" s="924"/>
      <c r="AD416" s="924"/>
      <c r="AE416" s="924"/>
      <c r="AF416" s="924"/>
      <c r="AG416" s="924"/>
      <c r="AH416" s="924"/>
      <c r="AI416" s="924"/>
      <c r="AJ416" s="924"/>
      <c r="AK416" s="924"/>
      <c r="AL416" s="924"/>
      <c r="AN416" s="997"/>
    </row>
    <row r="417" spans="1:42" s="940" customFormat="1" ht="12.75" customHeight="1">
      <c r="B417" s="924"/>
      <c r="C417" s="983"/>
      <c r="D417" s="924"/>
      <c r="E417" s="924"/>
      <c r="F417" s="924"/>
      <c r="G417" s="924"/>
      <c r="H417" s="924"/>
      <c r="I417" s="924"/>
      <c r="J417" s="924"/>
      <c r="K417" s="924"/>
      <c r="L417" s="924"/>
      <c r="M417" s="924"/>
      <c r="N417" s="924"/>
      <c r="O417" s="924"/>
      <c r="P417" s="924"/>
      <c r="Q417" s="924"/>
      <c r="R417" s="924"/>
      <c r="S417" s="924"/>
      <c r="T417" s="924"/>
      <c r="U417" s="924"/>
      <c r="V417" s="924"/>
      <c r="W417" s="924"/>
      <c r="X417" s="924"/>
      <c r="Y417" s="924"/>
      <c r="Z417" s="924"/>
      <c r="AA417" s="924"/>
      <c r="AB417" s="924"/>
      <c r="AC417" s="924"/>
      <c r="AD417" s="924"/>
      <c r="AE417" s="924"/>
      <c r="AF417" s="924"/>
      <c r="AG417" s="924"/>
      <c r="AH417" s="924"/>
      <c r="AI417" s="924"/>
      <c r="AJ417" s="924"/>
      <c r="AK417" s="924"/>
      <c r="AL417" s="924"/>
      <c r="AN417" s="997"/>
    </row>
    <row r="418" spans="1:42" s="940" customFormat="1" ht="12.75" customHeight="1">
      <c r="B418" s="924"/>
      <c r="C418" s="983"/>
      <c r="D418" s="1103" t="s">
        <v>723</v>
      </c>
      <c r="E418" s="3121" t="s">
        <v>1691</v>
      </c>
      <c r="F418" s="3121"/>
      <c r="G418" s="3121"/>
      <c r="H418" s="3121"/>
      <c r="I418" s="3121"/>
      <c r="J418" s="3121"/>
      <c r="K418" s="3121"/>
      <c r="L418" s="3121"/>
      <c r="M418" s="3121"/>
      <c r="N418" s="3121"/>
      <c r="O418" s="3121"/>
      <c r="P418" s="3121"/>
      <c r="Q418" s="3121"/>
      <c r="R418" s="3121"/>
      <c r="S418" s="3121"/>
      <c r="T418" s="3121"/>
      <c r="U418" s="3121"/>
      <c r="V418" s="3121"/>
      <c r="W418" s="3121"/>
      <c r="X418" s="3121"/>
      <c r="Y418" s="3121"/>
      <c r="Z418" s="3121"/>
      <c r="AA418" s="3121"/>
      <c r="AB418" s="3121"/>
      <c r="AC418" s="3121"/>
      <c r="AD418" s="924"/>
      <c r="AE418" s="924"/>
      <c r="AF418" s="3076" t="s">
        <v>1641</v>
      </c>
      <c r="AG418" s="3076"/>
      <c r="AH418" s="3076"/>
      <c r="AI418" s="3076"/>
      <c r="AJ418" s="3076"/>
      <c r="AK418" s="3076"/>
      <c r="AL418" s="3076"/>
      <c r="AN418" s="997"/>
    </row>
    <row r="419" spans="1:42" s="940" customFormat="1" ht="12.75" customHeight="1">
      <c r="B419" s="924"/>
      <c r="C419" s="983"/>
      <c r="D419" s="924"/>
      <c r="E419" s="3121"/>
      <c r="F419" s="3121"/>
      <c r="G419" s="3121"/>
      <c r="H419" s="3121"/>
      <c r="I419" s="3121"/>
      <c r="J419" s="3121"/>
      <c r="K419" s="3121"/>
      <c r="L419" s="3121"/>
      <c r="M419" s="3121"/>
      <c r="N419" s="3121"/>
      <c r="O419" s="3121"/>
      <c r="P419" s="3121"/>
      <c r="Q419" s="3121"/>
      <c r="R419" s="3121"/>
      <c r="S419" s="3121"/>
      <c r="T419" s="3121"/>
      <c r="U419" s="3121"/>
      <c r="V419" s="3121"/>
      <c r="W419" s="3121"/>
      <c r="X419" s="3121"/>
      <c r="Y419" s="3121"/>
      <c r="Z419" s="3121"/>
      <c r="AA419" s="3121"/>
      <c r="AB419" s="3121"/>
      <c r="AC419" s="3121"/>
      <c r="AD419" s="924"/>
      <c r="AE419" s="924"/>
      <c r="AF419" s="924"/>
      <c r="AG419" s="924"/>
      <c r="AH419" s="924"/>
      <c r="AI419" s="924"/>
      <c r="AJ419" s="924"/>
      <c r="AK419" s="924"/>
      <c r="AL419" s="924"/>
      <c r="AN419" s="997"/>
    </row>
    <row r="420" spans="1:42" s="940" customFormat="1" ht="12.75" customHeight="1">
      <c r="B420" s="924"/>
      <c r="C420" s="983"/>
      <c r="D420" s="1103"/>
      <c r="E420" s="3121"/>
      <c r="F420" s="3121"/>
      <c r="G420" s="3121"/>
      <c r="H420" s="3121"/>
      <c r="I420" s="3121"/>
      <c r="J420" s="3121"/>
      <c r="K420" s="3121"/>
      <c r="L420" s="3121"/>
      <c r="M420" s="3121"/>
      <c r="N420" s="3121"/>
      <c r="O420" s="3121"/>
      <c r="P420" s="3121"/>
      <c r="Q420" s="3121"/>
      <c r="R420" s="3121"/>
      <c r="S420" s="3121"/>
      <c r="T420" s="3121"/>
      <c r="U420" s="3121"/>
      <c r="V420" s="3121"/>
      <c r="W420" s="3121"/>
      <c r="X420" s="3121"/>
      <c r="Y420" s="3121"/>
      <c r="Z420" s="3121"/>
      <c r="AA420" s="3121"/>
      <c r="AB420" s="3121"/>
      <c r="AC420" s="3121"/>
      <c r="AD420" s="924"/>
      <c r="AE420" s="924"/>
      <c r="AF420" s="924"/>
      <c r="AG420" s="924"/>
      <c r="AH420" s="924"/>
      <c r="AI420" s="924"/>
      <c r="AJ420" s="924"/>
      <c r="AK420" s="924"/>
      <c r="AL420" s="924"/>
      <c r="AN420" s="997"/>
    </row>
    <row r="421" spans="1:42" s="940" customFormat="1" ht="15" customHeight="1">
      <c r="B421" s="924"/>
      <c r="C421" s="983"/>
      <c r="D421" s="924"/>
      <c r="E421" s="1560"/>
      <c r="F421" s="1560"/>
      <c r="G421" s="1560"/>
      <c r="H421" s="1560"/>
      <c r="I421" s="1560"/>
      <c r="J421" s="1560"/>
      <c r="K421" s="1560"/>
      <c r="L421" s="1560"/>
      <c r="M421" s="1560"/>
      <c r="N421" s="1560"/>
      <c r="O421" s="1560"/>
      <c r="P421" s="1560"/>
      <c r="Q421" s="1560"/>
      <c r="R421" s="1560"/>
      <c r="S421" s="1560"/>
      <c r="T421" s="1560"/>
      <c r="U421" s="1560"/>
      <c r="V421" s="1560"/>
      <c r="W421" s="1560"/>
      <c r="X421" s="1560"/>
      <c r="Y421" s="1560"/>
      <c r="Z421" s="1560"/>
      <c r="AA421" s="1560"/>
      <c r="AB421" s="1560"/>
      <c r="AC421" s="924"/>
      <c r="AD421" s="924"/>
      <c r="AE421" s="924"/>
      <c r="AF421" s="924"/>
      <c r="AG421" s="924"/>
      <c r="AH421" s="924"/>
      <c r="AI421" s="924"/>
      <c r="AJ421" s="924"/>
      <c r="AK421" s="924"/>
      <c r="AL421" s="924"/>
      <c r="AN421" s="997"/>
    </row>
    <row r="422" spans="1:42" s="940" customFormat="1" ht="12.75" customHeight="1">
      <c r="B422" s="924"/>
      <c r="C422" s="983"/>
      <c r="D422" s="1103" t="s">
        <v>540</v>
      </c>
      <c r="E422" s="3121" t="s">
        <v>1692</v>
      </c>
      <c r="F422" s="3121"/>
      <c r="G422" s="3121"/>
      <c r="H422" s="3121"/>
      <c r="I422" s="3121"/>
      <c r="J422" s="3121"/>
      <c r="K422" s="3121"/>
      <c r="L422" s="3121"/>
      <c r="M422" s="3121"/>
      <c r="N422" s="3121"/>
      <c r="O422" s="3121"/>
      <c r="P422" s="3121"/>
      <c r="Q422" s="3121"/>
      <c r="R422" s="3121"/>
      <c r="S422" s="3121"/>
      <c r="T422" s="3121"/>
      <c r="U422" s="3121"/>
      <c r="V422" s="3121"/>
      <c r="W422" s="3121"/>
      <c r="X422" s="3121"/>
      <c r="Y422" s="3121"/>
      <c r="Z422" s="3121"/>
      <c r="AA422" s="3121"/>
      <c r="AB422" s="3121"/>
      <c r="AC422" s="3121"/>
      <c r="AD422" s="924"/>
      <c r="AE422" s="924"/>
      <c r="AF422" s="3076" t="s">
        <v>1670</v>
      </c>
      <c r="AG422" s="3076"/>
      <c r="AH422" s="3076"/>
      <c r="AI422" s="3076"/>
      <c r="AJ422" s="3076"/>
      <c r="AK422" s="3076"/>
      <c r="AL422" s="3076"/>
      <c r="AN422" s="997"/>
    </row>
    <row r="423" spans="1:42" s="940" customFormat="1" ht="12.75" customHeight="1">
      <c r="B423" s="924"/>
      <c r="C423" s="983"/>
      <c r="D423" s="924"/>
      <c r="E423" s="3121"/>
      <c r="F423" s="3121"/>
      <c r="G423" s="3121"/>
      <c r="H423" s="3121"/>
      <c r="I423" s="3121"/>
      <c r="J423" s="3121"/>
      <c r="K423" s="3121"/>
      <c r="L423" s="3121"/>
      <c r="M423" s="3121"/>
      <c r="N423" s="3121"/>
      <c r="O423" s="3121"/>
      <c r="P423" s="3121"/>
      <c r="Q423" s="3121"/>
      <c r="R423" s="3121"/>
      <c r="S423" s="3121"/>
      <c r="T423" s="3121"/>
      <c r="U423" s="3121"/>
      <c r="V423" s="3121"/>
      <c r="W423" s="3121"/>
      <c r="X423" s="3121"/>
      <c r="Y423" s="3121"/>
      <c r="Z423" s="3121"/>
      <c r="AA423" s="3121"/>
      <c r="AB423" s="3121"/>
      <c r="AC423" s="3121"/>
      <c r="AD423" s="924"/>
      <c r="AE423" s="924"/>
      <c r="AF423" s="924"/>
      <c r="AG423" s="924"/>
      <c r="AH423" s="924"/>
      <c r="AI423" s="924"/>
      <c r="AJ423" s="924"/>
      <c r="AK423" s="924"/>
      <c r="AL423" s="924"/>
      <c r="AN423" s="997"/>
    </row>
    <row r="424" spans="1:42" s="940" customFormat="1" ht="15" customHeight="1">
      <c r="B424" s="924"/>
      <c r="C424" s="983"/>
      <c r="D424" s="1103"/>
      <c r="E424" s="3121"/>
      <c r="F424" s="3121"/>
      <c r="G424" s="3121"/>
      <c r="H424" s="3121"/>
      <c r="I424" s="3121"/>
      <c r="J424" s="3121"/>
      <c r="K424" s="3121"/>
      <c r="L424" s="3121"/>
      <c r="M424" s="3121"/>
      <c r="N424" s="3121"/>
      <c r="O424" s="3121"/>
      <c r="P424" s="3121"/>
      <c r="Q424" s="3121"/>
      <c r="R424" s="3121"/>
      <c r="S424" s="3121"/>
      <c r="T424" s="3121"/>
      <c r="U424" s="3121"/>
      <c r="V424" s="3121"/>
      <c r="W424" s="3121"/>
      <c r="X424" s="3121"/>
      <c r="Y424" s="3121"/>
      <c r="Z424" s="3121"/>
      <c r="AA424" s="3121"/>
      <c r="AB424" s="3121"/>
      <c r="AC424" s="3121"/>
      <c r="AD424" s="924"/>
      <c r="AE424" s="924"/>
      <c r="AF424" s="924"/>
      <c r="AG424" s="924"/>
      <c r="AH424" s="924"/>
      <c r="AI424" s="924"/>
      <c r="AJ424" s="924"/>
      <c r="AK424" s="924"/>
      <c r="AL424" s="924"/>
      <c r="AN424" s="997"/>
    </row>
    <row r="425" spans="1:42" s="999" customFormat="1" ht="12.75" customHeight="1">
      <c r="A425" s="940"/>
      <c r="B425" s="924"/>
      <c r="C425" s="983"/>
      <c r="D425" s="924"/>
      <c r="E425" s="1560"/>
      <c r="F425" s="1560"/>
      <c r="G425" s="1560"/>
      <c r="H425" s="1560"/>
      <c r="I425" s="1560"/>
      <c r="J425" s="1560"/>
      <c r="K425" s="1560"/>
      <c r="L425" s="1560"/>
      <c r="M425" s="1560"/>
      <c r="N425" s="1560"/>
      <c r="O425" s="1560"/>
      <c r="P425" s="1560"/>
      <c r="Q425" s="1560"/>
      <c r="R425" s="1560"/>
      <c r="S425" s="1560"/>
      <c r="T425" s="1560"/>
      <c r="U425" s="1560"/>
      <c r="V425" s="1560"/>
      <c r="W425" s="1560"/>
      <c r="X425" s="1560"/>
      <c r="Y425" s="1560"/>
      <c r="Z425" s="1560"/>
      <c r="AA425" s="1560"/>
      <c r="AB425" s="1560"/>
      <c r="AC425" s="924"/>
      <c r="AD425" s="924"/>
      <c r="AE425" s="924"/>
      <c r="AF425" s="927"/>
      <c r="AG425" s="927"/>
      <c r="AH425" s="927"/>
      <c r="AI425" s="927"/>
      <c r="AJ425" s="927"/>
      <c r="AK425" s="927"/>
      <c r="AL425" s="927"/>
      <c r="AM425" s="940"/>
      <c r="AN425" s="998"/>
    </row>
    <row r="426" spans="1:42" s="940" customFormat="1" ht="12.75" customHeight="1">
      <c r="B426" s="924"/>
      <c r="C426" s="983"/>
      <c r="D426" s="1103" t="s">
        <v>283</v>
      </c>
      <c r="E426" s="3121" t="s">
        <v>1693</v>
      </c>
      <c r="F426" s="3121"/>
      <c r="G426" s="3121"/>
      <c r="H426" s="3121"/>
      <c r="I426" s="3121"/>
      <c r="J426" s="3121"/>
      <c r="K426" s="3121"/>
      <c r="L426" s="3121"/>
      <c r="M426" s="3121"/>
      <c r="N426" s="3121"/>
      <c r="O426" s="3121"/>
      <c r="P426" s="3121"/>
      <c r="Q426" s="3121"/>
      <c r="R426" s="3121"/>
      <c r="S426" s="3121"/>
      <c r="T426" s="3121"/>
      <c r="U426" s="3121"/>
      <c r="V426" s="3121"/>
      <c r="W426" s="3121"/>
      <c r="X426" s="3121"/>
      <c r="Y426" s="3121"/>
      <c r="Z426" s="3121"/>
      <c r="AA426" s="3121"/>
      <c r="AB426" s="3121"/>
      <c r="AC426" s="3121"/>
      <c r="AD426" s="924"/>
      <c r="AE426" s="924"/>
      <c r="AF426" s="3076" t="s">
        <v>1615</v>
      </c>
      <c r="AG426" s="3076"/>
      <c r="AH426" s="3076"/>
      <c r="AI426" s="3076"/>
      <c r="AJ426" s="3076"/>
      <c r="AK426" s="3076"/>
      <c r="AL426" s="3076"/>
      <c r="AN426" s="997"/>
    </row>
    <row r="427" spans="1:42" s="940" customFormat="1" ht="12.75" customHeight="1">
      <c r="A427" s="1057"/>
      <c r="B427" s="1020"/>
      <c r="C427" s="1545"/>
      <c r="D427" s="924"/>
      <c r="E427" s="3121"/>
      <c r="F427" s="3121"/>
      <c r="G427" s="3121"/>
      <c r="H427" s="3121"/>
      <c r="I427" s="3121"/>
      <c r="J427" s="3121"/>
      <c r="K427" s="3121"/>
      <c r="L427" s="3121"/>
      <c r="M427" s="3121"/>
      <c r="N427" s="3121"/>
      <c r="O427" s="3121"/>
      <c r="P427" s="3121"/>
      <c r="Q427" s="3121"/>
      <c r="R427" s="3121"/>
      <c r="S427" s="3121"/>
      <c r="T427" s="3121"/>
      <c r="U427" s="3121"/>
      <c r="V427" s="3121"/>
      <c r="W427" s="3121"/>
      <c r="X427" s="3121"/>
      <c r="Y427" s="3121"/>
      <c r="Z427" s="3121"/>
      <c r="AA427" s="3121"/>
      <c r="AB427" s="3121"/>
      <c r="AC427" s="3121"/>
      <c r="AD427" s="924"/>
      <c r="AE427" s="3076"/>
      <c r="AF427" s="3076"/>
      <c r="AG427" s="3076"/>
      <c r="AH427" s="3076"/>
      <c r="AI427" s="3076"/>
      <c r="AJ427" s="3076"/>
      <c r="AK427" s="3076"/>
      <c r="AL427" s="1501"/>
      <c r="AM427" s="1023"/>
      <c r="AN427" s="997"/>
      <c r="AO427" s="940" t="s">
        <v>624</v>
      </c>
      <c r="AP427" s="1117">
        <v>0</v>
      </c>
    </row>
    <row r="428" spans="1:42" s="940" customFormat="1" ht="12.75" customHeight="1">
      <c r="A428" s="1123"/>
      <c r="B428" s="924"/>
      <c r="C428" s="924"/>
      <c r="D428" s="1103"/>
      <c r="E428" s="3121"/>
      <c r="F428" s="3121"/>
      <c r="G428" s="3121"/>
      <c r="H428" s="3121"/>
      <c r="I428" s="3121"/>
      <c r="J428" s="3121"/>
      <c r="K428" s="3121"/>
      <c r="L428" s="3121"/>
      <c r="M428" s="3121"/>
      <c r="N428" s="3121"/>
      <c r="O428" s="3121"/>
      <c r="P428" s="3121"/>
      <c r="Q428" s="3121"/>
      <c r="R428" s="3121"/>
      <c r="S428" s="3121"/>
      <c r="T428" s="3121"/>
      <c r="U428" s="3121"/>
      <c r="V428" s="3121"/>
      <c r="W428" s="3121"/>
      <c r="X428" s="3121"/>
      <c r="Y428" s="3121"/>
      <c r="Z428" s="3121"/>
      <c r="AA428" s="3121"/>
      <c r="AB428" s="3121"/>
      <c r="AC428" s="3121"/>
      <c r="AD428" s="924"/>
      <c r="AE428" s="924"/>
      <c r="AF428" s="924"/>
      <c r="AG428" s="1003"/>
      <c r="AH428" s="1003"/>
      <c r="AI428" s="1003"/>
      <c r="AJ428" s="1003"/>
      <c r="AK428" s="1003"/>
      <c r="AL428" s="1003"/>
      <c r="AM428" s="1023"/>
      <c r="AN428" s="997"/>
      <c r="AO428" s="1115" t="s">
        <v>723</v>
      </c>
      <c r="AP428" s="940">
        <v>3</v>
      </c>
    </row>
    <row r="429" spans="1:42" s="940" customFormat="1" ht="12.75" customHeight="1">
      <c r="A429" s="1057"/>
      <c r="B429" s="1020"/>
      <c r="C429" s="1545"/>
      <c r="D429" s="1103"/>
      <c r="E429" s="966"/>
      <c r="F429" s="966"/>
      <c r="G429" s="966"/>
      <c r="H429" s="966"/>
      <c r="I429" s="966"/>
      <c r="J429" s="966"/>
      <c r="K429" s="966"/>
      <c r="L429" s="966"/>
      <c r="M429" s="966"/>
      <c r="N429" s="966"/>
      <c r="O429" s="966"/>
      <c r="P429" s="966"/>
      <c r="Q429" s="966"/>
      <c r="R429" s="966"/>
      <c r="S429" s="966"/>
      <c r="T429" s="966"/>
      <c r="U429" s="966"/>
      <c r="V429" s="966"/>
      <c r="W429" s="966"/>
      <c r="X429" s="966"/>
      <c r="Y429" s="966"/>
      <c r="Z429" s="966"/>
      <c r="AA429" s="966"/>
      <c r="AB429" s="966"/>
      <c r="AC429" s="924"/>
      <c r="AD429" s="924"/>
      <c r="AE429" s="1003"/>
      <c r="AF429" s="924"/>
      <c r="AG429" s="924"/>
      <c r="AH429" s="924"/>
      <c r="AI429" s="924"/>
      <c r="AJ429" s="924"/>
      <c r="AK429" s="924"/>
      <c r="AL429" s="924"/>
      <c r="AN429" s="997"/>
      <c r="AO429" s="1115" t="s">
        <v>540</v>
      </c>
      <c r="AP429" s="940">
        <v>2</v>
      </c>
    </row>
    <row r="430" spans="1:42" s="940" customFormat="1" ht="12.75" customHeight="1">
      <c r="A430" s="1112"/>
      <c r="B430" s="1020"/>
      <c r="C430" s="1561"/>
      <c r="D430" s="1103" t="s">
        <v>1668</v>
      </c>
      <c r="E430" s="3121" t="s">
        <v>1694</v>
      </c>
      <c r="F430" s="3121"/>
      <c r="G430" s="3121"/>
      <c r="H430" s="3121"/>
      <c r="I430" s="3121"/>
      <c r="J430" s="3121"/>
      <c r="K430" s="3121"/>
      <c r="L430" s="3121"/>
      <c r="M430" s="3121"/>
      <c r="N430" s="3121"/>
      <c r="O430" s="3121"/>
      <c r="P430" s="3121"/>
      <c r="Q430" s="3121"/>
      <c r="R430" s="3121"/>
      <c r="S430" s="3121"/>
      <c r="T430" s="3121"/>
      <c r="U430" s="3121"/>
      <c r="V430" s="3121"/>
      <c r="W430" s="3121"/>
      <c r="X430" s="3121"/>
      <c r="Y430" s="3121"/>
      <c r="Z430" s="3121"/>
      <c r="AA430" s="3121"/>
      <c r="AB430" s="3121"/>
      <c r="AC430" s="3121"/>
      <c r="AD430" s="924"/>
      <c r="AE430" s="924"/>
      <c r="AF430" s="3076" t="s">
        <v>1670</v>
      </c>
      <c r="AG430" s="3076"/>
      <c r="AH430" s="3076"/>
      <c r="AI430" s="3076"/>
      <c r="AJ430" s="3076"/>
      <c r="AK430" s="3076"/>
      <c r="AL430" s="3076"/>
      <c r="AN430" s="997"/>
    </row>
    <row r="431" spans="1:42" s="940" customFormat="1" ht="12.75" customHeight="1">
      <c r="A431" s="1112"/>
      <c r="B431" s="1020"/>
      <c r="C431" s="1561"/>
      <c r="D431" s="1103"/>
      <c r="E431" s="3121"/>
      <c r="F431" s="3121"/>
      <c r="G431" s="3121"/>
      <c r="H431" s="3121"/>
      <c r="I431" s="3121"/>
      <c r="J431" s="3121"/>
      <c r="K431" s="3121"/>
      <c r="L431" s="3121"/>
      <c r="M431" s="3121"/>
      <c r="N431" s="3121"/>
      <c r="O431" s="3121"/>
      <c r="P431" s="3121"/>
      <c r="Q431" s="3121"/>
      <c r="R431" s="3121"/>
      <c r="S431" s="3121"/>
      <c r="T431" s="3121"/>
      <c r="U431" s="3121"/>
      <c r="V431" s="3121"/>
      <c r="W431" s="3121"/>
      <c r="X431" s="3121"/>
      <c r="Y431" s="3121"/>
      <c r="Z431" s="3121"/>
      <c r="AA431" s="3121"/>
      <c r="AB431" s="3121"/>
      <c r="AC431" s="3121"/>
      <c r="AD431" s="924"/>
      <c r="AE431" s="1501"/>
      <c r="AF431" s="1501"/>
      <c r="AG431" s="1501"/>
      <c r="AH431" s="1501"/>
      <c r="AI431" s="1501"/>
      <c r="AJ431" s="1501"/>
      <c r="AK431" s="1501"/>
      <c r="AL431" s="1501"/>
      <c r="AM431" s="1062"/>
      <c r="AN431" s="997"/>
    </row>
    <row r="432" spans="1:42" s="940" customFormat="1" ht="12.75" customHeight="1">
      <c r="A432" s="1112"/>
      <c r="B432" s="1020"/>
      <c r="C432" s="1561"/>
      <c r="D432" s="1103"/>
      <c r="E432" s="3121"/>
      <c r="F432" s="3121"/>
      <c r="G432" s="3121"/>
      <c r="H432" s="3121"/>
      <c r="I432" s="3121"/>
      <c r="J432" s="3121"/>
      <c r="K432" s="3121"/>
      <c r="L432" s="3121"/>
      <c r="M432" s="3121"/>
      <c r="N432" s="3121"/>
      <c r="O432" s="3121"/>
      <c r="P432" s="3121"/>
      <c r="Q432" s="3121"/>
      <c r="R432" s="3121"/>
      <c r="S432" s="3121"/>
      <c r="T432" s="3121"/>
      <c r="U432" s="3121"/>
      <c r="V432" s="3121"/>
      <c r="W432" s="3121"/>
      <c r="X432" s="3121"/>
      <c r="Y432" s="3121"/>
      <c r="Z432" s="3121"/>
      <c r="AA432" s="3121"/>
      <c r="AB432" s="3121"/>
      <c r="AC432" s="3121"/>
      <c r="AD432" s="924"/>
      <c r="AE432" s="1501"/>
      <c r="AF432" s="1501"/>
      <c r="AG432" s="1501"/>
      <c r="AH432" s="1501"/>
      <c r="AI432" s="1501"/>
      <c r="AJ432" s="1501"/>
      <c r="AK432" s="1501"/>
      <c r="AL432" s="1501"/>
      <c r="AM432" s="1062"/>
      <c r="AN432" s="997"/>
    </row>
    <row r="433" spans="1:42" s="940" customFormat="1" ht="12.75" customHeight="1">
      <c r="A433" s="1057"/>
      <c r="B433" s="1003"/>
      <c r="C433" s="1542"/>
      <c r="D433" s="1103"/>
      <c r="E433" s="1075"/>
      <c r="F433" s="1075"/>
      <c r="G433" s="1075"/>
      <c r="H433" s="1075"/>
      <c r="I433" s="1075"/>
      <c r="J433" s="1075"/>
      <c r="K433" s="1075"/>
      <c r="L433" s="1075"/>
      <c r="M433" s="1075"/>
      <c r="N433" s="1075"/>
      <c r="O433" s="1075"/>
      <c r="P433" s="1075"/>
      <c r="Q433" s="1075"/>
      <c r="R433" s="1075"/>
      <c r="S433" s="1075"/>
      <c r="T433" s="1075"/>
      <c r="U433" s="1075"/>
      <c r="V433" s="1075"/>
      <c r="W433" s="1075"/>
      <c r="X433" s="1075"/>
      <c r="Y433" s="1075"/>
      <c r="Z433" s="1075"/>
      <c r="AA433" s="1075"/>
      <c r="AB433" s="1075"/>
      <c r="AC433" s="929"/>
      <c r="AD433" s="929"/>
      <c r="AE433" s="924"/>
      <c r="AF433" s="924"/>
      <c r="AG433" s="924"/>
      <c r="AH433" s="924"/>
      <c r="AI433" s="924"/>
      <c r="AJ433" s="924"/>
      <c r="AK433" s="924"/>
      <c r="AL433" s="1501"/>
      <c r="AM433" s="1062"/>
      <c r="AN433" s="997"/>
    </row>
    <row r="434" spans="1:42" s="940" customFormat="1" ht="12.75" customHeight="1">
      <c r="A434" s="1057"/>
      <c r="B434" s="1020"/>
      <c r="C434" s="1545"/>
      <c r="D434" s="1103" t="s">
        <v>1669</v>
      </c>
      <c r="E434" s="3121" t="s">
        <v>1695</v>
      </c>
      <c r="F434" s="3121"/>
      <c r="G434" s="3121"/>
      <c r="H434" s="3121"/>
      <c r="I434" s="3121"/>
      <c r="J434" s="3121"/>
      <c r="K434" s="3121"/>
      <c r="L434" s="3121"/>
      <c r="M434" s="3121"/>
      <c r="N434" s="3121"/>
      <c r="O434" s="3121"/>
      <c r="P434" s="3121"/>
      <c r="Q434" s="3121"/>
      <c r="R434" s="3121"/>
      <c r="S434" s="3121"/>
      <c r="T434" s="3121"/>
      <c r="U434" s="3121"/>
      <c r="V434" s="3121"/>
      <c r="W434" s="3121"/>
      <c r="X434" s="3121"/>
      <c r="Y434" s="3121"/>
      <c r="Z434" s="3121"/>
      <c r="AA434" s="3121"/>
      <c r="AB434" s="3121"/>
      <c r="AC434" s="3121"/>
      <c r="AD434" s="924"/>
      <c r="AE434" s="924"/>
      <c r="AF434" s="3076" t="s">
        <v>1615</v>
      </c>
      <c r="AG434" s="3076"/>
      <c r="AH434" s="3076"/>
      <c r="AI434" s="3076"/>
      <c r="AJ434" s="3076"/>
      <c r="AK434" s="3076"/>
      <c r="AL434" s="3076"/>
      <c r="AM434" s="1062"/>
      <c r="AN434" s="997"/>
    </row>
    <row r="435" spans="1:42" s="940" customFormat="1" ht="12.75" customHeight="1">
      <c r="A435" s="1057"/>
      <c r="B435" s="1020"/>
      <c r="C435" s="1545"/>
      <c r="D435" s="1103"/>
      <c r="E435" s="3121"/>
      <c r="F435" s="3121"/>
      <c r="G435" s="3121"/>
      <c r="H435" s="3121"/>
      <c r="I435" s="3121"/>
      <c r="J435" s="3121"/>
      <c r="K435" s="3121"/>
      <c r="L435" s="3121"/>
      <c r="M435" s="3121"/>
      <c r="N435" s="3121"/>
      <c r="O435" s="3121"/>
      <c r="P435" s="3121"/>
      <c r="Q435" s="3121"/>
      <c r="R435" s="3121"/>
      <c r="S435" s="3121"/>
      <c r="T435" s="3121"/>
      <c r="U435" s="3121"/>
      <c r="V435" s="3121"/>
      <c r="W435" s="3121"/>
      <c r="X435" s="3121"/>
      <c r="Y435" s="3121"/>
      <c r="Z435" s="3121"/>
      <c r="AA435" s="3121"/>
      <c r="AB435" s="3121"/>
      <c r="AC435" s="3121"/>
      <c r="AD435" s="924"/>
      <c r="AE435" s="1003"/>
      <c r="AF435" s="1003"/>
      <c r="AG435" s="924"/>
      <c r="AH435" s="1003"/>
      <c r="AI435" s="1003"/>
      <c r="AJ435" s="1003"/>
      <c r="AK435" s="1003"/>
      <c r="AL435" s="1003"/>
      <c r="AM435" s="1062"/>
      <c r="AN435" s="997"/>
    </row>
    <row r="436" spans="1:42" s="940" customFormat="1" ht="12.75" customHeight="1">
      <c r="A436" s="1057"/>
      <c r="B436" s="1020"/>
      <c r="C436" s="1545"/>
      <c r="D436" s="1103"/>
      <c r="E436" s="3121"/>
      <c r="F436" s="3121"/>
      <c r="G436" s="3121"/>
      <c r="H436" s="3121"/>
      <c r="I436" s="3121"/>
      <c r="J436" s="3121"/>
      <c r="K436" s="3121"/>
      <c r="L436" s="3121"/>
      <c r="M436" s="3121"/>
      <c r="N436" s="3121"/>
      <c r="O436" s="3121"/>
      <c r="P436" s="3121"/>
      <c r="Q436" s="3121"/>
      <c r="R436" s="3121"/>
      <c r="S436" s="3121"/>
      <c r="T436" s="3121"/>
      <c r="U436" s="3121"/>
      <c r="V436" s="3121"/>
      <c r="W436" s="3121"/>
      <c r="X436" s="3121"/>
      <c r="Y436" s="3121"/>
      <c r="Z436" s="3121"/>
      <c r="AA436" s="3121"/>
      <c r="AB436" s="3121"/>
      <c r="AC436" s="3121"/>
      <c r="AD436" s="924"/>
      <c r="AE436" s="1003"/>
      <c r="AF436" s="1003"/>
      <c r="AG436" s="924"/>
      <c r="AH436" s="1003"/>
      <c r="AI436" s="1003"/>
      <c r="AJ436" s="1003"/>
      <c r="AK436" s="1003"/>
      <c r="AL436" s="1003"/>
      <c r="AM436" s="1062"/>
      <c r="AN436" s="997"/>
    </row>
    <row r="437" spans="1:42" s="999" customFormat="1" ht="12.75" customHeight="1">
      <c r="A437" s="1057"/>
      <c r="B437" s="924"/>
      <c r="C437" s="1562"/>
      <c r="D437" s="1103"/>
      <c r="E437" s="924"/>
      <c r="F437" s="924"/>
      <c r="G437" s="924"/>
      <c r="H437" s="924"/>
      <c r="I437" s="924"/>
      <c r="J437" s="924"/>
      <c r="K437" s="924"/>
      <c r="L437" s="924"/>
      <c r="M437" s="924"/>
      <c r="N437" s="924"/>
      <c r="O437" s="924"/>
      <c r="P437" s="924"/>
      <c r="Q437" s="924"/>
      <c r="R437" s="924"/>
      <c r="S437" s="924"/>
      <c r="T437" s="924"/>
      <c r="U437" s="924"/>
      <c r="V437" s="924"/>
      <c r="W437" s="924"/>
      <c r="X437" s="924"/>
      <c r="Y437" s="924"/>
      <c r="Z437" s="924"/>
      <c r="AA437" s="924"/>
      <c r="AB437" s="924"/>
      <c r="AC437" s="924"/>
      <c r="AD437" s="924"/>
      <c r="AE437" s="924"/>
      <c r="AF437" s="927"/>
      <c r="AG437" s="927"/>
      <c r="AH437" s="927"/>
      <c r="AI437" s="927"/>
      <c r="AJ437" s="927"/>
      <c r="AK437" s="927"/>
      <c r="AL437" s="927"/>
      <c r="AM437" s="1062"/>
      <c r="AN437" s="998"/>
    </row>
    <row r="438" spans="1:42" s="940" customFormat="1" ht="12.75" customHeight="1">
      <c r="A438" s="1123"/>
      <c r="B438" s="1003"/>
      <c r="C438" s="1542"/>
      <c r="D438" s="1103" t="s">
        <v>1680</v>
      </c>
      <c r="E438" s="3121" t="s">
        <v>1696</v>
      </c>
      <c r="F438" s="3121"/>
      <c r="G438" s="3121"/>
      <c r="H438" s="3121"/>
      <c r="I438" s="3121"/>
      <c r="J438" s="3121"/>
      <c r="K438" s="3121"/>
      <c r="L438" s="3121"/>
      <c r="M438" s="3121"/>
      <c r="N438" s="3121"/>
      <c r="O438" s="3121"/>
      <c r="P438" s="3121"/>
      <c r="Q438" s="3121"/>
      <c r="R438" s="3121"/>
      <c r="S438" s="3121"/>
      <c r="T438" s="3121"/>
      <c r="U438" s="3121"/>
      <c r="V438" s="3121"/>
      <c r="W438" s="3121"/>
      <c r="X438" s="3121"/>
      <c r="Y438" s="3121"/>
      <c r="Z438" s="3121"/>
      <c r="AA438" s="3121"/>
      <c r="AB438" s="3121"/>
      <c r="AC438" s="3121"/>
      <c r="AD438" s="924"/>
      <c r="AE438" s="924"/>
      <c r="AF438" s="3076" t="s">
        <v>1679</v>
      </c>
      <c r="AG438" s="3076"/>
      <c r="AH438" s="3076"/>
      <c r="AI438" s="3076"/>
      <c r="AJ438" s="3076"/>
      <c r="AK438" s="3076"/>
      <c r="AL438" s="3076"/>
      <c r="AM438" s="1062"/>
      <c r="AN438" s="997"/>
    </row>
    <row r="439" spans="1:42" s="940" customFormat="1" ht="12.75" customHeight="1">
      <c r="A439" s="1504"/>
      <c r="B439" s="1003"/>
      <c r="C439" s="1542"/>
      <c r="D439" s="1103"/>
      <c r="E439" s="3121"/>
      <c r="F439" s="3121"/>
      <c r="G439" s="3121"/>
      <c r="H439" s="3121"/>
      <c r="I439" s="3121"/>
      <c r="J439" s="3121"/>
      <c r="K439" s="3121"/>
      <c r="L439" s="3121"/>
      <c r="M439" s="3121"/>
      <c r="N439" s="3121"/>
      <c r="O439" s="3121"/>
      <c r="P439" s="3121"/>
      <c r="Q439" s="3121"/>
      <c r="R439" s="3121"/>
      <c r="S439" s="3121"/>
      <c r="T439" s="3121"/>
      <c r="U439" s="3121"/>
      <c r="V439" s="3121"/>
      <c r="W439" s="3121"/>
      <c r="X439" s="3121"/>
      <c r="Y439" s="3121"/>
      <c r="Z439" s="3121"/>
      <c r="AA439" s="3121"/>
      <c r="AB439" s="3121"/>
      <c r="AC439" s="3121"/>
      <c r="AD439" s="924"/>
      <c r="AE439" s="924"/>
      <c r="AF439" s="1501"/>
      <c r="AG439" s="1501"/>
      <c r="AH439" s="1501"/>
      <c r="AI439" s="1501"/>
      <c r="AJ439" s="1501"/>
      <c r="AK439" s="1501"/>
      <c r="AL439" s="1501"/>
      <c r="AM439" s="1062"/>
      <c r="AN439" s="997"/>
    </row>
    <row r="440" spans="1:42" s="940" customFormat="1" ht="12.75" customHeight="1">
      <c r="A440" s="1123"/>
      <c r="B440" s="1003"/>
      <c r="C440" s="1542"/>
      <c r="D440" s="1103"/>
      <c r="E440" s="3121"/>
      <c r="F440" s="3121"/>
      <c r="G440" s="3121"/>
      <c r="H440" s="3121"/>
      <c r="I440" s="3121"/>
      <c r="J440" s="3121"/>
      <c r="K440" s="3121"/>
      <c r="L440" s="3121"/>
      <c r="M440" s="3121"/>
      <c r="N440" s="3121"/>
      <c r="O440" s="3121"/>
      <c r="P440" s="3121"/>
      <c r="Q440" s="3121"/>
      <c r="R440" s="3121"/>
      <c r="S440" s="3121"/>
      <c r="T440" s="3121"/>
      <c r="U440" s="3121"/>
      <c r="V440" s="3121"/>
      <c r="W440" s="3121"/>
      <c r="X440" s="3121"/>
      <c r="Y440" s="3121"/>
      <c r="Z440" s="3121"/>
      <c r="AA440" s="3121"/>
      <c r="AB440" s="3121"/>
      <c r="AC440" s="3121"/>
      <c r="AD440" s="924"/>
      <c r="AE440" s="1501"/>
      <c r="AF440" s="1501"/>
      <c r="AG440" s="1501"/>
      <c r="AH440" s="1501"/>
      <c r="AI440" s="1501"/>
      <c r="AJ440" s="1501"/>
      <c r="AK440" s="1501"/>
      <c r="AL440" s="1501"/>
      <c r="AM440" s="1062"/>
      <c r="AN440" s="997"/>
    </row>
    <row r="441" spans="1:42" s="940" customFormat="1" ht="12.75" customHeight="1">
      <c r="A441" s="1123"/>
      <c r="B441" s="1003"/>
      <c r="C441" s="1542"/>
      <c r="D441" s="1103"/>
      <c r="E441" s="1075"/>
      <c r="F441" s="1075"/>
      <c r="G441" s="1075"/>
      <c r="H441" s="1075"/>
      <c r="I441" s="1075"/>
      <c r="J441" s="1075"/>
      <c r="K441" s="1075"/>
      <c r="L441" s="1075"/>
      <c r="M441" s="1075"/>
      <c r="N441" s="1075"/>
      <c r="O441" s="1075"/>
      <c r="P441" s="1075"/>
      <c r="Q441" s="1075"/>
      <c r="R441" s="1075"/>
      <c r="S441" s="1075"/>
      <c r="T441" s="1075"/>
      <c r="U441" s="1075"/>
      <c r="V441" s="1075"/>
      <c r="W441" s="1075"/>
      <c r="X441" s="1075"/>
      <c r="Y441" s="1075"/>
      <c r="Z441" s="1075"/>
      <c r="AA441" s="1075"/>
      <c r="AB441" s="1075"/>
      <c r="AC441" s="1075"/>
      <c r="AD441" s="924"/>
      <c r="AE441" s="1501"/>
      <c r="AF441" s="924"/>
      <c r="AG441" s="924"/>
      <c r="AH441" s="924"/>
      <c r="AI441" s="924"/>
      <c r="AJ441" s="924"/>
      <c r="AK441" s="924"/>
      <c r="AL441" s="924"/>
      <c r="AM441" s="1062"/>
      <c r="AN441" s="997"/>
      <c r="AO441" s="940" t="s">
        <v>624</v>
      </c>
      <c r="AP441" s="1128">
        <v>0</v>
      </c>
    </row>
    <row r="442" spans="1:42" s="940" customFormat="1" ht="12.75" customHeight="1">
      <c r="A442" s="1123"/>
      <c r="B442" s="1003"/>
      <c r="C442" s="1542"/>
      <c r="D442" s="1103" t="s">
        <v>1682</v>
      </c>
      <c r="E442" s="3121" t="s">
        <v>1697</v>
      </c>
      <c r="F442" s="3121"/>
      <c r="G442" s="3121"/>
      <c r="H442" s="3121"/>
      <c r="I442" s="3121"/>
      <c r="J442" s="3121"/>
      <c r="K442" s="3121"/>
      <c r="L442" s="3121"/>
      <c r="M442" s="3121"/>
      <c r="N442" s="3121"/>
      <c r="O442" s="3121"/>
      <c r="P442" s="3121"/>
      <c r="Q442" s="3121"/>
      <c r="R442" s="3121"/>
      <c r="S442" s="3121"/>
      <c r="T442" s="3121"/>
      <c r="U442" s="3121"/>
      <c r="V442" s="3121"/>
      <c r="W442" s="3121"/>
      <c r="X442" s="3121"/>
      <c r="Y442" s="3121"/>
      <c r="Z442" s="3121"/>
      <c r="AA442" s="3121"/>
      <c r="AB442" s="3121"/>
      <c r="AC442" s="3121"/>
      <c r="AD442" s="924"/>
      <c r="AE442" s="924"/>
      <c r="AF442" s="3076" t="s">
        <v>1698</v>
      </c>
      <c r="AG442" s="3076"/>
      <c r="AH442" s="3076"/>
      <c r="AI442" s="3076"/>
      <c r="AJ442" s="3076"/>
      <c r="AK442" s="3076"/>
      <c r="AL442" s="3076"/>
      <c r="AM442" s="1062"/>
      <c r="AN442" s="997"/>
      <c r="AO442" s="1115" t="s">
        <v>723</v>
      </c>
      <c r="AP442" s="940">
        <v>3</v>
      </c>
    </row>
    <row r="443" spans="1:42" s="940" customFormat="1" ht="12.75" customHeight="1">
      <c r="A443" s="1504"/>
      <c r="B443" s="1003"/>
      <c r="C443" s="1542"/>
      <c r="D443" s="1103"/>
      <c r="E443" s="3121"/>
      <c r="F443" s="3121"/>
      <c r="G443" s="3121"/>
      <c r="H443" s="3121"/>
      <c r="I443" s="3121"/>
      <c r="J443" s="3121"/>
      <c r="K443" s="3121"/>
      <c r="L443" s="3121"/>
      <c r="M443" s="3121"/>
      <c r="N443" s="3121"/>
      <c r="O443" s="3121"/>
      <c r="P443" s="3121"/>
      <c r="Q443" s="3121"/>
      <c r="R443" s="3121"/>
      <c r="S443" s="3121"/>
      <c r="T443" s="3121"/>
      <c r="U443" s="3121"/>
      <c r="V443" s="3121"/>
      <c r="W443" s="3121"/>
      <c r="X443" s="3121"/>
      <c r="Y443" s="3121"/>
      <c r="Z443" s="3121"/>
      <c r="AA443" s="3121"/>
      <c r="AB443" s="3121"/>
      <c r="AC443" s="3121"/>
      <c r="AD443" s="924"/>
      <c r="AE443" s="924"/>
      <c r="AF443" s="1501"/>
      <c r="AG443" s="1501"/>
      <c r="AH443" s="1501"/>
      <c r="AI443" s="1501"/>
      <c r="AJ443" s="1501"/>
      <c r="AK443" s="1501"/>
      <c r="AL443" s="1501"/>
      <c r="AM443" s="1062"/>
      <c r="AN443" s="997"/>
      <c r="AO443" s="1115" t="s">
        <v>540</v>
      </c>
      <c r="AP443" s="940">
        <v>2</v>
      </c>
    </row>
    <row r="444" spans="1:42" s="940" customFormat="1" ht="12.75" customHeight="1">
      <c r="A444" s="1123"/>
      <c r="B444" s="1003"/>
      <c r="C444" s="1542"/>
      <c r="D444" s="1103"/>
      <c r="E444" s="3121"/>
      <c r="F444" s="3121"/>
      <c r="G444" s="3121"/>
      <c r="H444" s="3121"/>
      <c r="I444" s="3121"/>
      <c r="J444" s="3121"/>
      <c r="K444" s="3121"/>
      <c r="L444" s="3121"/>
      <c r="M444" s="3121"/>
      <c r="N444" s="3121"/>
      <c r="O444" s="3121"/>
      <c r="P444" s="3121"/>
      <c r="Q444" s="3121"/>
      <c r="R444" s="3121"/>
      <c r="S444" s="3121"/>
      <c r="T444" s="3121"/>
      <c r="U444" s="3121"/>
      <c r="V444" s="3121"/>
      <c r="W444" s="3121"/>
      <c r="X444" s="3121"/>
      <c r="Y444" s="3121"/>
      <c r="Z444" s="3121"/>
      <c r="AA444" s="3121"/>
      <c r="AB444" s="3121"/>
      <c r="AC444" s="3121"/>
      <c r="AD444" s="924"/>
      <c r="AE444" s="1501"/>
      <c r="AF444" s="1501"/>
      <c r="AG444" s="1501"/>
      <c r="AH444" s="1501"/>
      <c r="AI444" s="1501"/>
      <c r="AJ444" s="1501"/>
      <c r="AK444" s="1501"/>
      <c r="AL444" s="1501"/>
      <c r="AM444" s="1062"/>
      <c r="AN444" s="997"/>
    </row>
    <row r="445" spans="1:42" s="940" customFormat="1" ht="12.75" customHeight="1">
      <c r="A445" s="1112"/>
      <c r="B445" s="1020"/>
      <c r="C445" s="1561"/>
      <c r="D445" s="1103"/>
      <c r="E445" s="1502"/>
      <c r="F445" s="1502"/>
      <c r="G445" s="1502"/>
      <c r="H445" s="1502"/>
      <c r="I445" s="1502"/>
      <c r="J445" s="1502"/>
      <c r="K445" s="1502"/>
      <c r="L445" s="1502"/>
      <c r="M445" s="1502"/>
      <c r="N445" s="1502"/>
      <c r="O445" s="1502"/>
      <c r="P445" s="1502"/>
      <c r="Q445" s="1502"/>
      <c r="R445" s="1502"/>
      <c r="S445" s="1502"/>
      <c r="T445" s="1502"/>
      <c r="U445" s="1502"/>
      <c r="V445" s="1502"/>
      <c r="W445" s="1502"/>
      <c r="X445" s="1502"/>
      <c r="Y445" s="1502"/>
      <c r="Z445" s="1502"/>
      <c r="AA445" s="1502"/>
      <c r="AB445" s="1502"/>
      <c r="AC445" s="1502"/>
      <c r="AD445" s="924"/>
      <c r="AE445" s="1501"/>
      <c r="AF445" s="1501"/>
      <c r="AG445" s="1501"/>
      <c r="AH445" s="1501"/>
      <c r="AI445" s="1501"/>
      <c r="AJ445" s="1501"/>
      <c r="AK445" s="1501"/>
      <c r="AL445" s="1501"/>
      <c r="AM445" s="1062"/>
      <c r="AN445" s="997"/>
    </row>
    <row r="446" spans="1:42" s="940" customFormat="1" ht="12.75" customHeight="1">
      <c r="A446" s="1123"/>
      <c r="B446" s="1003"/>
      <c r="C446" s="1542"/>
      <c r="D446" s="1020" t="s">
        <v>1671</v>
      </c>
      <c r="E446" s="1548"/>
      <c r="F446" s="1548"/>
      <c r="G446" s="1548"/>
      <c r="H446" s="3140" t="s">
        <v>1680</v>
      </c>
      <c r="I446" s="3140"/>
      <c r="J446" s="1032"/>
      <c r="K446" s="1032"/>
      <c r="L446" s="924"/>
      <c r="M446" s="924"/>
      <c r="N446" s="924"/>
      <c r="O446" s="924"/>
      <c r="P446" s="924"/>
      <c r="Q446" s="924"/>
      <c r="R446" s="924"/>
      <c r="S446" s="924"/>
      <c r="T446" s="924"/>
      <c r="U446" s="924"/>
      <c r="V446" s="924"/>
      <c r="W446" s="924"/>
      <c r="X446" s="924"/>
      <c r="Y446" s="924"/>
      <c r="Z446" s="924"/>
      <c r="AA446" s="924"/>
      <c r="AB446" s="924"/>
      <c r="AC446" s="924"/>
      <c r="AD446" s="924"/>
      <c r="AE446" s="924"/>
      <c r="AF446" s="924"/>
      <c r="AG446" s="924"/>
      <c r="AH446" s="924"/>
      <c r="AI446" s="924"/>
      <c r="AJ446" s="924"/>
      <c r="AK446" s="924"/>
      <c r="AL446" s="924"/>
      <c r="AN446" s="997"/>
    </row>
    <row r="447" spans="1:42" s="940" customFormat="1" ht="12.75" customHeight="1">
      <c r="A447" s="1123"/>
      <c r="B447" s="1003"/>
      <c r="C447" s="1542"/>
      <c r="D447" s="1020"/>
      <c r="E447" s="1548"/>
      <c r="F447" s="1548"/>
      <c r="G447" s="1032"/>
      <c r="H447" s="1032"/>
      <c r="I447" s="1032"/>
      <c r="J447" s="1032"/>
      <c r="K447" s="1032"/>
      <c r="L447" s="1032"/>
      <c r="M447" s="1032"/>
      <c r="N447" s="1032"/>
      <c r="O447" s="1032"/>
      <c r="P447" s="1032"/>
      <c r="Q447" s="1032"/>
      <c r="R447" s="1032"/>
      <c r="S447" s="1032"/>
      <c r="T447" s="1032"/>
      <c r="U447" s="1032"/>
      <c r="V447" s="1032"/>
      <c r="W447" s="1032"/>
      <c r="X447" s="1032"/>
      <c r="Y447" s="1032"/>
      <c r="Z447" s="1548"/>
      <c r="AA447" s="1548"/>
      <c r="AB447" s="1548"/>
      <c r="AC447" s="1020"/>
      <c r="AD447" s="1020"/>
      <c r="AE447" s="1020"/>
      <c r="AF447" s="1020"/>
      <c r="AG447" s="1032"/>
      <c r="AH447" s="1032"/>
      <c r="AI447" s="1032"/>
      <c r="AJ447" s="1032"/>
      <c r="AK447" s="1032"/>
      <c r="AL447" s="1032"/>
      <c r="AM447" s="941"/>
      <c r="AN447" s="997"/>
    </row>
    <row r="448" spans="1:42" s="940" customFormat="1" ht="12.75" customHeight="1">
      <c r="A448" s="1129"/>
      <c r="B448" s="1006"/>
      <c r="C448" s="1558"/>
      <c r="D448" s="1016"/>
      <c r="E448" s="1553"/>
      <c r="F448" s="1105"/>
      <c r="G448" s="1105"/>
      <c r="H448" s="1105"/>
      <c r="I448" s="1105"/>
      <c r="J448" s="1105"/>
      <c r="K448" s="1105"/>
      <c r="L448" s="1105"/>
      <c r="M448" s="1105"/>
      <c r="N448" s="1105"/>
      <c r="O448" s="1105"/>
      <c r="P448" s="1105"/>
      <c r="Q448" s="1105"/>
      <c r="R448" s="1105"/>
      <c r="S448" s="1105"/>
      <c r="T448" s="1105"/>
      <c r="U448" s="1105"/>
      <c r="V448" s="1105"/>
      <c r="W448" s="1105"/>
      <c r="X448" s="1105"/>
      <c r="Y448" s="1553"/>
      <c r="Z448" s="1553"/>
      <c r="AA448" s="1553"/>
      <c r="AB448" s="1016"/>
      <c r="AC448" s="1016"/>
      <c r="AD448" s="1016"/>
      <c r="AE448" s="1016"/>
      <c r="AF448" s="1016"/>
      <c r="AG448" s="1016"/>
      <c r="AH448" s="1016"/>
      <c r="AI448" s="956" t="s">
        <v>1699</v>
      </c>
      <c r="AJ448" s="3100">
        <f>VLOOKUP($H$446,$AO$394:$AP$401,2,FALSE)</f>
        <v>2</v>
      </c>
      <c r="AK448" s="3102"/>
      <c r="AL448" s="1002"/>
      <c r="AM448" s="999"/>
      <c r="AN448" s="997"/>
    </row>
    <row r="449" spans="1:42" s="940" customFormat="1" ht="12.75" customHeight="1">
      <c r="A449" s="1123"/>
      <c r="B449" s="1003"/>
      <c r="C449" s="1542"/>
      <c r="D449" s="1020"/>
      <c r="E449" s="1032"/>
      <c r="F449" s="1032"/>
      <c r="G449" s="1032"/>
      <c r="H449" s="1032"/>
      <c r="I449" s="1032"/>
      <c r="J449" s="1032"/>
      <c r="K449" s="1032"/>
      <c r="L449" s="1032"/>
      <c r="M449" s="1032"/>
      <c r="N449" s="1032"/>
      <c r="O449" s="1032"/>
      <c r="P449" s="1032"/>
      <c r="Q449" s="1032"/>
      <c r="R449" s="1032"/>
      <c r="S449" s="1032"/>
      <c r="T449" s="1032"/>
      <c r="U449" s="1032"/>
      <c r="V449" s="1032"/>
      <c r="W449" s="1032"/>
      <c r="X449" s="1032"/>
      <c r="Y449" s="1032"/>
      <c r="Z449" s="1032"/>
      <c r="AA449" s="1032"/>
      <c r="AB449" s="1032"/>
      <c r="AC449" s="1032"/>
      <c r="AD449" s="1503"/>
      <c r="AE449" s="1003"/>
      <c r="AF449" s="1003"/>
      <c r="AG449" s="1003"/>
      <c r="AH449" s="1003"/>
      <c r="AI449" s="1003"/>
      <c r="AJ449" s="988"/>
      <c r="AK449" s="1020"/>
      <c r="AL449" s="1020"/>
      <c r="AM449" s="1057"/>
      <c r="AN449" s="997"/>
    </row>
    <row r="450" spans="1:42" s="940" customFormat="1" ht="12.75" customHeight="1">
      <c r="A450" s="1123"/>
      <c r="B450" s="924"/>
      <c r="C450" s="983" t="s">
        <v>1700</v>
      </c>
      <c r="D450" s="1563"/>
      <c r="E450" s="1032"/>
      <c r="F450" s="1032"/>
      <c r="G450" s="1032"/>
      <c r="H450" s="1032"/>
      <c r="I450" s="1032"/>
      <c r="J450" s="1032"/>
      <c r="K450" s="1032"/>
      <c r="L450" s="1032"/>
      <c r="M450" s="1032"/>
      <c r="N450" s="1032"/>
      <c r="O450" s="1032"/>
      <c r="P450" s="1032"/>
      <c r="Q450" s="1032"/>
      <c r="R450" s="1032"/>
      <c r="S450" s="1032"/>
      <c r="T450" s="1032"/>
      <c r="U450" s="1032"/>
      <c r="V450" s="1032"/>
      <c r="W450" s="1032"/>
      <c r="X450" s="1032"/>
      <c r="Y450" s="1032"/>
      <c r="Z450" s="1032"/>
      <c r="AA450" s="1032"/>
      <c r="AB450" s="1032"/>
      <c r="AC450" s="1032"/>
      <c r="AD450" s="1503"/>
      <c r="AE450" s="1003"/>
      <c r="AF450" s="1003"/>
      <c r="AG450" s="1003"/>
      <c r="AH450" s="1003"/>
      <c r="AI450" s="1003"/>
      <c r="AJ450" s="988"/>
      <c r="AK450" s="1020"/>
      <c r="AL450" s="1020"/>
      <c r="AM450" s="1057"/>
      <c r="AN450" s="997"/>
    </row>
    <row r="451" spans="1:42" s="940" customFormat="1" ht="12.75" customHeight="1">
      <c r="A451" s="1123"/>
      <c r="B451" s="988"/>
      <c r="C451" s="1564"/>
      <c r="D451" s="1020"/>
      <c r="E451" s="1020"/>
      <c r="F451" s="1020"/>
      <c r="G451" s="1003"/>
      <c r="H451" s="1003"/>
      <c r="I451" s="1003"/>
      <c r="J451" s="1003"/>
      <c r="K451" s="1003"/>
      <c r="L451" s="1003"/>
      <c r="M451" s="1003"/>
      <c r="N451" s="1003"/>
      <c r="O451" s="1003"/>
      <c r="P451" s="1003"/>
      <c r="Q451" s="1003"/>
      <c r="R451" s="1003"/>
      <c r="S451" s="1003"/>
      <c r="T451" s="1003"/>
      <c r="U451" s="1003"/>
      <c r="V451" s="1003"/>
      <c r="W451" s="1003"/>
      <c r="X451" s="1003"/>
      <c r="Y451" s="1003"/>
      <c r="Z451" s="1003"/>
      <c r="AA451" s="1003"/>
      <c r="AB451" s="1003"/>
      <c r="AC451" s="1003"/>
      <c r="AD451" s="1003"/>
      <c r="AE451" s="1003"/>
      <c r="AF451" s="1003"/>
      <c r="AG451" s="1003"/>
      <c r="AH451" s="1003"/>
      <c r="AI451" s="1003"/>
      <c r="AJ451" s="924"/>
      <c r="AK451" s="1003"/>
      <c r="AL451" s="1003"/>
      <c r="AM451" s="1023"/>
      <c r="AN451" s="997"/>
    </row>
    <row r="452" spans="1:42" s="999" customFormat="1" ht="12.75" customHeight="1">
      <c r="A452" s="1057"/>
      <c r="B452" s="924"/>
      <c r="C452" s="1542"/>
      <c r="D452" s="1103" t="s">
        <v>723</v>
      </c>
      <c r="E452" s="3121" t="s">
        <v>2106</v>
      </c>
      <c r="F452" s="3121"/>
      <c r="G452" s="3121"/>
      <c r="H452" s="3121"/>
      <c r="I452" s="3121"/>
      <c r="J452" s="3121"/>
      <c r="K452" s="3121"/>
      <c r="L452" s="3121"/>
      <c r="M452" s="3121"/>
      <c r="N452" s="3121"/>
      <c r="O452" s="3121"/>
      <c r="P452" s="3121"/>
      <c r="Q452" s="3121"/>
      <c r="R452" s="3121"/>
      <c r="S452" s="3121"/>
      <c r="T452" s="3121"/>
      <c r="U452" s="3121"/>
      <c r="V452" s="3121"/>
      <c r="W452" s="3121"/>
      <c r="X452" s="3121"/>
      <c r="Y452" s="3121"/>
      <c r="Z452" s="3121"/>
      <c r="AA452" s="3121"/>
      <c r="AB452" s="3121"/>
      <c r="AC452" s="924"/>
      <c r="AD452" s="924"/>
      <c r="AE452" s="927"/>
      <c r="AF452" s="3076" t="s">
        <v>1615</v>
      </c>
      <c r="AG452" s="3076"/>
      <c r="AH452" s="3076"/>
      <c r="AI452" s="3076"/>
      <c r="AJ452" s="3076"/>
      <c r="AK452" s="3076"/>
      <c r="AL452" s="3076"/>
      <c r="AM452" s="1023"/>
      <c r="AN452" s="998"/>
    </row>
    <row r="453" spans="1:42" s="999" customFormat="1" ht="12.75" customHeight="1">
      <c r="A453" s="1057"/>
      <c r="B453" s="1020"/>
      <c r="C453" s="1554"/>
      <c r="D453" s="1103"/>
      <c r="E453" s="3121"/>
      <c r="F453" s="3121"/>
      <c r="G453" s="3121"/>
      <c r="H453" s="3121"/>
      <c r="I453" s="3121"/>
      <c r="J453" s="3121"/>
      <c r="K453" s="3121"/>
      <c r="L453" s="3121"/>
      <c r="M453" s="3121"/>
      <c r="N453" s="3121"/>
      <c r="O453" s="3121"/>
      <c r="P453" s="3121"/>
      <c r="Q453" s="3121"/>
      <c r="R453" s="3121"/>
      <c r="S453" s="3121"/>
      <c r="T453" s="3121"/>
      <c r="U453" s="3121"/>
      <c r="V453" s="3121"/>
      <c r="W453" s="3121"/>
      <c r="X453" s="3121"/>
      <c r="Y453" s="3121"/>
      <c r="Z453" s="3121"/>
      <c r="AA453" s="3121"/>
      <c r="AB453" s="3121"/>
      <c r="AC453" s="924"/>
      <c r="AD453" s="924"/>
      <c r="AE453" s="1032"/>
      <c r="AF453" s="927"/>
      <c r="AG453" s="927"/>
      <c r="AH453" s="927"/>
      <c r="AI453" s="927"/>
      <c r="AJ453" s="927"/>
      <c r="AK453" s="927"/>
      <c r="AL453" s="927"/>
      <c r="AM453" s="1023"/>
      <c r="AN453" s="998"/>
      <c r="AO453" s="3144"/>
      <c r="AP453" s="3144"/>
    </row>
    <row r="454" spans="1:42" s="999" customFormat="1" ht="12.75" customHeight="1">
      <c r="A454" s="1057"/>
      <c r="B454" s="1020"/>
      <c r="C454" s="1554"/>
      <c r="D454" s="1103"/>
      <c r="E454" s="3121"/>
      <c r="F454" s="3121"/>
      <c r="G454" s="3121"/>
      <c r="H454" s="3121"/>
      <c r="I454" s="3121"/>
      <c r="J454" s="3121"/>
      <c r="K454" s="3121"/>
      <c r="L454" s="3121"/>
      <c r="M454" s="3121"/>
      <c r="N454" s="3121"/>
      <c r="O454" s="3121"/>
      <c r="P454" s="3121"/>
      <c r="Q454" s="3121"/>
      <c r="R454" s="3121"/>
      <c r="S454" s="3121"/>
      <c r="T454" s="3121"/>
      <c r="U454" s="3121"/>
      <c r="V454" s="3121"/>
      <c r="W454" s="3121"/>
      <c r="X454" s="3121"/>
      <c r="Y454" s="3121"/>
      <c r="Z454" s="3121"/>
      <c r="AA454" s="3121"/>
      <c r="AB454" s="3121"/>
      <c r="AC454" s="924"/>
      <c r="AD454" s="924"/>
      <c r="AE454" s="1032"/>
      <c r="AF454" s="1032"/>
      <c r="AG454" s="1032"/>
      <c r="AH454" s="1032"/>
      <c r="AI454" s="1032"/>
      <c r="AJ454" s="1032"/>
      <c r="AK454" s="1032"/>
      <c r="AL454" s="1032"/>
      <c r="AM454" s="1023"/>
      <c r="AN454" s="998"/>
    </row>
    <row r="455" spans="1:42" s="940" customFormat="1" ht="12.75" customHeight="1">
      <c r="A455" s="1057"/>
      <c r="B455" s="1020"/>
      <c r="C455" s="1554"/>
      <c r="D455" s="1103"/>
      <c r="E455" s="3121"/>
      <c r="F455" s="3121"/>
      <c r="G455" s="3121"/>
      <c r="H455" s="3121"/>
      <c r="I455" s="3121"/>
      <c r="J455" s="3121"/>
      <c r="K455" s="3121"/>
      <c r="L455" s="3121"/>
      <c r="M455" s="3121"/>
      <c r="N455" s="3121"/>
      <c r="O455" s="3121"/>
      <c r="P455" s="3121"/>
      <c r="Q455" s="3121"/>
      <c r="R455" s="3121"/>
      <c r="S455" s="3121"/>
      <c r="T455" s="3121"/>
      <c r="U455" s="3121"/>
      <c r="V455" s="3121"/>
      <c r="W455" s="3121"/>
      <c r="X455" s="3121"/>
      <c r="Y455" s="3121"/>
      <c r="Z455" s="3121"/>
      <c r="AA455" s="3121"/>
      <c r="AB455" s="3121"/>
      <c r="AC455" s="924"/>
      <c r="AD455" s="924"/>
      <c r="AE455" s="1032"/>
      <c r="AF455" s="1032"/>
      <c r="AG455" s="1032"/>
      <c r="AH455" s="1032"/>
      <c r="AI455" s="1032"/>
      <c r="AJ455" s="1032"/>
      <c r="AK455" s="1032"/>
      <c r="AL455" s="1032"/>
      <c r="AM455" s="1023"/>
      <c r="AN455" s="997"/>
      <c r="AO455" s="940" t="s">
        <v>624</v>
      </c>
      <c r="AP455" s="1117">
        <v>0</v>
      </c>
    </row>
    <row r="456" spans="1:42" s="940" customFormat="1" ht="12.75" customHeight="1">
      <c r="A456" s="1057"/>
      <c r="B456" s="1020"/>
      <c r="C456" s="1554"/>
      <c r="D456" s="1103"/>
      <c r="E456" s="966"/>
      <c r="F456" s="966"/>
      <c r="G456" s="966"/>
      <c r="H456" s="966"/>
      <c r="I456" s="966"/>
      <c r="J456" s="966"/>
      <c r="K456" s="966"/>
      <c r="L456" s="966"/>
      <c r="M456" s="966"/>
      <c r="N456" s="966"/>
      <c r="O456" s="966"/>
      <c r="P456" s="966"/>
      <c r="Q456" s="966"/>
      <c r="R456" s="966"/>
      <c r="S456" s="966"/>
      <c r="T456" s="966"/>
      <c r="U456" s="966"/>
      <c r="V456" s="966"/>
      <c r="W456" s="966"/>
      <c r="X456" s="966"/>
      <c r="Y456" s="966"/>
      <c r="Z456" s="966"/>
      <c r="AA456" s="966"/>
      <c r="AB456" s="966"/>
      <c r="AC456" s="924"/>
      <c r="AD456" s="924"/>
      <c r="AE456" s="1032"/>
      <c r="AF456" s="1032"/>
      <c r="AG456" s="1032"/>
      <c r="AH456" s="1032"/>
      <c r="AI456" s="1032"/>
      <c r="AJ456" s="1032"/>
      <c r="AK456" s="1032"/>
      <c r="AL456" s="1032"/>
      <c r="AM456" s="1023"/>
      <c r="AN456" s="997"/>
      <c r="AO456" s="1115" t="s">
        <v>723</v>
      </c>
      <c r="AP456" s="940">
        <v>2</v>
      </c>
    </row>
    <row r="457" spans="1:42" s="940" customFormat="1" ht="12.75" customHeight="1">
      <c r="A457" s="1057"/>
      <c r="B457" s="1003"/>
      <c r="C457" s="1542"/>
      <c r="D457" s="1103" t="s">
        <v>540</v>
      </c>
      <c r="E457" s="3121" t="s">
        <v>2108</v>
      </c>
      <c r="F457" s="3121"/>
      <c r="G457" s="3121"/>
      <c r="H457" s="3121"/>
      <c r="I457" s="3121"/>
      <c r="J457" s="3121"/>
      <c r="K457" s="3121"/>
      <c r="L457" s="3121"/>
      <c r="M457" s="3121"/>
      <c r="N457" s="3121"/>
      <c r="O457" s="3121"/>
      <c r="P457" s="3121"/>
      <c r="Q457" s="3121"/>
      <c r="R457" s="3121"/>
      <c r="S457" s="3121"/>
      <c r="T457" s="3121"/>
      <c r="U457" s="3121"/>
      <c r="V457" s="3121"/>
      <c r="W457" s="3121"/>
      <c r="X457" s="3121"/>
      <c r="Y457" s="3121"/>
      <c r="Z457" s="3121"/>
      <c r="AA457" s="3121"/>
      <c r="AB457" s="3121"/>
      <c r="AC457" s="924"/>
      <c r="AD457" s="924"/>
      <c r="AE457" s="924"/>
      <c r="AF457" s="3076" t="s">
        <v>1679</v>
      </c>
      <c r="AG457" s="3076"/>
      <c r="AH457" s="3076"/>
      <c r="AI457" s="3076"/>
      <c r="AJ457" s="3076"/>
      <c r="AK457" s="3076"/>
      <c r="AL457" s="3076"/>
      <c r="AM457" s="1023"/>
      <c r="AN457" s="997"/>
      <c r="AO457" s="1115" t="s">
        <v>540</v>
      </c>
      <c r="AP457" s="940">
        <v>1</v>
      </c>
    </row>
    <row r="458" spans="1:42" s="940" customFormat="1" ht="12" customHeight="1">
      <c r="A458" s="1023"/>
      <c r="B458" s="924"/>
      <c r="C458" s="1562"/>
      <c r="D458" s="924"/>
      <c r="E458" s="3121"/>
      <c r="F458" s="3121"/>
      <c r="G458" s="3121"/>
      <c r="H458" s="3121"/>
      <c r="I458" s="3121"/>
      <c r="J458" s="3121"/>
      <c r="K458" s="3121"/>
      <c r="L458" s="3121"/>
      <c r="M458" s="3121"/>
      <c r="N458" s="3121"/>
      <c r="O458" s="3121"/>
      <c r="P458" s="3121"/>
      <c r="Q458" s="3121"/>
      <c r="R458" s="3121"/>
      <c r="S458" s="3121"/>
      <c r="T458" s="3121"/>
      <c r="U458" s="3121"/>
      <c r="V458" s="3121"/>
      <c r="W458" s="3121"/>
      <c r="X458" s="3121"/>
      <c r="Y458" s="3121"/>
      <c r="Z458" s="3121"/>
      <c r="AA458" s="3121"/>
      <c r="AB458" s="3121"/>
      <c r="AC458" s="924"/>
      <c r="AD458" s="924"/>
      <c r="AE458" s="1032"/>
      <c r="AF458" s="924"/>
      <c r="AG458" s="924"/>
      <c r="AH458" s="924"/>
      <c r="AI458" s="924"/>
      <c r="AJ458" s="924"/>
      <c r="AK458" s="924"/>
      <c r="AL458" s="924"/>
      <c r="AM458" s="1023"/>
      <c r="AN458" s="997"/>
    </row>
    <row r="459" spans="1:42" s="940" customFormat="1" ht="12" customHeight="1">
      <c r="A459" s="1023"/>
      <c r="B459" s="924"/>
      <c r="C459" s="1562"/>
      <c r="D459" s="924"/>
      <c r="E459" s="3121"/>
      <c r="F459" s="3121"/>
      <c r="G459" s="3121"/>
      <c r="H459" s="3121"/>
      <c r="I459" s="3121"/>
      <c r="J459" s="3121"/>
      <c r="K459" s="3121"/>
      <c r="L459" s="3121"/>
      <c r="M459" s="3121"/>
      <c r="N459" s="3121"/>
      <c r="O459" s="3121"/>
      <c r="P459" s="3121"/>
      <c r="Q459" s="3121"/>
      <c r="R459" s="3121"/>
      <c r="S459" s="3121"/>
      <c r="T459" s="3121"/>
      <c r="U459" s="3121"/>
      <c r="V459" s="3121"/>
      <c r="W459" s="3121"/>
      <c r="X459" s="3121"/>
      <c r="Y459" s="3121"/>
      <c r="Z459" s="3121"/>
      <c r="AA459" s="3121"/>
      <c r="AB459" s="3121"/>
      <c r="AC459" s="924"/>
      <c r="AD459" s="924"/>
      <c r="AE459" s="1032"/>
      <c r="AF459" s="924"/>
      <c r="AG459" s="924"/>
      <c r="AH459" s="924"/>
      <c r="AI459" s="924"/>
      <c r="AJ459" s="924"/>
      <c r="AK459" s="924"/>
      <c r="AL459" s="924"/>
      <c r="AM459" s="1023"/>
      <c r="AN459" s="997"/>
    </row>
    <row r="460" spans="1:42" s="1131" customFormat="1" ht="12" customHeight="1">
      <c r="A460" s="1023"/>
      <c r="B460" s="924"/>
      <c r="C460" s="1562"/>
      <c r="D460" s="924"/>
      <c r="E460" s="3121"/>
      <c r="F460" s="3121"/>
      <c r="G460" s="3121"/>
      <c r="H460" s="3121"/>
      <c r="I460" s="3121"/>
      <c r="J460" s="3121"/>
      <c r="K460" s="3121"/>
      <c r="L460" s="3121"/>
      <c r="M460" s="3121"/>
      <c r="N460" s="3121"/>
      <c r="O460" s="3121"/>
      <c r="P460" s="3121"/>
      <c r="Q460" s="3121"/>
      <c r="R460" s="3121"/>
      <c r="S460" s="3121"/>
      <c r="T460" s="3121"/>
      <c r="U460" s="3121"/>
      <c r="V460" s="3121"/>
      <c r="W460" s="3121"/>
      <c r="X460" s="3121"/>
      <c r="Y460" s="3121"/>
      <c r="Z460" s="3121"/>
      <c r="AA460" s="3121"/>
      <c r="AB460" s="3121"/>
      <c r="AC460" s="924"/>
      <c r="AD460" s="924"/>
      <c r="AE460" s="1032"/>
      <c r="AF460" s="1032"/>
      <c r="AG460" s="1032"/>
      <c r="AH460" s="1032"/>
      <c r="AI460" s="1032"/>
      <c r="AJ460" s="924"/>
      <c r="AK460" s="1003"/>
      <c r="AL460" s="1003"/>
      <c r="AM460" s="1023"/>
      <c r="AN460" s="1130"/>
    </row>
    <row r="461" spans="1:42" s="1131" customFormat="1" ht="12" customHeight="1">
      <c r="A461" s="1023"/>
      <c r="B461" s="924"/>
      <c r="C461" s="1562"/>
      <c r="D461" s="924"/>
      <c r="E461" s="1502"/>
      <c r="F461" s="1502"/>
      <c r="G461" s="1502"/>
      <c r="H461" s="1502"/>
      <c r="I461" s="1502"/>
      <c r="J461" s="1502"/>
      <c r="K461" s="1502"/>
      <c r="L461" s="1502"/>
      <c r="M461" s="1502"/>
      <c r="N461" s="1502"/>
      <c r="O461" s="1502"/>
      <c r="P461" s="1502"/>
      <c r="Q461" s="1502"/>
      <c r="R461" s="1502"/>
      <c r="S461" s="1502"/>
      <c r="T461" s="1502"/>
      <c r="U461" s="1502"/>
      <c r="V461" s="1502"/>
      <c r="W461" s="1502"/>
      <c r="X461" s="1502"/>
      <c r="Y461" s="1502"/>
      <c r="Z461" s="1502"/>
      <c r="AA461" s="1502"/>
      <c r="AB461" s="1502"/>
      <c r="AC461" s="924"/>
      <c r="AD461" s="924"/>
      <c r="AE461" s="1032"/>
      <c r="AF461" s="1032"/>
      <c r="AG461" s="1032"/>
      <c r="AH461" s="1032"/>
      <c r="AI461" s="1032"/>
      <c r="AJ461" s="924"/>
      <c r="AK461" s="1003"/>
      <c r="AL461" s="1003"/>
      <c r="AM461" s="1023"/>
      <c r="AN461" s="1130"/>
    </row>
    <row r="462" spans="1:42" s="1131" customFormat="1" ht="12.75" customHeight="1">
      <c r="A462" s="1023"/>
      <c r="B462" s="924"/>
      <c r="C462" s="1562"/>
      <c r="D462" s="924"/>
      <c r="E462" s="3121" t="s">
        <v>2107</v>
      </c>
      <c r="F462" s="3121"/>
      <c r="G462" s="3121"/>
      <c r="H462" s="3121"/>
      <c r="I462" s="3121"/>
      <c r="J462" s="3121"/>
      <c r="K462" s="3121"/>
      <c r="L462" s="3121"/>
      <c r="M462" s="3121"/>
      <c r="N462" s="3121"/>
      <c r="O462" s="3121"/>
      <c r="P462" s="3121"/>
      <c r="Q462" s="3121"/>
      <c r="R462" s="3121"/>
      <c r="S462" s="3121"/>
      <c r="T462" s="3121"/>
      <c r="U462" s="3121"/>
      <c r="V462" s="3121"/>
      <c r="W462" s="3121"/>
      <c r="X462" s="3121"/>
      <c r="Y462" s="3121"/>
      <c r="Z462" s="3121"/>
      <c r="AA462" s="3121"/>
      <c r="AB462" s="3121"/>
      <c r="AC462" s="924"/>
      <c r="AD462" s="924"/>
      <c r="AE462" s="1032"/>
      <c r="AF462" s="1032"/>
      <c r="AG462" s="1032"/>
      <c r="AH462" s="1032"/>
      <c r="AI462" s="1032"/>
      <c r="AJ462" s="924"/>
      <c r="AK462" s="1003"/>
      <c r="AL462" s="1003"/>
      <c r="AM462" s="1023"/>
      <c r="AN462" s="1130"/>
    </row>
    <row r="463" spans="1:42" s="1131" customFormat="1" ht="12.75" customHeight="1">
      <c r="A463" s="1023"/>
      <c r="B463" s="924"/>
      <c r="C463" s="1562"/>
      <c r="D463" s="924"/>
      <c r="E463" s="3121"/>
      <c r="F463" s="3121"/>
      <c r="G463" s="3121"/>
      <c r="H463" s="3121"/>
      <c r="I463" s="3121"/>
      <c r="J463" s="3121"/>
      <c r="K463" s="3121"/>
      <c r="L463" s="3121"/>
      <c r="M463" s="3121"/>
      <c r="N463" s="3121"/>
      <c r="O463" s="3121"/>
      <c r="P463" s="3121"/>
      <c r="Q463" s="3121"/>
      <c r="R463" s="3121"/>
      <c r="S463" s="3121"/>
      <c r="T463" s="3121"/>
      <c r="U463" s="3121"/>
      <c r="V463" s="3121"/>
      <c r="W463" s="3121"/>
      <c r="X463" s="3121"/>
      <c r="Y463" s="3121"/>
      <c r="Z463" s="3121"/>
      <c r="AA463" s="3121"/>
      <c r="AB463" s="3121"/>
      <c r="AC463" s="924"/>
      <c r="AD463" s="924"/>
      <c r="AE463" s="1032"/>
      <c r="AF463" s="1032"/>
      <c r="AG463" s="1032"/>
      <c r="AH463" s="1032"/>
      <c r="AI463" s="1032"/>
      <c r="AJ463" s="924"/>
      <c r="AK463" s="1003"/>
      <c r="AL463" s="1003"/>
      <c r="AM463" s="1023"/>
      <c r="AN463" s="1130"/>
    </row>
    <row r="464" spans="1:42" s="1131" customFormat="1" ht="12.75" customHeight="1">
      <c r="A464" s="1023"/>
      <c r="B464" s="924"/>
      <c r="C464" s="1562"/>
      <c r="D464" s="924"/>
      <c r="E464" s="3121"/>
      <c r="F464" s="3121"/>
      <c r="G464" s="3121"/>
      <c r="H464" s="3121"/>
      <c r="I464" s="3121"/>
      <c r="J464" s="3121"/>
      <c r="K464" s="3121"/>
      <c r="L464" s="3121"/>
      <c r="M464" s="3121"/>
      <c r="N464" s="3121"/>
      <c r="O464" s="3121"/>
      <c r="P464" s="3121"/>
      <c r="Q464" s="3121"/>
      <c r="R464" s="3121"/>
      <c r="S464" s="3121"/>
      <c r="T464" s="3121"/>
      <c r="U464" s="3121"/>
      <c r="V464" s="3121"/>
      <c r="W464" s="3121"/>
      <c r="X464" s="3121"/>
      <c r="Y464" s="3121"/>
      <c r="Z464" s="3121"/>
      <c r="AA464" s="3121"/>
      <c r="AB464" s="3121"/>
      <c r="AC464" s="924"/>
      <c r="AD464" s="924"/>
      <c r="AE464" s="1032"/>
      <c r="AF464" s="1032"/>
      <c r="AG464" s="1032"/>
      <c r="AH464" s="1032"/>
      <c r="AI464" s="1032"/>
      <c r="AJ464" s="924"/>
      <c r="AK464" s="1003"/>
      <c r="AL464" s="1003"/>
      <c r="AM464" s="1023"/>
      <c r="AN464" s="1130"/>
    </row>
    <row r="465" spans="1:43" s="1131" customFormat="1" ht="12.75" customHeight="1">
      <c r="A465" s="1023"/>
      <c r="B465" s="924"/>
      <c r="C465" s="1562"/>
      <c r="D465" s="924"/>
      <c r="E465" s="1502"/>
      <c r="F465" s="1502"/>
      <c r="G465" s="1502"/>
      <c r="H465" s="1502"/>
      <c r="I465" s="1502"/>
      <c r="J465" s="1502"/>
      <c r="K465" s="1502"/>
      <c r="L465" s="1502"/>
      <c r="M465" s="1502"/>
      <c r="N465" s="1502"/>
      <c r="O465" s="1502"/>
      <c r="P465" s="1502"/>
      <c r="Q465" s="1502"/>
      <c r="R465" s="1502"/>
      <c r="S465" s="1502"/>
      <c r="T465" s="1502"/>
      <c r="U465" s="1502"/>
      <c r="V465" s="1502"/>
      <c r="W465" s="1502"/>
      <c r="X465" s="1502"/>
      <c r="Y465" s="1502"/>
      <c r="Z465" s="1502"/>
      <c r="AA465" s="1502"/>
      <c r="AB465" s="1502"/>
      <c r="AC465" s="924"/>
      <c r="AD465" s="924"/>
      <c r="AE465" s="1032"/>
      <c r="AF465" s="1032"/>
      <c r="AG465" s="1032"/>
      <c r="AH465" s="1032"/>
      <c r="AI465" s="1032"/>
      <c r="AJ465" s="924"/>
      <c r="AK465" s="1003"/>
      <c r="AL465" s="1003"/>
      <c r="AM465" s="1023"/>
      <c r="AN465" s="1130"/>
    </row>
    <row r="466" spans="1:43" s="1131" customFormat="1" ht="12.75" customHeight="1">
      <c r="A466" s="1023"/>
      <c r="B466" s="924"/>
      <c r="C466" s="1562"/>
      <c r="D466" s="1020" t="s">
        <v>1671</v>
      </c>
      <c r="E466" s="1548"/>
      <c r="F466" s="1548"/>
      <c r="G466" s="1548"/>
      <c r="H466" s="3140" t="s">
        <v>624</v>
      </c>
      <c r="I466" s="3140"/>
      <c r="J466" s="1502"/>
      <c r="K466" s="1502"/>
      <c r="L466" s="1502"/>
      <c r="M466" s="1502"/>
      <c r="N466" s="1502"/>
      <c r="O466" s="1502"/>
      <c r="P466" s="1502"/>
      <c r="Q466" s="1502"/>
      <c r="R466" s="1502"/>
      <c r="S466" s="1502"/>
      <c r="T466" s="1502"/>
      <c r="U466" s="1502"/>
      <c r="V466" s="1502"/>
      <c r="W466" s="1502"/>
      <c r="X466" s="1502"/>
      <c r="Y466" s="1502"/>
      <c r="Z466" s="1502"/>
      <c r="AA466" s="1502"/>
      <c r="AB466" s="1502"/>
      <c r="AC466" s="924"/>
      <c r="AD466" s="924"/>
      <c r="AE466" s="1032"/>
      <c r="AF466" s="1032"/>
      <c r="AG466" s="1032"/>
      <c r="AH466" s="1032"/>
      <c r="AI466" s="1032"/>
      <c r="AJ466" s="924"/>
      <c r="AK466" s="1003"/>
      <c r="AL466" s="1003"/>
      <c r="AM466" s="1023"/>
      <c r="AN466" s="1130"/>
      <c r="AP466" s="1131" t="s">
        <v>1701</v>
      </c>
    </row>
    <row r="467" spans="1:43" s="1131" customFormat="1">
      <c r="A467" s="1023"/>
      <c r="B467" s="924"/>
      <c r="C467" s="1562"/>
      <c r="D467" s="924"/>
      <c r="E467" s="1502"/>
      <c r="F467" s="1502"/>
      <c r="G467" s="1502"/>
      <c r="H467" s="1502"/>
      <c r="I467" s="1502"/>
      <c r="J467" s="1502"/>
      <c r="K467" s="1502"/>
      <c r="L467" s="1502"/>
      <c r="M467" s="1502"/>
      <c r="N467" s="1502"/>
      <c r="O467" s="1502"/>
      <c r="P467" s="1502"/>
      <c r="Q467" s="1502"/>
      <c r="R467" s="1502"/>
      <c r="S467" s="1502"/>
      <c r="T467" s="1502"/>
      <c r="U467" s="1502"/>
      <c r="V467" s="1502"/>
      <c r="W467" s="1502"/>
      <c r="X467" s="1502"/>
      <c r="Y467" s="1502"/>
      <c r="Z467" s="1502"/>
      <c r="AA467" s="1502"/>
      <c r="AB467" s="1502"/>
      <c r="AC467" s="924"/>
      <c r="AD467" s="924"/>
      <c r="AE467" s="1032"/>
      <c r="AF467" s="1032"/>
      <c r="AG467" s="1032"/>
      <c r="AH467" s="1032"/>
      <c r="AI467" s="1032"/>
      <c r="AJ467" s="924"/>
      <c r="AK467" s="1003"/>
      <c r="AL467" s="1003"/>
      <c r="AM467" s="1023"/>
      <c r="AN467" s="1130"/>
      <c r="AP467" s="1131" t="s">
        <v>1676</v>
      </c>
    </row>
    <row r="468" spans="1:43" s="1131" customFormat="1" ht="12.75" customHeight="1">
      <c r="A468" s="1014"/>
      <c r="B468" s="1006"/>
      <c r="C468" s="1558"/>
      <c r="D468" s="1006"/>
      <c r="E468" s="1006"/>
      <c r="F468" s="1006"/>
      <c r="G468" s="1006"/>
      <c r="H468" s="1006"/>
      <c r="I468" s="1006"/>
      <c r="J468" s="1565"/>
      <c r="K468" s="1565"/>
      <c r="L468" s="1105"/>
      <c r="M468" s="1105"/>
      <c r="N468" s="1105"/>
      <c r="O468" s="1105"/>
      <c r="P468" s="1105"/>
      <c r="Q468" s="1105"/>
      <c r="R468" s="1105"/>
      <c r="S468" s="1105"/>
      <c r="T468" s="1105"/>
      <c r="U468" s="1105"/>
      <c r="V468" s="1105"/>
      <c r="W468" s="1105"/>
      <c r="X468" s="1105"/>
      <c r="Y468" s="1553"/>
      <c r="Z468" s="1553"/>
      <c r="AA468" s="1553"/>
      <c r="AB468" s="1016"/>
      <c r="AC468" s="1016"/>
      <c r="AD468" s="1016"/>
      <c r="AE468" s="1016"/>
      <c r="AF468" s="1016"/>
      <c r="AG468" s="1016"/>
      <c r="AH468" s="1016"/>
      <c r="AI468" s="956" t="s">
        <v>1702</v>
      </c>
      <c r="AJ468" s="3100">
        <f>VLOOKUP($H$466,$AO$413:$AP$415,2,FALSE)</f>
        <v>0</v>
      </c>
      <c r="AK468" s="3102"/>
      <c r="AL468" s="1002"/>
      <c r="AM468" s="999"/>
      <c r="AN468" s="1130"/>
      <c r="AP468" s="1131" t="s">
        <v>1683</v>
      </c>
    </row>
    <row r="469" spans="1:43" s="1131" customFormat="1">
      <c r="A469" s="1023"/>
      <c r="B469" s="924"/>
      <c r="C469" s="924"/>
      <c r="D469" s="924"/>
      <c r="E469" s="924"/>
      <c r="F469" s="924"/>
      <c r="G469" s="924"/>
      <c r="H469" s="924"/>
      <c r="I469" s="924"/>
      <c r="J469" s="924"/>
      <c r="K469" s="924"/>
      <c r="L469" s="924"/>
      <c r="M469" s="924"/>
      <c r="N469" s="924"/>
      <c r="O469" s="924"/>
      <c r="P469" s="924"/>
      <c r="Q469" s="924"/>
      <c r="R469" s="924"/>
      <c r="S469" s="924"/>
      <c r="T469" s="924"/>
      <c r="U469" s="924"/>
      <c r="V469" s="924"/>
      <c r="W469" s="924"/>
      <c r="X469" s="924"/>
      <c r="Y469" s="924"/>
      <c r="Z469" s="924"/>
      <c r="AA469" s="924"/>
      <c r="AB469" s="924"/>
      <c r="AC469" s="924"/>
      <c r="AD469" s="924"/>
      <c r="AE469" s="1032"/>
      <c r="AF469" s="1032"/>
      <c r="AG469" s="1032"/>
      <c r="AH469" s="1032"/>
      <c r="AI469" s="1032"/>
      <c r="AJ469" s="924"/>
      <c r="AK469" s="1003"/>
      <c r="AL469" s="1003"/>
      <c r="AM469" s="1023"/>
      <c r="AN469" s="1130"/>
      <c r="AP469" s="1131" t="s">
        <v>1703</v>
      </c>
    </row>
    <row r="470" spans="1:43" s="1131" customFormat="1" ht="12.75" customHeight="1">
      <c r="A470" s="1023"/>
      <c r="B470" s="924"/>
      <c r="C470" s="983" t="s">
        <v>1704</v>
      </c>
      <c r="D470" s="1168"/>
      <c r="E470" s="924"/>
      <c r="F470" s="924"/>
      <c r="G470" s="924"/>
      <c r="H470" s="924"/>
      <c r="I470" s="924"/>
      <c r="J470" s="924"/>
      <c r="K470" s="924"/>
      <c r="L470" s="924"/>
      <c r="M470" s="924"/>
      <c r="N470" s="924"/>
      <c r="O470" s="924"/>
      <c r="P470" s="924"/>
      <c r="Q470" s="924"/>
      <c r="R470" s="924"/>
      <c r="S470" s="924"/>
      <c r="T470" s="924"/>
      <c r="U470" s="924"/>
      <c r="V470" s="924"/>
      <c r="W470" s="924"/>
      <c r="X470" s="924"/>
      <c r="Y470" s="924"/>
      <c r="Z470" s="924"/>
      <c r="AA470" s="924"/>
      <c r="AB470" s="924"/>
      <c r="AC470" s="924"/>
      <c r="AD470" s="924"/>
      <c r="AE470" s="1032"/>
      <c r="AF470" s="1032"/>
      <c r="AG470" s="1032"/>
      <c r="AH470" s="1032"/>
      <c r="AI470" s="1032"/>
      <c r="AJ470" s="924"/>
      <c r="AK470" s="1003"/>
      <c r="AL470" s="1003"/>
      <c r="AM470" s="1023"/>
      <c r="AN470" s="1130"/>
      <c r="AP470" s="1131" t="s">
        <v>1705</v>
      </c>
    </row>
    <row r="471" spans="1:43" s="1131" customFormat="1" ht="12.75" customHeight="1">
      <c r="A471" s="1023"/>
      <c r="B471" s="924"/>
      <c r="C471" s="1562"/>
      <c r="D471" s="924"/>
      <c r="E471" s="924"/>
      <c r="F471" s="924"/>
      <c r="G471" s="924"/>
      <c r="H471" s="924"/>
      <c r="I471" s="924"/>
      <c r="J471" s="924"/>
      <c r="K471" s="924"/>
      <c r="L471" s="924"/>
      <c r="M471" s="924"/>
      <c r="N471" s="924"/>
      <c r="O471" s="924"/>
      <c r="P471" s="924"/>
      <c r="Q471" s="924"/>
      <c r="R471" s="924"/>
      <c r="S471" s="924"/>
      <c r="T471" s="924"/>
      <c r="U471" s="924"/>
      <c r="V471" s="924"/>
      <c r="W471" s="924"/>
      <c r="X471" s="924"/>
      <c r="Y471" s="924"/>
      <c r="Z471" s="924"/>
      <c r="AA471" s="924"/>
      <c r="AB471" s="924"/>
      <c r="AC471" s="924"/>
      <c r="AD471" s="924"/>
      <c r="AE471" s="1032"/>
      <c r="AF471" s="1032"/>
      <c r="AG471" s="1032"/>
      <c r="AH471" s="1032"/>
      <c r="AI471" s="1032"/>
      <c r="AJ471" s="924"/>
      <c r="AK471" s="1003"/>
      <c r="AL471" s="1003"/>
      <c r="AM471" s="1023"/>
      <c r="AN471" s="1130"/>
      <c r="AP471" s="1131" t="s">
        <v>1706</v>
      </c>
    </row>
    <row r="472" spans="1:43" s="1131" customFormat="1" ht="12.75" customHeight="1">
      <c r="A472" s="1116"/>
      <c r="B472" s="924"/>
      <c r="C472" s="1542"/>
      <c r="D472" s="1103" t="s">
        <v>723</v>
      </c>
      <c r="E472" s="3145" t="s">
        <v>2111</v>
      </c>
      <c r="F472" s="3145"/>
      <c r="G472" s="3145"/>
      <c r="H472" s="3145"/>
      <c r="I472" s="3145"/>
      <c r="J472" s="3145"/>
      <c r="K472" s="3145"/>
      <c r="L472" s="3145"/>
      <c r="M472" s="3145"/>
      <c r="N472" s="3145"/>
      <c r="O472" s="3145"/>
      <c r="P472" s="3145"/>
      <c r="Q472" s="3145"/>
      <c r="R472" s="3145"/>
      <c r="S472" s="3145"/>
      <c r="T472" s="3145"/>
      <c r="U472" s="3145"/>
      <c r="V472" s="3145"/>
      <c r="W472" s="3145"/>
      <c r="X472" s="3145"/>
      <c r="Y472" s="3145"/>
      <c r="Z472" s="3145"/>
      <c r="AA472" s="3145"/>
      <c r="AB472" s="3145"/>
      <c r="AC472" s="924"/>
      <c r="AD472" s="924"/>
      <c r="AE472" s="924"/>
      <c r="AF472" s="3076" t="s">
        <v>1615</v>
      </c>
      <c r="AG472" s="3076"/>
      <c r="AH472" s="3076"/>
      <c r="AI472" s="3076"/>
      <c r="AJ472" s="3076"/>
      <c r="AK472" s="3076"/>
      <c r="AL472" s="3076"/>
      <c r="AM472" s="1023"/>
      <c r="AN472" s="1130"/>
      <c r="AP472" s="1132" t="s">
        <v>1707</v>
      </c>
    </row>
    <row r="473" spans="1:43" s="1131" customFormat="1" ht="12" customHeight="1">
      <c r="A473" s="1057"/>
      <c r="B473" s="1020"/>
      <c r="C473" s="1544"/>
      <c r="D473" s="1103"/>
      <c r="E473" s="3145"/>
      <c r="F473" s="3145"/>
      <c r="G473" s="3145"/>
      <c r="H473" s="3145"/>
      <c r="I473" s="3145"/>
      <c r="J473" s="3145"/>
      <c r="K473" s="3145"/>
      <c r="L473" s="3145"/>
      <c r="M473" s="3145"/>
      <c r="N473" s="3145"/>
      <c r="O473" s="3145"/>
      <c r="P473" s="3145"/>
      <c r="Q473" s="3145"/>
      <c r="R473" s="3145"/>
      <c r="S473" s="3145"/>
      <c r="T473" s="3145"/>
      <c r="U473" s="3145"/>
      <c r="V473" s="3145"/>
      <c r="W473" s="3145"/>
      <c r="X473" s="3145"/>
      <c r="Y473" s="3145"/>
      <c r="Z473" s="3145"/>
      <c r="AA473" s="3145"/>
      <c r="AB473" s="3145"/>
      <c r="AC473" s="924"/>
      <c r="AD473" s="924"/>
      <c r="AE473" s="1020"/>
      <c r="AF473" s="924"/>
      <c r="AG473" s="924"/>
      <c r="AH473" s="924"/>
      <c r="AI473" s="924"/>
      <c r="AJ473" s="924"/>
      <c r="AK473" s="924"/>
      <c r="AL473" s="924"/>
      <c r="AM473" s="1023"/>
      <c r="AN473" s="1130"/>
      <c r="AP473" s="1132" t="s">
        <v>1708</v>
      </c>
    </row>
    <row r="474" spans="1:43" s="1131" customFormat="1" ht="14.25" customHeight="1">
      <c r="A474" s="1057"/>
      <c r="B474" s="1021"/>
      <c r="C474" s="1545"/>
      <c r="D474" s="1103"/>
      <c r="E474" s="3145"/>
      <c r="F474" s="3145"/>
      <c r="G474" s="3145"/>
      <c r="H474" s="3145"/>
      <c r="I474" s="3145"/>
      <c r="J474" s="3145"/>
      <c r="K474" s="3145"/>
      <c r="L474" s="3145"/>
      <c r="M474" s="3145"/>
      <c r="N474" s="3145"/>
      <c r="O474" s="3145"/>
      <c r="P474" s="3145"/>
      <c r="Q474" s="3145"/>
      <c r="R474" s="3145"/>
      <c r="S474" s="3145"/>
      <c r="T474" s="3145"/>
      <c r="U474" s="3145"/>
      <c r="V474" s="3145"/>
      <c r="W474" s="3145"/>
      <c r="X474" s="3145"/>
      <c r="Y474" s="3145"/>
      <c r="Z474" s="3145"/>
      <c r="AA474" s="3145"/>
      <c r="AB474" s="3145"/>
      <c r="AC474" s="924"/>
      <c r="AD474" s="924"/>
      <c r="AE474" s="1032"/>
      <c r="AF474" s="924"/>
      <c r="AG474" s="924"/>
      <c r="AH474" s="924"/>
      <c r="AI474" s="924"/>
      <c r="AJ474" s="924"/>
      <c r="AK474" s="924"/>
      <c r="AL474" s="924"/>
      <c r="AM474" s="1023"/>
      <c r="AN474" s="1130"/>
      <c r="AP474" s="1132" t="s">
        <v>1709</v>
      </c>
    </row>
    <row r="475" spans="1:43" s="1131" customFormat="1" ht="14.25" customHeight="1">
      <c r="A475" s="1057"/>
      <c r="B475" s="1021"/>
      <c r="C475" s="1545"/>
      <c r="D475" s="1103"/>
      <c r="E475" s="1548"/>
      <c r="F475" s="1548"/>
      <c r="G475" s="1548"/>
      <c r="H475" s="1548"/>
      <c r="I475" s="1548"/>
      <c r="J475" s="1548"/>
      <c r="K475" s="1548"/>
      <c r="L475" s="1548"/>
      <c r="M475" s="1548"/>
      <c r="N475" s="1548"/>
      <c r="O475" s="1548"/>
      <c r="P475" s="1548"/>
      <c r="Q475" s="1548"/>
      <c r="R475" s="1548"/>
      <c r="S475" s="1548"/>
      <c r="T475" s="1548"/>
      <c r="U475" s="1548"/>
      <c r="V475" s="1548"/>
      <c r="W475" s="1548"/>
      <c r="X475" s="1548"/>
      <c r="Y475" s="1548"/>
      <c r="Z475" s="1548"/>
      <c r="AA475" s="1548"/>
      <c r="AB475" s="1548"/>
      <c r="AC475" s="924"/>
      <c r="AD475" s="924"/>
      <c r="AE475" s="1032"/>
      <c r="AF475" s="924"/>
      <c r="AG475" s="924"/>
      <c r="AH475" s="924"/>
      <c r="AI475" s="924"/>
      <c r="AJ475" s="924"/>
      <c r="AK475" s="924"/>
      <c r="AL475" s="924"/>
      <c r="AM475" s="1023"/>
      <c r="AN475" s="1130"/>
      <c r="AP475" s="1134" t="s">
        <v>1711</v>
      </c>
    </row>
    <row r="476" spans="1:43" s="1131" customFormat="1" ht="14.25" customHeight="1">
      <c r="A476" s="1057"/>
      <c r="B476" s="1003"/>
      <c r="C476" s="1542"/>
      <c r="D476" s="1103" t="s">
        <v>540</v>
      </c>
      <c r="E476" s="3146" t="s">
        <v>1710</v>
      </c>
      <c r="F476" s="3146"/>
      <c r="G476" s="3146"/>
      <c r="H476" s="3146"/>
      <c r="I476" s="3146"/>
      <c r="J476" s="3146"/>
      <c r="K476" s="3146"/>
      <c r="L476" s="3146"/>
      <c r="M476" s="3146"/>
      <c r="N476" s="3146"/>
      <c r="O476" s="3146"/>
      <c r="P476" s="3146"/>
      <c r="Q476" s="3146"/>
      <c r="R476" s="3146"/>
      <c r="S476" s="3146"/>
      <c r="T476" s="3146"/>
      <c r="U476" s="3146"/>
      <c r="V476" s="3146"/>
      <c r="W476" s="3146"/>
      <c r="X476" s="3146"/>
      <c r="Y476" s="3146"/>
      <c r="Z476" s="3146"/>
      <c r="AA476" s="3146"/>
      <c r="AB476" s="3146"/>
      <c r="AC476" s="924"/>
      <c r="AD476" s="924"/>
      <c r="AE476" s="924"/>
      <c r="AF476" s="3076" t="s">
        <v>1679</v>
      </c>
      <c r="AG476" s="3076"/>
      <c r="AH476" s="3076"/>
      <c r="AI476" s="3076"/>
      <c r="AJ476" s="3076"/>
      <c r="AK476" s="3076"/>
      <c r="AL476" s="3076"/>
      <c r="AM476" s="1023"/>
      <c r="AN476" s="1133"/>
    </row>
    <row r="477" spans="1:43" s="1131" customFormat="1" ht="12.75" customHeight="1">
      <c r="A477" s="1057"/>
      <c r="B477" s="1020"/>
      <c r="C477" s="1544"/>
      <c r="D477" s="1020"/>
      <c r="E477" s="3146"/>
      <c r="F477" s="3146"/>
      <c r="G477" s="3146"/>
      <c r="H477" s="3146"/>
      <c r="I477" s="3146"/>
      <c r="J477" s="3146"/>
      <c r="K477" s="3146"/>
      <c r="L477" s="3146"/>
      <c r="M477" s="3146"/>
      <c r="N477" s="3146"/>
      <c r="O477" s="3146"/>
      <c r="P477" s="3146"/>
      <c r="Q477" s="3146"/>
      <c r="R477" s="3146"/>
      <c r="S477" s="3146"/>
      <c r="T477" s="3146"/>
      <c r="U477" s="3146"/>
      <c r="V477" s="3146"/>
      <c r="W477" s="3146"/>
      <c r="X477" s="3146"/>
      <c r="Y477" s="3146"/>
      <c r="Z477" s="3146"/>
      <c r="AA477" s="3146"/>
      <c r="AB477" s="3146"/>
      <c r="AC477" s="1020"/>
      <c r="AD477" s="1020"/>
      <c r="AE477" s="1020"/>
      <c r="AF477" s="1020"/>
      <c r="AG477" s="1020"/>
      <c r="AH477" s="1020"/>
      <c r="AI477" s="1020"/>
      <c r="AJ477" s="924"/>
      <c r="AK477" s="1003"/>
      <c r="AL477" s="1003"/>
      <c r="AM477" s="1023"/>
      <c r="AN477" s="1130"/>
      <c r="AP477" s="940" t="s">
        <v>624</v>
      </c>
      <c r="AQ477" s="1117">
        <v>0</v>
      </c>
    </row>
    <row r="478" spans="1:43" s="1131" customFormat="1" ht="14.25" customHeight="1">
      <c r="A478" s="1057"/>
      <c r="B478" s="1020"/>
      <c r="C478" s="1544"/>
      <c r="D478" s="1020"/>
      <c r="E478" s="3146"/>
      <c r="F478" s="3146"/>
      <c r="G478" s="3146"/>
      <c r="H478" s="3146"/>
      <c r="I478" s="3146"/>
      <c r="J478" s="3146"/>
      <c r="K478" s="3146"/>
      <c r="L478" s="3146"/>
      <c r="M478" s="3146"/>
      <c r="N478" s="3146"/>
      <c r="O478" s="3146"/>
      <c r="P478" s="3146"/>
      <c r="Q478" s="3146"/>
      <c r="R478" s="3146"/>
      <c r="S478" s="3146"/>
      <c r="T478" s="3146"/>
      <c r="U478" s="3146"/>
      <c r="V478" s="3146"/>
      <c r="W478" s="3146"/>
      <c r="X478" s="3146"/>
      <c r="Y478" s="3146"/>
      <c r="Z478" s="3146"/>
      <c r="AA478" s="3146"/>
      <c r="AB478" s="3146"/>
      <c r="AC478" s="1020"/>
      <c r="AD478" s="1020"/>
      <c r="AE478" s="1020"/>
      <c r="AF478" s="1020"/>
      <c r="AG478" s="1020"/>
      <c r="AH478" s="1020"/>
      <c r="AI478" s="1020"/>
      <c r="AJ478" s="924"/>
      <c r="AK478" s="1003"/>
      <c r="AL478" s="1003"/>
      <c r="AM478" s="1023"/>
      <c r="AN478" s="1130"/>
      <c r="AP478" s="1115" t="s">
        <v>723</v>
      </c>
      <c r="AQ478" s="940">
        <v>2</v>
      </c>
    </row>
    <row r="479" spans="1:43" s="1131" customFormat="1" ht="14.25" customHeight="1">
      <c r="A479" s="1057"/>
      <c r="B479" s="1020"/>
      <c r="C479" s="1544"/>
      <c r="D479" s="1020"/>
      <c r="E479" s="1566"/>
      <c r="F479" s="1566"/>
      <c r="G479" s="1566"/>
      <c r="H479" s="1566"/>
      <c r="I479" s="1566"/>
      <c r="J479" s="1566"/>
      <c r="K479" s="1566"/>
      <c r="L479" s="1566"/>
      <c r="M479" s="1566"/>
      <c r="N479" s="1566"/>
      <c r="O479" s="1566"/>
      <c r="P479" s="1566"/>
      <c r="Q479" s="1566"/>
      <c r="R479" s="1566"/>
      <c r="S479" s="1566"/>
      <c r="T479" s="1566"/>
      <c r="U479" s="1566"/>
      <c r="V479" s="1566"/>
      <c r="W479" s="1566"/>
      <c r="X479" s="1566"/>
      <c r="Y479" s="1566"/>
      <c r="Z479" s="1566"/>
      <c r="AA479" s="1566"/>
      <c r="AB479" s="1566"/>
      <c r="AC479" s="1020"/>
      <c r="AD479" s="1020"/>
      <c r="AE479" s="1020"/>
      <c r="AF479" s="1020"/>
      <c r="AG479" s="1020"/>
      <c r="AH479" s="1020"/>
      <c r="AI479" s="1020"/>
      <c r="AJ479" s="924"/>
      <c r="AK479" s="1003"/>
      <c r="AL479" s="1003"/>
      <c r="AM479" s="1023"/>
      <c r="AN479" s="1130"/>
      <c r="AP479" s="1115" t="s">
        <v>540</v>
      </c>
      <c r="AQ479" s="940">
        <v>3</v>
      </c>
    </row>
    <row r="480" spans="1:43" s="1131" customFormat="1" ht="14.25" customHeight="1">
      <c r="A480" s="1057"/>
      <c r="B480" s="1020"/>
      <c r="C480" s="1544"/>
      <c r="D480" s="1020" t="s">
        <v>1671</v>
      </c>
      <c r="E480" s="1548"/>
      <c r="F480" s="1548"/>
      <c r="G480" s="1548"/>
      <c r="H480" s="3140" t="s">
        <v>624</v>
      </c>
      <c r="I480" s="3140"/>
      <c r="J480" s="1566"/>
      <c r="K480" s="1566"/>
      <c r="L480" s="1566"/>
      <c r="M480" s="1566"/>
      <c r="N480" s="1566"/>
      <c r="O480" s="1566"/>
      <c r="P480" s="1566"/>
      <c r="Q480" s="1566"/>
      <c r="R480" s="1566"/>
      <c r="S480" s="1566"/>
      <c r="T480" s="1566"/>
      <c r="U480" s="1566"/>
      <c r="V480" s="1566"/>
      <c r="W480" s="1566"/>
      <c r="X480" s="1566"/>
      <c r="Y480" s="1566"/>
      <c r="Z480" s="1566"/>
      <c r="AA480" s="1566"/>
      <c r="AB480" s="1566"/>
      <c r="AC480" s="1020"/>
      <c r="AD480" s="1020"/>
      <c r="AE480" s="1020"/>
      <c r="AF480" s="1020"/>
      <c r="AG480" s="1020"/>
      <c r="AH480" s="1020"/>
      <c r="AI480" s="1020"/>
      <c r="AJ480" s="924"/>
      <c r="AK480" s="1003"/>
      <c r="AL480" s="1003"/>
      <c r="AM480" s="1023"/>
      <c r="AN480" s="1130"/>
    </row>
    <row r="481" spans="1:81" s="1132" customFormat="1" ht="14.25" customHeight="1">
      <c r="A481" s="1057"/>
      <c r="B481" s="1020"/>
      <c r="C481" s="1544"/>
      <c r="D481" s="1020"/>
      <c r="E481" s="1566"/>
      <c r="F481" s="1566"/>
      <c r="G481" s="1566"/>
      <c r="H481" s="1566"/>
      <c r="I481" s="1566"/>
      <c r="J481" s="1566"/>
      <c r="K481" s="1566"/>
      <c r="L481" s="1566"/>
      <c r="M481" s="1566"/>
      <c r="N481" s="1566"/>
      <c r="O481" s="1566"/>
      <c r="P481" s="1566"/>
      <c r="Q481" s="1566"/>
      <c r="R481" s="1566"/>
      <c r="S481" s="1566"/>
      <c r="T481" s="1566"/>
      <c r="U481" s="1566"/>
      <c r="V481" s="1566"/>
      <c r="W481" s="1566"/>
      <c r="X481" s="1566"/>
      <c r="Y481" s="1566"/>
      <c r="Z481" s="1566"/>
      <c r="AA481" s="1566"/>
      <c r="AB481" s="1566"/>
      <c r="AC481" s="1020"/>
      <c r="AD481" s="1020"/>
      <c r="AE481" s="1020"/>
      <c r="AF481" s="1020"/>
      <c r="AG481" s="1020"/>
      <c r="AH481" s="1020"/>
      <c r="AI481" s="1020"/>
      <c r="AJ481" s="924"/>
      <c r="AK481" s="1003"/>
      <c r="AL481" s="1003"/>
      <c r="AM481" s="1023"/>
      <c r="AN481" s="1135"/>
    </row>
    <row r="482" spans="1:81" s="1132" customFormat="1" ht="12.75" customHeight="1">
      <c r="A482" s="1068"/>
      <c r="B482" s="1016"/>
      <c r="C482" s="1552"/>
      <c r="D482" s="1006"/>
      <c r="E482" s="1006"/>
      <c r="F482" s="1006"/>
      <c r="G482" s="1006"/>
      <c r="H482" s="1006"/>
      <c r="I482" s="1006"/>
      <c r="J482" s="1567"/>
      <c r="K482" s="1567"/>
      <c r="L482" s="1567"/>
      <c r="M482" s="1567"/>
      <c r="N482" s="1567"/>
      <c r="O482" s="1567"/>
      <c r="P482" s="1567"/>
      <c r="Q482" s="1567"/>
      <c r="R482" s="1567"/>
      <c r="S482" s="1567"/>
      <c r="T482" s="1567"/>
      <c r="U482" s="1105"/>
      <c r="V482" s="1105"/>
      <c r="W482" s="1105"/>
      <c r="X482" s="1105"/>
      <c r="Y482" s="1553"/>
      <c r="Z482" s="1553"/>
      <c r="AA482" s="1553"/>
      <c r="AB482" s="1016"/>
      <c r="AC482" s="1016"/>
      <c r="AD482" s="1016"/>
      <c r="AE482" s="1016"/>
      <c r="AF482" s="1016"/>
      <c r="AG482" s="1016"/>
      <c r="AH482" s="1016"/>
      <c r="AI482" s="956" t="s">
        <v>1712</v>
      </c>
      <c r="AJ482" s="3100">
        <f>VLOOKUP($H$480,$AO$413:$AP$415,2,FALSE)</f>
        <v>0</v>
      </c>
      <c r="AK482" s="3102"/>
      <c r="AL482" s="1002"/>
      <c r="AM482" s="999"/>
      <c r="AN482" s="1135"/>
      <c r="AP482" s="3100"/>
      <c r="AQ482" s="3102"/>
    </row>
    <row r="483" spans="1:81" s="1131" customFormat="1">
      <c r="A483" s="1057"/>
      <c r="B483" s="1021"/>
      <c r="C483" s="1545"/>
      <c r="D483" s="1547"/>
      <c r="E483" s="1032"/>
      <c r="F483" s="1032"/>
      <c r="G483" s="1032"/>
      <c r="H483" s="1032"/>
      <c r="I483" s="1032"/>
      <c r="J483" s="1032"/>
      <c r="K483" s="1032"/>
      <c r="L483" s="1032"/>
      <c r="M483" s="1032"/>
      <c r="N483" s="1032"/>
      <c r="O483" s="1032"/>
      <c r="P483" s="1032"/>
      <c r="Q483" s="1032"/>
      <c r="R483" s="1032"/>
      <c r="S483" s="1032"/>
      <c r="T483" s="1032"/>
      <c r="U483" s="1032"/>
      <c r="V483" s="1032"/>
      <c r="W483" s="1032"/>
      <c r="X483" s="1032"/>
      <c r="Y483" s="1032"/>
      <c r="Z483" s="1032"/>
      <c r="AA483" s="1032"/>
      <c r="AB483" s="1032"/>
      <c r="AC483" s="1020"/>
      <c r="AD483" s="1020"/>
      <c r="AE483" s="1020"/>
      <c r="AF483" s="1020"/>
      <c r="AG483" s="1020"/>
      <c r="AH483" s="1020"/>
      <c r="AI483" s="1020"/>
      <c r="AJ483" s="988"/>
      <c r="AK483" s="1020"/>
      <c r="AL483" s="1020"/>
      <c r="AM483" s="1057"/>
      <c r="AN483" s="1130"/>
      <c r="AT483" s="51"/>
      <c r="AU483" s="51"/>
      <c r="AV483" s="51"/>
      <c r="AW483" s="51"/>
      <c r="AX483" s="51"/>
      <c r="AY483" s="51"/>
      <c r="AZ483" s="51"/>
    </row>
    <row r="484" spans="1:81" s="1131" customFormat="1" ht="13">
      <c r="A484" s="1057"/>
      <c r="B484" s="924"/>
      <c r="C484" s="983" t="s">
        <v>1713</v>
      </c>
      <c r="D484" s="1568"/>
      <c r="E484" s="1032"/>
      <c r="F484" s="1032"/>
      <c r="G484" s="1032"/>
      <c r="H484" s="1032"/>
      <c r="I484" s="1032"/>
      <c r="J484" s="1032"/>
      <c r="K484" s="1032"/>
      <c r="L484" s="1032"/>
      <c r="M484" s="1032"/>
      <c r="N484" s="1032"/>
      <c r="O484" s="1032"/>
      <c r="P484" s="1032"/>
      <c r="Q484" s="1032"/>
      <c r="R484" s="1032"/>
      <c r="S484" s="1032"/>
      <c r="T484" s="1032"/>
      <c r="U484" s="1032"/>
      <c r="V484" s="1032"/>
      <c r="W484" s="1032"/>
      <c r="X484" s="1032"/>
      <c r="Y484" s="1032"/>
      <c r="Z484" s="1032"/>
      <c r="AA484" s="1032"/>
      <c r="AB484" s="1032"/>
      <c r="AC484" s="1020"/>
      <c r="AD484" s="1020"/>
      <c r="AE484" s="1020"/>
      <c r="AF484" s="1020"/>
      <c r="AG484" s="1020"/>
      <c r="AH484" s="1020"/>
      <c r="AI484" s="1020"/>
      <c r="AJ484" s="988"/>
      <c r="AK484" s="1020"/>
      <c r="AL484" s="1020"/>
      <c r="AM484" s="1057"/>
      <c r="AN484" s="1130"/>
      <c r="AT484" s="51"/>
      <c r="AU484" s="51"/>
      <c r="AV484" s="51"/>
      <c r="AW484" s="51"/>
      <c r="AX484" s="51"/>
      <c r="AY484" s="51"/>
      <c r="AZ484" s="51"/>
    </row>
    <row r="485" spans="1:81" s="1131" customFormat="1">
      <c r="A485" s="1057"/>
      <c r="B485" s="1021"/>
      <c r="C485" s="1545"/>
      <c r="D485" s="1547"/>
      <c r="E485" s="1032"/>
      <c r="F485" s="1032"/>
      <c r="G485" s="1032"/>
      <c r="H485" s="1032"/>
      <c r="I485" s="1032"/>
      <c r="J485" s="1032"/>
      <c r="K485" s="1032"/>
      <c r="L485" s="1032"/>
      <c r="M485" s="1032"/>
      <c r="N485" s="1032"/>
      <c r="O485" s="1032"/>
      <c r="P485" s="1032"/>
      <c r="Q485" s="1032"/>
      <c r="R485" s="1032"/>
      <c r="S485" s="1032"/>
      <c r="T485" s="1032"/>
      <c r="U485" s="1032"/>
      <c r="V485" s="1032"/>
      <c r="W485" s="1032"/>
      <c r="X485" s="1032"/>
      <c r="Y485" s="1032"/>
      <c r="Z485" s="1032"/>
      <c r="AA485" s="1032"/>
      <c r="AB485" s="1032"/>
      <c r="AC485" s="1020"/>
      <c r="AD485" s="1020"/>
      <c r="AE485" s="1020"/>
      <c r="AF485" s="1020"/>
      <c r="AG485" s="1020"/>
      <c r="AH485" s="1020"/>
      <c r="AI485" s="1020"/>
      <c r="AJ485" s="988"/>
      <c r="AK485" s="1003"/>
      <c r="AL485" s="1003"/>
      <c r="AM485" s="1023"/>
      <c r="AN485" s="1130"/>
      <c r="AT485" s="51"/>
      <c r="AU485" s="51"/>
      <c r="AV485" s="51"/>
      <c r="AW485" s="51"/>
      <c r="AX485" s="51"/>
      <c r="AY485" s="51"/>
      <c r="AZ485" s="51"/>
    </row>
    <row r="486" spans="1:81" s="1131" customFormat="1" ht="13">
      <c r="A486" s="1057"/>
      <c r="B486" s="924"/>
      <c r="C486" s="1542"/>
      <c r="D486" s="1103" t="s">
        <v>723</v>
      </c>
      <c r="E486" s="3121" t="s">
        <v>2112</v>
      </c>
      <c r="F486" s="3121"/>
      <c r="G486" s="3121"/>
      <c r="H486" s="3121"/>
      <c r="I486" s="3121"/>
      <c r="J486" s="3121"/>
      <c r="K486" s="3121"/>
      <c r="L486" s="3121"/>
      <c r="M486" s="3121"/>
      <c r="N486" s="3121"/>
      <c r="O486" s="3121"/>
      <c r="P486" s="3121"/>
      <c r="Q486" s="3121"/>
      <c r="R486" s="3121"/>
      <c r="S486" s="3121"/>
      <c r="T486" s="3121"/>
      <c r="U486" s="3121"/>
      <c r="V486" s="3121"/>
      <c r="W486" s="3121"/>
      <c r="X486" s="3121"/>
      <c r="Y486" s="3121"/>
      <c r="Z486" s="3121"/>
      <c r="AA486" s="3121"/>
      <c r="AB486" s="3121"/>
      <c r="AC486" s="924"/>
      <c r="AD486" s="924"/>
      <c r="AE486" s="924"/>
      <c r="AF486" s="3076" t="s">
        <v>1615</v>
      </c>
      <c r="AG486" s="3076"/>
      <c r="AH486" s="3076"/>
      <c r="AI486" s="3076"/>
      <c r="AJ486" s="3076"/>
      <c r="AK486" s="3076"/>
      <c r="AL486" s="3076"/>
      <c r="AM486" s="1023"/>
      <c r="AN486" s="1130"/>
      <c r="AT486" s="51"/>
      <c r="AU486" s="51"/>
      <c r="AV486" s="51"/>
      <c r="AW486" s="51"/>
      <c r="AX486" s="51"/>
      <c r="AY486" s="51"/>
      <c r="AZ486" s="51"/>
    </row>
    <row r="487" spans="1:81" s="1131" customFormat="1" ht="13">
      <c r="A487" s="1057"/>
      <c r="B487" s="1020"/>
      <c r="C487" s="1544"/>
      <c r="D487" s="1103"/>
      <c r="E487" s="3121"/>
      <c r="F487" s="3121"/>
      <c r="G487" s="3121"/>
      <c r="H487" s="3121"/>
      <c r="I487" s="3121"/>
      <c r="J487" s="3121"/>
      <c r="K487" s="3121"/>
      <c r="L487" s="3121"/>
      <c r="M487" s="3121"/>
      <c r="N487" s="3121"/>
      <c r="O487" s="3121"/>
      <c r="P487" s="3121"/>
      <c r="Q487" s="3121"/>
      <c r="R487" s="3121"/>
      <c r="S487" s="3121"/>
      <c r="T487" s="3121"/>
      <c r="U487" s="3121"/>
      <c r="V487" s="3121"/>
      <c r="W487" s="3121"/>
      <c r="X487" s="3121"/>
      <c r="Y487" s="3121"/>
      <c r="Z487" s="3121"/>
      <c r="AA487" s="3121"/>
      <c r="AB487" s="3121"/>
      <c r="AC487" s="924"/>
      <c r="AD487" s="924"/>
      <c r="AE487" s="1020"/>
      <c r="AF487" s="1020"/>
      <c r="AG487" s="1020"/>
      <c r="AH487" s="1020"/>
      <c r="AI487" s="1020"/>
      <c r="AJ487" s="1020"/>
      <c r="AK487" s="1020"/>
      <c r="AL487" s="1020"/>
      <c r="AM487" s="1023"/>
      <c r="AN487" s="1130"/>
      <c r="AT487" s="51"/>
      <c r="AU487" s="51"/>
      <c r="AV487" s="51"/>
      <c r="AW487" s="51"/>
      <c r="AX487" s="51"/>
      <c r="AY487" s="51"/>
      <c r="AZ487" s="51"/>
    </row>
    <row r="488" spans="1:81" s="1131" customFormat="1">
      <c r="A488" s="1057"/>
      <c r="B488" s="1021"/>
      <c r="C488" s="1545"/>
      <c r="D488" s="1103"/>
      <c r="E488" s="1032"/>
      <c r="F488" s="1032"/>
      <c r="G488" s="1032"/>
      <c r="H488" s="1032"/>
      <c r="I488" s="1032"/>
      <c r="J488" s="1032"/>
      <c r="K488" s="1032"/>
      <c r="L488" s="1032"/>
      <c r="M488" s="1032"/>
      <c r="N488" s="1032"/>
      <c r="O488" s="1032"/>
      <c r="P488" s="1032"/>
      <c r="Q488" s="1032"/>
      <c r="R488" s="1032"/>
      <c r="S488" s="1032"/>
      <c r="T488" s="1032"/>
      <c r="U488" s="1032"/>
      <c r="V488" s="1032"/>
      <c r="W488" s="1032"/>
      <c r="X488" s="1032"/>
      <c r="Y488" s="1032"/>
      <c r="Z488" s="1032"/>
      <c r="AA488" s="1032"/>
      <c r="AB488" s="1032"/>
      <c r="AC488" s="924"/>
      <c r="AD488" s="924"/>
      <c r="AE488" s="1020"/>
      <c r="AF488" s="1020"/>
      <c r="AG488" s="1020"/>
      <c r="AH488" s="1020"/>
      <c r="AI488" s="1020"/>
      <c r="AJ488" s="1020"/>
      <c r="AK488" s="1020"/>
      <c r="AL488" s="1020"/>
      <c r="AM488" s="1023"/>
      <c r="AN488" s="1130"/>
      <c r="AT488" s="51"/>
      <c r="AU488" s="51"/>
      <c r="AV488" s="51"/>
      <c r="AW488" s="51"/>
      <c r="AX488" s="51"/>
      <c r="AY488" s="51"/>
      <c r="AZ488" s="51"/>
    </row>
    <row r="489" spans="1:81" s="1131" customFormat="1" ht="12.75" customHeight="1">
      <c r="A489" s="1057"/>
      <c r="B489" s="1003"/>
      <c r="C489" s="1542"/>
      <c r="D489" s="1103" t="s">
        <v>540</v>
      </c>
      <c r="E489" s="3121" t="s">
        <v>1714</v>
      </c>
      <c r="F489" s="3121"/>
      <c r="G489" s="3121"/>
      <c r="H489" s="3121"/>
      <c r="I489" s="3121"/>
      <c r="J489" s="3121"/>
      <c r="K489" s="3121"/>
      <c r="L489" s="3121"/>
      <c r="M489" s="3121"/>
      <c r="N489" s="3121"/>
      <c r="O489" s="3121"/>
      <c r="P489" s="3121"/>
      <c r="Q489" s="3121"/>
      <c r="R489" s="3121"/>
      <c r="S489" s="3121"/>
      <c r="T489" s="3121"/>
      <c r="U489" s="3121"/>
      <c r="V489" s="3121"/>
      <c r="W489" s="3121"/>
      <c r="X489" s="3121"/>
      <c r="Y489" s="3121"/>
      <c r="Z489" s="3121"/>
      <c r="AA489" s="3121"/>
      <c r="AB489" s="3121"/>
      <c r="AC489" s="924"/>
      <c r="AD489" s="924"/>
      <c r="AE489" s="924"/>
      <c r="AF489" s="3076" t="s">
        <v>1679</v>
      </c>
      <c r="AG489" s="3076"/>
      <c r="AH489" s="3076"/>
      <c r="AI489" s="3076"/>
      <c r="AJ489" s="3076"/>
      <c r="AK489" s="3076"/>
      <c r="AL489" s="3076"/>
      <c r="AM489" s="1023"/>
      <c r="AN489" s="1130"/>
      <c r="AT489" s="51"/>
      <c r="AU489" s="51"/>
      <c r="AV489" s="51"/>
      <c r="AW489" s="51"/>
      <c r="AX489" s="51"/>
      <c r="AY489" s="51"/>
      <c r="AZ489" s="51"/>
    </row>
    <row r="490" spans="1:81" s="1131" customFormat="1" ht="13">
      <c r="A490" s="1057"/>
      <c r="B490" s="1020"/>
      <c r="C490" s="1544"/>
      <c r="D490" s="1020"/>
      <c r="E490" s="3121"/>
      <c r="F490" s="3121"/>
      <c r="G490" s="3121"/>
      <c r="H490" s="3121"/>
      <c r="I490" s="3121"/>
      <c r="J490" s="3121"/>
      <c r="K490" s="3121"/>
      <c r="L490" s="3121"/>
      <c r="M490" s="3121"/>
      <c r="N490" s="3121"/>
      <c r="O490" s="3121"/>
      <c r="P490" s="3121"/>
      <c r="Q490" s="3121"/>
      <c r="R490" s="3121"/>
      <c r="S490" s="3121"/>
      <c r="T490" s="3121"/>
      <c r="U490" s="3121"/>
      <c r="V490" s="3121"/>
      <c r="W490" s="3121"/>
      <c r="X490" s="3121"/>
      <c r="Y490" s="3121"/>
      <c r="Z490" s="3121"/>
      <c r="AA490" s="3121"/>
      <c r="AB490" s="3121"/>
      <c r="AC490" s="1020"/>
      <c r="AD490" s="1020"/>
      <c r="AE490" s="1020"/>
      <c r="AF490" s="1020"/>
      <c r="AG490" s="1020"/>
      <c r="AH490" s="1020"/>
      <c r="AI490" s="1020"/>
      <c r="AJ490" s="924"/>
      <c r="AK490" s="1003"/>
      <c r="AL490" s="1003"/>
      <c r="AM490" s="1023"/>
      <c r="AN490" s="1130"/>
      <c r="AT490" s="51"/>
      <c r="AU490" s="51"/>
      <c r="AV490" s="51"/>
      <c r="AW490" s="51"/>
      <c r="AX490" s="51"/>
      <c r="AY490" s="51"/>
      <c r="AZ490" s="51"/>
    </row>
    <row r="491" spans="1:81" s="1131" customFormat="1" ht="13">
      <c r="A491" s="1057"/>
      <c r="B491" s="1020"/>
      <c r="C491" s="1544"/>
      <c r="D491" s="1020"/>
      <c r="E491" s="1502"/>
      <c r="F491" s="1502"/>
      <c r="G491" s="1502"/>
      <c r="H491" s="1502"/>
      <c r="I491" s="1502"/>
      <c r="J491" s="1502"/>
      <c r="K491" s="1502"/>
      <c r="L491" s="1502"/>
      <c r="M491" s="1502"/>
      <c r="N491" s="1502"/>
      <c r="O491" s="1502"/>
      <c r="P491" s="1502"/>
      <c r="Q491" s="1502"/>
      <c r="R491" s="1502"/>
      <c r="S491" s="1502"/>
      <c r="T491" s="1502"/>
      <c r="U491" s="1502"/>
      <c r="V491" s="1502"/>
      <c r="W491" s="1502"/>
      <c r="X491" s="1502"/>
      <c r="Y491" s="1502"/>
      <c r="Z491" s="1502"/>
      <c r="AA491" s="1502"/>
      <c r="AB491" s="1502"/>
      <c r="AC491" s="1020"/>
      <c r="AD491" s="1020"/>
      <c r="AE491" s="1020"/>
      <c r="AF491" s="1020"/>
      <c r="AG491" s="1020"/>
      <c r="AH491" s="1020"/>
      <c r="AI491" s="1020"/>
      <c r="AJ491" s="924"/>
      <c r="AK491" s="1003"/>
      <c r="AL491" s="1003"/>
      <c r="AM491" s="1023"/>
      <c r="AN491" s="1130"/>
      <c r="AT491" s="51"/>
      <c r="AU491" s="51"/>
      <c r="AV491" s="51"/>
      <c r="AW491" s="51"/>
      <c r="AX491" s="51"/>
      <c r="AY491" s="51"/>
      <c r="AZ491" s="51"/>
    </row>
    <row r="492" spans="1:81" s="1131" customFormat="1" ht="12.75" customHeight="1">
      <c r="A492" s="1057"/>
      <c r="B492" s="1020"/>
      <c r="C492" s="1544"/>
      <c r="D492" s="1020" t="s">
        <v>1671</v>
      </c>
      <c r="E492" s="1548"/>
      <c r="F492" s="1548"/>
      <c r="G492" s="1548"/>
      <c r="H492" s="3140" t="s">
        <v>624</v>
      </c>
      <c r="I492" s="3140"/>
      <c r="J492" s="1502"/>
      <c r="K492" s="1502"/>
      <c r="L492" s="1502"/>
      <c r="M492" s="1502"/>
      <c r="N492" s="1502"/>
      <c r="O492" s="1502"/>
      <c r="P492" s="1502"/>
      <c r="Q492" s="1502"/>
      <c r="R492" s="1502"/>
      <c r="S492" s="1502"/>
      <c r="T492" s="1502"/>
      <c r="U492" s="1502"/>
      <c r="V492" s="1502"/>
      <c r="W492" s="1502"/>
      <c r="X492" s="1502"/>
      <c r="Y492" s="1502"/>
      <c r="Z492" s="1502"/>
      <c r="AA492" s="1502"/>
      <c r="AB492" s="1502"/>
      <c r="AC492" s="1020"/>
      <c r="AD492" s="1020"/>
      <c r="AE492" s="1020"/>
      <c r="AF492" s="1020"/>
      <c r="AG492" s="1020"/>
      <c r="AH492" s="1020"/>
      <c r="AI492" s="1020"/>
      <c r="AJ492" s="924"/>
      <c r="AK492" s="1003"/>
      <c r="AL492" s="1003"/>
      <c r="AM492" s="1023"/>
      <c r="AN492" s="1130"/>
      <c r="AT492" s="51"/>
      <c r="AU492" s="51"/>
      <c r="AV492" s="51"/>
      <c r="AW492" s="51"/>
      <c r="AX492" s="51"/>
      <c r="AY492" s="51"/>
      <c r="AZ492" s="51"/>
    </row>
    <row r="493" spans="1:81" s="1131" customFormat="1" ht="13">
      <c r="A493" s="1057"/>
      <c r="B493" s="1020"/>
      <c r="C493" s="1544"/>
      <c r="D493" s="1020"/>
      <c r="E493" s="1502"/>
      <c r="F493" s="1502"/>
      <c r="G493" s="1502"/>
      <c r="H493" s="1502"/>
      <c r="I493" s="1502"/>
      <c r="J493" s="1502"/>
      <c r="K493" s="1502"/>
      <c r="L493" s="1502"/>
      <c r="M493" s="1502"/>
      <c r="N493" s="1502"/>
      <c r="O493" s="1502"/>
      <c r="P493" s="1502"/>
      <c r="Q493" s="1502"/>
      <c r="R493" s="1502"/>
      <c r="S493" s="1502"/>
      <c r="T493" s="1502"/>
      <c r="U493" s="1502"/>
      <c r="V493" s="1502"/>
      <c r="W493" s="1502"/>
      <c r="X493" s="1502"/>
      <c r="Y493" s="1502"/>
      <c r="Z493" s="1502"/>
      <c r="AA493" s="1502"/>
      <c r="AB493" s="1502"/>
      <c r="AC493" s="1020"/>
      <c r="AD493" s="1020"/>
      <c r="AE493" s="1020"/>
      <c r="AF493" s="1020"/>
      <c r="AG493" s="1020"/>
      <c r="AH493" s="1020"/>
      <c r="AI493" s="1020"/>
      <c r="AJ493" s="924"/>
      <c r="AK493" s="1003"/>
      <c r="AL493" s="1003"/>
      <c r="AM493" s="1023"/>
      <c r="AN493" s="1130"/>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1" customFormat="1" ht="13">
      <c r="A494" s="1068"/>
      <c r="B494" s="1016"/>
      <c r="C494" s="1552"/>
      <c r="D494" s="1016"/>
      <c r="E494" s="1565"/>
      <c r="F494" s="1565"/>
      <c r="G494" s="1565"/>
      <c r="H494" s="1565"/>
      <c r="I494" s="1565"/>
      <c r="J494" s="1565"/>
      <c r="K494" s="1565"/>
      <c r="L494" s="1565"/>
      <c r="M494" s="1565"/>
      <c r="N494" s="1565"/>
      <c r="O494" s="1565"/>
      <c r="P494" s="1565"/>
      <c r="Q494" s="1565"/>
      <c r="R494" s="1565"/>
      <c r="S494" s="1565"/>
      <c r="T494" s="1565"/>
      <c r="U494" s="1565"/>
      <c r="V494" s="1105"/>
      <c r="W494" s="1105"/>
      <c r="X494" s="1105"/>
      <c r="Y494" s="1553"/>
      <c r="Z494" s="1553"/>
      <c r="AA494" s="1553"/>
      <c r="AB494" s="1016"/>
      <c r="AC494" s="1016"/>
      <c r="AD494" s="1016"/>
      <c r="AE494" s="1016"/>
      <c r="AF494" s="1016"/>
      <c r="AG494" s="1016"/>
      <c r="AH494" s="1016"/>
      <c r="AI494" s="956" t="s">
        <v>1715</v>
      </c>
      <c r="AJ494" s="3100">
        <f>VLOOKUP($H$492,$AO$427:$AP$429,2,FALSE)</f>
        <v>0</v>
      </c>
      <c r="AK494" s="3102"/>
      <c r="AL494" s="1002"/>
      <c r="AM494" s="999"/>
      <c r="AN494" s="1130"/>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1" customFormat="1" ht="12.75" customHeight="1">
      <c r="A495" s="1057"/>
      <c r="B495" s="1020"/>
      <c r="C495" s="1544"/>
      <c r="D495" s="924"/>
      <c r="E495" s="924"/>
      <c r="F495" s="924"/>
      <c r="G495" s="924"/>
      <c r="H495" s="924"/>
      <c r="I495" s="924"/>
      <c r="J495" s="1502"/>
      <c r="K495" s="1502"/>
      <c r="L495" s="1502"/>
      <c r="M495" s="1502"/>
      <c r="N495" s="924"/>
      <c r="O495" s="924"/>
      <c r="P495" s="924"/>
      <c r="Q495" s="924"/>
      <c r="R495" s="924"/>
      <c r="S495" s="924"/>
      <c r="T495" s="924"/>
      <c r="U495" s="924"/>
      <c r="V495" s="924"/>
      <c r="W495" s="924"/>
      <c r="X495" s="924"/>
      <c r="Y495" s="924"/>
      <c r="Z495" s="924"/>
      <c r="AA495" s="924"/>
      <c r="AB495" s="924"/>
      <c r="AC495" s="924"/>
      <c r="AD495" s="924"/>
      <c r="AE495" s="924"/>
      <c r="AF495" s="924"/>
      <c r="AG495" s="924"/>
      <c r="AH495" s="924"/>
      <c r="AI495" s="924"/>
      <c r="AJ495" s="924"/>
      <c r="AK495" s="924"/>
      <c r="AL495" s="924"/>
      <c r="AM495" s="940"/>
      <c r="AN495" s="1130"/>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1" customFormat="1" ht="12.75" customHeight="1">
      <c r="A496" s="940"/>
      <c r="B496" s="924"/>
      <c r="C496" s="983" t="s">
        <v>1716</v>
      </c>
      <c r="D496" s="924"/>
      <c r="E496" s="924"/>
      <c r="F496" s="924"/>
      <c r="G496" s="924"/>
      <c r="H496" s="924"/>
      <c r="I496" s="924"/>
      <c r="J496" s="924"/>
      <c r="K496" s="924"/>
      <c r="L496" s="924"/>
      <c r="M496" s="924"/>
      <c r="N496" s="924"/>
      <c r="O496" s="924"/>
      <c r="P496" s="924"/>
      <c r="Q496" s="924"/>
      <c r="R496" s="924"/>
      <c r="S496" s="924"/>
      <c r="T496" s="924"/>
      <c r="U496" s="924"/>
      <c r="V496" s="924"/>
      <c r="W496" s="924"/>
      <c r="X496" s="924"/>
      <c r="Y496" s="924"/>
      <c r="Z496" s="924"/>
      <c r="AA496" s="924"/>
      <c r="AB496" s="924"/>
      <c r="AC496" s="924"/>
      <c r="AD496" s="924"/>
      <c r="AE496" s="924"/>
      <c r="AF496" s="924"/>
      <c r="AG496" s="924"/>
      <c r="AH496" s="924"/>
      <c r="AI496" s="924"/>
      <c r="AJ496" s="924"/>
      <c r="AK496" s="924"/>
      <c r="AL496" s="924"/>
      <c r="AM496" s="940"/>
      <c r="AN496" s="1130"/>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1" customFormat="1">
      <c r="A497" s="1057"/>
      <c r="B497" s="1021"/>
      <c r="C497" s="1569"/>
      <c r="D497" s="1021"/>
      <c r="E497" s="1021"/>
      <c r="F497" s="1020"/>
      <c r="G497" s="1020"/>
      <c r="H497" s="1021"/>
      <c r="I497" s="1021"/>
      <c r="J497" s="1021"/>
      <c r="K497" s="1021"/>
      <c r="L497" s="1021"/>
      <c r="M497" s="1021"/>
      <c r="N497" s="1021"/>
      <c r="O497" s="1021"/>
      <c r="P497" s="1021"/>
      <c r="Q497" s="1021"/>
      <c r="R497" s="1021"/>
      <c r="S497" s="1021"/>
      <c r="T497" s="1020"/>
      <c r="U497" s="1020"/>
      <c r="V497" s="1020"/>
      <c r="W497" s="1020"/>
      <c r="X497" s="1002"/>
      <c r="Y497" s="1002"/>
      <c r="Z497" s="1002"/>
      <c r="AA497" s="1002"/>
      <c r="AB497" s="1002"/>
      <c r="AC497" s="1020"/>
      <c r="AD497" s="1020"/>
      <c r="AE497" s="1020"/>
      <c r="AF497" s="1020"/>
      <c r="AG497" s="1020"/>
      <c r="AH497" s="1020"/>
      <c r="AI497" s="1020"/>
      <c r="AJ497" s="924"/>
      <c r="AK497" s="1003"/>
      <c r="AL497" s="1003"/>
      <c r="AM497" s="1023"/>
      <c r="AN497" s="1130"/>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1" customFormat="1" ht="13">
      <c r="A498" s="1057"/>
      <c r="B498" s="924"/>
      <c r="C498" s="1542"/>
      <c r="D498" s="1103" t="s">
        <v>723</v>
      </c>
      <c r="E498" s="3121" t="s">
        <v>1717</v>
      </c>
      <c r="F498" s="3121"/>
      <c r="G498" s="3121"/>
      <c r="H498" s="3121"/>
      <c r="I498" s="3121"/>
      <c r="J498" s="3121"/>
      <c r="K498" s="3121"/>
      <c r="L498" s="3121"/>
      <c r="M498" s="3121"/>
      <c r="N498" s="3121"/>
      <c r="O498" s="3121"/>
      <c r="P498" s="3121"/>
      <c r="Q498" s="3121"/>
      <c r="R498" s="3121"/>
      <c r="S498" s="3121"/>
      <c r="T498" s="3121"/>
      <c r="U498" s="3121"/>
      <c r="V498" s="3121"/>
      <c r="W498" s="3121"/>
      <c r="X498" s="3121"/>
      <c r="Y498" s="3121"/>
      <c r="Z498" s="3121"/>
      <c r="AA498" s="3121"/>
      <c r="AB498" s="3121"/>
      <c r="AC498" s="924"/>
      <c r="AD498" s="924"/>
      <c r="AE498" s="924"/>
      <c r="AF498" s="3076" t="s">
        <v>1615</v>
      </c>
      <c r="AG498" s="3076"/>
      <c r="AH498" s="3076"/>
      <c r="AI498" s="3076"/>
      <c r="AJ498" s="3076"/>
      <c r="AK498" s="3076"/>
      <c r="AL498" s="3076"/>
      <c r="AM498" s="1023"/>
      <c r="AN498" s="1130"/>
      <c r="AT498" s="51"/>
      <c r="AU498" s="51"/>
      <c r="AV498" s="51"/>
      <c r="AW498" s="51"/>
      <c r="AX498" s="51"/>
      <c r="AY498" s="51"/>
      <c r="AZ498" s="51"/>
    </row>
    <row r="499" spans="1:81" s="1131" customFormat="1" ht="13">
      <c r="A499" s="1057"/>
      <c r="B499" s="924"/>
      <c r="C499" s="1542"/>
      <c r="D499" s="1103"/>
      <c r="E499" s="3121"/>
      <c r="F499" s="3121"/>
      <c r="G499" s="3121"/>
      <c r="H499" s="3121"/>
      <c r="I499" s="3121"/>
      <c r="J499" s="3121"/>
      <c r="K499" s="3121"/>
      <c r="L499" s="3121"/>
      <c r="M499" s="3121"/>
      <c r="N499" s="3121"/>
      <c r="O499" s="3121"/>
      <c r="P499" s="3121"/>
      <c r="Q499" s="3121"/>
      <c r="R499" s="3121"/>
      <c r="S499" s="3121"/>
      <c r="T499" s="3121"/>
      <c r="U499" s="3121"/>
      <c r="V499" s="3121"/>
      <c r="W499" s="3121"/>
      <c r="X499" s="3121"/>
      <c r="Y499" s="3121"/>
      <c r="Z499" s="3121"/>
      <c r="AA499" s="3121"/>
      <c r="AB499" s="3121"/>
      <c r="AC499" s="924"/>
      <c r="AD499" s="924"/>
      <c r="AE499" s="924"/>
      <c r="AF499" s="1501"/>
      <c r="AG499" s="1501"/>
      <c r="AH499" s="1501"/>
      <c r="AI499" s="1501"/>
      <c r="AJ499" s="1501"/>
      <c r="AK499" s="1501"/>
      <c r="AL499" s="1501"/>
      <c r="AM499" s="1023"/>
      <c r="AN499" s="1130"/>
      <c r="AT499" s="51"/>
      <c r="AU499" s="51"/>
      <c r="AV499" s="51"/>
      <c r="AW499" s="51"/>
      <c r="AX499" s="51"/>
      <c r="AY499" s="51"/>
      <c r="AZ499" s="51"/>
    </row>
    <row r="500" spans="1:81" s="1131" customFormat="1" ht="13">
      <c r="A500" s="1057"/>
      <c r="B500" s="1020"/>
      <c r="C500" s="1544"/>
      <c r="D500" s="1103"/>
      <c r="E500" s="3121"/>
      <c r="F500" s="3121"/>
      <c r="G500" s="3121"/>
      <c r="H500" s="3121"/>
      <c r="I500" s="3121"/>
      <c r="J500" s="3121"/>
      <c r="K500" s="3121"/>
      <c r="L500" s="3121"/>
      <c r="M500" s="3121"/>
      <c r="N500" s="3121"/>
      <c r="O500" s="3121"/>
      <c r="P500" s="3121"/>
      <c r="Q500" s="3121"/>
      <c r="R500" s="3121"/>
      <c r="S500" s="3121"/>
      <c r="T500" s="3121"/>
      <c r="U500" s="3121"/>
      <c r="V500" s="3121"/>
      <c r="W500" s="3121"/>
      <c r="X500" s="3121"/>
      <c r="Y500" s="3121"/>
      <c r="Z500" s="3121"/>
      <c r="AA500" s="3121"/>
      <c r="AB500" s="3121"/>
      <c r="AC500" s="924"/>
      <c r="AD500" s="924"/>
      <c r="AE500" s="924"/>
      <c r="AF500" s="924"/>
      <c r="AG500" s="924"/>
      <c r="AH500" s="924"/>
      <c r="AI500" s="924"/>
      <c r="AJ500" s="924"/>
      <c r="AK500" s="924"/>
      <c r="AL500" s="1003"/>
      <c r="AM500" s="1023"/>
      <c r="AN500" s="1130"/>
    </row>
    <row r="501" spans="1:81" s="1132" customFormat="1" ht="12.75" customHeight="1">
      <c r="A501" s="1057"/>
      <c r="B501" s="1020"/>
      <c r="C501" s="1544"/>
      <c r="D501" s="1103"/>
      <c r="E501" s="3121"/>
      <c r="F501" s="3121"/>
      <c r="G501" s="3121"/>
      <c r="H501" s="3121"/>
      <c r="I501" s="3121"/>
      <c r="J501" s="3121"/>
      <c r="K501" s="3121"/>
      <c r="L501" s="3121"/>
      <c r="M501" s="3121"/>
      <c r="N501" s="3121"/>
      <c r="O501" s="3121"/>
      <c r="P501" s="3121"/>
      <c r="Q501" s="3121"/>
      <c r="R501" s="3121"/>
      <c r="S501" s="3121"/>
      <c r="T501" s="3121"/>
      <c r="U501" s="3121"/>
      <c r="V501" s="3121"/>
      <c r="W501" s="3121"/>
      <c r="X501" s="3121"/>
      <c r="Y501" s="3121"/>
      <c r="Z501" s="3121"/>
      <c r="AA501" s="3121"/>
      <c r="AB501" s="3121"/>
      <c r="AC501" s="924"/>
      <c r="AD501" s="924"/>
      <c r="AE501" s="1020"/>
      <c r="AF501" s="1020"/>
      <c r="AG501" s="1003"/>
      <c r="AH501" s="1003"/>
      <c r="AI501" s="1003"/>
      <c r="AJ501" s="1003"/>
      <c r="AK501" s="1003"/>
      <c r="AL501" s="1003"/>
      <c r="AM501" s="1023"/>
      <c r="AN501" s="1136"/>
      <c r="AO501" s="56"/>
    </row>
    <row r="502" spans="1:81" s="1131" customFormat="1">
      <c r="A502" s="1123"/>
      <c r="B502" s="1002"/>
      <c r="C502" s="1545"/>
      <c r="D502" s="1103"/>
      <c r="E502" s="1570"/>
      <c r="F502" s="1570"/>
      <c r="G502" s="1570"/>
      <c r="H502" s="1570"/>
      <c r="I502" s="1570"/>
      <c r="J502" s="1570"/>
      <c r="K502" s="1570"/>
      <c r="L502" s="1570"/>
      <c r="M502" s="1570"/>
      <c r="N502" s="1570"/>
      <c r="O502" s="1570"/>
      <c r="P502" s="1570"/>
      <c r="Q502" s="1570"/>
      <c r="R502" s="1570"/>
      <c r="S502" s="1570"/>
      <c r="T502" s="1570"/>
      <c r="U502" s="1570"/>
      <c r="V502" s="1570"/>
      <c r="W502" s="1570"/>
      <c r="X502" s="1570"/>
      <c r="Y502" s="1570"/>
      <c r="Z502" s="1570"/>
      <c r="AA502" s="1570"/>
      <c r="AB502" s="1570"/>
      <c r="AC502" s="924"/>
      <c r="AD502" s="924"/>
      <c r="AE502" s="1003"/>
      <c r="AF502" s="924"/>
      <c r="AG502" s="924"/>
      <c r="AH502" s="924"/>
      <c r="AI502" s="924"/>
      <c r="AJ502" s="924"/>
      <c r="AK502" s="924"/>
      <c r="AL502" s="924"/>
      <c r="AM502" s="1023"/>
      <c r="AN502" s="1130"/>
      <c r="AO502" s="126"/>
      <c r="AP502" s="51"/>
    </row>
    <row r="503" spans="1:81" s="1131" customFormat="1" ht="13">
      <c r="A503" s="1057"/>
      <c r="B503" s="1003"/>
      <c r="C503" s="1542"/>
      <c r="D503" s="1103" t="s">
        <v>540</v>
      </c>
      <c r="E503" s="3121" t="s">
        <v>1718</v>
      </c>
      <c r="F503" s="3121"/>
      <c r="G503" s="3121"/>
      <c r="H503" s="3121"/>
      <c r="I503" s="3121"/>
      <c r="J503" s="3121"/>
      <c r="K503" s="3121"/>
      <c r="L503" s="3121"/>
      <c r="M503" s="3121"/>
      <c r="N503" s="3121"/>
      <c r="O503" s="3121"/>
      <c r="P503" s="3121"/>
      <c r="Q503" s="3121"/>
      <c r="R503" s="3121"/>
      <c r="S503" s="3121"/>
      <c r="T503" s="3121"/>
      <c r="U503" s="3121"/>
      <c r="V503" s="3121"/>
      <c r="W503" s="3121"/>
      <c r="X503" s="3121"/>
      <c r="Y503" s="3121"/>
      <c r="Z503" s="3121"/>
      <c r="AA503" s="3121"/>
      <c r="AB503" s="966"/>
      <c r="AC503" s="924"/>
      <c r="AD503" s="924"/>
      <c r="AE503" s="924"/>
      <c r="AF503" s="3076" t="s">
        <v>1679</v>
      </c>
      <c r="AG503" s="3076"/>
      <c r="AH503" s="3076"/>
      <c r="AI503" s="3076"/>
      <c r="AJ503" s="3076"/>
      <c r="AK503" s="3076"/>
      <c r="AL503" s="3076"/>
      <c r="AM503" s="1023"/>
      <c r="AN503" s="1130"/>
      <c r="AO503" s="126"/>
      <c r="AP503" s="51"/>
    </row>
    <row r="504" spans="1:81" s="1131" customFormat="1" ht="13">
      <c r="A504" s="1057"/>
      <c r="B504" s="1003"/>
      <c r="C504" s="1542"/>
      <c r="D504" s="1103"/>
      <c r="E504" s="3121"/>
      <c r="F504" s="3121"/>
      <c r="G504" s="3121"/>
      <c r="H504" s="3121"/>
      <c r="I504" s="3121"/>
      <c r="J504" s="3121"/>
      <c r="K504" s="3121"/>
      <c r="L504" s="3121"/>
      <c r="M504" s="3121"/>
      <c r="N504" s="3121"/>
      <c r="O504" s="3121"/>
      <c r="P504" s="3121"/>
      <c r="Q504" s="3121"/>
      <c r="R504" s="3121"/>
      <c r="S504" s="3121"/>
      <c r="T504" s="3121"/>
      <c r="U504" s="3121"/>
      <c r="V504" s="3121"/>
      <c r="W504" s="3121"/>
      <c r="X504" s="3121"/>
      <c r="Y504" s="3121"/>
      <c r="Z504" s="3121"/>
      <c r="AA504" s="3121"/>
      <c r="AB504" s="966"/>
      <c r="AC504" s="924"/>
      <c r="AD504" s="924"/>
      <c r="AE504" s="924"/>
      <c r="AF504" s="1501"/>
      <c r="AG504" s="1501"/>
      <c r="AH504" s="1501"/>
      <c r="AI504" s="1501"/>
      <c r="AJ504" s="1501"/>
      <c r="AK504" s="1501"/>
      <c r="AL504" s="1501"/>
      <c r="AM504" s="1023"/>
      <c r="AN504" s="1130"/>
      <c r="AO504" s="126"/>
      <c r="AP504" s="51"/>
    </row>
    <row r="505" spans="1:81" s="1131" customFormat="1" ht="13">
      <c r="A505" s="1057"/>
      <c r="B505" s="1003"/>
      <c r="C505" s="1542"/>
      <c r="D505" s="1020"/>
      <c r="E505" s="3121"/>
      <c r="F505" s="3121"/>
      <c r="G505" s="3121"/>
      <c r="H505" s="3121"/>
      <c r="I505" s="3121"/>
      <c r="J505" s="3121"/>
      <c r="K505" s="3121"/>
      <c r="L505" s="3121"/>
      <c r="M505" s="3121"/>
      <c r="N505" s="3121"/>
      <c r="O505" s="3121"/>
      <c r="P505" s="3121"/>
      <c r="Q505" s="3121"/>
      <c r="R505" s="3121"/>
      <c r="S505" s="3121"/>
      <c r="T505" s="3121"/>
      <c r="U505" s="3121"/>
      <c r="V505" s="3121"/>
      <c r="W505" s="3121"/>
      <c r="X505" s="3121"/>
      <c r="Y505" s="3121"/>
      <c r="Z505" s="3121"/>
      <c r="AA505" s="3121"/>
      <c r="AB505" s="966"/>
      <c r="AC505" s="1501"/>
      <c r="AD505" s="1501"/>
      <c r="AE505" s="1501"/>
      <c r="AF505" s="1501"/>
      <c r="AG505" s="1501"/>
      <c r="AH505" s="1501"/>
      <c r="AI505" s="1501"/>
      <c r="AJ505" s="924"/>
      <c r="AK505" s="1003"/>
      <c r="AL505" s="1003"/>
      <c r="AM505" s="1023"/>
      <c r="AN505" s="1130"/>
      <c r="AO505" s="126"/>
      <c r="AP505" s="51"/>
    </row>
    <row r="506" spans="1:81" s="1131" customFormat="1" ht="13">
      <c r="A506" s="1057"/>
      <c r="B506" s="1003"/>
      <c r="C506" s="1542"/>
      <c r="D506" s="1020"/>
      <c r="E506" s="3121"/>
      <c r="F506" s="3121"/>
      <c r="G506" s="3121"/>
      <c r="H506" s="3121"/>
      <c r="I506" s="3121"/>
      <c r="J506" s="3121"/>
      <c r="K506" s="3121"/>
      <c r="L506" s="3121"/>
      <c r="M506" s="3121"/>
      <c r="N506" s="3121"/>
      <c r="O506" s="3121"/>
      <c r="P506" s="3121"/>
      <c r="Q506" s="3121"/>
      <c r="R506" s="3121"/>
      <c r="S506" s="3121"/>
      <c r="T506" s="3121"/>
      <c r="U506" s="3121"/>
      <c r="V506" s="3121"/>
      <c r="W506" s="3121"/>
      <c r="X506" s="3121"/>
      <c r="Y506" s="3121"/>
      <c r="Z506" s="3121"/>
      <c r="AA506" s="3121"/>
      <c r="AB506" s="966"/>
      <c r="AC506" s="1501"/>
      <c r="AD506" s="1501"/>
      <c r="AE506" s="1501"/>
      <c r="AF506" s="1501"/>
      <c r="AG506" s="1501"/>
      <c r="AH506" s="1501"/>
      <c r="AI506" s="1501"/>
      <c r="AJ506" s="924"/>
      <c r="AK506" s="1003"/>
      <c r="AL506" s="1003"/>
      <c r="AM506" s="1023"/>
      <c r="AN506" s="1130"/>
      <c r="AO506" s="126"/>
      <c r="AP506" s="51"/>
    </row>
    <row r="507" spans="1:81" s="1131" customFormat="1" ht="13">
      <c r="A507" s="1057"/>
      <c r="B507" s="1003"/>
      <c r="C507" s="1542"/>
      <c r="D507" s="1020"/>
      <c r="E507" s="1075"/>
      <c r="F507" s="1075"/>
      <c r="G507" s="1075"/>
      <c r="H507" s="1075"/>
      <c r="I507" s="1075"/>
      <c r="J507" s="1075"/>
      <c r="K507" s="1075"/>
      <c r="L507" s="1075"/>
      <c r="M507" s="1075"/>
      <c r="N507" s="1075"/>
      <c r="O507" s="1075"/>
      <c r="P507" s="1075"/>
      <c r="Q507" s="1075"/>
      <c r="R507" s="1075"/>
      <c r="S507" s="1075"/>
      <c r="T507" s="1075"/>
      <c r="U507" s="1075"/>
      <c r="V507" s="1075"/>
      <c r="W507" s="1075"/>
      <c r="X507" s="1075"/>
      <c r="Y507" s="1075"/>
      <c r="Z507" s="1075"/>
      <c r="AA507" s="1075"/>
      <c r="AB507" s="1075"/>
      <c r="AC507" s="1501"/>
      <c r="AD507" s="1501"/>
      <c r="AE507" s="1501"/>
      <c r="AF507" s="1501"/>
      <c r="AG507" s="1501"/>
      <c r="AH507" s="1501"/>
      <c r="AI507" s="1501"/>
      <c r="AJ507" s="924"/>
      <c r="AK507" s="1003"/>
      <c r="AL507" s="1003"/>
      <c r="AM507" s="1023"/>
      <c r="AN507" s="1130"/>
    </row>
    <row r="508" spans="1:81" s="1131" customFormat="1" ht="12.75" customHeight="1">
      <c r="A508" s="1057"/>
      <c r="B508" s="1003"/>
      <c r="C508" s="1542"/>
      <c r="D508" s="1020" t="s">
        <v>1671</v>
      </c>
      <c r="E508" s="1548"/>
      <c r="F508" s="1548"/>
      <c r="G508" s="1548"/>
      <c r="H508" s="3140" t="s">
        <v>723</v>
      </c>
      <c r="I508" s="3140"/>
      <c r="J508" s="1075"/>
      <c r="K508" s="1075"/>
      <c r="L508" s="1075"/>
      <c r="M508" s="1075"/>
      <c r="N508" s="1075"/>
      <c r="O508" s="1075"/>
      <c r="P508" s="1075"/>
      <c r="Q508" s="1075"/>
      <c r="R508" s="1075"/>
      <c r="S508" s="1075"/>
      <c r="T508" s="1075"/>
      <c r="U508" s="1075"/>
      <c r="V508" s="1075"/>
      <c r="W508" s="1075"/>
      <c r="X508" s="1075"/>
      <c r="Y508" s="1075"/>
      <c r="Z508" s="1075"/>
      <c r="AA508" s="1075"/>
      <c r="AB508" s="1075"/>
      <c r="AC508" s="1501"/>
      <c r="AD508" s="1501"/>
      <c r="AE508" s="1501"/>
      <c r="AF508" s="1501"/>
      <c r="AG508" s="1501"/>
      <c r="AH508" s="1501"/>
      <c r="AI508" s="1501"/>
      <c r="AJ508" s="924"/>
      <c r="AK508" s="1003"/>
      <c r="AL508" s="1003"/>
      <c r="AM508" s="1023"/>
      <c r="AN508" s="1130"/>
    </row>
    <row r="509" spans="1:81" s="1131" customFormat="1" ht="12.75" customHeight="1">
      <c r="A509" s="1057"/>
      <c r="B509" s="1003"/>
      <c r="C509" s="1542"/>
      <c r="D509" s="1020"/>
      <c r="E509" s="1075"/>
      <c r="F509" s="1075"/>
      <c r="G509" s="1075"/>
      <c r="H509" s="1075"/>
      <c r="I509" s="1075"/>
      <c r="J509" s="1075"/>
      <c r="K509" s="1075"/>
      <c r="L509" s="1075"/>
      <c r="M509" s="1075"/>
      <c r="N509" s="1075"/>
      <c r="O509" s="1075"/>
      <c r="P509" s="1075"/>
      <c r="Q509" s="1075"/>
      <c r="R509" s="1075"/>
      <c r="S509" s="1075"/>
      <c r="T509" s="1075"/>
      <c r="U509" s="1075"/>
      <c r="V509" s="1075"/>
      <c r="W509" s="1075"/>
      <c r="X509" s="1075"/>
      <c r="Y509" s="1075"/>
      <c r="Z509" s="1075"/>
      <c r="AA509" s="1075"/>
      <c r="AB509" s="1075"/>
      <c r="AC509" s="1501"/>
      <c r="AD509" s="1501"/>
      <c r="AE509" s="1501"/>
      <c r="AF509" s="1501"/>
      <c r="AG509" s="1501"/>
      <c r="AH509" s="1501"/>
      <c r="AI509" s="1501"/>
      <c r="AJ509" s="924"/>
      <c r="AK509" s="1003"/>
      <c r="AL509" s="1003"/>
      <c r="AM509" s="1023"/>
      <c r="AN509" s="922"/>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1" customFormat="1" ht="13">
      <c r="A510" s="1068"/>
      <c r="B510" s="1006"/>
      <c r="C510" s="1558"/>
      <c r="D510" s="1016"/>
      <c r="E510" s="1571"/>
      <c r="F510" s="1571"/>
      <c r="G510" s="1571"/>
      <c r="H510" s="1571"/>
      <c r="I510" s="1571"/>
      <c r="J510" s="1571"/>
      <c r="K510" s="1571"/>
      <c r="L510" s="1571"/>
      <c r="M510" s="1571"/>
      <c r="N510" s="1571"/>
      <c r="O510" s="1571"/>
      <c r="P510" s="1571"/>
      <c r="Q510" s="1571"/>
      <c r="R510" s="1571"/>
      <c r="S510" s="1571"/>
      <c r="T510" s="1571"/>
      <c r="U510" s="1571"/>
      <c r="V510" s="1571"/>
      <c r="W510" s="1571"/>
      <c r="X510" s="1571"/>
      <c r="Y510" s="1571"/>
      <c r="Z510" s="1571"/>
      <c r="AA510" s="1571"/>
      <c r="AB510" s="1137"/>
      <c r="AC510" s="1137"/>
      <c r="AD510" s="1137"/>
      <c r="AE510" s="1137"/>
      <c r="AF510" s="1137"/>
      <c r="AG510" s="1137"/>
      <c r="AH510" s="1016"/>
      <c r="AI510" s="956" t="s">
        <v>1719</v>
      </c>
      <c r="AJ510" s="3100">
        <f>VLOOKUP($H$508,$AO$441:$AP$443,2,FALSE)</f>
        <v>3</v>
      </c>
      <c r="AK510" s="3102"/>
      <c r="AL510" s="1002"/>
      <c r="AM510" s="999"/>
      <c r="AN510" s="922"/>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1" customFormat="1" ht="12.75" customHeight="1">
      <c r="A511" s="1116"/>
      <c r="B511" s="1020"/>
      <c r="C511" s="1544"/>
      <c r="D511" s="924"/>
      <c r="E511" s="924"/>
      <c r="F511" s="924"/>
      <c r="G511" s="924"/>
      <c r="H511" s="924"/>
      <c r="I511" s="924"/>
      <c r="J511" s="1075"/>
      <c r="K511" s="1075"/>
      <c r="L511" s="1502"/>
      <c r="M511" s="1502"/>
      <c r="N511" s="1502"/>
      <c r="O511" s="1502"/>
      <c r="P511" s="1502"/>
      <c r="Q511" s="1502"/>
      <c r="R511" s="1502"/>
      <c r="S511" s="1502"/>
      <c r="T511" s="1502"/>
      <c r="U511" s="1502"/>
      <c r="V511" s="1032"/>
      <c r="W511" s="1032"/>
      <c r="X511" s="1032"/>
      <c r="Y511" s="1032"/>
      <c r="Z511" s="1548"/>
      <c r="AA511" s="1548"/>
      <c r="AB511" s="1548"/>
      <c r="AC511" s="1020"/>
      <c r="AD511" s="1020"/>
      <c r="AE511" s="1020"/>
      <c r="AF511" s="1020"/>
      <c r="AG511" s="1020"/>
      <c r="AH511" s="1020"/>
      <c r="AI511" s="924"/>
      <c r="AJ511" s="924"/>
      <c r="AK511" s="924"/>
      <c r="AL511" s="924"/>
      <c r="AM511" s="940"/>
      <c r="AN511" s="922"/>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1" customFormat="1" ht="13">
      <c r="A512" s="940"/>
      <c r="B512" s="924"/>
      <c r="C512" s="983" t="s">
        <v>1709</v>
      </c>
      <c r="D512" s="1032"/>
      <c r="E512" s="924"/>
      <c r="F512" s="924"/>
      <c r="G512" s="924"/>
      <c r="H512" s="924"/>
      <c r="I512" s="924"/>
      <c r="J512" s="924"/>
      <c r="K512" s="924"/>
      <c r="L512" s="924"/>
      <c r="M512" s="924"/>
      <c r="N512" s="924"/>
      <c r="O512" s="924"/>
      <c r="P512" s="924"/>
      <c r="Q512" s="924"/>
      <c r="R512" s="924"/>
      <c r="S512" s="924"/>
      <c r="T512" s="924"/>
      <c r="U512" s="924"/>
      <c r="V512" s="924"/>
      <c r="W512" s="924"/>
      <c r="X512" s="924"/>
      <c r="Y512" s="924"/>
      <c r="Z512" s="924"/>
      <c r="AA512" s="924"/>
      <c r="AB512" s="924"/>
      <c r="AC512" s="924"/>
      <c r="AD512" s="924"/>
      <c r="AE512" s="924"/>
      <c r="AF512" s="924"/>
      <c r="AG512" s="924"/>
      <c r="AH512" s="924"/>
      <c r="AI512" s="924"/>
      <c r="AJ512" s="924"/>
      <c r="AK512" s="924"/>
      <c r="AL512" s="924"/>
      <c r="AM512" s="940"/>
      <c r="AN512" s="922"/>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1" customFormat="1">
      <c r="A513" s="1057"/>
      <c r="B513" s="1032"/>
      <c r="C513" s="924"/>
      <c r="D513" s="924"/>
      <c r="E513" s="1032"/>
      <c r="F513" s="1032"/>
      <c r="G513" s="1032"/>
      <c r="H513" s="1032"/>
      <c r="I513" s="1032"/>
      <c r="J513" s="1032"/>
      <c r="K513" s="1032"/>
      <c r="L513" s="1032"/>
      <c r="M513" s="1032"/>
      <c r="N513" s="1032"/>
      <c r="O513" s="1032"/>
      <c r="P513" s="1032"/>
      <c r="Q513" s="1032"/>
      <c r="R513" s="1032"/>
      <c r="S513" s="1032"/>
      <c r="T513" s="1032"/>
      <c r="U513" s="1032"/>
      <c r="V513" s="1032"/>
      <c r="W513" s="1032"/>
      <c r="X513" s="1032"/>
      <c r="Y513" s="1032"/>
      <c r="Z513" s="1032"/>
      <c r="AA513" s="1032"/>
      <c r="AB513" s="1032"/>
      <c r="AC513" s="1032"/>
      <c r="AD513" s="1032"/>
      <c r="AE513" s="1032"/>
      <c r="AF513" s="1032"/>
      <c r="AG513" s="1032"/>
      <c r="AH513" s="1032"/>
      <c r="AI513" s="1003"/>
      <c r="AJ513" s="924"/>
      <c r="AK513" s="1003"/>
      <c r="AL513" s="1003"/>
      <c r="AM513" s="1023"/>
      <c r="AN513" s="922"/>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1" customFormat="1" ht="13">
      <c r="A514" s="1057"/>
      <c r="B514" s="924"/>
      <c r="C514" s="1542"/>
      <c r="D514" s="1103" t="s">
        <v>723</v>
      </c>
      <c r="E514" s="3121" t="s">
        <v>1720</v>
      </c>
      <c r="F514" s="3121"/>
      <c r="G514" s="3121"/>
      <c r="H514" s="3121"/>
      <c r="I514" s="3121"/>
      <c r="J514" s="3121"/>
      <c r="K514" s="3121"/>
      <c r="L514" s="3121"/>
      <c r="M514" s="3121"/>
      <c r="N514" s="3121"/>
      <c r="O514" s="3121"/>
      <c r="P514" s="3121"/>
      <c r="Q514" s="3121"/>
      <c r="R514" s="3121"/>
      <c r="S514" s="3121"/>
      <c r="T514" s="3121"/>
      <c r="U514" s="3121"/>
      <c r="V514" s="3121"/>
      <c r="W514" s="3121"/>
      <c r="X514" s="3121"/>
      <c r="Y514" s="3121"/>
      <c r="Z514" s="3121"/>
      <c r="AA514" s="3121"/>
      <c r="AB514" s="3121"/>
      <c r="AC514" s="924"/>
      <c r="AD514" s="924"/>
      <c r="AE514" s="924"/>
      <c r="AF514" s="3076" t="s">
        <v>1679</v>
      </c>
      <c r="AG514" s="3076"/>
      <c r="AH514" s="3076"/>
      <c r="AI514" s="3076"/>
      <c r="AJ514" s="3076"/>
      <c r="AK514" s="3076"/>
      <c r="AL514" s="3076"/>
      <c r="AM514" s="1023"/>
      <c r="AN514" s="922"/>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1" customFormat="1" ht="13">
      <c r="A515" s="1057"/>
      <c r="B515" s="1020"/>
      <c r="C515" s="1544"/>
      <c r="D515" s="1103"/>
      <c r="E515" s="3121"/>
      <c r="F515" s="3121"/>
      <c r="G515" s="3121"/>
      <c r="H515" s="3121"/>
      <c r="I515" s="3121"/>
      <c r="J515" s="3121"/>
      <c r="K515" s="3121"/>
      <c r="L515" s="3121"/>
      <c r="M515" s="3121"/>
      <c r="N515" s="3121"/>
      <c r="O515" s="3121"/>
      <c r="P515" s="3121"/>
      <c r="Q515" s="3121"/>
      <c r="R515" s="3121"/>
      <c r="S515" s="3121"/>
      <c r="T515" s="3121"/>
      <c r="U515" s="3121"/>
      <c r="V515" s="3121"/>
      <c r="W515" s="3121"/>
      <c r="X515" s="3121"/>
      <c r="Y515" s="3121"/>
      <c r="Z515" s="3121"/>
      <c r="AA515" s="3121"/>
      <c r="AB515" s="3121"/>
      <c r="AC515" s="924"/>
      <c r="AD515" s="924"/>
      <c r="AE515" s="924"/>
      <c r="AF515" s="924"/>
      <c r="AG515" s="924"/>
      <c r="AH515" s="924"/>
      <c r="AI515" s="924"/>
      <c r="AJ515" s="924"/>
      <c r="AK515" s="924"/>
      <c r="AL515" s="1003"/>
      <c r="AM515" s="1023"/>
      <c r="AN515" s="922"/>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1" customFormat="1">
      <c r="A516" s="1057"/>
      <c r="B516" s="1032"/>
      <c r="C516" s="1554"/>
      <c r="D516" s="1103"/>
      <c r="E516" s="1032"/>
      <c r="F516" s="1032"/>
      <c r="G516" s="1032"/>
      <c r="H516" s="1032"/>
      <c r="I516" s="1032"/>
      <c r="J516" s="1032"/>
      <c r="K516" s="1032"/>
      <c r="L516" s="1032"/>
      <c r="M516" s="1032"/>
      <c r="N516" s="1032"/>
      <c r="O516" s="1032"/>
      <c r="P516" s="1032"/>
      <c r="Q516" s="1032"/>
      <c r="R516" s="1032"/>
      <c r="S516" s="1032"/>
      <c r="T516" s="1032"/>
      <c r="U516" s="1032"/>
      <c r="V516" s="1032"/>
      <c r="W516" s="1032"/>
      <c r="X516" s="1032"/>
      <c r="Y516" s="1032"/>
      <c r="Z516" s="1032"/>
      <c r="AA516" s="1032"/>
      <c r="AB516" s="1032"/>
      <c r="AC516" s="924"/>
      <c r="AD516" s="924"/>
      <c r="AE516" s="1032"/>
      <c r="AF516" s="1032"/>
      <c r="AG516" s="1032"/>
      <c r="AH516" s="1032"/>
      <c r="AI516" s="1032"/>
      <c r="AJ516" s="1032"/>
      <c r="AK516" s="1003"/>
      <c r="AL516" s="1003"/>
      <c r="AM516" s="1023"/>
      <c r="AN516" s="922"/>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1" customFormat="1" ht="13">
      <c r="A517" s="1116"/>
      <c r="B517" s="1003"/>
      <c r="C517" s="1542"/>
      <c r="D517" s="1103" t="s">
        <v>540</v>
      </c>
      <c r="E517" s="3121" t="s">
        <v>1721</v>
      </c>
      <c r="F517" s="3121"/>
      <c r="G517" s="3121"/>
      <c r="H517" s="3121"/>
      <c r="I517" s="3121"/>
      <c r="J517" s="3121"/>
      <c r="K517" s="3121"/>
      <c r="L517" s="3121"/>
      <c r="M517" s="3121"/>
      <c r="N517" s="3121"/>
      <c r="O517" s="3121"/>
      <c r="P517" s="3121"/>
      <c r="Q517" s="3121"/>
      <c r="R517" s="3121"/>
      <c r="S517" s="3121"/>
      <c r="T517" s="3121"/>
      <c r="U517" s="3121"/>
      <c r="V517" s="3121"/>
      <c r="W517" s="3121"/>
      <c r="X517" s="3121"/>
      <c r="Y517" s="3121"/>
      <c r="Z517" s="3121"/>
      <c r="AA517" s="3121"/>
      <c r="AB517" s="3121"/>
      <c r="AC517" s="924"/>
      <c r="AD517" s="924"/>
      <c r="AE517" s="924"/>
      <c r="AF517" s="3076" t="s">
        <v>1698</v>
      </c>
      <c r="AG517" s="3076"/>
      <c r="AH517" s="3076"/>
      <c r="AI517" s="3076"/>
      <c r="AJ517" s="3076"/>
      <c r="AK517" s="3076"/>
      <c r="AL517" s="3076"/>
      <c r="AM517" s="1023"/>
      <c r="AN517" s="922"/>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1" customFormat="1" ht="12.75" customHeight="1">
      <c r="A518" s="1116"/>
      <c r="B518" s="1003"/>
      <c r="C518" s="1542"/>
      <c r="D518" s="1103"/>
      <c r="E518" s="3121"/>
      <c r="F518" s="3121"/>
      <c r="G518" s="3121"/>
      <c r="H518" s="3121"/>
      <c r="I518" s="3121"/>
      <c r="J518" s="3121"/>
      <c r="K518" s="3121"/>
      <c r="L518" s="3121"/>
      <c r="M518" s="3121"/>
      <c r="N518" s="3121"/>
      <c r="O518" s="3121"/>
      <c r="P518" s="3121"/>
      <c r="Q518" s="3121"/>
      <c r="R518" s="3121"/>
      <c r="S518" s="3121"/>
      <c r="T518" s="3121"/>
      <c r="U518" s="3121"/>
      <c r="V518" s="3121"/>
      <c r="W518" s="3121"/>
      <c r="X518" s="3121"/>
      <c r="Y518" s="3121"/>
      <c r="Z518" s="3121"/>
      <c r="AA518" s="3121"/>
      <c r="AB518" s="3121"/>
      <c r="AC518" s="924"/>
      <c r="AD518" s="924"/>
      <c r="AE518" s="1501"/>
      <c r="AF518" s="924"/>
      <c r="AG518" s="924"/>
      <c r="AH518" s="924"/>
      <c r="AI518" s="924"/>
      <c r="AJ518" s="924"/>
      <c r="AK518" s="924"/>
      <c r="AL518" s="924"/>
      <c r="AM518" s="1023"/>
      <c r="AN518" s="922"/>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1" customFormat="1" ht="13">
      <c r="A519" s="1057"/>
      <c r="B519" s="1020"/>
      <c r="C519" s="1544"/>
      <c r="D519" s="1020"/>
      <c r="E519" s="1502"/>
      <c r="F519" s="1502"/>
      <c r="G519" s="1502"/>
      <c r="H519" s="1502"/>
      <c r="I519" s="1502"/>
      <c r="J519" s="1502"/>
      <c r="K519" s="1502"/>
      <c r="L519" s="1502"/>
      <c r="M519" s="1502"/>
      <c r="N519" s="1502"/>
      <c r="O519" s="1502"/>
      <c r="P519" s="1502"/>
      <c r="Q519" s="1502"/>
      <c r="R519" s="1502"/>
      <c r="S519" s="1502"/>
      <c r="T519" s="1502"/>
      <c r="U519" s="1502"/>
      <c r="V519" s="1502"/>
      <c r="W519" s="1502"/>
      <c r="X519" s="1502"/>
      <c r="Y519" s="1502"/>
      <c r="Z519" s="1502"/>
      <c r="AA519" s="1502"/>
      <c r="AB519" s="1502"/>
      <c r="AC519" s="1020"/>
      <c r="AD519" s="1020"/>
      <c r="AE519" s="1032"/>
      <c r="AF519" s="1032"/>
      <c r="AG519" s="1032"/>
      <c r="AH519" s="1032"/>
      <c r="AI519" s="1003"/>
      <c r="AJ519" s="924"/>
      <c r="AK519" s="1003"/>
      <c r="AL519" s="1003"/>
      <c r="AM519" s="1023"/>
      <c r="AN519" s="922"/>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1" customFormat="1" ht="12.75" customHeight="1">
      <c r="A520" s="1057"/>
      <c r="B520" s="1020"/>
      <c r="C520" s="924"/>
      <c r="D520" s="1020" t="s">
        <v>1671</v>
      </c>
      <c r="E520" s="1548"/>
      <c r="F520" s="1548"/>
      <c r="G520" s="1548"/>
      <c r="H520" s="3140" t="s">
        <v>723</v>
      </c>
      <c r="I520" s="3140"/>
      <c r="J520" s="1502"/>
      <c r="K520" s="1502"/>
      <c r="L520" s="1502"/>
      <c r="M520" s="1502"/>
      <c r="N520" s="1502"/>
      <c r="O520" s="1502"/>
      <c r="P520" s="1502"/>
      <c r="Q520" s="924"/>
      <c r="R520" s="924"/>
      <c r="S520" s="924"/>
      <c r="T520" s="924"/>
      <c r="U520" s="924"/>
      <c r="V520" s="924"/>
      <c r="W520" s="1502"/>
      <c r="X520" s="1502"/>
      <c r="Y520" s="1502"/>
      <c r="Z520" s="1502"/>
      <c r="AA520" s="1502"/>
      <c r="AB520" s="1502"/>
      <c r="AC520" s="1020"/>
      <c r="AD520" s="1020"/>
      <c r="AE520" s="1032"/>
      <c r="AF520" s="1032"/>
      <c r="AG520" s="1032"/>
      <c r="AH520" s="1032"/>
      <c r="AI520" s="1003"/>
      <c r="AJ520" s="924"/>
      <c r="AK520" s="1003"/>
      <c r="AL520" s="1003"/>
      <c r="AM520" s="1023"/>
      <c r="AN520" s="922"/>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1" customFormat="1" ht="12.75" customHeight="1">
      <c r="A521" s="1057"/>
      <c r="B521" s="1032"/>
      <c r="C521" s="1554"/>
      <c r="D521" s="1032"/>
      <c r="E521" s="1032"/>
      <c r="F521" s="1032"/>
      <c r="G521" s="1032"/>
      <c r="H521" s="1032"/>
      <c r="I521" s="1032"/>
      <c r="J521" s="1032"/>
      <c r="K521" s="1032"/>
      <c r="L521" s="1032"/>
      <c r="M521" s="1032"/>
      <c r="N521" s="1032"/>
      <c r="O521" s="1032"/>
      <c r="P521" s="1032"/>
      <c r="Q521" s="1032"/>
      <c r="R521" s="1032"/>
      <c r="S521" s="1032"/>
      <c r="T521" s="1032"/>
      <c r="U521" s="1032"/>
      <c r="V521" s="1032"/>
      <c r="W521" s="1032"/>
      <c r="X521" s="1032"/>
      <c r="Y521" s="1032"/>
      <c r="Z521" s="1032"/>
      <c r="AA521" s="1032"/>
      <c r="AB521" s="1032"/>
      <c r="AC521" s="1032"/>
      <c r="AD521" s="1032"/>
      <c r="AE521" s="1032"/>
      <c r="AF521" s="1032"/>
      <c r="AG521" s="1032"/>
      <c r="AH521" s="1032"/>
      <c r="AI521" s="1003"/>
      <c r="AJ521" s="924"/>
      <c r="AK521" s="1003"/>
      <c r="AL521" s="1003"/>
      <c r="AM521" s="1023"/>
      <c r="AN521" s="922"/>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1" customFormat="1" ht="14.25" customHeight="1">
      <c r="A522" s="1068"/>
      <c r="B522" s="1105"/>
      <c r="C522" s="1572"/>
      <c r="D522" s="1105"/>
      <c r="E522" s="1105"/>
      <c r="F522" s="1105"/>
      <c r="G522" s="1105"/>
      <c r="H522" s="1105"/>
      <c r="I522" s="1105"/>
      <c r="J522" s="1105"/>
      <c r="K522" s="1105"/>
      <c r="L522" s="1105"/>
      <c r="M522" s="1105"/>
      <c r="N522" s="1105"/>
      <c r="O522" s="1105"/>
      <c r="P522" s="1105"/>
      <c r="Q522" s="1105"/>
      <c r="R522" s="1105"/>
      <c r="S522" s="1105"/>
      <c r="T522" s="1105"/>
      <c r="U522" s="1105"/>
      <c r="V522" s="1105"/>
      <c r="W522" s="1105"/>
      <c r="X522" s="1105"/>
      <c r="Y522" s="1105"/>
      <c r="Z522" s="1105"/>
      <c r="AA522" s="1105"/>
      <c r="AB522" s="1105"/>
      <c r="AC522" s="1105"/>
      <c r="AD522" s="1105"/>
      <c r="AE522" s="1105"/>
      <c r="AF522" s="1105"/>
      <c r="AG522" s="1105"/>
      <c r="AH522" s="1016"/>
      <c r="AI522" s="956" t="s">
        <v>1722</v>
      </c>
      <c r="AJ522" s="3100">
        <f>VLOOKUP($H$520,$AO$455:$AP$457,2,FALSE)</f>
        <v>2</v>
      </c>
      <c r="AK522" s="3102"/>
      <c r="AL522" s="1002"/>
      <c r="AM522" s="999"/>
      <c r="AN522" s="922"/>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1" customFormat="1" ht="13">
      <c r="A523" s="1057"/>
      <c r="B523" s="1032"/>
      <c r="C523" s="1554"/>
      <c r="D523" s="1032"/>
      <c r="E523" s="1032"/>
      <c r="F523" s="1032"/>
      <c r="G523" s="1032"/>
      <c r="H523" s="1032"/>
      <c r="I523" s="1032"/>
      <c r="J523" s="1032"/>
      <c r="K523" s="1032"/>
      <c r="L523" s="1032"/>
      <c r="M523" s="1032"/>
      <c r="N523" s="1032"/>
      <c r="O523" s="1032"/>
      <c r="P523" s="1032"/>
      <c r="Q523" s="1032"/>
      <c r="R523" s="1032"/>
      <c r="S523" s="1032"/>
      <c r="T523" s="1032"/>
      <c r="U523" s="1032"/>
      <c r="V523" s="1032"/>
      <c r="W523" s="1032"/>
      <c r="X523" s="1032"/>
      <c r="Y523" s="1032"/>
      <c r="Z523" s="1032"/>
      <c r="AA523" s="1032"/>
      <c r="AB523" s="1032"/>
      <c r="AC523" s="1032"/>
      <c r="AD523" s="1032"/>
      <c r="AE523" s="1032"/>
      <c r="AF523" s="1032"/>
      <c r="AG523" s="1032"/>
      <c r="AH523" s="1020"/>
      <c r="AI523" s="1500"/>
      <c r="AJ523" s="1002"/>
      <c r="AK523" s="1002"/>
      <c r="AL523" s="1002"/>
      <c r="AM523" s="999"/>
      <c r="AN523" s="922"/>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1" customFormat="1" ht="13">
      <c r="A524" s="1057"/>
      <c r="B524" s="1032"/>
      <c r="C524" s="983" t="s">
        <v>1711</v>
      </c>
      <c r="D524" s="1032"/>
      <c r="E524" s="1032"/>
      <c r="F524" s="1032"/>
      <c r="G524" s="1032"/>
      <c r="H524" s="1032"/>
      <c r="I524" s="1032"/>
      <c r="J524" s="1032"/>
      <c r="K524" s="1032"/>
      <c r="L524" s="1032"/>
      <c r="M524" s="1032"/>
      <c r="N524" s="1032"/>
      <c r="O524" s="1032"/>
      <c r="P524" s="1032"/>
      <c r="Q524" s="1032"/>
      <c r="R524" s="1032"/>
      <c r="S524" s="1032"/>
      <c r="T524" s="1032"/>
      <c r="U524" s="1032"/>
      <c r="V524" s="1032"/>
      <c r="W524" s="1032"/>
      <c r="X524" s="1032"/>
      <c r="Y524" s="1032"/>
      <c r="Z524" s="1032"/>
      <c r="AA524" s="1032"/>
      <c r="AB524" s="1032"/>
      <c r="AC524" s="1032"/>
      <c r="AD524" s="1032"/>
      <c r="AE524" s="1032"/>
      <c r="AF524" s="1032"/>
      <c r="AG524" s="1032"/>
      <c r="AH524" s="1020"/>
      <c r="AI524" s="1500"/>
      <c r="AJ524" s="1002"/>
      <c r="AK524" s="1002"/>
      <c r="AL524" s="1002"/>
      <c r="AM524" s="999"/>
      <c r="AN524" s="922"/>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1" customFormat="1" ht="13">
      <c r="A525" s="1057"/>
      <c r="B525" s="1032"/>
      <c r="C525" s="1554"/>
      <c r="D525" s="1032"/>
      <c r="E525" s="1032"/>
      <c r="F525" s="1032"/>
      <c r="G525" s="1032"/>
      <c r="H525" s="1032"/>
      <c r="I525" s="1032"/>
      <c r="J525" s="1032"/>
      <c r="K525" s="1032"/>
      <c r="L525" s="1032"/>
      <c r="M525" s="1032"/>
      <c r="N525" s="1032"/>
      <c r="O525" s="1032"/>
      <c r="P525" s="1032"/>
      <c r="Q525" s="1032"/>
      <c r="R525" s="1032"/>
      <c r="S525" s="1032"/>
      <c r="T525" s="1032"/>
      <c r="U525" s="1032"/>
      <c r="V525" s="1032"/>
      <c r="W525" s="1032"/>
      <c r="X525" s="1032"/>
      <c r="Y525" s="1032"/>
      <c r="Z525" s="1032"/>
      <c r="AA525" s="1032"/>
      <c r="AB525" s="1032"/>
      <c r="AC525" s="1032"/>
      <c r="AD525" s="1032"/>
      <c r="AE525" s="1032"/>
      <c r="AF525" s="1032"/>
      <c r="AG525" s="1032"/>
      <c r="AH525" s="1020"/>
      <c r="AI525" s="1500"/>
      <c r="AJ525" s="1002"/>
      <c r="AK525" s="1002"/>
      <c r="AL525" s="1002"/>
      <c r="AM525" s="999"/>
      <c r="AN525" s="1130"/>
    </row>
    <row r="526" spans="1:74" s="1131" customFormat="1" ht="13.75" customHeight="1">
      <c r="A526" s="1057"/>
      <c r="B526" s="1032"/>
      <c r="C526" s="1554"/>
      <c r="D526" s="1103" t="s">
        <v>723</v>
      </c>
      <c r="E526" s="3121" t="s">
        <v>2105</v>
      </c>
      <c r="F526" s="3121"/>
      <c r="G526" s="3121"/>
      <c r="H526" s="3121"/>
      <c r="I526" s="3121"/>
      <c r="J526" s="3121"/>
      <c r="K526" s="3121"/>
      <c r="L526" s="3121"/>
      <c r="M526" s="3121"/>
      <c r="N526" s="3121"/>
      <c r="O526" s="3121"/>
      <c r="P526" s="3121"/>
      <c r="Q526" s="3121"/>
      <c r="R526" s="3121"/>
      <c r="S526" s="3121"/>
      <c r="T526" s="3121"/>
      <c r="U526" s="3121"/>
      <c r="V526" s="3121"/>
      <c r="W526" s="3121"/>
      <c r="X526" s="3121"/>
      <c r="Y526" s="3121"/>
      <c r="Z526" s="3121"/>
      <c r="AA526" s="3121"/>
      <c r="AB526" s="3121"/>
      <c r="AC526" s="3121"/>
      <c r="AD526" s="3121"/>
      <c r="AE526" s="924"/>
      <c r="AF526" s="3076" t="s">
        <v>1679</v>
      </c>
      <c r="AG526" s="3076"/>
      <c r="AH526" s="3076"/>
      <c r="AI526" s="3076"/>
      <c r="AJ526" s="3076"/>
      <c r="AK526" s="3076"/>
      <c r="AL526" s="3076"/>
      <c r="AM526" s="1028"/>
      <c r="AN526" s="1130"/>
    </row>
    <row r="527" spans="1:74" s="1131" customFormat="1" ht="13.75" customHeight="1">
      <c r="A527" s="1057"/>
      <c r="B527" s="1032"/>
      <c r="C527" s="1554"/>
      <c r="D527" s="1103"/>
      <c r="E527" s="3121"/>
      <c r="F527" s="3121"/>
      <c r="G527" s="3121"/>
      <c r="H527" s="3121"/>
      <c r="I527" s="3121"/>
      <c r="J527" s="3121"/>
      <c r="K527" s="3121"/>
      <c r="L527" s="3121"/>
      <c r="M527" s="3121"/>
      <c r="N527" s="3121"/>
      <c r="O527" s="3121"/>
      <c r="P527" s="3121"/>
      <c r="Q527" s="3121"/>
      <c r="R527" s="3121"/>
      <c r="S527" s="3121"/>
      <c r="T527" s="3121"/>
      <c r="U527" s="3121"/>
      <c r="V527" s="3121"/>
      <c r="W527" s="3121"/>
      <c r="X527" s="3121"/>
      <c r="Y527" s="3121"/>
      <c r="Z527" s="3121"/>
      <c r="AA527" s="3121"/>
      <c r="AB527" s="3121"/>
      <c r="AC527" s="3121"/>
      <c r="AD527" s="3121"/>
      <c r="AE527" s="924"/>
      <c r="AF527" s="1501"/>
      <c r="AG527" s="1501"/>
      <c r="AH527" s="1501"/>
      <c r="AI527" s="1501"/>
      <c r="AJ527" s="1501"/>
      <c r="AK527" s="1501"/>
      <c r="AL527" s="1501"/>
      <c r="AM527" s="1028"/>
      <c r="AN527" s="1130"/>
    </row>
    <row r="528" spans="1:74" s="1131" customFormat="1" ht="13">
      <c r="A528" s="1057"/>
      <c r="B528" s="1032"/>
      <c r="C528" s="1554"/>
      <c r="D528" s="1103"/>
      <c r="E528" s="3121"/>
      <c r="F528" s="3121"/>
      <c r="G528" s="3121"/>
      <c r="H528" s="3121"/>
      <c r="I528" s="3121"/>
      <c r="J528" s="3121"/>
      <c r="K528" s="3121"/>
      <c r="L528" s="3121"/>
      <c r="M528" s="3121"/>
      <c r="N528" s="3121"/>
      <c r="O528" s="3121"/>
      <c r="P528" s="3121"/>
      <c r="Q528" s="3121"/>
      <c r="R528" s="3121"/>
      <c r="S528" s="3121"/>
      <c r="T528" s="3121"/>
      <c r="U528" s="3121"/>
      <c r="V528" s="3121"/>
      <c r="W528" s="3121"/>
      <c r="X528" s="3121"/>
      <c r="Y528" s="3121"/>
      <c r="Z528" s="3121"/>
      <c r="AA528" s="3121"/>
      <c r="AB528" s="3121"/>
      <c r="AC528" s="3121"/>
      <c r="AD528" s="3121"/>
      <c r="AE528" s="924"/>
      <c r="AF528" s="924"/>
      <c r="AG528" s="924"/>
      <c r="AH528" s="924"/>
      <c r="AI528" s="924"/>
      <c r="AJ528" s="924"/>
      <c r="AK528" s="924"/>
      <c r="AL528" s="1501"/>
      <c r="AM528" s="1028"/>
      <c r="AN528" s="922"/>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1" customFormat="1" ht="18.75" customHeight="1">
      <c r="A529" s="1057"/>
      <c r="B529" s="1032"/>
      <c r="C529" s="1554"/>
      <c r="D529" s="1103"/>
      <c r="E529" s="3121"/>
      <c r="F529" s="3121"/>
      <c r="G529" s="3121"/>
      <c r="H529" s="3121"/>
      <c r="I529" s="3121"/>
      <c r="J529" s="3121"/>
      <c r="K529" s="3121"/>
      <c r="L529" s="3121"/>
      <c r="M529" s="3121"/>
      <c r="N529" s="3121"/>
      <c r="O529" s="3121"/>
      <c r="P529" s="3121"/>
      <c r="Q529" s="3121"/>
      <c r="R529" s="3121"/>
      <c r="S529" s="3121"/>
      <c r="T529" s="3121"/>
      <c r="U529" s="3121"/>
      <c r="V529" s="3121"/>
      <c r="W529" s="3121"/>
      <c r="X529" s="3121"/>
      <c r="Y529" s="3121"/>
      <c r="Z529" s="3121"/>
      <c r="AA529" s="3121"/>
      <c r="AB529" s="3121"/>
      <c r="AC529" s="3121"/>
      <c r="AD529" s="3121"/>
      <c r="AE529" s="1501"/>
      <c r="AF529" s="1501"/>
      <c r="AG529" s="1501"/>
      <c r="AH529" s="1501"/>
      <c r="AI529" s="1501"/>
      <c r="AJ529" s="1501"/>
      <c r="AK529" s="1501"/>
      <c r="AL529" s="1501"/>
      <c r="AM529" s="1028"/>
      <c r="AN529" s="922"/>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0" customFormat="1" ht="12.75" customHeight="1">
      <c r="A530" s="1057"/>
      <c r="B530" s="1032"/>
      <c r="C530" s="1554"/>
      <c r="D530" s="1103"/>
      <c r="E530" s="1498"/>
      <c r="F530" s="1498"/>
      <c r="G530" s="1498"/>
      <c r="H530" s="1498"/>
      <c r="I530" s="1498"/>
      <c r="J530" s="1498"/>
      <c r="K530" s="1498"/>
      <c r="L530" s="1498"/>
      <c r="M530" s="1498"/>
      <c r="N530" s="1498"/>
      <c r="O530" s="1498"/>
      <c r="P530" s="1498"/>
      <c r="Q530" s="1498"/>
      <c r="R530" s="1498"/>
      <c r="S530" s="1498"/>
      <c r="T530" s="1498"/>
      <c r="U530" s="1498"/>
      <c r="V530" s="1498"/>
      <c r="W530" s="1498"/>
      <c r="X530" s="1498"/>
      <c r="Y530" s="1498"/>
      <c r="Z530" s="1498"/>
      <c r="AA530" s="1498"/>
      <c r="AB530" s="1498"/>
      <c r="AC530" s="1498"/>
      <c r="AD530" s="1498"/>
      <c r="AE530" s="1501"/>
      <c r="AF530" s="924"/>
      <c r="AG530" s="924"/>
      <c r="AH530" s="924"/>
      <c r="AI530" s="924"/>
      <c r="AJ530" s="924"/>
      <c r="AK530" s="924"/>
      <c r="AL530" s="924"/>
      <c r="AM530" s="1028"/>
      <c r="AN530" s="997"/>
    </row>
    <row r="531" spans="1:81" s="940" customFormat="1" ht="12.75" customHeight="1">
      <c r="A531" s="1057"/>
      <c r="B531" s="1032"/>
      <c r="C531" s="1554"/>
      <c r="D531" s="1103" t="s">
        <v>540</v>
      </c>
      <c r="E531" s="3148" t="s">
        <v>2113</v>
      </c>
      <c r="F531" s="3148"/>
      <c r="G531" s="3148"/>
      <c r="H531" s="3148"/>
      <c r="I531" s="3148"/>
      <c r="J531" s="3148"/>
      <c r="K531" s="3148"/>
      <c r="L531" s="3148"/>
      <c r="M531" s="3148"/>
      <c r="N531" s="3148"/>
      <c r="O531" s="3148"/>
      <c r="P531" s="3148"/>
      <c r="Q531" s="3148"/>
      <c r="R531" s="3148"/>
      <c r="S531" s="3148"/>
      <c r="T531" s="3148"/>
      <c r="U531" s="3148"/>
      <c r="V531" s="3148"/>
      <c r="W531" s="3148"/>
      <c r="X531" s="3148"/>
      <c r="Y531" s="3148"/>
      <c r="Z531" s="3148"/>
      <c r="AA531" s="3148"/>
      <c r="AB531" s="3148"/>
      <c r="AC531" s="3148"/>
      <c r="AD531" s="3148"/>
      <c r="AE531" s="924"/>
      <c r="AF531" s="3076" t="s">
        <v>1615</v>
      </c>
      <c r="AG531" s="3076"/>
      <c r="AH531" s="3076"/>
      <c r="AI531" s="3076"/>
      <c r="AJ531" s="3076"/>
      <c r="AK531" s="3076"/>
      <c r="AL531" s="3076"/>
      <c r="AM531" s="1028"/>
      <c r="AN531" s="997"/>
    </row>
    <row r="532" spans="1:81" s="940" customFormat="1" ht="12.75" customHeight="1">
      <c r="A532" s="1057"/>
      <c r="B532" s="1032"/>
      <c r="C532" s="1554"/>
      <c r="D532" s="1103"/>
      <c r="E532" s="3148"/>
      <c r="F532" s="3148"/>
      <c r="G532" s="3148"/>
      <c r="H532" s="3148"/>
      <c r="I532" s="3148"/>
      <c r="J532" s="3148"/>
      <c r="K532" s="3148"/>
      <c r="L532" s="3148"/>
      <c r="M532" s="3148"/>
      <c r="N532" s="3148"/>
      <c r="O532" s="3148"/>
      <c r="P532" s="3148"/>
      <c r="Q532" s="3148"/>
      <c r="R532" s="3148"/>
      <c r="S532" s="3148"/>
      <c r="T532" s="3148"/>
      <c r="U532" s="3148"/>
      <c r="V532" s="3148"/>
      <c r="W532" s="3148"/>
      <c r="X532" s="3148"/>
      <c r="Y532" s="3148"/>
      <c r="Z532" s="3148"/>
      <c r="AA532" s="3148"/>
      <c r="AB532" s="3148"/>
      <c r="AC532" s="3148"/>
      <c r="AD532" s="3148"/>
      <c r="AE532" s="1501"/>
      <c r="AF532" s="1501"/>
      <c r="AG532" s="1501"/>
      <c r="AH532" s="1501"/>
      <c r="AI532" s="1501"/>
      <c r="AJ532" s="1501"/>
      <c r="AK532" s="1501"/>
      <c r="AL532" s="1501"/>
      <c r="AM532" s="1028"/>
      <c r="AN532" s="997"/>
    </row>
    <row r="533" spans="1:81" s="940" customFormat="1" ht="12.75" customHeight="1">
      <c r="A533" s="1057"/>
      <c r="B533" s="1032"/>
      <c r="C533" s="1554"/>
      <c r="D533" s="1103"/>
      <c r="E533" s="3148"/>
      <c r="F533" s="3148"/>
      <c r="G533" s="3148"/>
      <c r="H533" s="3148"/>
      <c r="I533" s="3148"/>
      <c r="J533" s="3148"/>
      <c r="K533" s="3148"/>
      <c r="L533" s="3148"/>
      <c r="M533" s="3148"/>
      <c r="N533" s="3148"/>
      <c r="O533" s="3148"/>
      <c r="P533" s="3148"/>
      <c r="Q533" s="3148"/>
      <c r="R533" s="3148"/>
      <c r="S533" s="3148"/>
      <c r="T533" s="3148"/>
      <c r="U533" s="3148"/>
      <c r="V533" s="3148"/>
      <c r="W533" s="3148"/>
      <c r="X533" s="3148"/>
      <c r="Y533" s="3148"/>
      <c r="Z533" s="3148"/>
      <c r="AA533" s="3148"/>
      <c r="AB533" s="3148"/>
      <c r="AC533" s="3148"/>
      <c r="AD533" s="3148"/>
      <c r="AE533" s="1501"/>
      <c r="AF533" s="1501"/>
      <c r="AG533" s="1501"/>
      <c r="AH533" s="1501"/>
      <c r="AI533" s="1501"/>
      <c r="AJ533" s="1501"/>
      <c r="AK533" s="1501"/>
      <c r="AL533" s="1501"/>
      <c r="AM533" s="1028"/>
      <c r="AN533" s="997"/>
    </row>
    <row r="534" spans="1:81" s="940" customFormat="1" ht="12.75" customHeight="1">
      <c r="A534" s="1057"/>
      <c r="B534" s="1032"/>
      <c r="C534" s="1554"/>
      <c r="D534" s="1103"/>
      <c r="E534" s="3148"/>
      <c r="F534" s="3148"/>
      <c r="G534" s="3148"/>
      <c r="H534" s="3148"/>
      <c r="I534" s="3148"/>
      <c r="J534" s="3148"/>
      <c r="K534" s="3148"/>
      <c r="L534" s="3148"/>
      <c r="M534" s="3148"/>
      <c r="N534" s="3148"/>
      <c r="O534" s="3148"/>
      <c r="P534" s="3148"/>
      <c r="Q534" s="3148"/>
      <c r="R534" s="3148"/>
      <c r="S534" s="3148"/>
      <c r="T534" s="3148"/>
      <c r="U534" s="3148"/>
      <c r="V534" s="3148"/>
      <c r="W534" s="3148"/>
      <c r="X534" s="3148"/>
      <c r="Y534" s="3148"/>
      <c r="Z534" s="3148"/>
      <c r="AA534" s="3148"/>
      <c r="AB534" s="3148"/>
      <c r="AC534" s="3148"/>
      <c r="AD534" s="3148"/>
      <c r="AE534" s="1501"/>
      <c r="AF534" s="1501"/>
      <c r="AG534" s="1501"/>
      <c r="AH534" s="1501"/>
      <c r="AI534" s="1501"/>
      <c r="AJ534" s="1501"/>
      <c r="AK534" s="1501"/>
      <c r="AL534" s="1501"/>
      <c r="AM534" s="1028"/>
      <c r="AN534" s="997"/>
    </row>
    <row r="535" spans="1:81" s="940" customFormat="1" ht="12.75" customHeight="1">
      <c r="A535" s="1131"/>
      <c r="B535" s="924"/>
      <c r="C535" s="924"/>
      <c r="D535" s="924"/>
      <c r="E535" s="924"/>
      <c r="F535" s="924"/>
      <c r="G535" s="924"/>
      <c r="H535" s="924"/>
      <c r="I535" s="924"/>
      <c r="J535" s="924"/>
      <c r="K535" s="924"/>
      <c r="L535" s="924"/>
      <c r="M535" s="924"/>
      <c r="N535" s="924"/>
      <c r="O535" s="924"/>
      <c r="P535" s="924"/>
      <c r="Q535" s="924"/>
      <c r="R535" s="924"/>
      <c r="S535" s="924"/>
      <c r="T535" s="924"/>
      <c r="U535" s="924"/>
      <c r="V535" s="924"/>
      <c r="W535" s="924"/>
      <c r="X535" s="924"/>
      <c r="Y535" s="924"/>
      <c r="Z535" s="924"/>
      <c r="AA535" s="924"/>
      <c r="AB535" s="924"/>
      <c r="AC535" s="924"/>
      <c r="AD535" s="924"/>
      <c r="AE535" s="924"/>
      <c r="AF535" s="924"/>
      <c r="AG535" s="924"/>
      <c r="AH535" s="924"/>
      <c r="AI535" s="924"/>
      <c r="AJ535" s="924"/>
      <c r="AK535" s="924"/>
      <c r="AL535" s="924"/>
      <c r="AM535" s="1131"/>
      <c r="AN535" s="997"/>
    </row>
    <row r="536" spans="1:81" s="940" customFormat="1" ht="12.75" customHeight="1">
      <c r="A536" s="1057"/>
      <c r="B536" s="1032"/>
      <c r="C536" s="1554"/>
      <c r="D536" s="1020" t="s">
        <v>1671</v>
      </c>
      <c r="E536" s="1548"/>
      <c r="F536" s="1548"/>
      <c r="G536" s="1548"/>
      <c r="H536" s="3140" t="s">
        <v>624</v>
      </c>
      <c r="I536" s="3140"/>
      <c r="J536" s="1502"/>
      <c r="K536" s="1502"/>
      <c r="L536" s="1502"/>
      <c r="M536" s="1502"/>
      <c r="N536" s="1502"/>
      <c r="O536" s="1502"/>
      <c r="P536" s="1502"/>
      <c r="Q536" s="1502"/>
      <c r="R536" s="1502"/>
      <c r="S536" s="1502"/>
      <c r="T536" s="1502"/>
      <c r="U536" s="1502"/>
      <c r="V536" s="1502"/>
      <c r="W536" s="1502"/>
      <c r="X536" s="1502"/>
      <c r="Y536" s="1502"/>
      <c r="Z536" s="1502"/>
      <c r="AA536" s="1502"/>
      <c r="AB536" s="1502"/>
      <c r="AC536" s="1502"/>
      <c r="AD536" s="1502"/>
      <c r="AE536" s="1502"/>
      <c r="AF536" s="1502"/>
      <c r="AG536" s="1032"/>
      <c r="AH536" s="1020"/>
      <c r="AI536" s="1500"/>
      <c r="AJ536" s="1002"/>
      <c r="AK536" s="1002"/>
      <c r="AL536" s="1002"/>
      <c r="AM536" s="999"/>
      <c r="AN536" s="997"/>
    </row>
    <row r="537" spans="1:81" s="940" customFormat="1" ht="12.75" customHeight="1">
      <c r="A537" s="1057"/>
      <c r="B537" s="1032"/>
      <c r="C537" s="1554"/>
      <c r="D537" s="1032"/>
      <c r="E537" s="1032"/>
      <c r="F537" s="1032"/>
      <c r="G537" s="1032"/>
      <c r="H537" s="1032"/>
      <c r="I537" s="1032"/>
      <c r="J537" s="1032"/>
      <c r="K537" s="1032"/>
      <c r="L537" s="1032"/>
      <c r="M537" s="1032"/>
      <c r="N537" s="1032"/>
      <c r="O537" s="1032"/>
      <c r="P537" s="1032"/>
      <c r="Q537" s="1032"/>
      <c r="R537" s="1032"/>
      <c r="S537" s="1032"/>
      <c r="T537" s="1032"/>
      <c r="U537" s="1032"/>
      <c r="V537" s="1032"/>
      <c r="W537" s="1032"/>
      <c r="X537" s="1032"/>
      <c r="Y537" s="1032"/>
      <c r="Z537" s="1032"/>
      <c r="AA537" s="1032"/>
      <c r="AB537" s="1032"/>
      <c r="AC537" s="1032"/>
      <c r="AD537" s="1032"/>
      <c r="AE537" s="1032"/>
      <c r="AF537" s="1032"/>
      <c r="AG537" s="1032"/>
      <c r="AH537" s="1020"/>
      <c r="AI537" s="1500"/>
      <c r="AJ537" s="1002"/>
      <c r="AK537" s="1002"/>
      <c r="AL537" s="1002"/>
      <c r="AM537" s="999"/>
      <c r="AN537" s="997"/>
    </row>
    <row r="538" spans="1:81" s="940" customFormat="1" ht="12.75" customHeight="1">
      <c r="A538" s="1068"/>
      <c r="B538" s="1105"/>
      <c r="C538" s="1572"/>
      <c r="D538" s="1105"/>
      <c r="E538" s="1105"/>
      <c r="F538" s="1105"/>
      <c r="G538" s="1105"/>
      <c r="H538" s="1105"/>
      <c r="I538" s="1105"/>
      <c r="J538" s="1105"/>
      <c r="K538" s="1105"/>
      <c r="L538" s="1105"/>
      <c r="M538" s="1105"/>
      <c r="N538" s="1105"/>
      <c r="O538" s="1105"/>
      <c r="P538" s="1105"/>
      <c r="Q538" s="1105"/>
      <c r="R538" s="1105"/>
      <c r="S538" s="1105"/>
      <c r="T538" s="1105"/>
      <c r="U538" s="1105"/>
      <c r="V538" s="1105"/>
      <c r="W538" s="1105"/>
      <c r="X538" s="1105"/>
      <c r="Y538" s="1105"/>
      <c r="Z538" s="1105"/>
      <c r="AA538" s="1105"/>
      <c r="AB538" s="1105"/>
      <c r="AC538" s="1105"/>
      <c r="AD538" s="1105"/>
      <c r="AE538" s="1105"/>
      <c r="AF538" s="1105"/>
      <c r="AG538" s="1105"/>
      <c r="AH538" s="1016"/>
      <c r="AI538" s="956" t="s">
        <v>1723</v>
      </c>
      <c r="AJ538" s="3100">
        <f>VLOOKUP($H$536,$AP$477:$AQ$479,2,FALSE)</f>
        <v>0</v>
      </c>
      <c r="AK538" s="3102"/>
      <c r="AL538" s="1002"/>
      <c r="AM538" s="999"/>
      <c r="AN538" s="997"/>
    </row>
    <row r="539" spans="1:81" s="1131" customFormat="1" ht="13">
      <c r="A539" s="1057"/>
      <c r="B539" s="1032"/>
      <c r="C539" s="1554"/>
      <c r="D539" s="1032"/>
      <c r="E539" s="1032"/>
      <c r="F539" s="1032"/>
      <c r="G539" s="1032"/>
      <c r="H539" s="1032"/>
      <c r="I539" s="1032"/>
      <c r="J539" s="1032"/>
      <c r="K539" s="1032"/>
      <c r="L539" s="1032"/>
      <c r="M539" s="1032"/>
      <c r="N539" s="1032"/>
      <c r="O539" s="1032"/>
      <c r="P539" s="1032"/>
      <c r="Q539" s="1032"/>
      <c r="R539" s="1032"/>
      <c r="S539" s="1032"/>
      <c r="T539" s="1032"/>
      <c r="U539" s="1032"/>
      <c r="V539" s="1032"/>
      <c r="W539" s="1032"/>
      <c r="X539" s="1032"/>
      <c r="Y539" s="1032"/>
      <c r="Z539" s="1032"/>
      <c r="AA539" s="1032"/>
      <c r="AB539" s="1032"/>
      <c r="AC539" s="1032"/>
      <c r="AD539" s="1032"/>
      <c r="AE539" s="1032"/>
      <c r="AF539" s="1032"/>
      <c r="AG539" s="1032"/>
      <c r="AH539" s="1020"/>
      <c r="AI539" s="1500"/>
      <c r="AJ539" s="1002"/>
      <c r="AK539" s="1002"/>
      <c r="AL539" s="1002"/>
      <c r="AM539" s="999"/>
      <c r="AN539" s="1130"/>
      <c r="AS539" s="1140"/>
      <c r="AT539" s="1140"/>
      <c r="AU539" s="1140"/>
      <c r="AV539" s="1140"/>
      <c r="AW539" s="1140"/>
      <c r="AX539" s="1140"/>
      <c r="AY539" s="1140"/>
      <c r="AZ539" s="1140"/>
      <c r="BA539" s="1140"/>
      <c r="BB539" s="1140"/>
      <c r="BC539" s="1140"/>
      <c r="BD539" s="1141"/>
      <c r="BE539" s="1141"/>
      <c r="BF539" s="1141"/>
      <c r="BG539" s="1141"/>
      <c r="BH539" s="1141"/>
      <c r="BI539" s="1140"/>
      <c r="BJ539" s="1140"/>
      <c r="BK539" s="1140"/>
      <c r="BL539" s="1140"/>
      <c r="BM539" s="1140"/>
      <c r="BN539" s="1140"/>
      <c r="BO539" s="1140"/>
      <c r="BP539" s="1140"/>
      <c r="BQ539" s="1140"/>
      <c r="BR539" s="1140"/>
      <c r="BS539" s="1140"/>
      <c r="BT539" s="1140"/>
      <c r="BU539" s="1140"/>
      <c r="BV539" s="1140"/>
      <c r="BW539" s="1140"/>
      <c r="BX539" s="1140"/>
      <c r="BY539" s="1140"/>
      <c r="BZ539" s="1140"/>
      <c r="CA539" s="1140"/>
      <c r="CB539" s="1140"/>
      <c r="CC539" s="1140"/>
    </row>
    <row r="540" spans="1:81" s="1131" customFormat="1" ht="13">
      <c r="A540" s="1057"/>
      <c r="B540" s="1032"/>
      <c r="C540" s="983" t="s">
        <v>1724</v>
      </c>
      <c r="D540" s="1032"/>
      <c r="E540" s="1032"/>
      <c r="F540" s="1032"/>
      <c r="G540" s="1032"/>
      <c r="H540" s="1032"/>
      <c r="I540" s="1032"/>
      <c r="J540" s="1032"/>
      <c r="K540" s="1032"/>
      <c r="L540" s="1032"/>
      <c r="M540" s="1032"/>
      <c r="N540" s="1032"/>
      <c r="O540" s="1032"/>
      <c r="P540" s="1032"/>
      <c r="Q540" s="1032"/>
      <c r="R540" s="1032"/>
      <c r="S540" s="1032"/>
      <c r="T540" s="1032"/>
      <c r="U540" s="1032"/>
      <c r="V540" s="1032"/>
      <c r="W540" s="1032"/>
      <c r="X540" s="1032"/>
      <c r="Y540" s="1032"/>
      <c r="Z540" s="1032"/>
      <c r="AA540" s="1032"/>
      <c r="AB540" s="1032"/>
      <c r="AC540" s="1032"/>
      <c r="AD540" s="1032"/>
      <c r="AE540" s="1032"/>
      <c r="AF540" s="1032"/>
      <c r="AG540" s="1032"/>
      <c r="AH540" s="1020"/>
      <c r="AI540" s="1500"/>
      <c r="AJ540" s="1002"/>
      <c r="AK540" s="1002"/>
      <c r="AL540" s="1002"/>
      <c r="AM540" s="999"/>
      <c r="AN540" s="1130"/>
      <c r="AO540" s="1132"/>
      <c r="AT540" s="1140"/>
      <c r="AU540" s="1140"/>
      <c r="AV540" s="1140"/>
      <c r="AW540" s="1140"/>
      <c r="AX540" s="1140"/>
      <c r="AY540" s="1140"/>
      <c r="AZ540" s="1140"/>
    </row>
    <row r="541" spans="1:81" s="1131" customFormat="1">
      <c r="A541" s="1057"/>
      <c r="B541" s="1032"/>
      <c r="C541" s="1554"/>
      <c r="D541" s="1032"/>
      <c r="E541" s="1032"/>
      <c r="F541" s="1032"/>
      <c r="G541" s="1032"/>
      <c r="H541" s="1032"/>
      <c r="I541" s="1032"/>
      <c r="J541" s="1032"/>
      <c r="K541" s="1032"/>
      <c r="L541" s="1032"/>
      <c r="M541" s="1032"/>
      <c r="N541" s="1032"/>
      <c r="O541" s="1032"/>
      <c r="P541" s="1032"/>
      <c r="Q541" s="1032"/>
      <c r="R541" s="1032"/>
      <c r="S541" s="1032"/>
      <c r="T541" s="1032"/>
      <c r="U541" s="1032"/>
      <c r="V541" s="1032"/>
      <c r="W541" s="1032"/>
      <c r="X541" s="1032"/>
      <c r="Y541" s="1032"/>
      <c r="Z541" s="1032"/>
      <c r="AA541" s="1032"/>
      <c r="AB541" s="1032"/>
      <c r="AC541" s="1032"/>
      <c r="AD541" s="1032"/>
      <c r="AE541" s="924"/>
      <c r="AF541" s="924"/>
      <c r="AG541" s="924"/>
      <c r="AH541" s="924"/>
      <c r="AI541" s="924"/>
      <c r="AJ541" s="924"/>
      <c r="AK541" s="924"/>
      <c r="AL541" s="1002"/>
      <c r="AM541" s="999"/>
      <c r="AN541" s="1130"/>
      <c r="AO541" s="940" t="s">
        <v>624</v>
      </c>
      <c r="AP541" s="1142">
        <v>0</v>
      </c>
      <c r="AS541" s="1140"/>
      <c r="AT541" s="1140"/>
      <c r="AU541" s="1140"/>
      <c r="AV541" s="1140"/>
      <c r="AW541" s="1140"/>
      <c r="AX541" s="1140"/>
      <c r="AY541" s="1140"/>
      <c r="AZ541" s="1140"/>
      <c r="BA541" s="1140"/>
      <c r="BB541" s="1140"/>
      <c r="BC541" s="1140"/>
      <c r="BD541" s="1141"/>
      <c r="BE541" s="1141"/>
      <c r="BF541" s="1141"/>
      <c r="BG541" s="1141"/>
      <c r="BH541" s="1141"/>
      <c r="BI541" s="1140"/>
      <c r="BJ541" s="1140"/>
      <c r="BK541" s="1140"/>
      <c r="BL541" s="1140"/>
      <c r="BM541" s="1140"/>
      <c r="BN541" s="1140"/>
      <c r="BO541" s="1140"/>
      <c r="BP541" s="1140"/>
      <c r="BQ541" s="1140"/>
      <c r="BR541" s="1140"/>
      <c r="BS541" s="1140"/>
      <c r="BT541" s="1140"/>
      <c r="BU541" s="1140"/>
      <c r="BV541" s="1140"/>
      <c r="BW541" s="1140"/>
      <c r="BX541" s="1140"/>
      <c r="BY541" s="1140"/>
      <c r="BZ541" s="1140"/>
      <c r="CA541" s="1140"/>
      <c r="CB541" s="1140"/>
      <c r="CC541" s="1140"/>
    </row>
    <row r="542" spans="1:81" s="1131" customFormat="1" ht="13.75" customHeight="1">
      <c r="A542" s="1057"/>
      <c r="B542" s="1032"/>
      <c r="C542" s="1554"/>
      <c r="D542" s="1103" t="s">
        <v>723</v>
      </c>
      <c r="E542" s="3121" t="s">
        <v>2104</v>
      </c>
      <c r="F542" s="3121"/>
      <c r="G542" s="3121"/>
      <c r="H542" s="3121"/>
      <c r="I542" s="3121"/>
      <c r="J542" s="3121"/>
      <c r="K542" s="3121"/>
      <c r="L542" s="3121"/>
      <c r="M542" s="3121"/>
      <c r="N542" s="3121"/>
      <c r="O542" s="3121"/>
      <c r="P542" s="3121"/>
      <c r="Q542" s="3121"/>
      <c r="R542" s="3121"/>
      <c r="S542" s="3121"/>
      <c r="T542" s="3121"/>
      <c r="U542" s="3121"/>
      <c r="V542" s="3121"/>
      <c r="W542" s="3121"/>
      <c r="X542" s="3121"/>
      <c r="Y542" s="3121"/>
      <c r="Z542" s="3121"/>
      <c r="AA542" s="3121"/>
      <c r="AB542" s="3121"/>
      <c r="AC542" s="3121"/>
      <c r="AD542" s="3121"/>
      <c r="AE542" s="924"/>
      <c r="AF542" s="3076" t="s">
        <v>1725</v>
      </c>
      <c r="AG542" s="3076"/>
      <c r="AH542" s="3076"/>
      <c r="AI542" s="3076"/>
      <c r="AJ542" s="3076"/>
      <c r="AK542" s="3076"/>
      <c r="AL542" s="3076"/>
      <c r="AM542" s="1028"/>
      <c r="AN542" s="1130"/>
      <c r="AO542" s="1115" t="s">
        <v>576</v>
      </c>
      <c r="AP542" s="940">
        <v>8</v>
      </c>
      <c r="AT542" s="1140"/>
      <c r="AU542" s="1140"/>
      <c r="AV542" s="1140"/>
      <c r="AW542" s="1140"/>
      <c r="AX542" s="1140"/>
      <c r="AY542" s="1140"/>
      <c r="AZ542" s="1140"/>
    </row>
    <row r="543" spans="1:81" s="1131" customFormat="1" ht="13.75" customHeight="1">
      <c r="A543" s="1057"/>
      <c r="B543" s="1032"/>
      <c r="C543" s="1554"/>
      <c r="D543" s="1103"/>
      <c r="E543" s="3121"/>
      <c r="F543" s="3121"/>
      <c r="G543" s="3121"/>
      <c r="H543" s="3121"/>
      <c r="I543" s="3121"/>
      <c r="J543" s="3121"/>
      <c r="K543" s="3121"/>
      <c r="L543" s="3121"/>
      <c r="M543" s="3121"/>
      <c r="N543" s="3121"/>
      <c r="O543" s="3121"/>
      <c r="P543" s="3121"/>
      <c r="Q543" s="3121"/>
      <c r="R543" s="3121"/>
      <c r="S543" s="3121"/>
      <c r="T543" s="3121"/>
      <c r="U543" s="3121"/>
      <c r="V543" s="3121"/>
      <c r="W543" s="3121"/>
      <c r="X543" s="3121"/>
      <c r="Y543" s="3121"/>
      <c r="Z543" s="3121"/>
      <c r="AA543" s="3121"/>
      <c r="AB543" s="3121"/>
      <c r="AC543" s="3121"/>
      <c r="AD543" s="3121"/>
      <c r="AE543" s="924"/>
      <c r="AF543" s="1501"/>
      <c r="AG543" s="1501"/>
      <c r="AH543" s="1501"/>
      <c r="AI543" s="1501"/>
      <c r="AJ543" s="1501"/>
      <c r="AK543" s="1501"/>
      <c r="AL543" s="1501"/>
      <c r="AM543" s="1028"/>
      <c r="AN543" s="1130"/>
      <c r="AO543" s="1115"/>
      <c r="AP543" s="940"/>
      <c r="AT543" s="1140"/>
      <c r="AU543" s="1140"/>
      <c r="AV543" s="1140"/>
      <c r="AW543" s="1140"/>
      <c r="AX543" s="1140"/>
      <c r="AY543" s="1140"/>
      <c r="AZ543" s="1140"/>
    </row>
    <row r="544" spans="1:81" s="1131" customFormat="1" ht="13">
      <c r="A544" s="1057"/>
      <c r="B544" s="1032"/>
      <c r="C544" s="1554"/>
      <c r="D544" s="1103"/>
      <c r="E544" s="3121"/>
      <c r="F544" s="3121"/>
      <c r="G544" s="3121"/>
      <c r="H544" s="3121"/>
      <c r="I544" s="3121"/>
      <c r="J544" s="3121"/>
      <c r="K544" s="3121"/>
      <c r="L544" s="3121"/>
      <c r="M544" s="3121"/>
      <c r="N544" s="3121"/>
      <c r="O544" s="3121"/>
      <c r="P544" s="3121"/>
      <c r="Q544" s="3121"/>
      <c r="R544" s="3121"/>
      <c r="S544" s="3121"/>
      <c r="T544" s="3121"/>
      <c r="U544" s="3121"/>
      <c r="V544" s="3121"/>
      <c r="W544" s="3121"/>
      <c r="X544" s="3121"/>
      <c r="Y544" s="3121"/>
      <c r="Z544" s="3121"/>
      <c r="AA544" s="3121"/>
      <c r="AB544" s="3121"/>
      <c r="AC544" s="3121"/>
      <c r="AD544" s="3121"/>
      <c r="AE544" s="1501"/>
      <c r="AF544" s="1501"/>
      <c r="AG544" s="1501"/>
      <c r="AH544" s="1501"/>
      <c r="AI544" s="1501"/>
      <c r="AJ544" s="1501"/>
      <c r="AK544" s="1501"/>
      <c r="AL544" s="1501"/>
      <c r="AM544" s="1028"/>
      <c r="AN544" s="1130"/>
      <c r="AO544" s="1115"/>
      <c r="AP544" s="940"/>
      <c r="AT544" s="1140"/>
      <c r="AU544" s="1140"/>
      <c r="AV544" s="1140"/>
      <c r="AW544" s="1140"/>
      <c r="AX544" s="1140"/>
      <c r="AY544" s="1140"/>
      <c r="AZ544" s="1140"/>
    </row>
    <row r="545" spans="1:81" s="1131" customFormat="1" ht="13">
      <c r="A545" s="1057"/>
      <c r="B545" s="1032"/>
      <c r="C545" s="1554"/>
      <c r="D545" s="1103"/>
      <c r="E545" s="3121"/>
      <c r="F545" s="3121"/>
      <c r="G545" s="3121"/>
      <c r="H545" s="3121"/>
      <c r="I545" s="3121"/>
      <c r="J545" s="3121"/>
      <c r="K545" s="3121"/>
      <c r="L545" s="3121"/>
      <c r="M545" s="3121"/>
      <c r="N545" s="3121"/>
      <c r="O545" s="3121"/>
      <c r="P545" s="3121"/>
      <c r="Q545" s="3121"/>
      <c r="R545" s="3121"/>
      <c r="S545" s="3121"/>
      <c r="T545" s="3121"/>
      <c r="U545" s="3121"/>
      <c r="V545" s="3121"/>
      <c r="W545" s="3121"/>
      <c r="X545" s="3121"/>
      <c r="Y545" s="3121"/>
      <c r="Z545" s="3121"/>
      <c r="AA545" s="3121"/>
      <c r="AB545" s="3121"/>
      <c r="AC545" s="3121"/>
      <c r="AD545" s="3121"/>
      <c r="AE545" s="1501"/>
      <c r="AF545" s="1501"/>
      <c r="AG545" s="1501"/>
      <c r="AH545" s="1501"/>
      <c r="AI545" s="1501"/>
      <c r="AJ545" s="1501"/>
      <c r="AK545" s="1501"/>
      <c r="AL545" s="1501"/>
      <c r="AM545" s="1028"/>
      <c r="AN545" s="1130"/>
      <c r="AO545" s="1143"/>
      <c r="AT545" s="1140"/>
      <c r="AU545" s="1140"/>
      <c r="AV545" s="1140"/>
      <c r="AW545" s="1140"/>
      <c r="AX545" s="1140"/>
      <c r="AY545" s="1140"/>
      <c r="AZ545" s="1140"/>
    </row>
    <row r="546" spans="1:81" s="1131" customFormat="1" ht="13">
      <c r="A546" s="1057"/>
      <c r="B546" s="1032"/>
      <c r="C546" s="1554"/>
      <c r="D546" s="1103"/>
      <c r="E546" s="1502"/>
      <c r="F546" s="1502"/>
      <c r="G546" s="1502"/>
      <c r="H546" s="1502"/>
      <c r="I546" s="1502"/>
      <c r="J546" s="1502"/>
      <c r="K546" s="1502"/>
      <c r="L546" s="1502"/>
      <c r="M546" s="1502"/>
      <c r="N546" s="1502"/>
      <c r="O546" s="1502"/>
      <c r="P546" s="1502"/>
      <c r="Q546" s="1502"/>
      <c r="R546" s="1502"/>
      <c r="S546" s="1502"/>
      <c r="T546" s="1502"/>
      <c r="U546" s="1502"/>
      <c r="V546" s="1502"/>
      <c r="W546" s="1502"/>
      <c r="X546" s="1502"/>
      <c r="Y546" s="1502"/>
      <c r="Z546" s="1502"/>
      <c r="AA546" s="1502"/>
      <c r="AB546" s="1502"/>
      <c r="AC546" s="1502"/>
      <c r="AD546" s="1502"/>
      <c r="AE546" s="1501"/>
      <c r="AF546" s="1501"/>
      <c r="AG546" s="1501"/>
      <c r="AH546" s="1501"/>
      <c r="AI546" s="1501"/>
      <c r="AJ546" s="1501"/>
      <c r="AK546" s="1501"/>
      <c r="AL546" s="1501"/>
      <c r="AM546" s="1028"/>
      <c r="AN546" s="1130"/>
      <c r="AO546" s="1143"/>
      <c r="AT546" s="1140"/>
      <c r="AU546" s="1140"/>
      <c r="AV546" s="1140"/>
      <c r="AW546" s="1140"/>
      <c r="AX546" s="1140"/>
      <c r="AY546" s="1140"/>
      <c r="AZ546" s="1140"/>
    </row>
    <row r="547" spans="1:81" s="1131" customFormat="1" ht="13">
      <c r="A547" s="1057"/>
      <c r="B547" s="1032"/>
      <c r="C547" s="1554"/>
      <c r="D547" s="1020" t="s">
        <v>1671</v>
      </c>
      <c r="E547" s="1548"/>
      <c r="F547" s="1548"/>
      <c r="G547" s="1548"/>
      <c r="H547" s="3140" t="s">
        <v>624</v>
      </c>
      <c r="I547" s="3140"/>
      <c r="J547" s="1032"/>
      <c r="K547" s="1032"/>
      <c r="L547" s="1032"/>
      <c r="M547" s="1032"/>
      <c r="N547" s="1032"/>
      <c r="O547" s="1032"/>
      <c r="P547" s="1032"/>
      <c r="Q547" s="1032"/>
      <c r="R547" s="1032"/>
      <c r="S547" s="1032"/>
      <c r="T547" s="1032"/>
      <c r="U547" s="1032"/>
      <c r="V547" s="1032"/>
      <c r="W547" s="1032"/>
      <c r="X547" s="1032"/>
      <c r="Y547" s="1032"/>
      <c r="Z547" s="1032"/>
      <c r="AA547" s="1032"/>
      <c r="AB547" s="1032"/>
      <c r="AC547" s="1032"/>
      <c r="AD547" s="1032"/>
      <c r="AE547" s="1032"/>
      <c r="AF547" s="1032"/>
      <c r="AG547" s="1032"/>
      <c r="AH547" s="1020"/>
      <c r="AI547" s="1500"/>
      <c r="AJ547" s="1002"/>
      <c r="AK547" s="1002"/>
      <c r="AL547" s="1002"/>
      <c r="AM547" s="999"/>
      <c r="AN547" s="1130"/>
      <c r="AS547" s="1140"/>
      <c r="AT547" s="1140"/>
      <c r="AU547" s="1140"/>
      <c r="AV547" s="1140"/>
      <c r="AW547" s="1140"/>
      <c r="AX547" s="1140"/>
      <c r="AY547" s="1140"/>
      <c r="AZ547" s="1140"/>
      <c r="BA547" s="1140"/>
      <c r="BB547" s="1140"/>
      <c r="BC547" s="1140"/>
      <c r="BD547" s="1141"/>
      <c r="BE547" s="1141"/>
      <c r="BF547" s="1141"/>
      <c r="BG547" s="1141"/>
      <c r="BH547" s="1141"/>
      <c r="BI547" s="1140"/>
      <c r="BJ547" s="1140"/>
      <c r="BK547" s="1140"/>
      <c r="BL547" s="1140"/>
      <c r="BM547" s="1140"/>
      <c r="BN547" s="1140"/>
      <c r="BO547" s="1140"/>
      <c r="BP547" s="1140"/>
      <c r="BQ547" s="1140"/>
      <c r="BR547" s="1140"/>
      <c r="BS547" s="1140"/>
      <c r="BT547" s="1140"/>
      <c r="BU547" s="1140"/>
      <c r="BV547" s="1140"/>
      <c r="BW547" s="1140"/>
      <c r="BX547" s="1140"/>
      <c r="BY547" s="1140"/>
      <c r="BZ547" s="1140"/>
      <c r="CA547" s="1140"/>
      <c r="CB547" s="1140"/>
      <c r="CC547" s="1140"/>
    </row>
    <row r="548" spans="1:81" s="1131" customFormat="1">
      <c r="A548" s="1057"/>
      <c r="B548" s="1032"/>
      <c r="C548" s="1138"/>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c r="AA548" s="941"/>
      <c r="AB548" s="941"/>
      <c r="AC548" s="941"/>
      <c r="AD548" s="1032"/>
      <c r="AE548" s="941"/>
      <c r="AF548" s="941"/>
      <c r="AG548" s="941"/>
      <c r="AH548" s="941"/>
      <c r="AI548" s="1023"/>
      <c r="AJ548" s="999"/>
      <c r="AK548" s="1023"/>
      <c r="AL548" s="1023"/>
      <c r="AM548" s="1023"/>
      <c r="AN548" s="1130"/>
      <c r="AT548" s="1140"/>
      <c r="AU548" s="1140"/>
      <c r="AV548" s="1140"/>
      <c r="AW548" s="1140"/>
      <c r="AX548" s="1140"/>
      <c r="AY548" s="1140"/>
      <c r="AZ548" s="1140"/>
    </row>
    <row r="549" spans="1:81" s="1131" customFormat="1" ht="13">
      <c r="A549" s="1068"/>
      <c r="B549" s="1105"/>
      <c r="C549" s="1139"/>
      <c r="D549" s="1104"/>
      <c r="E549" s="1104"/>
      <c r="F549" s="1104"/>
      <c r="G549" s="1104"/>
      <c r="H549" s="1104"/>
      <c r="I549" s="1104"/>
      <c r="J549" s="1104"/>
      <c r="K549" s="1104"/>
      <c r="L549" s="1104"/>
      <c r="M549" s="1104"/>
      <c r="N549" s="1104"/>
      <c r="O549" s="1104"/>
      <c r="P549" s="1104"/>
      <c r="Q549" s="1104"/>
      <c r="R549" s="1104"/>
      <c r="S549" s="1104"/>
      <c r="T549" s="1104"/>
      <c r="U549" s="1104"/>
      <c r="V549" s="1104"/>
      <c r="W549" s="1104"/>
      <c r="X549" s="1104"/>
      <c r="Y549" s="1104"/>
      <c r="Z549" s="1104"/>
      <c r="AA549" s="1104"/>
      <c r="AB549" s="1104"/>
      <c r="AC549" s="1105"/>
      <c r="AD549" s="1104"/>
      <c r="AE549" s="1104"/>
      <c r="AF549" s="1104"/>
      <c r="AG549" s="1104"/>
      <c r="AH549" s="955"/>
      <c r="AI549" s="956" t="s">
        <v>1726</v>
      </c>
      <c r="AJ549" s="3100">
        <f>VLOOKUP($H$547,$AO$541:$AP$542,2,FALSE)</f>
        <v>0</v>
      </c>
      <c r="AK549" s="3102"/>
      <c r="AL549" s="1002"/>
      <c r="AM549" s="999"/>
      <c r="AN549" s="1130"/>
      <c r="AS549" s="1140"/>
      <c r="AT549" s="1140"/>
      <c r="AU549" s="1140"/>
      <c r="AV549" s="1140"/>
      <c r="AW549" s="1140"/>
      <c r="AX549" s="1140"/>
      <c r="AY549" s="1140"/>
      <c r="AZ549" s="1140"/>
      <c r="BA549" s="1140"/>
      <c r="BB549" s="1140"/>
      <c r="BC549" s="1140"/>
      <c r="BD549" s="1141"/>
      <c r="BE549" s="1141"/>
      <c r="BF549" s="1141"/>
      <c r="BG549" s="1141"/>
      <c r="BH549" s="1141"/>
      <c r="BI549" s="1140"/>
      <c r="BJ549" s="1140"/>
      <c r="BK549" s="1140"/>
      <c r="BL549" s="1140"/>
      <c r="BM549" s="1140"/>
      <c r="BN549" s="1140"/>
      <c r="BO549" s="1140"/>
      <c r="BP549" s="1140"/>
      <c r="BQ549" s="1140"/>
      <c r="BR549" s="1140"/>
      <c r="BS549" s="1140"/>
      <c r="BT549" s="1140"/>
      <c r="BU549" s="1140"/>
      <c r="BV549" s="1140"/>
      <c r="BW549" s="1140"/>
      <c r="BX549" s="1140"/>
      <c r="BY549" s="1140"/>
      <c r="BZ549" s="1140"/>
      <c r="CA549" s="1140"/>
      <c r="CB549" s="1140"/>
      <c r="CC549" s="1140"/>
    </row>
    <row r="550" spans="1:81" s="940" customFormat="1" ht="12.75" customHeight="1">
      <c r="A550" s="1057"/>
      <c r="B550" s="1032"/>
      <c r="C550" s="1138"/>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c r="AA550" s="941"/>
      <c r="AB550" s="941"/>
      <c r="AC550" s="941"/>
      <c r="AD550" s="1032"/>
      <c r="AE550" s="941"/>
      <c r="AF550" s="941"/>
      <c r="AG550" s="941"/>
      <c r="AH550" s="941"/>
      <c r="AI550" s="1023"/>
      <c r="AJ550" s="999"/>
      <c r="AK550" s="1023"/>
      <c r="AL550" s="1023"/>
      <c r="AM550" s="1023"/>
      <c r="AN550" s="997"/>
    </row>
    <row r="551" spans="1:81" s="940" customFormat="1" ht="12.75" customHeight="1">
      <c r="A551" s="1014"/>
      <c r="B551" s="1104"/>
      <c r="C551" s="1104"/>
      <c r="D551" s="1104"/>
      <c r="E551" s="1104"/>
      <c r="F551" s="1104"/>
      <c r="G551" s="1104"/>
      <c r="H551" s="1104"/>
      <c r="I551" s="1104"/>
      <c r="J551" s="1104"/>
      <c r="K551" s="1104"/>
      <c r="L551" s="1104"/>
      <c r="M551" s="1104"/>
      <c r="N551" s="1104"/>
      <c r="O551" s="1104"/>
      <c r="P551" s="1104"/>
      <c r="Q551" s="1104"/>
      <c r="R551" s="1104"/>
      <c r="S551" s="1104"/>
      <c r="T551" s="1104"/>
      <c r="U551" s="1104"/>
      <c r="V551" s="1104"/>
      <c r="W551" s="1104"/>
      <c r="X551" s="1104"/>
      <c r="Y551" s="1104"/>
      <c r="Z551" s="1104"/>
      <c r="AA551" s="1104"/>
      <c r="AB551" s="1104"/>
      <c r="AC551" s="1105"/>
      <c r="AD551" s="1104"/>
      <c r="AE551" s="1015"/>
      <c r="AF551" s="1015"/>
      <c r="AG551" s="1015"/>
      <c r="AH551" s="1015"/>
      <c r="AI551" s="956"/>
      <c r="AJ551" s="956" t="s">
        <v>1727</v>
      </c>
      <c r="AK551" s="3100">
        <f>IF(($AJ$382+$AJ$401+$AJ$413+$AJ$448+$AJ$468+$AJ$482+$AJ$494+$AJ$510+$AJ$522+$AJ$538+AJ549)&gt;10,10,($AJ$382+$AJ$401+$AJ$413+$AJ$448+$AJ$468+$AJ$482+$AJ$494+$AJ$510+$AJ$522+$AJ$538+AJ549))</f>
        <v>10</v>
      </c>
      <c r="AL551" s="3101"/>
      <c r="AM551" s="3102"/>
      <c r="AN551" s="997"/>
    </row>
    <row r="552" spans="1:81" s="940" customFormat="1" ht="12.75" customHeight="1">
      <c r="A552" s="1023"/>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c r="AA552" s="941"/>
      <c r="AB552" s="941"/>
      <c r="AC552" s="1032"/>
      <c r="AD552" s="941"/>
      <c r="AE552" s="1023"/>
      <c r="AF552" s="1023"/>
      <c r="AG552" s="1023"/>
      <c r="AH552" s="1023"/>
      <c r="AI552" s="1034"/>
      <c r="AJ552" s="1034"/>
      <c r="AK552" s="1002"/>
      <c r="AL552" s="1002"/>
      <c r="AM552" s="1002"/>
      <c r="AN552" s="997"/>
    </row>
    <row r="553" spans="1:81" s="940" customFormat="1" ht="12.75" customHeight="1">
      <c r="A553" s="1014"/>
      <c r="B553" s="1104"/>
      <c r="C553" s="1104"/>
      <c r="D553" s="1104"/>
      <c r="E553" s="1104"/>
      <c r="F553" s="1104"/>
      <c r="G553" s="1104"/>
      <c r="H553" s="1104"/>
      <c r="I553" s="1104"/>
      <c r="J553" s="1104"/>
      <c r="K553" s="1104"/>
      <c r="L553" s="1104"/>
      <c r="M553" s="1104"/>
      <c r="N553" s="1104"/>
      <c r="O553" s="1104"/>
      <c r="P553" s="1104"/>
      <c r="Q553" s="1104"/>
      <c r="R553" s="1104"/>
      <c r="S553" s="1104"/>
      <c r="T553" s="1104"/>
      <c r="U553" s="1104"/>
      <c r="V553" s="1104"/>
      <c r="W553" s="1104"/>
      <c r="X553" s="1104"/>
      <c r="Y553" s="1104"/>
      <c r="Z553" s="1104"/>
      <c r="AA553" s="1104"/>
      <c r="AB553" s="1104"/>
      <c r="AC553" s="1105"/>
      <c r="AD553" s="1104"/>
      <c r="AE553" s="1015"/>
      <c r="AF553" s="1015"/>
      <c r="AG553" s="1015"/>
      <c r="AH553" s="1015"/>
      <c r="AI553" s="956"/>
      <c r="AJ553" s="956" t="s">
        <v>1728</v>
      </c>
      <c r="AK553" s="3100">
        <f>IF((AK320+AK551)&gt;20,20,(AK320+AK551))</f>
        <v>19</v>
      </c>
      <c r="AL553" s="3101"/>
      <c r="AM553" s="3102"/>
      <c r="AN553" s="997"/>
    </row>
    <row r="554" spans="1:81" s="940" customFormat="1" ht="12.75" customHeight="1" thickBot="1">
      <c r="A554" s="1039"/>
      <c r="B554" s="1039"/>
      <c r="C554" s="1039"/>
      <c r="D554" s="1039"/>
      <c r="E554" s="1041"/>
      <c r="F554" s="1041"/>
      <c r="G554" s="1041"/>
      <c r="H554" s="1041"/>
      <c r="I554" s="1041"/>
      <c r="J554" s="1041"/>
      <c r="K554" s="1041"/>
      <c r="L554" s="1041"/>
      <c r="M554" s="1041"/>
      <c r="N554" s="1041"/>
      <c r="O554" s="1041"/>
      <c r="P554" s="1041"/>
      <c r="Q554" s="1041"/>
      <c r="R554" s="1041"/>
      <c r="S554" s="1041"/>
      <c r="T554" s="1041"/>
      <c r="U554" s="1041"/>
      <c r="V554" s="1041"/>
      <c r="W554" s="1041"/>
      <c r="X554" s="1041"/>
      <c r="Y554" s="1041"/>
      <c r="Z554" s="1041"/>
      <c r="AA554" s="1041"/>
      <c r="AB554" s="1041"/>
      <c r="AC554" s="1041"/>
      <c r="AD554" s="1041"/>
      <c r="AE554" s="1041"/>
      <c r="AF554" s="1041"/>
      <c r="AG554" s="1041"/>
      <c r="AH554" s="1041"/>
      <c r="AI554" s="1041"/>
      <c r="AJ554" s="1041"/>
      <c r="AK554" s="1041"/>
      <c r="AL554" s="1041"/>
      <c r="AM554" s="1041"/>
      <c r="AN554" s="997"/>
    </row>
    <row r="555" spans="1:81" s="940"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7"/>
    </row>
    <row r="556" spans="1:81" s="940" customFormat="1" ht="12.75" customHeight="1">
      <c r="A556" s="1009" t="s">
        <v>1729</v>
      </c>
      <c r="B556" s="1009" t="s">
        <v>906</v>
      </c>
      <c r="C556" s="1020"/>
      <c r="D556" s="1057"/>
      <c r="E556" s="1057"/>
      <c r="F556" s="1023"/>
      <c r="G556" s="1023"/>
      <c r="H556" s="1023"/>
      <c r="I556" s="1023"/>
      <c r="J556" s="1023"/>
      <c r="K556" s="1023"/>
      <c r="L556" s="1023"/>
      <c r="M556" s="1023"/>
      <c r="N556" s="1023"/>
      <c r="O556" s="1023"/>
      <c r="P556" s="1023"/>
      <c r="Q556" s="1023"/>
      <c r="R556" s="1023"/>
      <c r="S556" s="1023"/>
      <c r="T556" s="1023"/>
      <c r="U556" s="1023"/>
      <c r="V556" s="1023"/>
      <c r="W556" s="1023"/>
      <c r="X556" s="1023"/>
      <c r="Y556" s="1023"/>
      <c r="Z556" s="1023"/>
      <c r="AA556" s="1023"/>
      <c r="AB556" s="1023"/>
      <c r="AC556" s="983"/>
      <c r="AD556" s="1023"/>
      <c r="AE556" s="3090" t="s">
        <v>1577</v>
      </c>
      <c r="AF556" s="3090"/>
      <c r="AG556" s="3090"/>
      <c r="AH556" s="3090"/>
      <c r="AI556" s="3090"/>
      <c r="AJ556" s="3090"/>
      <c r="AK556" s="3090"/>
      <c r="AL556" s="1009"/>
      <c r="AM556" s="1009"/>
      <c r="AN556" s="1144"/>
    </row>
    <row r="557" spans="1:81" s="940" customFormat="1" ht="12.75" customHeight="1">
      <c r="A557" s="1009"/>
      <c r="B557" s="1009"/>
      <c r="C557" s="1020"/>
      <c r="D557" s="1057"/>
      <c r="E557" s="1057"/>
      <c r="F557" s="1023"/>
      <c r="G557" s="1023"/>
      <c r="H557" s="1023"/>
      <c r="I557" s="1023"/>
      <c r="J557" s="1023"/>
      <c r="K557" s="1023"/>
      <c r="L557" s="1023"/>
      <c r="M557" s="1023"/>
      <c r="N557" s="1023"/>
      <c r="O557" s="1023"/>
      <c r="P557" s="1023"/>
      <c r="Q557" s="1023"/>
      <c r="R557" s="1023"/>
      <c r="S557" s="1023"/>
      <c r="T557" s="1023"/>
      <c r="U557" s="1023"/>
      <c r="V557" s="1023"/>
      <c r="W557" s="1023"/>
      <c r="X557" s="1023"/>
      <c r="Y557" s="1023"/>
      <c r="Z557" s="1023"/>
      <c r="AA557" s="1023"/>
      <c r="AB557" s="1023"/>
      <c r="AC557" s="983"/>
      <c r="AD557" s="1023"/>
      <c r="AE557" s="1034"/>
      <c r="AF557" s="1034"/>
      <c r="AG557" s="1034"/>
      <c r="AH557" s="1034"/>
      <c r="AI557" s="1034"/>
      <c r="AJ557" s="1034"/>
      <c r="AK557" s="1034"/>
      <c r="AL557" s="1009"/>
      <c r="AM557" s="1009"/>
      <c r="AN557" s="1144"/>
    </row>
    <row r="558" spans="1:81" s="940" customFormat="1" ht="12.75" customHeight="1">
      <c r="A558" s="1024"/>
      <c r="B558" s="1025"/>
      <c r="C558" s="3147" t="s">
        <v>1730</v>
      </c>
      <c r="D558" s="3147"/>
      <c r="E558" s="3147"/>
      <c r="F558" s="3147"/>
      <c r="G558" s="3147"/>
      <c r="H558" s="3147"/>
      <c r="I558" s="3147"/>
      <c r="J558" s="3147"/>
      <c r="K558" s="3147"/>
      <c r="L558" s="3147"/>
      <c r="M558" s="3147"/>
      <c r="N558" s="3147"/>
      <c r="O558" s="3147"/>
      <c r="P558" s="3147"/>
      <c r="Q558" s="3147"/>
      <c r="R558" s="3147"/>
      <c r="S558" s="3147"/>
      <c r="T558" s="3147"/>
      <c r="U558" s="3147"/>
      <c r="V558" s="3147"/>
      <c r="W558" s="3147"/>
      <c r="X558" s="3147"/>
      <c r="Y558" s="3147"/>
      <c r="Z558" s="3147"/>
      <c r="AA558" s="3147"/>
      <c r="AB558" s="3147"/>
      <c r="AC558" s="3147"/>
      <c r="AD558" s="3147"/>
      <c r="AE558" s="3147"/>
      <c r="AF558" s="3147"/>
      <c r="AG558" s="3147"/>
      <c r="AH558" s="3147"/>
      <c r="AI558" s="3147"/>
      <c r="AJ558" s="3147"/>
      <c r="AK558" s="1024"/>
      <c r="AL558" s="1024"/>
      <c r="AM558" s="1024"/>
      <c r="AN558" s="997"/>
    </row>
    <row r="559" spans="1:81" s="940" customFormat="1" ht="12.75" customHeight="1">
      <c r="A559" s="1024"/>
      <c r="B559" s="1025"/>
      <c r="C559" s="3147"/>
      <c r="D559" s="3147"/>
      <c r="E559" s="3147"/>
      <c r="F559" s="3147"/>
      <c r="G559" s="3147"/>
      <c r="H559" s="3147"/>
      <c r="I559" s="3147"/>
      <c r="J559" s="3147"/>
      <c r="K559" s="3147"/>
      <c r="L559" s="3147"/>
      <c r="M559" s="3147"/>
      <c r="N559" s="3147"/>
      <c r="O559" s="3147"/>
      <c r="P559" s="3147"/>
      <c r="Q559" s="3147"/>
      <c r="R559" s="3147"/>
      <c r="S559" s="3147"/>
      <c r="T559" s="3147"/>
      <c r="U559" s="3147"/>
      <c r="V559" s="3147"/>
      <c r="W559" s="3147"/>
      <c r="X559" s="3147"/>
      <c r="Y559" s="3147"/>
      <c r="Z559" s="3147"/>
      <c r="AA559" s="3147"/>
      <c r="AB559" s="3147"/>
      <c r="AC559" s="3147"/>
      <c r="AD559" s="3147"/>
      <c r="AE559" s="3147"/>
      <c r="AF559" s="3147"/>
      <c r="AG559" s="3147"/>
      <c r="AH559" s="3147"/>
      <c r="AI559" s="3147"/>
      <c r="AJ559" s="3147"/>
      <c r="AK559" s="1024"/>
      <c r="AL559" s="1024"/>
      <c r="AM559" s="1024"/>
      <c r="AN559" s="997"/>
    </row>
    <row r="560" spans="1:81" s="940" customFormat="1" ht="12.75" customHeight="1">
      <c r="A560" s="1024"/>
      <c r="B560" s="1025"/>
      <c r="C560" s="3147"/>
      <c r="D560" s="3147"/>
      <c r="E560" s="3147"/>
      <c r="F560" s="3147"/>
      <c r="G560" s="3147"/>
      <c r="H560" s="3147"/>
      <c r="I560" s="3147"/>
      <c r="J560" s="3147"/>
      <c r="K560" s="3147"/>
      <c r="L560" s="3147"/>
      <c r="M560" s="3147"/>
      <c r="N560" s="3147"/>
      <c r="O560" s="3147"/>
      <c r="P560" s="3147"/>
      <c r="Q560" s="3147"/>
      <c r="R560" s="3147"/>
      <c r="S560" s="3147"/>
      <c r="T560" s="3147"/>
      <c r="U560" s="3147"/>
      <c r="V560" s="3147"/>
      <c r="W560" s="3147"/>
      <c r="X560" s="3147"/>
      <c r="Y560" s="3147"/>
      <c r="Z560" s="3147"/>
      <c r="AA560" s="3147"/>
      <c r="AB560" s="3147"/>
      <c r="AC560" s="3147"/>
      <c r="AD560" s="3147"/>
      <c r="AE560" s="3147"/>
      <c r="AF560" s="3147"/>
      <c r="AG560" s="3147"/>
      <c r="AH560" s="3147"/>
      <c r="AI560" s="3147"/>
      <c r="AJ560" s="3147"/>
      <c r="AK560" s="1024"/>
      <c r="AL560" s="1024"/>
      <c r="AM560" s="1024"/>
      <c r="AN560" s="997"/>
      <c r="AQ560" s="1132"/>
      <c r="AR560" s="999"/>
    </row>
    <row r="561" spans="1:46" s="940" customFormat="1" ht="12.75" customHeight="1">
      <c r="A561" s="1024"/>
      <c r="B561" s="1115"/>
      <c r="C561" s="3147"/>
      <c r="D561" s="3147"/>
      <c r="E561" s="3147"/>
      <c r="F561" s="3147"/>
      <c r="G561" s="3147"/>
      <c r="H561" s="3147"/>
      <c r="I561" s="3147"/>
      <c r="J561" s="3147"/>
      <c r="K561" s="3147"/>
      <c r="L561" s="3147"/>
      <c r="M561" s="3147"/>
      <c r="N561" s="3147"/>
      <c r="O561" s="3147"/>
      <c r="P561" s="3147"/>
      <c r="Q561" s="3147"/>
      <c r="R561" s="3147"/>
      <c r="S561" s="3147"/>
      <c r="T561" s="3147"/>
      <c r="U561" s="3147"/>
      <c r="V561" s="3147"/>
      <c r="W561" s="3147"/>
      <c r="X561" s="3147"/>
      <c r="Y561" s="3147"/>
      <c r="Z561" s="3147"/>
      <c r="AA561" s="3147"/>
      <c r="AB561" s="3147"/>
      <c r="AC561" s="3147"/>
      <c r="AD561" s="3147"/>
      <c r="AE561" s="3147"/>
      <c r="AF561" s="3147"/>
      <c r="AG561" s="3147"/>
      <c r="AH561" s="3147"/>
      <c r="AI561" s="3147"/>
      <c r="AJ561" s="3147"/>
      <c r="AK561" s="1024"/>
      <c r="AL561" s="1024"/>
      <c r="AM561" s="1024"/>
      <c r="AN561" s="997"/>
      <c r="AQ561" s="1132"/>
      <c r="AR561" s="999"/>
    </row>
    <row r="562" spans="1:46" s="940" customFormat="1" ht="12.75" customHeight="1">
      <c r="A562" s="1024"/>
      <c r="B562" s="1115"/>
      <c r="C562" s="3147"/>
      <c r="D562" s="3147"/>
      <c r="E562" s="3147"/>
      <c r="F562" s="3147"/>
      <c r="G562" s="3147"/>
      <c r="H562" s="3147"/>
      <c r="I562" s="3147"/>
      <c r="J562" s="3147"/>
      <c r="K562" s="3147"/>
      <c r="L562" s="3147"/>
      <c r="M562" s="3147"/>
      <c r="N562" s="3147"/>
      <c r="O562" s="3147"/>
      <c r="P562" s="3147"/>
      <c r="Q562" s="3147"/>
      <c r="R562" s="3147"/>
      <c r="S562" s="3147"/>
      <c r="T562" s="3147"/>
      <c r="U562" s="3147"/>
      <c r="V562" s="3147"/>
      <c r="W562" s="3147"/>
      <c r="X562" s="3147"/>
      <c r="Y562" s="3147"/>
      <c r="Z562" s="3147"/>
      <c r="AA562" s="3147"/>
      <c r="AB562" s="3147"/>
      <c r="AC562" s="3147"/>
      <c r="AD562" s="3147"/>
      <c r="AE562" s="3147"/>
      <c r="AF562" s="3147"/>
      <c r="AG562" s="3147"/>
      <c r="AH562" s="3147"/>
      <c r="AI562" s="3147"/>
      <c r="AJ562" s="3147"/>
      <c r="AK562" s="1024"/>
      <c r="AL562" s="1024"/>
      <c r="AM562" s="1024"/>
      <c r="AN562" s="997"/>
      <c r="AQ562" s="1132"/>
      <c r="AR562" s="1132"/>
    </row>
    <row r="563" spans="1:46" s="940" customFormat="1" ht="25" customHeight="1">
      <c r="A563" s="1024"/>
      <c r="B563" s="1115"/>
      <c r="C563" s="3147" t="s">
        <v>1731</v>
      </c>
      <c r="D563" s="3147"/>
      <c r="E563" s="3147"/>
      <c r="F563" s="3147"/>
      <c r="G563" s="3147"/>
      <c r="H563" s="3147"/>
      <c r="I563" s="3147"/>
      <c r="J563" s="3147"/>
      <c r="K563" s="3147"/>
      <c r="L563" s="3147"/>
      <c r="M563" s="3147"/>
      <c r="N563" s="3147"/>
      <c r="O563" s="3147"/>
      <c r="P563" s="3147"/>
      <c r="Q563" s="3147"/>
      <c r="R563" s="3147"/>
      <c r="S563" s="3147"/>
      <c r="T563" s="3147"/>
      <c r="U563" s="3147"/>
      <c r="V563" s="3147"/>
      <c r="W563" s="3147"/>
      <c r="X563" s="3147"/>
      <c r="Y563" s="3147"/>
      <c r="Z563" s="3147"/>
      <c r="AA563" s="3147"/>
      <c r="AB563" s="3147"/>
      <c r="AC563" s="3147"/>
      <c r="AD563" s="3147"/>
      <c r="AE563" s="3147"/>
      <c r="AF563" s="3147"/>
      <c r="AG563" s="3147"/>
      <c r="AH563" s="3147"/>
      <c r="AI563" s="3147"/>
      <c r="AJ563" s="3147"/>
      <c r="AK563" s="1024"/>
      <c r="AL563" s="1024"/>
      <c r="AM563" s="1024"/>
      <c r="AN563" s="997"/>
      <c r="AQ563" s="1132"/>
      <c r="AR563" s="1132"/>
    </row>
    <row r="564" spans="1:46" s="940" customFormat="1" ht="12.75" customHeight="1">
      <c r="A564" s="1024"/>
      <c r="B564" s="1115"/>
      <c r="C564" s="1146"/>
      <c r="D564" s="1146"/>
      <c r="E564" s="1146"/>
      <c r="F564" s="1146"/>
      <c r="G564" s="1146"/>
      <c r="H564" s="1146"/>
      <c r="I564" s="1146"/>
      <c r="J564" s="1146"/>
      <c r="K564" s="1146"/>
      <c r="L564" s="1146"/>
      <c r="M564" s="1146"/>
      <c r="N564" s="1146"/>
      <c r="O564" s="1146"/>
      <c r="P564" s="1146"/>
      <c r="Q564" s="1146"/>
      <c r="R564" s="1146"/>
      <c r="S564" s="1146"/>
      <c r="T564" s="1146"/>
      <c r="U564" s="1146"/>
      <c r="V564" s="1146"/>
      <c r="W564" s="1146"/>
      <c r="X564" s="1146"/>
      <c r="Y564" s="1146"/>
      <c r="Z564" s="1146"/>
      <c r="AA564" s="1146"/>
      <c r="AB564" s="1146"/>
      <c r="AC564" s="1146"/>
      <c r="AD564" s="1146"/>
      <c r="AE564" s="1146"/>
      <c r="AF564" s="1146"/>
      <c r="AG564" s="1146"/>
      <c r="AH564" s="1146"/>
      <c r="AI564" s="1146"/>
      <c r="AJ564" s="1146"/>
      <c r="AK564" s="1024"/>
      <c r="AL564" s="1024"/>
      <c r="AM564" s="1024"/>
      <c r="AN564" s="997"/>
      <c r="AQ564" s="1132"/>
      <c r="AR564" s="1132"/>
    </row>
    <row r="565" spans="1:46" s="940" customFormat="1" ht="12.75" customHeight="1">
      <c r="A565" s="1024"/>
      <c r="B565" s="1115"/>
      <c r="C565" s="3147" t="s">
        <v>2308</v>
      </c>
      <c r="D565" s="3147"/>
      <c r="E565" s="3147"/>
      <c r="F565" s="3147"/>
      <c r="G565" s="3147"/>
      <c r="H565" s="3147"/>
      <c r="I565" s="3147"/>
      <c r="J565" s="3147"/>
      <c r="K565" s="3147"/>
      <c r="L565" s="3147"/>
      <c r="M565" s="3147"/>
      <c r="N565" s="3147"/>
      <c r="O565" s="3147"/>
      <c r="P565" s="3147"/>
      <c r="Q565" s="3147"/>
      <c r="R565" s="3147"/>
      <c r="S565" s="3147"/>
      <c r="T565" s="3147"/>
      <c r="U565" s="3147"/>
      <c r="V565" s="3147"/>
      <c r="W565" s="3147"/>
      <c r="X565" s="3147"/>
      <c r="Y565" s="3147"/>
      <c r="Z565" s="3147"/>
      <c r="AA565" s="3147"/>
      <c r="AB565" s="3147"/>
      <c r="AC565" s="3147"/>
      <c r="AD565" s="3147"/>
      <c r="AE565" s="3147"/>
      <c r="AF565" s="3147"/>
      <c r="AG565" s="3147"/>
      <c r="AH565" s="3147"/>
      <c r="AI565" s="3147"/>
      <c r="AJ565" s="3147"/>
      <c r="AK565" s="1024"/>
      <c r="AL565" s="1024"/>
      <c r="AM565" s="1024"/>
      <c r="AN565" s="997"/>
      <c r="AQ565" s="1132"/>
      <c r="AR565" s="1132"/>
    </row>
    <row r="566" spans="1:46" s="940" customFormat="1" ht="30" customHeight="1">
      <c r="A566" s="1024"/>
      <c r="B566" s="1115"/>
      <c r="C566" s="3147"/>
      <c r="D566" s="3147"/>
      <c r="E566" s="3147"/>
      <c r="F566" s="3147"/>
      <c r="G566" s="3147"/>
      <c r="H566" s="3147"/>
      <c r="I566" s="3147"/>
      <c r="J566" s="3147"/>
      <c r="K566" s="3147"/>
      <c r="L566" s="3147"/>
      <c r="M566" s="3147"/>
      <c r="N566" s="3147"/>
      <c r="O566" s="3147"/>
      <c r="P566" s="3147"/>
      <c r="Q566" s="3147"/>
      <c r="R566" s="3147"/>
      <c r="S566" s="3147"/>
      <c r="T566" s="3147"/>
      <c r="U566" s="3147"/>
      <c r="V566" s="3147"/>
      <c r="W566" s="3147"/>
      <c r="X566" s="3147"/>
      <c r="Y566" s="3147"/>
      <c r="Z566" s="3147"/>
      <c r="AA566" s="3147"/>
      <c r="AB566" s="3147"/>
      <c r="AC566" s="3147"/>
      <c r="AD566" s="3147"/>
      <c r="AE566" s="3147"/>
      <c r="AF566" s="3147"/>
      <c r="AG566" s="3147"/>
      <c r="AH566" s="3147"/>
      <c r="AI566" s="3147"/>
      <c r="AJ566" s="3147"/>
      <c r="AK566" s="1024"/>
      <c r="AL566" s="1024"/>
      <c r="AM566" s="1024"/>
      <c r="AN566" s="997"/>
      <c r="AQ566" s="999"/>
      <c r="AR566" s="1132"/>
    </row>
    <row r="567" spans="1:46" s="940" customFormat="1" ht="12.75" customHeight="1">
      <c r="A567" s="1024"/>
      <c r="B567" s="1115"/>
      <c r="C567" s="3147"/>
      <c r="D567" s="3147"/>
      <c r="E567" s="3147"/>
      <c r="F567" s="3147"/>
      <c r="G567" s="3147"/>
      <c r="H567" s="3147"/>
      <c r="I567" s="3147"/>
      <c r="J567" s="3147"/>
      <c r="K567" s="3147"/>
      <c r="L567" s="3147"/>
      <c r="M567" s="3147"/>
      <c r="N567" s="3147"/>
      <c r="O567" s="3147"/>
      <c r="P567" s="3147"/>
      <c r="Q567" s="3147"/>
      <c r="R567" s="3147"/>
      <c r="S567" s="3147"/>
      <c r="T567" s="3147"/>
      <c r="U567" s="3147"/>
      <c r="V567" s="3147"/>
      <c r="W567" s="3147"/>
      <c r="X567" s="3147"/>
      <c r="Y567" s="3147"/>
      <c r="Z567" s="3147"/>
      <c r="AA567" s="3147"/>
      <c r="AB567" s="3147"/>
      <c r="AC567" s="3147"/>
      <c r="AD567" s="3147"/>
      <c r="AE567" s="3147"/>
      <c r="AF567" s="3147"/>
      <c r="AG567" s="3147"/>
      <c r="AH567" s="3147"/>
      <c r="AI567" s="3147"/>
      <c r="AJ567" s="3147"/>
      <c r="AK567" s="1024"/>
      <c r="AL567" s="1024"/>
      <c r="AM567" s="1024"/>
      <c r="AN567" s="997"/>
      <c r="AQ567" s="999"/>
      <c r="AR567" s="1132"/>
    </row>
    <row r="568" spans="1:46" s="940" customFormat="1" ht="12.75" customHeight="1">
      <c r="A568" s="1024"/>
      <c r="B568" s="1115"/>
      <c r="C568" s="3147" t="s">
        <v>1732</v>
      </c>
      <c r="D568" s="3147"/>
      <c r="E568" s="3147"/>
      <c r="F568" s="3147"/>
      <c r="G568" s="3147"/>
      <c r="H568" s="3147"/>
      <c r="I568" s="3147"/>
      <c r="J568" s="3147"/>
      <c r="K568" s="3147"/>
      <c r="L568" s="3147"/>
      <c r="M568" s="3147"/>
      <c r="N568" s="3147"/>
      <c r="O568" s="3147"/>
      <c r="P568" s="3147"/>
      <c r="Q568" s="3147"/>
      <c r="R568" s="3147"/>
      <c r="S568" s="3147"/>
      <c r="T568" s="3147"/>
      <c r="U568" s="3147"/>
      <c r="V568" s="3147"/>
      <c r="W568" s="3147"/>
      <c r="X568" s="3147"/>
      <c r="Y568" s="3147"/>
      <c r="Z568" s="3147"/>
      <c r="AA568" s="3147"/>
      <c r="AB568" s="3147"/>
      <c r="AC568" s="3147"/>
      <c r="AD568" s="3147"/>
      <c r="AE568" s="3147"/>
      <c r="AF568" s="3147"/>
      <c r="AG568" s="3147"/>
      <c r="AH568" s="3147"/>
      <c r="AI568" s="3147"/>
      <c r="AJ568" s="3147"/>
      <c r="AK568" s="1024"/>
      <c r="AL568" s="1024"/>
      <c r="AM568" s="1024"/>
      <c r="AN568" s="997"/>
      <c r="AQ568" s="1132"/>
      <c r="AR568" s="1132"/>
    </row>
    <row r="569" spans="1:46" s="940" customFormat="1" ht="12.75" customHeight="1">
      <c r="A569" s="1024"/>
      <c r="B569" s="1115"/>
      <c r="C569" s="3147"/>
      <c r="D569" s="3147"/>
      <c r="E569" s="3147"/>
      <c r="F569" s="3147"/>
      <c r="G569" s="3147"/>
      <c r="H569" s="3147"/>
      <c r="I569" s="3147"/>
      <c r="J569" s="3147"/>
      <c r="K569" s="3147"/>
      <c r="L569" s="3147"/>
      <c r="M569" s="3147"/>
      <c r="N569" s="3147"/>
      <c r="O569" s="3147"/>
      <c r="P569" s="3147"/>
      <c r="Q569" s="3147"/>
      <c r="R569" s="3147"/>
      <c r="S569" s="3147"/>
      <c r="T569" s="3147"/>
      <c r="U569" s="3147"/>
      <c r="V569" s="3147"/>
      <c r="W569" s="3147"/>
      <c r="X569" s="3147"/>
      <c r="Y569" s="3147"/>
      <c r="Z569" s="3147"/>
      <c r="AA569" s="3147"/>
      <c r="AB569" s="3147"/>
      <c r="AC569" s="3147"/>
      <c r="AD569" s="3147"/>
      <c r="AE569" s="3147"/>
      <c r="AF569" s="3147"/>
      <c r="AG569" s="3147"/>
      <c r="AH569" s="3147"/>
      <c r="AI569" s="3147"/>
      <c r="AJ569" s="3147"/>
      <c r="AK569" s="1024"/>
      <c r="AL569" s="1024"/>
      <c r="AM569" s="1024"/>
      <c r="AN569" s="997"/>
      <c r="AQ569" s="1132"/>
      <c r="AR569" s="1132"/>
    </row>
    <row r="570" spans="1:46" s="940" customFormat="1" ht="13.5" customHeight="1">
      <c r="A570" s="1024"/>
      <c r="B570" s="1115"/>
      <c r="C570" s="3147"/>
      <c r="D570" s="3147"/>
      <c r="E570" s="3147"/>
      <c r="F570" s="3147"/>
      <c r="G570" s="3147"/>
      <c r="H570" s="3147"/>
      <c r="I570" s="3147"/>
      <c r="J570" s="3147"/>
      <c r="K570" s="3147"/>
      <c r="L570" s="3147"/>
      <c r="M570" s="3147"/>
      <c r="N570" s="3147"/>
      <c r="O570" s="3147"/>
      <c r="P570" s="3147"/>
      <c r="Q570" s="3147"/>
      <c r="R570" s="3147"/>
      <c r="S570" s="3147"/>
      <c r="T570" s="3147"/>
      <c r="U570" s="3147"/>
      <c r="V570" s="3147"/>
      <c r="W570" s="3147"/>
      <c r="X570" s="3147"/>
      <c r="Y570" s="3147"/>
      <c r="Z570" s="3147"/>
      <c r="AA570" s="3147"/>
      <c r="AB570" s="3147"/>
      <c r="AC570" s="3147"/>
      <c r="AD570" s="3147"/>
      <c r="AE570" s="3147"/>
      <c r="AF570" s="3147"/>
      <c r="AG570" s="3147"/>
      <c r="AH570" s="3147"/>
      <c r="AI570" s="3147"/>
      <c r="AJ570" s="3147"/>
      <c r="AK570" s="1024"/>
      <c r="AL570" s="1024"/>
      <c r="AM570" s="1024"/>
      <c r="AN570" s="997"/>
      <c r="AQ570" s="1132"/>
      <c r="AR570" s="1132"/>
    </row>
    <row r="571" spans="1:46" s="940" customFormat="1" ht="12.75" customHeight="1">
      <c r="A571" s="1024"/>
      <c r="B571" s="1115"/>
      <c r="C571" s="3147"/>
      <c r="D571" s="3147"/>
      <c r="E571" s="3147"/>
      <c r="F571" s="3147"/>
      <c r="G571" s="3147"/>
      <c r="H571" s="3147"/>
      <c r="I571" s="3147"/>
      <c r="J571" s="3147"/>
      <c r="K571" s="3147"/>
      <c r="L571" s="3147"/>
      <c r="M571" s="3147"/>
      <c r="N571" s="3147"/>
      <c r="O571" s="3147"/>
      <c r="P571" s="3147"/>
      <c r="Q571" s="3147"/>
      <c r="R571" s="3147"/>
      <c r="S571" s="3147"/>
      <c r="T571" s="3147"/>
      <c r="U571" s="3147"/>
      <c r="V571" s="3147"/>
      <c r="W571" s="3147"/>
      <c r="X571" s="3147"/>
      <c r="Y571" s="3147"/>
      <c r="Z571" s="3147"/>
      <c r="AA571" s="3147"/>
      <c r="AB571" s="3147"/>
      <c r="AC571" s="3147"/>
      <c r="AD571" s="3147"/>
      <c r="AE571" s="3147"/>
      <c r="AF571" s="3147"/>
      <c r="AG571" s="3147"/>
      <c r="AH571" s="3147"/>
      <c r="AI571" s="3147"/>
      <c r="AJ571" s="3147"/>
      <c r="AK571" s="1024"/>
      <c r="AL571" s="1024"/>
      <c r="AM571" s="1024"/>
      <c r="AN571" s="997"/>
      <c r="AO571" s="1147"/>
      <c r="AP571" s="1147"/>
      <c r="AQ571" s="1132"/>
      <c r="AR571" s="999"/>
    </row>
    <row r="572" spans="1:46" s="940" customFormat="1" ht="12" customHeight="1">
      <c r="A572" s="1024"/>
      <c r="B572" s="1115"/>
      <c r="C572" s="3147"/>
      <c r="D572" s="3147"/>
      <c r="E572" s="3147"/>
      <c r="F572" s="3147"/>
      <c r="G572" s="3147"/>
      <c r="H572" s="3147"/>
      <c r="I572" s="3147"/>
      <c r="J572" s="3147"/>
      <c r="K572" s="3147"/>
      <c r="L572" s="3147"/>
      <c r="M572" s="3147"/>
      <c r="N572" s="3147"/>
      <c r="O572" s="3147"/>
      <c r="P572" s="3147"/>
      <c r="Q572" s="3147"/>
      <c r="R572" s="3147"/>
      <c r="S572" s="3147"/>
      <c r="T572" s="3147"/>
      <c r="U572" s="3147"/>
      <c r="V572" s="3147"/>
      <c r="W572" s="3147"/>
      <c r="X572" s="3147"/>
      <c r="Y572" s="3147"/>
      <c r="Z572" s="3147"/>
      <c r="AA572" s="3147"/>
      <c r="AB572" s="3147"/>
      <c r="AC572" s="3147"/>
      <c r="AD572" s="3147"/>
      <c r="AE572" s="3147"/>
      <c r="AF572" s="3147"/>
      <c r="AG572" s="3147"/>
      <c r="AH572" s="3147"/>
      <c r="AI572" s="3147"/>
      <c r="AJ572" s="3147"/>
      <c r="AK572" s="1024"/>
      <c r="AL572" s="1024"/>
      <c r="AM572" s="1024"/>
      <c r="AN572" s="997"/>
      <c r="AO572" s="1148" t="s">
        <v>117</v>
      </c>
      <c r="AP572" s="1149">
        <f>IF(C596="Yes",5,0)</f>
        <v>5</v>
      </c>
      <c r="AQ572" s="999"/>
      <c r="AR572" s="999"/>
      <c r="AS572" s="929" t="s">
        <v>1733</v>
      </c>
    </row>
    <row r="573" spans="1:46" s="940" customFormat="1" ht="12.75" customHeight="1">
      <c r="A573" s="1024"/>
      <c r="B573" s="1115"/>
      <c r="C573" s="3147"/>
      <c r="D573" s="3147"/>
      <c r="E573" s="3147"/>
      <c r="F573" s="3147"/>
      <c r="G573" s="3147"/>
      <c r="H573" s="3147"/>
      <c r="I573" s="3147"/>
      <c r="J573" s="3147"/>
      <c r="K573" s="3147"/>
      <c r="L573" s="3147"/>
      <c r="M573" s="3147"/>
      <c r="N573" s="3147"/>
      <c r="O573" s="3147"/>
      <c r="P573" s="3147"/>
      <c r="Q573" s="3147"/>
      <c r="R573" s="3147"/>
      <c r="S573" s="3147"/>
      <c r="T573" s="3147"/>
      <c r="U573" s="3147"/>
      <c r="V573" s="3147"/>
      <c r="W573" s="3147"/>
      <c r="X573" s="3147"/>
      <c r="Y573" s="3147"/>
      <c r="Z573" s="3147"/>
      <c r="AA573" s="3147"/>
      <c r="AB573" s="3147"/>
      <c r="AC573" s="3147"/>
      <c r="AD573" s="3147"/>
      <c r="AE573" s="3147"/>
      <c r="AF573" s="3147"/>
      <c r="AG573" s="3147"/>
      <c r="AH573" s="3147"/>
      <c r="AI573" s="3147"/>
      <c r="AJ573" s="3147"/>
      <c r="AK573" s="1024"/>
      <c r="AL573" s="1024"/>
      <c r="AM573" s="1024"/>
      <c r="AN573" s="997"/>
      <c r="AO573" s="1148" t="s">
        <v>118</v>
      </c>
      <c r="AP573" s="1149">
        <f>IF(C604="Yes",5,0)</f>
        <v>0</v>
      </c>
      <c r="AQ573" s="999"/>
      <c r="AR573" s="999"/>
      <c r="AS573" s="3154">
        <f>IF(Application!D210="Non-Targeted",(SUM(AQ581+AQ590)),AS577)</f>
        <v>10</v>
      </c>
      <c r="AT573" s="3154"/>
    </row>
    <row r="574" spans="1:46" s="940" customFormat="1" ht="12.75" customHeight="1">
      <c r="A574" s="1024"/>
      <c r="B574" s="1115"/>
      <c r="C574" s="3147"/>
      <c r="D574" s="3147"/>
      <c r="E574" s="3147"/>
      <c r="F574" s="3147"/>
      <c r="G574" s="3147"/>
      <c r="H574" s="3147"/>
      <c r="I574" s="3147"/>
      <c r="J574" s="3147"/>
      <c r="K574" s="3147"/>
      <c r="L574" s="3147"/>
      <c r="M574" s="3147"/>
      <c r="N574" s="3147"/>
      <c r="O574" s="3147"/>
      <c r="P574" s="3147"/>
      <c r="Q574" s="3147"/>
      <c r="R574" s="3147"/>
      <c r="S574" s="3147"/>
      <c r="T574" s="3147"/>
      <c r="U574" s="3147"/>
      <c r="V574" s="3147"/>
      <c r="W574" s="3147"/>
      <c r="X574" s="3147"/>
      <c r="Y574" s="3147"/>
      <c r="Z574" s="3147"/>
      <c r="AA574" s="3147"/>
      <c r="AB574" s="3147"/>
      <c r="AC574" s="3147"/>
      <c r="AD574" s="3147"/>
      <c r="AE574" s="3147"/>
      <c r="AF574" s="3147"/>
      <c r="AG574" s="3147"/>
      <c r="AH574" s="3147"/>
      <c r="AI574" s="3147"/>
      <c r="AJ574" s="3147"/>
      <c r="AK574" s="1024"/>
      <c r="AL574" s="1024"/>
      <c r="AM574" s="1024"/>
      <c r="AN574" s="997"/>
      <c r="AO574" s="1148" t="s">
        <v>124</v>
      </c>
      <c r="AP574" s="1149">
        <f>IF(C612="Yes",7,0)</f>
        <v>0</v>
      </c>
      <c r="AS574" s="929" t="s">
        <v>1734</v>
      </c>
    </row>
    <row r="575" spans="1:46" s="940" customFormat="1" ht="12.75" customHeight="1">
      <c r="A575" s="1024"/>
      <c r="B575" s="1115"/>
      <c r="C575" s="3147"/>
      <c r="D575" s="3147"/>
      <c r="E575" s="3147"/>
      <c r="F575" s="3147"/>
      <c r="G575" s="3147"/>
      <c r="H575" s="3147"/>
      <c r="I575" s="3147"/>
      <c r="J575" s="3147"/>
      <c r="K575" s="3147"/>
      <c r="L575" s="3147"/>
      <c r="M575" s="3147"/>
      <c r="N575" s="3147"/>
      <c r="O575" s="3147"/>
      <c r="P575" s="3147"/>
      <c r="Q575" s="3147"/>
      <c r="R575" s="3147"/>
      <c r="S575" s="3147"/>
      <c r="T575" s="3147"/>
      <c r="U575" s="3147"/>
      <c r="V575" s="3147"/>
      <c r="W575" s="3147"/>
      <c r="X575" s="3147"/>
      <c r="Y575" s="3147"/>
      <c r="Z575" s="3147"/>
      <c r="AA575" s="3147"/>
      <c r="AB575" s="3147"/>
      <c r="AC575" s="3147"/>
      <c r="AD575" s="3147"/>
      <c r="AE575" s="3147"/>
      <c r="AF575" s="3147"/>
      <c r="AG575" s="3147"/>
      <c r="AH575" s="3147"/>
      <c r="AI575" s="3147"/>
      <c r="AJ575" s="3147"/>
      <c r="AK575" s="1024"/>
      <c r="AL575" s="1024"/>
      <c r="AM575" s="1024"/>
      <c r="AN575" s="997"/>
      <c r="AO575" s="997"/>
      <c r="AP575" s="1149">
        <f>IF(C614="Yes",5,0)</f>
        <v>5</v>
      </c>
      <c r="AS575" s="3154">
        <f>IF(AND(AQ581&gt;0,AQ590&gt;0),(AQ581+AQ590)/2,0)</f>
        <v>0</v>
      </c>
      <c r="AT575" s="3154"/>
    </row>
    <row r="576" spans="1:46" s="940" customFormat="1" ht="12.75" customHeight="1">
      <c r="A576" s="1024"/>
      <c r="B576" s="1115"/>
      <c r="C576" s="3147"/>
      <c r="D576" s="3147"/>
      <c r="E576" s="3147"/>
      <c r="F576" s="3147"/>
      <c r="G576" s="3147"/>
      <c r="H576" s="3147"/>
      <c r="I576" s="3147"/>
      <c r="J576" s="3147"/>
      <c r="K576" s="3147"/>
      <c r="L576" s="3147"/>
      <c r="M576" s="3147"/>
      <c r="N576" s="3147"/>
      <c r="O576" s="3147"/>
      <c r="P576" s="3147"/>
      <c r="Q576" s="3147"/>
      <c r="R576" s="3147"/>
      <c r="S576" s="3147"/>
      <c r="T576" s="3147"/>
      <c r="U576" s="3147"/>
      <c r="V576" s="3147"/>
      <c r="W576" s="3147"/>
      <c r="X576" s="3147"/>
      <c r="Y576" s="3147"/>
      <c r="Z576" s="3147"/>
      <c r="AA576" s="3147"/>
      <c r="AB576" s="3147"/>
      <c r="AC576" s="3147"/>
      <c r="AD576" s="3147"/>
      <c r="AE576" s="3147"/>
      <c r="AF576" s="3147"/>
      <c r="AG576" s="3147"/>
      <c r="AH576" s="3147"/>
      <c r="AI576" s="3147"/>
      <c r="AJ576" s="3147"/>
      <c r="AK576" s="1024"/>
      <c r="AL576" s="1024"/>
      <c r="AM576" s="1024"/>
      <c r="AN576" s="997"/>
      <c r="AO576" s="1148" t="s">
        <v>614</v>
      </c>
      <c r="AP576" s="1149">
        <f>IF(C622="Yes",5,0)</f>
        <v>0</v>
      </c>
      <c r="AQ576" s="999"/>
      <c r="AR576" s="999"/>
      <c r="AS576" s="929" t="s">
        <v>2331</v>
      </c>
    </row>
    <row r="577" spans="1:81" s="940" customFormat="1" ht="12.75" customHeight="1">
      <c r="A577" s="1024"/>
      <c r="B577" s="1115"/>
      <c r="C577" s="3155" t="s">
        <v>1735</v>
      </c>
      <c r="D577" s="3155"/>
      <c r="E577" s="3155"/>
      <c r="F577" s="3155"/>
      <c r="G577" s="3155"/>
      <c r="H577" s="3155"/>
      <c r="I577" s="3155"/>
      <c r="J577" s="3155"/>
      <c r="K577" s="3155"/>
      <c r="L577" s="3155"/>
      <c r="M577" s="3155"/>
      <c r="N577" s="3155"/>
      <c r="O577" s="3155"/>
      <c r="P577" s="3155"/>
      <c r="Q577" s="3155"/>
      <c r="R577" s="3155"/>
      <c r="S577" s="3155"/>
      <c r="T577" s="3155"/>
      <c r="U577" s="3155"/>
      <c r="V577" s="3155"/>
      <c r="W577" s="3155"/>
      <c r="X577" s="3155"/>
      <c r="Y577" s="3155"/>
      <c r="Z577" s="3155"/>
      <c r="AA577" s="3155"/>
      <c r="AB577" s="3155"/>
      <c r="AC577" s="3155"/>
      <c r="AD577" s="3155"/>
      <c r="AE577" s="3155"/>
      <c r="AF577" s="3155"/>
      <c r="AG577" s="3155"/>
      <c r="AH577" s="3155"/>
      <c r="AI577" s="3155"/>
      <c r="AJ577" s="3155"/>
      <c r="AK577" s="1024"/>
      <c r="AL577" s="1024"/>
      <c r="AM577" s="1024"/>
      <c r="AN577" s="997"/>
      <c r="AO577" s="997"/>
      <c r="AP577" s="1149">
        <f>IF(C624="Yes",3,0)</f>
        <v>0</v>
      </c>
      <c r="AS577" s="3154">
        <f>IF(AQ581=0,AQ590,AQ581)</f>
        <v>10</v>
      </c>
      <c r="AT577" s="3154"/>
    </row>
    <row r="578" spans="1:81" s="940" customFormat="1" ht="12.75" customHeight="1">
      <c r="A578" s="1024"/>
      <c r="B578" s="1115"/>
      <c r="C578" s="3155"/>
      <c r="D578" s="3155"/>
      <c r="E578" s="3155"/>
      <c r="F578" s="3155"/>
      <c r="G578" s="3155"/>
      <c r="H578" s="3155"/>
      <c r="I578" s="3155"/>
      <c r="J578" s="3155"/>
      <c r="K578" s="3155"/>
      <c r="L578" s="3155"/>
      <c r="M578" s="3155"/>
      <c r="N578" s="3155"/>
      <c r="O578" s="3155"/>
      <c r="P578" s="3155"/>
      <c r="Q578" s="3155"/>
      <c r="R578" s="3155"/>
      <c r="S578" s="3155"/>
      <c r="T578" s="3155"/>
      <c r="U578" s="3155"/>
      <c r="V578" s="3155"/>
      <c r="W578" s="3155"/>
      <c r="X578" s="3155"/>
      <c r="Y578" s="3155"/>
      <c r="Z578" s="3155"/>
      <c r="AA578" s="3155"/>
      <c r="AB578" s="3155"/>
      <c r="AC578" s="3155"/>
      <c r="AD578" s="3155"/>
      <c r="AE578" s="3155"/>
      <c r="AF578" s="3155"/>
      <c r="AG578" s="3155"/>
      <c r="AH578" s="3155"/>
      <c r="AI578" s="3155"/>
      <c r="AJ578" s="3155"/>
      <c r="AK578" s="1024"/>
      <c r="AL578" s="1024"/>
      <c r="AM578" s="1024"/>
      <c r="AN578" s="997"/>
      <c r="AO578" s="1148" t="s">
        <v>819</v>
      </c>
      <c r="AP578" s="1149">
        <f>IF(C627="Yes",5,0)</f>
        <v>0</v>
      </c>
    </row>
    <row r="579" spans="1:81" s="940" customFormat="1" ht="12.75" customHeight="1">
      <c r="A579" s="1024"/>
      <c r="B579" s="1115"/>
      <c r="C579" s="3155"/>
      <c r="D579" s="3155"/>
      <c r="E579" s="3155"/>
      <c r="F579" s="3155"/>
      <c r="G579" s="3155"/>
      <c r="H579" s="3155"/>
      <c r="I579" s="3155"/>
      <c r="J579" s="3155"/>
      <c r="K579" s="3155"/>
      <c r="L579" s="3155"/>
      <c r="M579" s="3155"/>
      <c r="N579" s="3155"/>
      <c r="O579" s="3155"/>
      <c r="P579" s="3155"/>
      <c r="Q579" s="3155"/>
      <c r="R579" s="3155"/>
      <c r="S579" s="3155"/>
      <c r="T579" s="3155"/>
      <c r="U579" s="3155"/>
      <c r="V579" s="3155"/>
      <c r="W579" s="3155"/>
      <c r="X579" s="3155"/>
      <c r="Y579" s="3155"/>
      <c r="Z579" s="3155"/>
      <c r="AA579" s="3155"/>
      <c r="AB579" s="3155"/>
      <c r="AC579" s="3155"/>
      <c r="AD579" s="3155"/>
      <c r="AE579" s="3155"/>
      <c r="AF579" s="3155"/>
      <c r="AG579" s="3155"/>
      <c r="AH579" s="3155"/>
      <c r="AI579" s="3155"/>
      <c r="AJ579" s="3155"/>
      <c r="AK579" s="1024"/>
      <c r="AL579" s="1024"/>
      <c r="AM579" s="1024"/>
      <c r="AN579" s="997"/>
      <c r="AO579" s="1148" t="s">
        <v>617</v>
      </c>
      <c r="AP579" s="1149">
        <f>IF(C636="Yes",5,0)</f>
        <v>0</v>
      </c>
    </row>
    <row r="580" spans="1:81" s="940" customFormat="1" ht="12" customHeight="1">
      <c r="A580" s="1024"/>
      <c r="B580" s="1115"/>
      <c r="C580" s="3155"/>
      <c r="D580" s="3155"/>
      <c r="E580" s="3155"/>
      <c r="F580" s="3155"/>
      <c r="G580" s="3155"/>
      <c r="H580" s="3155"/>
      <c r="I580" s="3155"/>
      <c r="J580" s="3155"/>
      <c r="K580" s="3155"/>
      <c r="L580" s="3155"/>
      <c r="M580" s="3155"/>
      <c r="N580" s="3155"/>
      <c r="O580" s="3155"/>
      <c r="P580" s="3155"/>
      <c r="Q580" s="3155"/>
      <c r="R580" s="3155"/>
      <c r="S580" s="3155"/>
      <c r="T580" s="3155"/>
      <c r="U580" s="3155"/>
      <c r="V580" s="3155"/>
      <c r="W580" s="3155"/>
      <c r="X580" s="3155"/>
      <c r="Y580" s="3155"/>
      <c r="Z580" s="3155"/>
      <c r="AA580" s="3155"/>
      <c r="AB580" s="3155"/>
      <c r="AC580" s="3155"/>
      <c r="AD580" s="3155"/>
      <c r="AE580" s="3155"/>
      <c r="AF580" s="3155"/>
      <c r="AG580" s="3155"/>
      <c r="AH580" s="3155"/>
      <c r="AI580" s="3155"/>
      <c r="AJ580" s="3155"/>
      <c r="AK580" s="1024"/>
      <c r="AL580" s="1024"/>
      <c r="AM580" s="1024"/>
      <c r="AN580" s="997"/>
      <c r="AO580" s="1150"/>
      <c r="AP580" s="1151">
        <f>IF(C638="Yes",3,0)</f>
        <v>0</v>
      </c>
    </row>
    <row r="581" spans="1:81" s="940" customFormat="1" ht="12.75" customHeight="1">
      <c r="A581" s="1024"/>
      <c r="B581" s="1115"/>
      <c r="C581" s="3155"/>
      <c r="D581" s="3155"/>
      <c r="E581" s="3155"/>
      <c r="F581" s="3155"/>
      <c r="G581" s="3155"/>
      <c r="H581" s="3155"/>
      <c r="I581" s="3155"/>
      <c r="J581" s="3155"/>
      <c r="K581" s="3155"/>
      <c r="L581" s="3155"/>
      <c r="M581" s="3155"/>
      <c r="N581" s="3155"/>
      <c r="O581" s="3155"/>
      <c r="P581" s="3155"/>
      <c r="Q581" s="3155"/>
      <c r="R581" s="3155"/>
      <c r="S581" s="3155"/>
      <c r="T581" s="3155"/>
      <c r="U581" s="3155"/>
      <c r="V581" s="3155"/>
      <c r="W581" s="3155"/>
      <c r="X581" s="3155"/>
      <c r="Y581" s="3155"/>
      <c r="Z581" s="3155"/>
      <c r="AA581" s="3155"/>
      <c r="AB581" s="3155"/>
      <c r="AC581" s="3155"/>
      <c r="AD581" s="3155"/>
      <c r="AE581" s="3155"/>
      <c r="AF581" s="3155"/>
      <c r="AG581" s="3155"/>
      <c r="AH581" s="3155"/>
      <c r="AI581" s="3155"/>
      <c r="AJ581" s="3155"/>
      <c r="AK581" s="1024"/>
      <c r="AL581" s="1024"/>
      <c r="AM581" s="1024"/>
      <c r="AN581" s="997"/>
      <c r="AO581" s="1152" t="s">
        <v>232</v>
      </c>
      <c r="AP581" s="1153">
        <f>SUM(AP572:AP580)</f>
        <v>10</v>
      </c>
      <c r="AQ581" s="3156">
        <f>IF(AP581&gt;0,AP581,0)</f>
        <v>10</v>
      </c>
      <c r="AR581" s="3156"/>
    </row>
    <row r="582" spans="1:81" s="940" customFormat="1" ht="12.75" customHeight="1">
      <c r="A582" s="1024"/>
      <c r="B582" s="1115"/>
      <c r="C582" s="3155"/>
      <c r="D582" s="3155"/>
      <c r="E582" s="3155"/>
      <c r="F582" s="3155"/>
      <c r="G582" s="3155"/>
      <c r="H582" s="3155"/>
      <c r="I582" s="3155"/>
      <c r="J582" s="3155"/>
      <c r="K582" s="3155"/>
      <c r="L582" s="3155"/>
      <c r="M582" s="3155"/>
      <c r="N582" s="3155"/>
      <c r="O582" s="3155"/>
      <c r="P582" s="3155"/>
      <c r="Q582" s="3155"/>
      <c r="R582" s="3155"/>
      <c r="S582" s="3155"/>
      <c r="T582" s="3155"/>
      <c r="U582" s="3155"/>
      <c r="V582" s="3155"/>
      <c r="W582" s="3155"/>
      <c r="X582" s="3155"/>
      <c r="Y582" s="3155"/>
      <c r="Z582" s="3155"/>
      <c r="AA582" s="3155"/>
      <c r="AB582" s="3155"/>
      <c r="AC582" s="3155"/>
      <c r="AD582" s="3155"/>
      <c r="AE582" s="3155"/>
      <c r="AF582" s="3155"/>
      <c r="AG582" s="3155"/>
      <c r="AH582" s="3155"/>
      <c r="AI582" s="3155"/>
      <c r="AJ582" s="3155"/>
      <c r="AK582" s="1024"/>
      <c r="AL582" s="1024"/>
      <c r="AM582" s="1024"/>
      <c r="AN582" s="997"/>
      <c r="AO582" s="1022"/>
      <c r="AP582" s="1154"/>
    </row>
    <row r="583" spans="1:81" s="940" customFormat="1" ht="12.75" customHeight="1">
      <c r="A583" s="1024"/>
      <c r="B583" s="1115"/>
      <c r="C583" s="1145"/>
      <c r="D583" s="1145"/>
      <c r="E583" s="1145"/>
      <c r="F583" s="1145"/>
      <c r="G583" s="1145"/>
      <c r="H583" s="1145"/>
      <c r="I583" s="1145"/>
      <c r="J583" s="1145"/>
      <c r="K583" s="1145"/>
      <c r="L583" s="1145"/>
      <c r="M583" s="1145"/>
      <c r="N583" s="1145"/>
      <c r="O583" s="1145"/>
      <c r="P583" s="1145"/>
      <c r="Q583" s="1145"/>
      <c r="R583" s="1145"/>
      <c r="S583" s="1145"/>
      <c r="T583" s="1145"/>
      <c r="U583" s="1145"/>
      <c r="V583" s="1145"/>
      <c r="W583" s="1145"/>
      <c r="X583" s="1145"/>
      <c r="Y583" s="1145"/>
      <c r="Z583" s="1145"/>
      <c r="AA583" s="1145"/>
      <c r="AB583" s="1145"/>
      <c r="AC583" s="1145"/>
      <c r="AD583" s="1145"/>
      <c r="AE583" s="1145"/>
      <c r="AF583" s="1145"/>
      <c r="AG583" s="1145"/>
      <c r="AH583" s="1145"/>
      <c r="AI583" s="1145"/>
      <c r="AJ583" s="1145"/>
      <c r="AK583" s="1024"/>
      <c r="AL583" s="1024"/>
      <c r="AM583" s="1024"/>
      <c r="AN583" s="997"/>
      <c r="AO583" s="1148" t="s">
        <v>485</v>
      </c>
      <c r="AP583" s="1149">
        <f>IF(C645="Yes",5,0)</f>
        <v>0</v>
      </c>
    </row>
    <row r="584" spans="1:81" s="940" customFormat="1" ht="12.75" customHeight="1">
      <c r="A584" s="1024"/>
      <c r="B584" s="1115"/>
      <c r="C584" s="3147" t="s">
        <v>1736</v>
      </c>
      <c r="D584" s="3147"/>
      <c r="E584" s="3147"/>
      <c r="F584" s="3147"/>
      <c r="G584" s="3147"/>
      <c r="H584" s="3147"/>
      <c r="I584" s="3147"/>
      <c r="J584" s="3147"/>
      <c r="K584" s="3147"/>
      <c r="L584" s="3147"/>
      <c r="M584" s="3147"/>
      <c r="N584" s="3147"/>
      <c r="O584" s="3147"/>
      <c r="P584" s="3147"/>
      <c r="Q584" s="3147"/>
      <c r="R584" s="3147"/>
      <c r="S584" s="3147"/>
      <c r="T584" s="3147"/>
      <c r="U584" s="3147"/>
      <c r="V584" s="3147"/>
      <c r="W584" s="3147"/>
      <c r="X584" s="3147"/>
      <c r="Y584" s="3147"/>
      <c r="Z584" s="3147"/>
      <c r="AA584" s="3147"/>
      <c r="AB584" s="3147"/>
      <c r="AC584" s="3147"/>
      <c r="AD584" s="3147"/>
      <c r="AE584" s="3147"/>
      <c r="AF584" s="3147"/>
      <c r="AG584" s="3147"/>
      <c r="AH584" s="3147"/>
      <c r="AI584" s="3147"/>
      <c r="AJ584" s="3147"/>
      <c r="AK584" s="1024"/>
      <c r="AL584" s="1024"/>
      <c r="AM584" s="1024"/>
      <c r="AN584" s="997"/>
      <c r="AO584" s="1148" t="s">
        <v>486</v>
      </c>
      <c r="AP584" s="1149">
        <f>IF(C657="Yes",5,0)</f>
        <v>0</v>
      </c>
    </row>
    <row r="585" spans="1:81" s="940" customFormat="1" ht="12.75" customHeight="1">
      <c r="A585" s="1024"/>
      <c r="B585" s="1115"/>
      <c r="C585" s="3147"/>
      <c r="D585" s="3147"/>
      <c r="E585" s="3147"/>
      <c r="F585" s="3147"/>
      <c r="G585" s="3147"/>
      <c r="H585" s="3147"/>
      <c r="I585" s="3147"/>
      <c r="J585" s="3147"/>
      <c r="K585" s="3147"/>
      <c r="L585" s="3147"/>
      <c r="M585" s="3147"/>
      <c r="N585" s="3147"/>
      <c r="O585" s="3147"/>
      <c r="P585" s="3147"/>
      <c r="Q585" s="3147"/>
      <c r="R585" s="3147"/>
      <c r="S585" s="3147"/>
      <c r="T585" s="3147"/>
      <c r="U585" s="3147"/>
      <c r="V585" s="3147"/>
      <c r="W585" s="3147"/>
      <c r="X585" s="3147"/>
      <c r="Y585" s="3147"/>
      <c r="Z585" s="3147"/>
      <c r="AA585" s="3147"/>
      <c r="AB585" s="3147"/>
      <c r="AC585" s="3147"/>
      <c r="AD585" s="3147"/>
      <c r="AE585" s="3147"/>
      <c r="AF585" s="3147"/>
      <c r="AG585" s="3147"/>
      <c r="AH585" s="3147"/>
      <c r="AI585" s="3147"/>
      <c r="AJ585" s="3147"/>
      <c r="AK585" s="1024"/>
      <c r="AL585" s="1024"/>
      <c r="AM585" s="1024"/>
      <c r="AN585" s="997"/>
      <c r="AO585" s="1148" t="s">
        <v>492</v>
      </c>
      <c r="AP585" s="1149">
        <f>IF(C664="Yes",5,0)</f>
        <v>0</v>
      </c>
    </row>
    <row r="586" spans="1:81" s="940" customFormat="1" ht="68.25" customHeight="1">
      <c r="A586" s="1024"/>
      <c r="B586" s="1115"/>
      <c r="C586" s="3147"/>
      <c r="D586" s="3147"/>
      <c r="E586" s="3147"/>
      <c r="F586" s="3147"/>
      <c r="G586" s="3147"/>
      <c r="H586" s="3147"/>
      <c r="I586" s="3147"/>
      <c r="J586" s="3147"/>
      <c r="K586" s="3147"/>
      <c r="L586" s="3147"/>
      <c r="M586" s="3147"/>
      <c r="N586" s="3147"/>
      <c r="O586" s="3147"/>
      <c r="P586" s="3147"/>
      <c r="Q586" s="3147"/>
      <c r="R586" s="3147"/>
      <c r="S586" s="3147"/>
      <c r="T586" s="3147"/>
      <c r="U586" s="3147"/>
      <c r="V586" s="3147"/>
      <c r="W586" s="3147"/>
      <c r="X586" s="3147"/>
      <c r="Y586" s="3147"/>
      <c r="Z586" s="3147"/>
      <c r="AA586" s="3147"/>
      <c r="AB586" s="3147"/>
      <c r="AC586" s="3147"/>
      <c r="AD586" s="3147"/>
      <c r="AE586" s="3147"/>
      <c r="AF586" s="3147"/>
      <c r="AG586" s="3147"/>
      <c r="AH586" s="3147"/>
      <c r="AI586" s="3147"/>
      <c r="AJ586" s="3147"/>
      <c r="AK586" s="1024"/>
      <c r="AL586" s="1024"/>
      <c r="AM586" s="1024"/>
      <c r="AN586" s="997"/>
      <c r="AO586" s="1148" t="s">
        <v>679</v>
      </c>
      <c r="AP586" s="1155">
        <f>IF(C668="Yes",5,0)</f>
        <v>0</v>
      </c>
      <c r="AQ586" s="999"/>
      <c r="AR586" s="999"/>
    </row>
    <row r="587" spans="1:81" s="940" customFormat="1" ht="12.75" customHeight="1">
      <c r="A587" s="1024"/>
      <c r="B587" s="1115"/>
      <c r="C587" s="1156" t="s">
        <v>1737</v>
      </c>
      <c r="AF587" s="1024"/>
      <c r="AG587" s="1024"/>
      <c r="AH587" s="1024"/>
      <c r="AI587" s="1024"/>
      <c r="AJ587" s="1024"/>
      <c r="AK587" s="1024"/>
      <c r="AL587" s="1024"/>
      <c r="AM587" s="1024"/>
      <c r="AN587" s="997"/>
      <c r="AO587" s="1148" t="s">
        <v>371</v>
      </c>
      <c r="AP587" s="1149">
        <f>IF(C672="Yes",5,0)</f>
        <v>0</v>
      </c>
    </row>
    <row r="588" spans="1:81" s="940" customFormat="1" ht="12.75" customHeight="1">
      <c r="A588" s="1024"/>
      <c r="B588" s="1115"/>
      <c r="C588" s="1157" t="s">
        <v>1738</v>
      </c>
      <c r="D588" s="1158"/>
      <c r="E588" s="1158"/>
      <c r="F588" s="1158"/>
      <c r="G588" s="1158"/>
      <c r="H588" s="1158"/>
      <c r="I588" s="1158"/>
      <c r="J588" s="1158"/>
      <c r="K588" s="1158"/>
      <c r="L588" s="1158"/>
      <c r="M588" s="1107"/>
      <c r="N588" s="1107"/>
      <c r="O588" s="1159"/>
      <c r="P588" s="1158"/>
      <c r="Q588" s="1158"/>
      <c r="R588" s="1107"/>
      <c r="S588" s="1107"/>
      <c r="T588" s="1158"/>
      <c r="U588" s="3256">
        <f>Application!CS663-U589</f>
        <v>141</v>
      </c>
      <c r="V588" s="3256"/>
      <c r="W588" s="3256"/>
      <c r="X588" s="1158"/>
      <c r="Y588" s="1158"/>
      <c r="Z588" s="1158"/>
      <c r="AA588" s="1160"/>
      <c r="AB588" s="1161"/>
      <c r="AC588" s="1161"/>
      <c r="AD588" s="1161"/>
      <c r="AE588" s="1024"/>
      <c r="AF588" s="1024"/>
      <c r="AG588" s="1024"/>
      <c r="AH588" s="1024"/>
      <c r="AI588" s="1024"/>
      <c r="AJ588" s="1024"/>
      <c r="AK588" s="1024"/>
      <c r="AL588" s="1024"/>
      <c r="AM588" s="1024"/>
      <c r="AN588" s="997"/>
      <c r="AO588" s="1148" t="s">
        <v>372</v>
      </c>
      <c r="AP588" s="1149">
        <f>IF(C681="Yes",5,0)</f>
        <v>0</v>
      </c>
    </row>
    <row r="589" spans="1:81" s="940" customFormat="1" ht="12.75" customHeight="1">
      <c r="A589" s="1024"/>
      <c r="B589" s="1115"/>
      <c r="C589" s="1162" t="s">
        <v>1739</v>
      </c>
      <c r="D589" s="1163"/>
      <c r="E589" s="1163"/>
      <c r="F589" s="1163"/>
      <c r="G589" s="1163"/>
      <c r="H589" s="1163"/>
      <c r="I589" s="1163"/>
      <c r="J589" s="1163"/>
      <c r="K589" s="1163"/>
      <c r="L589" s="1163"/>
      <c r="M589" s="1147"/>
      <c r="N589" s="1147"/>
      <c r="O589" s="1163"/>
      <c r="P589" s="1163"/>
      <c r="Q589" s="1163"/>
      <c r="R589" s="1163"/>
      <c r="S589" s="1163"/>
      <c r="T589" s="1163"/>
      <c r="U589" s="3257">
        <f>Application!AG756</f>
        <v>0</v>
      </c>
      <c r="V589" s="3257"/>
      <c r="W589" s="3257"/>
      <c r="X589" s="1163"/>
      <c r="Y589" s="1163"/>
      <c r="Z589" s="1163"/>
      <c r="AA589" s="1164"/>
      <c r="AB589" s="1156"/>
      <c r="AC589" s="1165"/>
      <c r="AD589" s="1165"/>
      <c r="AE589" s="1024"/>
      <c r="AF589" s="1024"/>
      <c r="AG589" s="1024"/>
      <c r="AH589" s="1024"/>
      <c r="AI589" s="1024"/>
      <c r="AJ589" s="1024"/>
      <c r="AK589" s="1024"/>
      <c r="AL589" s="1024"/>
      <c r="AM589" s="1024"/>
      <c r="AN589" s="997"/>
      <c r="AO589" s="1150"/>
      <c r="AP589" s="1151"/>
    </row>
    <row r="590" spans="1:81" s="940" customFormat="1" ht="12.75" customHeight="1">
      <c r="A590" s="1024"/>
      <c r="B590" s="1115"/>
      <c r="C590" s="1213"/>
      <c r="D590" s="1575"/>
      <c r="E590" s="1575"/>
      <c r="F590" s="1575"/>
      <c r="G590" s="1575"/>
      <c r="H590" s="1575"/>
      <c r="I590" s="1575"/>
      <c r="J590" s="1575"/>
      <c r="K590" s="1575"/>
      <c r="L590" s="1575"/>
      <c r="M590" s="1022"/>
      <c r="N590" s="1022"/>
      <c r="O590" s="1575"/>
      <c r="P590" s="1575"/>
      <c r="Q590" s="1575"/>
      <c r="R590" s="1575"/>
      <c r="S590" s="1575"/>
      <c r="T590" s="1575"/>
      <c r="U590" s="1576"/>
      <c r="V590" s="1576"/>
      <c r="W590" s="1576"/>
      <c r="X590" s="1575"/>
      <c r="Y590" s="1575"/>
      <c r="Z590" s="1575"/>
      <c r="AA590" s="1575"/>
      <c r="AB590" s="1156"/>
      <c r="AC590" s="1165"/>
      <c r="AD590" s="1165"/>
      <c r="AE590" s="1024"/>
      <c r="AF590" s="1024"/>
      <c r="AG590" s="1024"/>
      <c r="AH590" s="1024"/>
      <c r="AI590" s="1024"/>
      <c r="AJ590" s="1024"/>
      <c r="AK590" s="1024"/>
      <c r="AL590" s="1024"/>
      <c r="AM590" s="1024"/>
      <c r="AN590" s="997"/>
      <c r="AO590" s="1166" t="s">
        <v>232</v>
      </c>
      <c r="AP590" s="1167">
        <f>SUM(AP583:AP588)</f>
        <v>0</v>
      </c>
      <c r="AQ590" s="3156">
        <f>IF(AP590&gt;0,AP590,0)</f>
        <v>0</v>
      </c>
      <c r="AR590" s="3156"/>
    </row>
    <row r="591" spans="1:81" s="940" customFormat="1" ht="12.75" customHeight="1">
      <c r="A591" s="1024"/>
      <c r="B591" s="51"/>
      <c r="C591" s="1168" t="s">
        <v>1740</v>
      </c>
      <c r="D591" s="1024"/>
      <c r="E591" s="1024"/>
      <c r="F591" s="1024"/>
      <c r="G591" s="1024"/>
      <c r="H591" s="1024"/>
      <c r="I591" s="1024"/>
      <c r="J591" s="1024"/>
      <c r="K591" s="1024"/>
      <c r="L591" s="1024"/>
      <c r="M591" s="1024"/>
      <c r="N591" s="1024"/>
      <c r="O591" s="1024"/>
      <c r="P591" s="1024"/>
      <c r="Q591" s="1024"/>
      <c r="R591" s="1024"/>
      <c r="S591" s="1024"/>
      <c r="T591" s="1024"/>
      <c r="U591" s="1024"/>
      <c r="V591" s="1024"/>
      <c r="W591" s="1024"/>
      <c r="X591" s="1024"/>
      <c r="Y591" s="1024"/>
      <c r="Z591" s="1024"/>
      <c r="AA591" s="1024"/>
      <c r="AB591" s="1024"/>
      <c r="AC591" s="1024"/>
      <c r="AD591" s="1024"/>
      <c r="AE591" s="1024"/>
      <c r="AF591" s="1024"/>
      <c r="AG591" s="1024"/>
      <c r="AH591" s="1024"/>
      <c r="AI591" s="1024"/>
      <c r="AJ591" s="1024"/>
      <c r="AK591" s="1024"/>
      <c r="AL591" s="1024"/>
      <c r="AM591" s="1024"/>
      <c r="AN591" s="997"/>
      <c r="AO591" s="1022"/>
      <c r="AP591" s="1022"/>
      <c r="BS591" s="126"/>
      <c r="BT591" s="126"/>
      <c r="BU591" s="51"/>
      <c r="BV591" s="51"/>
      <c r="BW591" s="51"/>
    </row>
    <row r="592" spans="1:81" s="940" customFormat="1" ht="12.75" customHeight="1">
      <c r="A592" s="924"/>
      <c r="B592" s="51"/>
      <c r="C592" s="1169"/>
      <c r="D592" s="1170"/>
      <c r="E592" s="1171" t="s">
        <v>1578</v>
      </c>
      <c r="F592" s="3152" t="s">
        <v>1741</v>
      </c>
      <c r="G592" s="3152"/>
      <c r="H592" s="3152"/>
      <c r="I592" s="3152"/>
      <c r="J592" s="3152"/>
      <c r="K592" s="3152"/>
      <c r="L592" s="3152"/>
      <c r="M592" s="3152"/>
      <c r="N592" s="3152"/>
      <c r="O592" s="3152"/>
      <c r="P592" s="3152"/>
      <c r="Q592" s="3152"/>
      <c r="R592" s="3152"/>
      <c r="S592" s="3152"/>
      <c r="T592" s="3152"/>
      <c r="U592" s="3152"/>
      <c r="V592" s="3152"/>
      <c r="W592" s="3152"/>
      <c r="X592" s="3152"/>
      <c r="Y592" s="3152"/>
      <c r="Z592" s="3152"/>
      <c r="AA592" s="3152"/>
      <c r="AB592" s="3152"/>
      <c r="AC592" s="3152"/>
      <c r="AD592" s="3152"/>
      <c r="AE592" s="3152"/>
      <c r="AF592" s="3152"/>
      <c r="AG592" s="1172"/>
      <c r="AH592" s="1172"/>
      <c r="AI592" s="1172"/>
      <c r="AJ592" s="1172"/>
      <c r="AK592" s="1172"/>
      <c r="AL592" s="1173"/>
      <c r="AM592" s="1131"/>
      <c r="AN592" s="997"/>
      <c r="AO592" s="1022"/>
      <c r="AP592" s="1154"/>
      <c r="BS592" s="126"/>
      <c r="BT592" s="126"/>
      <c r="BU592" s="51"/>
      <c r="BV592" s="51"/>
      <c r="BW592" s="51"/>
      <c r="BX592" s="51"/>
      <c r="BY592" s="51"/>
      <c r="BZ592" s="51"/>
      <c r="CA592" s="51"/>
      <c r="CB592" s="51"/>
      <c r="CC592" s="51"/>
    </row>
    <row r="593" spans="1:81" s="940" customFormat="1" ht="12.75" customHeight="1">
      <c r="A593" s="924"/>
      <c r="B593" s="51"/>
      <c r="C593" s="1174"/>
      <c r="D593" s="988"/>
      <c r="E593" s="1175"/>
      <c r="F593" s="3153"/>
      <c r="G593" s="3153"/>
      <c r="H593" s="3153"/>
      <c r="I593" s="3153"/>
      <c r="J593" s="3153"/>
      <c r="K593" s="3153"/>
      <c r="L593" s="3153"/>
      <c r="M593" s="3153"/>
      <c r="N593" s="3153"/>
      <c r="O593" s="3153"/>
      <c r="P593" s="3153"/>
      <c r="Q593" s="3153"/>
      <c r="R593" s="3153"/>
      <c r="S593" s="3153"/>
      <c r="T593" s="3153"/>
      <c r="U593" s="3153"/>
      <c r="V593" s="3153"/>
      <c r="W593" s="3153"/>
      <c r="X593" s="3153"/>
      <c r="Y593" s="3153"/>
      <c r="Z593" s="3153"/>
      <c r="AA593" s="3153"/>
      <c r="AB593" s="3153"/>
      <c r="AC593" s="3153"/>
      <c r="AD593" s="3153"/>
      <c r="AE593" s="3153"/>
      <c r="AF593" s="3153"/>
      <c r="AG593" s="1176"/>
      <c r="AH593" s="1176"/>
      <c r="AI593" s="1176"/>
      <c r="AJ593" s="1176"/>
      <c r="AK593" s="1176"/>
      <c r="AL593" s="1505"/>
      <c r="AM593" s="1131"/>
      <c r="AN593" s="997"/>
      <c r="AO593" s="1022"/>
      <c r="AP593" s="1154"/>
      <c r="BS593" s="126"/>
      <c r="BT593" s="126"/>
      <c r="BU593" s="51"/>
      <c r="BV593" s="51"/>
      <c r="BW593" s="51"/>
      <c r="BX593" s="51"/>
      <c r="BY593" s="51"/>
      <c r="BZ593" s="51"/>
      <c r="CA593" s="51"/>
      <c r="CB593" s="51"/>
      <c r="CC593" s="51"/>
    </row>
    <row r="594" spans="1:81" s="940" customFormat="1" ht="12.75" customHeight="1">
      <c r="A594" s="924"/>
      <c r="B594" s="51"/>
      <c r="C594" s="1174"/>
      <c r="D594" s="988"/>
      <c r="E594" s="1175"/>
      <c r="F594" s="3153"/>
      <c r="G594" s="3153"/>
      <c r="H594" s="3153"/>
      <c r="I594" s="3153"/>
      <c r="J594" s="3153"/>
      <c r="K594" s="3153"/>
      <c r="L594" s="3153"/>
      <c r="M594" s="3153"/>
      <c r="N594" s="3153"/>
      <c r="O594" s="3153"/>
      <c r="P594" s="3153"/>
      <c r="Q594" s="3153"/>
      <c r="R594" s="3153"/>
      <c r="S594" s="3153"/>
      <c r="T594" s="3153"/>
      <c r="U594" s="3153"/>
      <c r="V594" s="3153"/>
      <c r="W594" s="3153"/>
      <c r="X594" s="3153"/>
      <c r="Y594" s="3153"/>
      <c r="Z594" s="3153"/>
      <c r="AA594" s="3153"/>
      <c r="AB594" s="3153"/>
      <c r="AC594" s="3153"/>
      <c r="AD594" s="3153"/>
      <c r="AE594" s="3153"/>
      <c r="AF594" s="3153"/>
      <c r="AG594" s="1176"/>
      <c r="AH594" s="1176"/>
      <c r="AI594" s="1176"/>
      <c r="AJ594" s="1176"/>
      <c r="AK594" s="1176"/>
      <c r="AL594" s="1505"/>
      <c r="AM594" s="1131"/>
      <c r="AN594" s="997"/>
      <c r="AO594" s="1022"/>
      <c r="AP594" s="1022"/>
      <c r="BS594" s="126"/>
      <c r="BT594" s="126"/>
      <c r="BU594" s="51"/>
      <c r="BV594" s="51"/>
      <c r="BW594" s="51"/>
      <c r="BX594" s="51"/>
      <c r="BY594" s="51"/>
      <c r="BZ594" s="51"/>
      <c r="CA594" s="51"/>
      <c r="CB594" s="51"/>
      <c r="CC594" s="51"/>
    </row>
    <row r="595" spans="1:81" s="940" customFormat="1" ht="12.75" customHeight="1">
      <c r="A595" s="924"/>
      <c r="B595" s="51"/>
      <c r="C595" s="1174"/>
      <c r="D595" s="988"/>
      <c r="E595" s="1175"/>
      <c r="F595" s="3153"/>
      <c r="G595" s="3153"/>
      <c r="H595" s="3153"/>
      <c r="I595" s="3153"/>
      <c r="J595" s="3153"/>
      <c r="K595" s="3153"/>
      <c r="L595" s="3153"/>
      <c r="M595" s="3153"/>
      <c r="N595" s="3153"/>
      <c r="O595" s="3153"/>
      <c r="P595" s="3153"/>
      <c r="Q595" s="3153"/>
      <c r="R595" s="3153"/>
      <c r="S595" s="3153"/>
      <c r="T595" s="3153"/>
      <c r="U595" s="3153"/>
      <c r="V595" s="3153"/>
      <c r="W595" s="3153"/>
      <c r="X595" s="3153"/>
      <c r="Y595" s="3153"/>
      <c r="Z595" s="3153"/>
      <c r="AA595" s="3153"/>
      <c r="AB595" s="3153"/>
      <c r="AC595" s="3153"/>
      <c r="AD595" s="3153"/>
      <c r="AE595" s="3153"/>
      <c r="AF595" s="3153"/>
      <c r="AG595" s="1176"/>
      <c r="AH595" s="1176"/>
      <c r="AI595" s="1176"/>
      <c r="AJ595" s="1176"/>
      <c r="AK595" s="1176"/>
      <c r="AL595" s="1505"/>
      <c r="AM595" s="1131"/>
      <c r="AN595" s="997"/>
      <c r="AO595" s="1022"/>
      <c r="AP595" s="1022"/>
      <c r="BS595" s="126"/>
      <c r="BT595" s="126"/>
      <c r="BU595" s="51"/>
      <c r="BV595" s="51"/>
      <c r="BW595" s="51"/>
      <c r="BX595" s="51"/>
      <c r="BY595" s="51"/>
      <c r="BZ595" s="51"/>
      <c r="CA595" s="51"/>
      <c r="CB595" s="51"/>
      <c r="CC595" s="51"/>
    </row>
    <row r="596" spans="1:81" s="940" customFormat="1" ht="12.75" customHeight="1">
      <c r="A596" s="924"/>
      <c r="B596" s="51"/>
      <c r="C596" s="3149" t="s">
        <v>576</v>
      </c>
      <c r="D596" s="3097"/>
      <c r="E596" s="1175"/>
      <c r="F596" s="1178" t="s">
        <v>1742</v>
      </c>
      <c r="G596" s="1179"/>
      <c r="H596" s="1179"/>
      <c r="I596" s="1179"/>
      <c r="J596" s="1179"/>
      <c r="K596" s="1179"/>
      <c r="L596" s="1179"/>
      <c r="M596" s="1179"/>
      <c r="N596" s="1179"/>
      <c r="O596" s="1179"/>
      <c r="P596" s="1179"/>
      <c r="Q596" s="1179"/>
      <c r="R596" s="1179"/>
      <c r="S596" s="1179"/>
      <c r="T596" s="1179"/>
      <c r="U596" s="1179"/>
      <c r="V596" s="1179"/>
      <c r="W596" s="1179"/>
      <c r="X596" s="1179"/>
      <c r="Y596" s="1179"/>
      <c r="Z596" s="1179"/>
      <c r="AA596" s="1179"/>
      <c r="AB596" s="1179"/>
      <c r="AC596" s="1179"/>
      <c r="AD596" s="1179"/>
      <c r="AE596" s="1022"/>
      <c r="AF596" s="3150" t="s">
        <v>1743</v>
      </c>
      <c r="AG596" s="3150"/>
      <c r="AH596" s="3150"/>
      <c r="AI596" s="3150"/>
      <c r="AJ596" s="3150"/>
      <c r="AK596" s="3150"/>
      <c r="AL596" s="3151"/>
      <c r="AM596" s="1180"/>
      <c r="BS596" s="126"/>
      <c r="BT596" s="126"/>
      <c r="BU596" s="51"/>
      <c r="BV596" s="51"/>
      <c r="BW596" s="51"/>
      <c r="BX596" s="51"/>
      <c r="BY596" s="51"/>
      <c r="BZ596" s="51"/>
      <c r="CA596" s="51"/>
      <c r="CB596" s="51"/>
      <c r="CC596" s="51"/>
    </row>
    <row r="597" spans="1:81" s="940" customFormat="1" ht="12.75" customHeight="1">
      <c r="A597" s="924"/>
      <c r="B597" s="56"/>
      <c r="C597" s="1233"/>
      <c r="D597" s="1181"/>
      <c r="E597" s="1182"/>
      <c r="F597" s="1183"/>
      <c r="G597" s="1184"/>
      <c r="H597" s="1184"/>
      <c r="I597" s="1184"/>
      <c r="J597" s="1184"/>
      <c r="K597" s="1184"/>
      <c r="L597" s="1184"/>
      <c r="M597" s="1184"/>
      <c r="N597" s="1184"/>
      <c r="O597" s="1184"/>
      <c r="P597" s="1184"/>
      <c r="Q597" s="1184"/>
      <c r="R597" s="1184"/>
      <c r="S597" s="1184"/>
      <c r="T597" s="1184"/>
      <c r="U597" s="1184"/>
      <c r="V597" s="1184"/>
      <c r="W597" s="1184"/>
      <c r="X597" s="1184"/>
      <c r="Y597" s="1184"/>
      <c r="Z597" s="1184"/>
      <c r="AA597" s="1184"/>
      <c r="AB597" s="1184"/>
      <c r="AC597" s="1184"/>
      <c r="AD597" s="1184"/>
      <c r="AE597" s="1185"/>
      <c r="AF597" s="1185"/>
      <c r="AG597" s="1185"/>
      <c r="AH597" s="1185"/>
      <c r="AI597" s="1185"/>
      <c r="AJ597" s="1185"/>
      <c r="AK597" s="1185"/>
      <c r="AL597" s="1234"/>
      <c r="AM597" s="1187"/>
      <c r="AN597" s="997"/>
      <c r="CC597" s="51"/>
    </row>
    <row r="598" spans="1:81" s="940" customFormat="1" ht="12.75" customHeight="1">
      <c r="A598" s="924"/>
      <c r="B598" s="51"/>
      <c r="C598" s="1188"/>
      <c r="D598" s="1188"/>
      <c r="E598" s="1175"/>
      <c r="F598" s="1120"/>
      <c r="G598" s="1120"/>
      <c r="H598" s="1120"/>
      <c r="I598" s="1120"/>
      <c r="J598" s="1120"/>
      <c r="K598" s="1120"/>
      <c r="L598" s="1120"/>
      <c r="M598" s="1120"/>
      <c r="N598" s="1120"/>
      <c r="O598" s="1120"/>
      <c r="P598" s="1120"/>
      <c r="Q598" s="1120"/>
      <c r="R598" s="1120"/>
      <c r="S598" s="1120"/>
      <c r="T598" s="1120"/>
      <c r="U598" s="1120"/>
      <c r="V598" s="1120"/>
      <c r="W598" s="1120"/>
      <c r="X598" s="1120"/>
      <c r="Y598" s="1120"/>
      <c r="Z598" s="1120"/>
      <c r="AA598" s="1120"/>
      <c r="AB598" s="1120"/>
      <c r="AC598" s="1120"/>
      <c r="AD598" s="1120"/>
      <c r="AE598" s="982"/>
      <c r="AF598" s="982"/>
      <c r="AG598" s="982"/>
      <c r="AH598" s="982"/>
      <c r="AI598" s="982"/>
      <c r="AJ598" s="982"/>
      <c r="AK598" s="982"/>
      <c r="AL598" s="982"/>
      <c r="AM598" s="1131"/>
      <c r="AN598" s="997"/>
      <c r="BS598" s="126"/>
      <c r="BT598" s="126"/>
      <c r="BU598" s="51"/>
      <c r="BV598" s="51"/>
      <c r="BW598" s="51"/>
      <c r="BX598" s="51"/>
      <c r="BY598" s="51"/>
      <c r="BZ598" s="51"/>
      <c r="CA598" s="51"/>
      <c r="CB598" s="51"/>
      <c r="CC598" s="51"/>
    </row>
    <row r="599" spans="1:81" s="940" customFormat="1" ht="12.75" customHeight="1">
      <c r="A599" s="924"/>
      <c r="B599" s="51"/>
      <c r="C599" s="1169"/>
      <c r="D599" s="1170"/>
      <c r="E599" s="1171" t="s">
        <v>1580</v>
      </c>
      <c r="F599" s="3152" t="s">
        <v>1744</v>
      </c>
      <c r="G599" s="3152"/>
      <c r="H599" s="3152"/>
      <c r="I599" s="3152"/>
      <c r="J599" s="3152"/>
      <c r="K599" s="3152"/>
      <c r="L599" s="3152"/>
      <c r="M599" s="3152"/>
      <c r="N599" s="3152"/>
      <c r="O599" s="3152"/>
      <c r="P599" s="3152"/>
      <c r="Q599" s="3152"/>
      <c r="R599" s="3152"/>
      <c r="S599" s="3152"/>
      <c r="T599" s="3152"/>
      <c r="U599" s="3152"/>
      <c r="V599" s="3152"/>
      <c r="W599" s="3152"/>
      <c r="X599" s="3152"/>
      <c r="Y599" s="3152"/>
      <c r="Z599" s="3152"/>
      <c r="AA599" s="3152"/>
      <c r="AB599" s="3152"/>
      <c r="AC599" s="3152"/>
      <c r="AD599" s="3152"/>
      <c r="AE599" s="3152"/>
      <c r="AF599" s="3152"/>
      <c r="AG599" s="1172"/>
      <c r="AH599" s="1172"/>
      <c r="AI599" s="1172"/>
      <c r="AJ599" s="1172"/>
      <c r="AK599" s="1172"/>
      <c r="AL599" s="1173"/>
      <c r="AM599" s="1131"/>
      <c r="AN599" s="997"/>
      <c r="BS599" s="126"/>
      <c r="BT599" s="126"/>
      <c r="BU599" s="51"/>
      <c r="BV599" s="51"/>
      <c r="BW599" s="51"/>
      <c r="BX599" s="51"/>
      <c r="BY599" s="51"/>
      <c r="BZ599" s="51"/>
      <c r="CA599" s="51"/>
      <c r="CB599" s="51"/>
      <c r="CC599" s="51"/>
    </row>
    <row r="600" spans="1:81" s="940" customFormat="1" ht="12.75" customHeight="1">
      <c r="A600" s="924"/>
      <c r="B600" s="51"/>
      <c r="C600" s="1189"/>
      <c r="D600" s="112"/>
      <c r="E600" s="1143"/>
      <c r="F600" s="3153"/>
      <c r="G600" s="3153"/>
      <c r="H600" s="3153"/>
      <c r="I600" s="3153"/>
      <c r="J600" s="3153"/>
      <c r="K600" s="3153"/>
      <c r="L600" s="3153"/>
      <c r="M600" s="3153"/>
      <c r="N600" s="3153"/>
      <c r="O600" s="3153"/>
      <c r="P600" s="3153"/>
      <c r="Q600" s="3153"/>
      <c r="R600" s="3153"/>
      <c r="S600" s="3153"/>
      <c r="T600" s="3153"/>
      <c r="U600" s="3153"/>
      <c r="V600" s="3153"/>
      <c r="W600" s="3153"/>
      <c r="X600" s="3153"/>
      <c r="Y600" s="3153"/>
      <c r="Z600" s="3153"/>
      <c r="AA600" s="3153"/>
      <c r="AB600" s="3153"/>
      <c r="AC600" s="3153"/>
      <c r="AD600" s="3153"/>
      <c r="AE600" s="3153"/>
      <c r="AF600" s="3153"/>
      <c r="AG600" s="1176"/>
      <c r="AH600" s="1176"/>
      <c r="AI600" s="1176"/>
      <c r="AJ600" s="1176"/>
      <c r="AK600" s="1176"/>
      <c r="AL600" s="1505"/>
      <c r="AM600" s="1131"/>
      <c r="AN600" s="997"/>
      <c r="BS600" s="126"/>
      <c r="BT600" s="126"/>
      <c r="BU600" s="51"/>
      <c r="BV600" s="51"/>
      <c r="BW600" s="51"/>
      <c r="BX600" s="51"/>
      <c r="BY600" s="51"/>
      <c r="BZ600" s="51"/>
      <c r="CA600" s="51"/>
      <c r="CB600" s="51"/>
      <c r="CC600" s="51"/>
    </row>
    <row r="601" spans="1:81" s="940" customFormat="1" ht="12.75" customHeight="1">
      <c r="A601" s="924"/>
      <c r="B601" s="51"/>
      <c r="C601" s="1189"/>
      <c r="D601" s="112"/>
      <c r="E601" s="1143"/>
      <c r="F601" s="3153"/>
      <c r="G601" s="3153"/>
      <c r="H601" s="3153"/>
      <c r="I601" s="3153"/>
      <c r="J601" s="3153"/>
      <c r="K601" s="3153"/>
      <c r="L601" s="3153"/>
      <c r="M601" s="3153"/>
      <c r="N601" s="3153"/>
      <c r="O601" s="3153"/>
      <c r="P601" s="3153"/>
      <c r="Q601" s="3153"/>
      <c r="R601" s="3153"/>
      <c r="S601" s="3153"/>
      <c r="T601" s="3153"/>
      <c r="U601" s="3153"/>
      <c r="V601" s="3153"/>
      <c r="W601" s="3153"/>
      <c r="X601" s="3153"/>
      <c r="Y601" s="3153"/>
      <c r="Z601" s="3153"/>
      <c r="AA601" s="3153"/>
      <c r="AB601" s="3153"/>
      <c r="AC601" s="3153"/>
      <c r="AD601" s="3153"/>
      <c r="AE601" s="3153"/>
      <c r="AF601" s="3153"/>
      <c r="AG601" s="1176"/>
      <c r="AH601" s="1176"/>
      <c r="AI601" s="1176"/>
      <c r="AJ601" s="1176"/>
      <c r="AK601" s="1176"/>
      <c r="AL601" s="1505"/>
      <c r="AM601" s="1131"/>
      <c r="AN601" s="997"/>
      <c r="BS601" s="126"/>
      <c r="BT601" s="126"/>
      <c r="BU601" s="51"/>
      <c r="BV601" s="51"/>
      <c r="BW601" s="51"/>
      <c r="BX601" s="51"/>
      <c r="BY601" s="51"/>
      <c r="BZ601" s="51"/>
      <c r="CA601" s="51"/>
      <c r="CB601" s="51"/>
      <c r="CC601" s="51"/>
    </row>
    <row r="602" spans="1:81" s="940" customFormat="1" ht="12.75" customHeight="1">
      <c r="A602" s="924"/>
      <c r="B602" s="51"/>
      <c r="C602" s="1189"/>
      <c r="D602" s="112"/>
      <c r="E602" s="1143"/>
      <c r="F602" s="3153"/>
      <c r="G602" s="3153"/>
      <c r="H602" s="3153"/>
      <c r="I602" s="3153"/>
      <c r="J602" s="3153"/>
      <c r="K602" s="3153"/>
      <c r="L602" s="3153"/>
      <c r="M602" s="3153"/>
      <c r="N602" s="3153"/>
      <c r="O602" s="3153"/>
      <c r="P602" s="3153"/>
      <c r="Q602" s="3153"/>
      <c r="R602" s="3153"/>
      <c r="S602" s="3153"/>
      <c r="T602" s="3153"/>
      <c r="U602" s="3153"/>
      <c r="V602" s="3153"/>
      <c r="W602" s="3153"/>
      <c r="X602" s="3153"/>
      <c r="Y602" s="3153"/>
      <c r="Z602" s="3153"/>
      <c r="AA602" s="3153"/>
      <c r="AB602" s="3153"/>
      <c r="AC602" s="3153"/>
      <c r="AD602" s="3153"/>
      <c r="AE602" s="3153"/>
      <c r="AF602" s="3153"/>
      <c r="AG602" s="1176"/>
      <c r="AH602" s="1176"/>
      <c r="AI602" s="1176"/>
      <c r="AJ602" s="1176"/>
      <c r="AK602" s="1176"/>
      <c r="AL602" s="1505"/>
      <c r="AM602" s="1131"/>
      <c r="AN602" s="997"/>
      <c r="BS602" s="126"/>
      <c r="BT602" s="126"/>
      <c r="BU602" s="51"/>
      <c r="BV602" s="51"/>
      <c r="BW602" s="51"/>
      <c r="BX602" s="51"/>
      <c r="BY602" s="51"/>
      <c r="BZ602" s="51"/>
      <c r="CA602" s="51"/>
      <c r="CB602" s="51"/>
      <c r="CC602" s="51"/>
    </row>
    <row r="603" spans="1:81" s="940" customFormat="1" ht="12.75" customHeight="1">
      <c r="A603" s="924"/>
      <c r="B603" s="51"/>
      <c r="C603" s="1189"/>
      <c r="D603" s="112"/>
      <c r="E603" s="1143"/>
      <c r="F603" s="3153"/>
      <c r="G603" s="3153"/>
      <c r="H603" s="3153"/>
      <c r="I603" s="3153"/>
      <c r="J603" s="3153"/>
      <c r="K603" s="3153"/>
      <c r="L603" s="3153"/>
      <c r="M603" s="3153"/>
      <c r="N603" s="3153"/>
      <c r="O603" s="3153"/>
      <c r="P603" s="3153"/>
      <c r="Q603" s="3153"/>
      <c r="R603" s="3153"/>
      <c r="S603" s="3153"/>
      <c r="T603" s="3153"/>
      <c r="U603" s="3153"/>
      <c r="V603" s="3153"/>
      <c r="W603" s="3153"/>
      <c r="X603" s="3153"/>
      <c r="Y603" s="3153"/>
      <c r="Z603" s="3153"/>
      <c r="AA603" s="3153"/>
      <c r="AB603" s="3153"/>
      <c r="AC603" s="3153"/>
      <c r="AD603" s="3153"/>
      <c r="AE603" s="3153"/>
      <c r="AF603" s="3153"/>
      <c r="AG603" s="1022"/>
      <c r="AH603" s="1022"/>
      <c r="AI603" s="1022"/>
      <c r="AJ603" s="1022"/>
      <c r="AK603" s="1022"/>
      <c r="AL603" s="1190"/>
      <c r="AN603" s="997"/>
      <c r="BS603" s="126"/>
      <c r="BT603" s="126"/>
      <c r="BU603" s="51"/>
      <c r="BV603" s="51"/>
      <c r="BW603" s="51"/>
      <c r="BX603" s="51"/>
      <c r="BY603" s="51"/>
      <c r="BZ603" s="51"/>
      <c r="CA603" s="51"/>
      <c r="CB603" s="51"/>
      <c r="CC603" s="51"/>
    </row>
    <row r="604" spans="1:81" s="940" customFormat="1" ht="12.75" customHeight="1">
      <c r="A604" s="988"/>
      <c r="B604" s="112"/>
      <c r="C604" s="3149" t="s">
        <v>624</v>
      </c>
      <c r="D604" s="3097"/>
      <c r="E604" s="1143"/>
      <c r="F604" s="1178" t="s">
        <v>1745</v>
      </c>
      <c r="G604" s="1179"/>
      <c r="H604" s="1179"/>
      <c r="I604" s="1179"/>
      <c r="J604" s="1179"/>
      <c r="K604" s="1179"/>
      <c r="L604" s="1179"/>
      <c r="M604" s="1179"/>
      <c r="N604" s="1179"/>
      <c r="O604" s="1179"/>
      <c r="P604" s="1179"/>
      <c r="Q604" s="1179"/>
      <c r="R604" s="1179"/>
      <c r="S604" s="1179"/>
      <c r="T604" s="1179"/>
      <c r="U604" s="1179"/>
      <c r="V604" s="1179"/>
      <c r="W604" s="1179"/>
      <c r="X604" s="1179"/>
      <c r="Y604" s="1179"/>
      <c r="Z604" s="1179"/>
      <c r="AA604" s="1179"/>
      <c r="AB604" s="1179"/>
      <c r="AC604" s="1179"/>
      <c r="AD604" s="1179"/>
      <c r="AE604" s="1022"/>
      <c r="AF604" s="3150" t="s">
        <v>1743</v>
      </c>
      <c r="AG604" s="3150"/>
      <c r="AH604" s="3150"/>
      <c r="AI604" s="3150"/>
      <c r="AJ604" s="3150"/>
      <c r="AK604" s="3150"/>
      <c r="AL604" s="3151"/>
      <c r="AM604" s="1187"/>
      <c r="AN604" s="997"/>
      <c r="BS604" s="126"/>
      <c r="BT604" s="126"/>
      <c r="BU604" s="51"/>
      <c r="BV604" s="51"/>
      <c r="BW604" s="51"/>
      <c r="BX604" s="51"/>
      <c r="BY604" s="51"/>
      <c r="BZ604" s="51"/>
      <c r="CA604" s="51"/>
      <c r="CB604" s="51"/>
      <c r="CC604" s="51"/>
    </row>
    <row r="605" spans="1:81" s="940" customFormat="1" ht="12.75" customHeight="1">
      <c r="A605" s="988"/>
      <c r="B605" s="112"/>
      <c r="C605" s="1199"/>
      <c r="D605" s="1191"/>
      <c r="E605" s="1192"/>
      <c r="F605" s="1193"/>
      <c r="G605" s="1194"/>
      <c r="H605" s="1194"/>
      <c r="I605" s="1194"/>
      <c r="J605" s="1194"/>
      <c r="K605" s="1194"/>
      <c r="L605" s="1194"/>
      <c r="M605" s="1194"/>
      <c r="N605" s="1194"/>
      <c r="O605" s="1194"/>
      <c r="P605" s="1194"/>
      <c r="Q605" s="1194"/>
      <c r="R605" s="1194"/>
      <c r="S605" s="1194"/>
      <c r="T605" s="1194"/>
      <c r="U605" s="1194"/>
      <c r="V605" s="1194"/>
      <c r="W605" s="1194"/>
      <c r="X605" s="1194"/>
      <c r="Y605" s="1194"/>
      <c r="Z605" s="1194"/>
      <c r="AA605" s="1194"/>
      <c r="AB605" s="1194"/>
      <c r="AC605" s="1194"/>
      <c r="AD605" s="1194"/>
      <c r="AE605" s="1195"/>
      <c r="AF605" s="974"/>
      <c r="AG605" s="1195"/>
      <c r="AH605" s="1185"/>
      <c r="AI605" s="1185"/>
      <c r="AJ605" s="1185"/>
      <c r="AK605" s="1185"/>
      <c r="AL605" s="1201"/>
      <c r="AM605" s="1187"/>
      <c r="AN605" s="997"/>
      <c r="BS605" s="126"/>
      <c r="BT605" s="126"/>
      <c r="BU605" s="51"/>
      <c r="BV605" s="51"/>
      <c r="BW605" s="51"/>
      <c r="BX605" s="51"/>
      <c r="BY605" s="51"/>
      <c r="BZ605" s="51"/>
      <c r="CA605" s="51"/>
      <c r="CB605" s="51"/>
      <c r="CC605" s="51"/>
    </row>
    <row r="606" spans="1:81" s="940" customFormat="1" ht="12.75" customHeight="1">
      <c r="A606" s="924"/>
      <c r="B606" s="51"/>
      <c r="C606" s="51"/>
      <c r="D606" s="51"/>
      <c r="E606" s="1143"/>
      <c r="F606" s="1120"/>
      <c r="G606" s="1120"/>
      <c r="H606" s="1120"/>
      <c r="I606" s="1120"/>
      <c r="J606" s="1120"/>
      <c r="K606" s="1120"/>
      <c r="L606" s="1120"/>
      <c r="M606" s="1120"/>
      <c r="N606" s="1120"/>
      <c r="O606" s="1120"/>
      <c r="P606" s="1120"/>
      <c r="Q606" s="1120"/>
      <c r="R606" s="1120"/>
      <c r="S606" s="1120"/>
      <c r="T606" s="1120"/>
      <c r="U606" s="1120"/>
      <c r="V606" s="1120"/>
      <c r="W606" s="1120"/>
      <c r="X606" s="1120"/>
      <c r="Y606" s="1120"/>
      <c r="Z606" s="1120"/>
      <c r="AA606" s="1120"/>
      <c r="AB606" s="1120"/>
      <c r="AC606" s="1120"/>
      <c r="AD606" s="1120"/>
      <c r="AE606" s="924"/>
      <c r="AF606" s="929"/>
      <c r="AG606" s="924"/>
      <c r="AM606" s="1131"/>
      <c r="AN606" s="997"/>
      <c r="BS606" s="126"/>
      <c r="BT606" s="126"/>
      <c r="BU606" s="51"/>
      <c r="BV606" s="51"/>
      <c r="BW606" s="51"/>
      <c r="BX606" s="51"/>
      <c r="BY606" s="51"/>
      <c r="BZ606" s="51"/>
      <c r="CA606" s="51"/>
      <c r="CB606" s="51"/>
      <c r="CC606" s="51"/>
    </row>
    <row r="607" spans="1:81" s="940" customFormat="1" ht="12.75" customHeight="1">
      <c r="A607" s="924"/>
      <c r="B607" s="51"/>
      <c r="C607" s="1169"/>
      <c r="D607" s="1170"/>
      <c r="E607" s="1171" t="s">
        <v>1583</v>
      </c>
      <c r="F607" s="3152" t="s">
        <v>1746</v>
      </c>
      <c r="G607" s="3152"/>
      <c r="H607" s="3152"/>
      <c r="I607" s="3152"/>
      <c r="J607" s="3152"/>
      <c r="K607" s="3152"/>
      <c r="L607" s="3152"/>
      <c r="M607" s="3152"/>
      <c r="N607" s="3152"/>
      <c r="O607" s="3152"/>
      <c r="P607" s="3152"/>
      <c r="Q607" s="3152"/>
      <c r="R607" s="3152"/>
      <c r="S607" s="3152"/>
      <c r="T607" s="3152"/>
      <c r="U607" s="3152"/>
      <c r="V607" s="3152"/>
      <c r="W607" s="3152"/>
      <c r="X607" s="3152"/>
      <c r="Y607" s="3152"/>
      <c r="Z607" s="3152"/>
      <c r="AA607" s="3152"/>
      <c r="AB607" s="3152"/>
      <c r="AC607" s="3152"/>
      <c r="AD607" s="3152"/>
      <c r="AE607" s="3152"/>
      <c r="AF607" s="3152"/>
      <c r="AG607" s="1172"/>
      <c r="AH607" s="1172"/>
      <c r="AI607" s="1172"/>
      <c r="AJ607" s="1172"/>
      <c r="AK607" s="1172"/>
      <c r="AL607" s="1173"/>
      <c r="AM607" s="1131"/>
      <c r="AN607" s="997"/>
      <c r="BS607" s="1131"/>
      <c r="BT607" s="1131"/>
      <c r="BU607" s="1131"/>
      <c r="BV607" s="1131"/>
      <c r="BW607" s="1131"/>
      <c r="BX607" s="1131"/>
      <c r="BY607" s="1131"/>
      <c r="BZ607" s="1131"/>
      <c r="CA607" s="1131"/>
      <c r="CB607" s="1131"/>
      <c r="CC607" s="1131"/>
    </row>
    <row r="608" spans="1:81" s="940" customFormat="1" ht="12.75" customHeight="1">
      <c r="A608" s="924"/>
      <c r="B608" s="51"/>
      <c r="C608" s="1189"/>
      <c r="D608" s="112"/>
      <c r="E608" s="1143"/>
      <c r="F608" s="3153"/>
      <c r="G608" s="3153"/>
      <c r="H608" s="3153"/>
      <c r="I608" s="3153"/>
      <c r="J608" s="3153"/>
      <c r="K608" s="3153"/>
      <c r="L608" s="3153"/>
      <c r="M608" s="3153"/>
      <c r="N608" s="3153"/>
      <c r="O608" s="3153"/>
      <c r="P608" s="3153"/>
      <c r="Q608" s="3153"/>
      <c r="R608" s="3153"/>
      <c r="S608" s="3153"/>
      <c r="T608" s="3153"/>
      <c r="U608" s="3153"/>
      <c r="V608" s="3153"/>
      <c r="W608" s="3153"/>
      <c r="X608" s="3153"/>
      <c r="Y608" s="3153"/>
      <c r="Z608" s="3153"/>
      <c r="AA608" s="3153"/>
      <c r="AB608" s="3153"/>
      <c r="AC608" s="3153"/>
      <c r="AD608" s="3153"/>
      <c r="AE608" s="3153"/>
      <c r="AF608" s="3153"/>
      <c r="AG608" s="1176"/>
      <c r="AH608" s="1176"/>
      <c r="AI608" s="1176"/>
      <c r="AJ608" s="1176"/>
      <c r="AK608" s="1176"/>
      <c r="AL608" s="1177"/>
      <c r="AM608" s="1131"/>
      <c r="AN608" s="997"/>
      <c r="BS608" s="1131"/>
      <c r="BT608" s="1131"/>
      <c r="BU608" s="1131"/>
      <c r="BV608" s="1131"/>
      <c r="BW608" s="1131"/>
      <c r="BX608" s="1131"/>
      <c r="BY608" s="1131"/>
      <c r="BZ608" s="1131"/>
      <c r="CA608" s="1131"/>
      <c r="CB608" s="1131"/>
      <c r="CC608" s="1131"/>
    </row>
    <row r="609" spans="1:81" s="940" customFormat="1" ht="12.75" customHeight="1">
      <c r="A609" s="924"/>
      <c r="B609" s="51"/>
      <c r="C609" s="1189"/>
      <c r="D609" s="112"/>
      <c r="E609" s="1143"/>
      <c r="F609" s="3153"/>
      <c r="G609" s="3153"/>
      <c r="H609" s="3153"/>
      <c r="I609" s="3153"/>
      <c r="J609" s="3153"/>
      <c r="K609" s="3153"/>
      <c r="L609" s="3153"/>
      <c r="M609" s="3153"/>
      <c r="N609" s="3153"/>
      <c r="O609" s="3153"/>
      <c r="P609" s="3153"/>
      <c r="Q609" s="3153"/>
      <c r="R609" s="3153"/>
      <c r="S609" s="3153"/>
      <c r="T609" s="3153"/>
      <c r="U609" s="3153"/>
      <c r="V609" s="3153"/>
      <c r="W609" s="3153"/>
      <c r="X609" s="3153"/>
      <c r="Y609" s="3153"/>
      <c r="Z609" s="3153"/>
      <c r="AA609" s="3153"/>
      <c r="AB609" s="3153"/>
      <c r="AC609" s="3153"/>
      <c r="AD609" s="3153"/>
      <c r="AE609" s="3153"/>
      <c r="AF609" s="3153"/>
      <c r="AG609" s="1176"/>
      <c r="AH609" s="1176"/>
      <c r="AI609" s="1176"/>
      <c r="AJ609" s="1176"/>
      <c r="AK609" s="1176"/>
      <c r="AL609" s="1177"/>
      <c r="AM609" s="1131"/>
      <c r="AN609" s="997"/>
      <c r="BS609" s="1131"/>
      <c r="BT609" s="1131"/>
      <c r="BU609" s="1131"/>
      <c r="BV609" s="1131"/>
      <c r="BW609" s="1131"/>
      <c r="BX609" s="1131"/>
      <c r="BY609" s="1131"/>
      <c r="BZ609" s="1131"/>
      <c r="CA609" s="1131"/>
      <c r="CB609" s="1131"/>
      <c r="CC609" s="1131"/>
    </row>
    <row r="610" spans="1:81" s="940" customFormat="1" ht="12.75" customHeight="1">
      <c r="A610" s="924"/>
      <c r="B610" s="51"/>
      <c r="C610" s="1189"/>
      <c r="D610" s="112"/>
      <c r="E610" s="1143"/>
      <c r="F610" s="3153"/>
      <c r="G610" s="3153"/>
      <c r="H610" s="3153"/>
      <c r="I610" s="3153"/>
      <c r="J610" s="3153"/>
      <c r="K610" s="3153"/>
      <c r="L610" s="3153"/>
      <c r="M610" s="3153"/>
      <c r="N610" s="3153"/>
      <c r="O610" s="3153"/>
      <c r="P610" s="3153"/>
      <c r="Q610" s="3153"/>
      <c r="R610" s="3153"/>
      <c r="S610" s="3153"/>
      <c r="T610" s="3153"/>
      <c r="U610" s="3153"/>
      <c r="V610" s="3153"/>
      <c r="W610" s="3153"/>
      <c r="X610" s="3153"/>
      <c r="Y610" s="3153"/>
      <c r="Z610" s="3153"/>
      <c r="AA610" s="3153"/>
      <c r="AB610" s="3153"/>
      <c r="AC610" s="3153"/>
      <c r="AD610" s="3153"/>
      <c r="AE610" s="3153"/>
      <c r="AF610" s="3153"/>
      <c r="AG610" s="1176"/>
      <c r="AH610" s="1176"/>
      <c r="AI610" s="1176"/>
      <c r="AJ610" s="1176"/>
      <c r="AK610" s="1176"/>
      <c r="AL610" s="1177"/>
      <c r="AM610" s="1131"/>
      <c r="AN610" s="997"/>
      <c r="BS610" s="1131"/>
      <c r="BT610" s="1131"/>
      <c r="BU610" s="1131"/>
      <c r="BV610" s="1131"/>
      <c r="BW610" s="1131"/>
      <c r="BX610" s="1131"/>
      <c r="BY610" s="1131"/>
      <c r="BZ610" s="1131"/>
      <c r="CA610" s="1131"/>
      <c r="CB610" s="1131"/>
      <c r="CC610" s="1131"/>
    </row>
    <row r="611" spans="1:81" s="940" customFormat="1" ht="12.75" customHeight="1">
      <c r="A611" s="924"/>
      <c r="B611" s="51"/>
      <c r="C611" s="1189"/>
      <c r="D611" s="112"/>
      <c r="E611" s="1143"/>
      <c r="F611" s="3153"/>
      <c r="G611" s="3153"/>
      <c r="H611" s="3153"/>
      <c r="I611" s="3153"/>
      <c r="J611" s="3153"/>
      <c r="K611" s="3153"/>
      <c r="L611" s="3153"/>
      <c r="M611" s="3153"/>
      <c r="N611" s="3153"/>
      <c r="O611" s="3153"/>
      <c r="P611" s="3153"/>
      <c r="Q611" s="3153"/>
      <c r="R611" s="3153"/>
      <c r="S611" s="3153"/>
      <c r="T611" s="3153"/>
      <c r="U611" s="3153"/>
      <c r="V611" s="3153"/>
      <c r="W611" s="3153"/>
      <c r="X611" s="3153"/>
      <c r="Y611" s="3153"/>
      <c r="Z611" s="3153"/>
      <c r="AA611" s="3153"/>
      <c r="AB611" s="3153"/>
      <c r="AC611" s="3153"/>
      <c r="AD611" s="3153"/>
      <c r="AE611" s="3153"/>
      <c r="AF611" s="3153"/>
      <c r="AG611" s="1176"/>
      <c r="AH611" s="1176"/>
      <c r="AI611" s="1176"/>
      <c r="AJ611" s="1176"/>
      <c r="AK611" s="1176"/>
      <c r="AL611" s="1177"/>
      <c r="AM611" s="1131"/>
      <c r="AN611" s="997"/>
      <c r="BS611" s="1131"/>
      <c r="BT611" s="1131"/>
      <c r="BU611" s="1131"/>
      <c r="BV611" s="1131"/>
      <c r="BW611" s="1131"/>
      <c r="BX611" s="1131"/>
      <c r="BY611" s="1131"/>
      <c r="BZ611" s="1131"/>
      <c r="CA611" s="1131"/>
      <c r="CB611" s="1131"/>
      <c r="CC611" s="1131"/>
    </row>
    <row r="612" spans="1:81" s="940" customFormat="1" ht="12.75" customHeight="1">
      <c r="A612" s="924"/>
      <c r="B612" s="51"/>
      <c r="C612" s="3149" t="s">
        <v>624</v>
      </c>
      <c r="D612" s="3097"/>
      <c r="E612" s="1143"/>
      <c r="F612" s="1178" t="s">
        <v>1747</v>
      </c>
      <c r="G612" s="1179"/>
      <c r="H612" s="1179"/>
      <c r="I612" s="1179"/>
      <c r="J612" s="1179"/>
      <c r="K612" s="1179"/>
      <c r="L612" s="1179"/>
      <c r="M612" s="1179"/>
      <c r="N612" s="1179"/>
      <c r="O612" s="1179"/>
      <c r="P612" s="1179"/>
      <c r="Q612" s="1179"/>
      <c r="R612" s="1179"/>
      <c r="S612" s="1179"/>
      <c r="T612" s="1179"/>
      <c r="U612" s="1179"/>
      <c r="V612" s="1179"/>
      <c r="W612" s="1179"/>
      <c r="X612" s="1179"/>
      <c r="Y612" s="1179"/>
      <c r="Z612" s="1179"/>
      <c r="AA612" s="1179"/>
      <c r="AB612" s="1179"/>
      <c r="AC612" s="1179"/>
      <c r="AD612" s="1179"/>
      <c r="AE612" s="1022"/>
      <c r="AF612" s="3150" t="s">
        <v>1748</v>
      </c>
      <c r="AG612" s="3150"/>
      <c r="AH612" s="3150"/>
      <c r="AI612" s="3150"/>
      <c r="AJ612" s="3150"/>
      <c r="AK612" s="3150"/>
      <c r="AL612" s="3151"/>
      <c r="AM612" s="1180"/>
      <c r="BS612" s="1131"/>
      <c r="BT612" s="1131"/>
      <c r="BU612" s="1131"/>
      <c r="BV612" s="1131"/>
      <c r="BW612" s="1131"/>
      <c r="BX612" s="1131"/>
      <c r="BY612" s="1131"/>
      <c r="BZ612" s="1131"/>
      <c r="CA612" s="1131"/>
      <c r="CB612" s="1131"/>
      <c r="CC612" s="1131"/>
    </row>
    <row r="613" spans="1:81" s="940" customFormat="1" ht="12.75" customHeight="1">
      <c r="A613" s="924"/>
      <c r="B613" s="51"/>
      <c r="C613" s="1189"/>
      <c r="D613" s="112"/>
      <c r="E613" s="1143"/>
      <c r="F613" s="1196"/>
      <c r="G613" s="1196"/>
      <c r="H613" s="1196"/>
      <c r="I613" s="1196"/>
      <c r="J613" s="1196"/>
      <c r="K613" s="1196"/>
      <c r="L613" s="1196"/>
      <c r="M613" s="1196"/>
      <c r="N613" s="1196"/>
      <c r="O613" s="1196"/>
      <c r="P613" s="1196"/>
      <c r="Q613" s="1196"/>
      <c r="R613" s="1196"/>
      <c r="S613" s="1196"/>
      <c r="T613" s="1196"/>
      <c r="U613" s="1196"/>
      <c r="V613" s="1196"/>
      <c r="W613" s="1196"/>
      <c r="X613" s="1196"/>
      <c r="Y613" s="1196"/>
      <c r="Z613" s="1196"/>
      <c r="AA613" s="1196"/>
      <c r="AB613" s="1196"/>
      <c r="AC613" s="1196"/>
      <c r="AD613" s="1196"/>
      <c r="AE613" s="1022"/>
      <c r="AF613" s="1022"/>
      <c r="AG613" s="1022"/>
      <c r="AH613" s="1022"/>
      <c r="AI613" s="1022"/>
      <c r="AJ613" s="1022"/>
      <c r="AK613" s="1022"/>
      <c r="AL613" s="1190"/>
      <c r="AM613" s="1131"/>
      <c r="AN613" s="997"/>
      <c r="BS613" s="1131"/>
      <c r="BT613" s="1131"/>
      <c r="BU613" s="1131"/>
      <c r="BV613" s="1131"/>
      <c r="BW613" s="1131"/>
      <c r="BX613" s="1131"/>
      <c r="BY613" s="1131"/>
      <c r="BZ613" s="1131"/>
      <c r="CA613" s="1131"/>
      <c r="CB613" s="1131"/>
      <c r="CC613" s="1131"/>
    </row>
    <row r="614" spans="1:81" s="940" customFormat="1" ht="12.75" customHeight="1">
      <c r="A614" s="924"/>
      <c r="B614" s="51"/>
      <c r="C614" s="3149" t="s">
        <v>576</v>
      </c>
      <c r="D614" s="3097"/>
      <c r="E614" s="1143"/>
      <c r="F614" s="1197" t="s">
        <v>1749</v>
      </c>
      <c r="G614" s="1196"/>
      <c r="H614" s="1196"/>
      <c r="I614" s="1196"/>
      <c r="J614" s="1196"/>
      <c r="K614" s="1196"/>
      <c r="L614" s="1196"/>
      <c r="M614" s="1196"/>
      <c r="N614" s="1196"/>
      <c r="O614" s="1196"/>
      <c r="P614" s="1196"/>
      <c r="Q614" s="1196"/>
      <c r="R614" s="1196"/>
      <c r="S614" s="1196"/>
      <c r="T614" s="1196"/>
      <c r="U614" s="1196"/>
      <c r="V614" s="1196"/>
      <c r="W614" s="1196"/>
      <c r="X614" s="1196"/>
      <c r="Y614" s="1196"/>
      <c r="Z614" s="1196"/>
      <c r="AA614" s="1196"/>
      <c r="AB614" s="1196"/>
      <c r="AC614" s="1196"/>
      <c r="AD614" s="1196"/>
      <c r="AE614" s="1022"/>
      <c r="AF614" s="3150" t="s">
        <v>1743</v>
      </c>
      <c r="AG614" s="3150"/>
      <c r="AH614" s="3150"/>
      <c r="AI614" s="3150"/>
      <c r="AJ614" s="3150"/>
      <c r="AK614" s="3150"/>
      <c r="AL614" s="3151"/>
      <c r="AM614" s="1131"/>
      <c r="AN614" s="997"/>
      <c r="BS614" s="1131"/>
      <c r="BT614" s="1131"/>
      <c r="BU614" s="1131"/>
    </row>
    <row r="615" spans="1:81" s="940" customFormat="1" ht="12.75" customHeight="1">
      <c r="A615" s="924"/>
      <c r="B615" s="51"/>
      <c r="C615" s="1198"/>
      <c r="D615" s="1022"/>
      <c r="E615" s="1143"/>
      <c r="F615" s="1022"/>
      <c r="G615" s="1196"/>
      <c r="H615" s="1196"/>
      <c r="I615" s="1196"/>
      <c r="J615" s="1196"/>
      <c r="K615" s="1196"/>
      <c r="L615" s="1196"/>
      <c r="M615" s="1196"/>
      <c r="N615" s="1196"/>
      <c r="O615" s="1196"/>
      <c r="P615" s="1196"/>
      <c r="Q615" s="1196"/>
      <c r="R615" s="1196"/>
      <c r="S615" s="1196"/>
      <c r="T615" s="1196"/>
      <c r="U615" s="1196"/>
      <c r="V615" s="1196"/>
      <c r="W615" s="1196"/>
      <c r="X615" s="1196"/>
      <c r="Y615" s="1196"/>
      <c r="Z615" s="1196"/>
      <c r="AA615" s="1196"/>
      <c r="AB615" s="1196"/>
      <c r="AC615" s="1196"/>
      <c r="AD615" s="1196"/>
      <c r="AE615" s="1022"/>
      <c r="AF615" s="1022"/>
      <c r="AG615" s="1022"/>
      <c r="AH615" s="1022"/>
      <c r="AI615" s="1022"/>
      <c r="AJ615" s="1022"/>
      <c r="AK615" s="1022"/>
      <c r="AL615" s="1190"/>
      <c r="AM615" s="1131"/>
      <c r="AN615" s="997"/>
      <c r="BS615" s="1131"/>
      <c r="BT615" s="1131"/>
      <c r="BU615" s="1131"/>
    </row>
    <row r="616" spans="1:81" s="940" customFormat="1" ht="12.75" customHeight="1">
      <c r="A616" s="924"/>
      <c r="B616" s="51"/>
      <c r="C616" s="1199"/>
      <c r="D616" s="1191"/>
      <c r="E616" s="1192"/>
      <c r="F616" s="1200" t="s">
        <v>1750</v>
      </c>
      <c r="G616" s="1193"/>
      <c r="H616" s="1193"/>
      <c r="I616" s="1193"/>
      <c r="J616" s="1193"/>
      <c r="K616" s="1193"/>
      <c r="L616" s="1193"/>
      <c r="M616" s="1193"/>
      <c r="N616" s="1193"/>
      <c r="O616" s="1193"/>
      <c r="P616" s="1193"/>
      <c r="Q616" s="1193"/>
      <c r="R616" s="1193"/>
      <c r="S616" s="1193"/>
      <c r="T616" s="1193"/>
      <c r="U616" s="1193"/>
      <c r="V616" s="1193"/>
      <c r="W616" s="1193"/>
      <c r="X616" s="1193"/>
      <c r="Y616" s="1193"/>
      <c r="Z616" s="1193"/>
      <c r="AA616" s="1193"/>
      <c r="AB616" s="1193"/>
      <c r="AC616" s="1193"/>
      <c r="AD616" s="1193"/>
      <c r="AE616" s="1195"/>
      <c r="AF616" s="974"/>
      <c r="AG616" s="1195"/>
      <c r="AH616" s="1185"/>
      <c r="AI616" s="1185"/>
      <c r="AJ616" s="1185"/>
      <c r="AK616" s="1185"/>
      <c r="AL616" s="1201"/>
      <c r="AM616" s="1131"/>
      <c r="AN616" s="997"/>
      <c r="BS616" s="1131"/>
      <c r="BT616" s="1131"/>
      <c r="BU616" s="1131"/>
    </row>
    <row r="617" spans="1:81" s="940" customFormat="1" ht="12.75" customHeight="1">
      <c r="A617" s="924"/>
      <c r="B617" s="51"/>
      <c r="C617" s="51"/>
      <c r="D617" s="51"/>
      <c r="E617" s="1143"/>
      <c r="F617" s="1120"/>
      <c r="G617" s="1120"/>
      <c r="H617" s="1120"/>
      <c r="I617" s="1120"/>
      <c r="J617" s="1120"/>
      <c r="K617" s="1120"/>
      <c r="L617" s="1120"/>
      <c r="M617" s="1120"/>
      <c r="N617" s="1120"/>
      <c r="O617" s="1120"/>
      <c r="P617" s="1120"/>
      <c r="Q617" s="1120"/>
      <c r="R617" s="1120"/>
      <c r="S617" s="1120"/>
      <c r="T617" s="1120"/>
      <c r="U617" s="1120"/>
      <c r="V617" s="1120"/>
      <c r="W617" s="1120"/>
      <c r="X617" s="1120"/>
      <c r="Y617" s="1120"/>
      <c r="Z617" s="1120"/>
      <c r="AA617" s="1120"/>
      <c r="AB617" s="1120"/>
      <c r="AC617" s="1120"/>
      <c r="AD617" s="1120"/>
      <c r="AE617" s="924"/>
      <c r="AF617" s="929"/>
      <c r="AG617" s="924"/>
      <c r="AM617" s="1131"/>
      <c r="AN617" s="997"/>
      <c r="BS617" s="1131"/>
      <c r="BT617" s="1131"/>
      <c r="BU617" s="1131"/>
    </row>
    <row r="618" spans="1:81" s="940" customFormat="1" ht="12.75" customHeight="1">
      <c r="A618" s="924"/>
      <c r="B618" s="51"/>
      <c r="C618" s="1169"/>
      <c r="D618" s="1170"/>
      <c r="E618" s="1171" t="s">
        <v>1751</v>
      </c>
      <c r="F618" s="3152" t="s">
        <v>1752</v>
      </c>
      <c r="G618" s="3152"/>
      <c r="H618" s="3152"/>
      <c r="I618" s="3152"/>
      <c r="J618" s="3152"/>
      <c r="K618" s="3152"/>
      <c r="L618" s="3152"/>
      <c r="M618" s="3152"/>
      <c r="N618" s="3152"/>
      <c r="O618" s="3152"/>
      <c r="P618" s="3152"/>
      <c r="Q618" s="3152"/>
      <c r="R618" s="3152"/>
      <c r="S618" s="3152"/>
      <c r="T618" s="3152"/>
      <c r="U618" s="3152"/>
      <c r="V618" s="3152"/>
      <c r="W618" s="3152"/>
      <c r="X618" s="3152"/>
      <c r="Y618" s="3152"/>
      <c r="Z618" s="3152"/>
      <c r="AA618" s="3152"/>
      <c r="AB618" s="3152"/>
      <c r="AC618" s="3152"/>
      <c r="AD618" s="3152"/>
      <c r="AE618" s="3152"/>
      <c r="AF618" s="3152"/>
      <c r="AG618" s="1172"/>
      <c r="AH618" s="1172"/>
      <c r="AI618" s="1172"/>
      <c r="AJ618" s="1172"/>
      <c r="AK618" s="1172"/>
      <c r="AL618" s="1173"/>
      <c r="AM618" s="1131"/>
      <c r="AN618" s="997"/>
      <c r="BS618" s="1131"/>
      <c r="BT618" s="1131"/>
      <c r="BU618" s="1131"/>
      <c r="BV618" s="1131"/>
      <c r="BW618" s="1131"/>
      <c r="BX618" s="1131"/>
      <c r="BY618" s="1131"/>
      <c r="BZ618" s="1131"/>
      <c r="CA618" s="1131"/>
      <c r="CB618" s="1131"/>
      <c r="CC618" s="1131"/>
    </row>
    <row r="619" spans="1:81" s="940" customFormat="1" ht="12.75" customHeight="1">
      <c r="A619" s="924"/>
      <c r="B619" s="51"/>
      <c r="C619" s="1189"/>
      <c r="D619" s="112"/>
      <c r="E619" s="1143"/>
      <c r="F619" s="3153"/>
      <c r="G619" s="3153"/>
      <c r="H619" s="3153"/>
      <c r="I619" s="3153"/>
      <c r="J619" s="3153"/>
      <c r="K619" s="3153"/>
      <c r="L619" s="3153"/>
      <c r="M619" s="3153"/>
      <c r="N619" s="3153"/>
      <c r="O619" s="3153"/>
      <c r="P619" s="3153"/>
      <c r="Q619" s="3153"/>
      <c r="R619" s="3153"/>
      <c r="S619" s="3153"/>
      <c r="T619" s="3153"/>
      <c r="U619" s="3153"/>
      <c r="V619" s="3153"/>
      <c r="W619" s="3153"/>
      <c r="X619" s="3153"/>
      <c r="Y619" s="3153"/>
      <c r="Z619" s="3153"/>
      <c r="AA619" s="3153"/>
      <c r="AB619" s="3153"/>
      <c r="AC619" s="3153"/>
      <c r="AD619" s="3153"/>
      <c r="AE619" s="3153"/>
      <c r="AF619" s="3153"/>
      <c r="AG619" s="1176"/>
      <c r="AH619" s="1176"/>
      <c r="AI619" s="1176"/>
      <c r="AJ619" s="1176"/>
      <c r="AK619" s="1176"/>
      <c r="AL619" s="1177"/>
      <c r="AM619" s="1131"/>
      <c r="AN619" s="997"/>
      <c r="BS619" s="1131"/>
      <c r="BT619" s="1131"/>
      <c r="BU619" s="1131"/>
      <c r="BV619" s="1131"/>
      <c r="BW619" s="1131"/>
      <c r="BX619" s="1131"/>
      <c r="BY619" s="1131"/>
      <c r="BZ619" s="1131"/>
      <c r="CA619" s="1131"/>
      <c r="CB619" s="1131"/>
      <c r="CC619" s="1131"/>
    </row>
    <row r="620" spans="1:81" ht="13">
      <c r="A620" s="924"/>
      <c r="C620" s="1189"/>
      <c r="D620" s="112"/>
      <c r="E620" s="1143"/>
      <c r="F620" s="3153"/>
      <c r="G620" s="3153"/>
      <c r="H620" s="3153"/>
      <c r="I620" s="3153"/>
      <c r="J620" s="3153"/>
      <c r="K620" s="3153"/>
      <c r="L620" s="3153"/>
      <c r="M620" s="3153"/>
      <c r="N620" s="3153"/>
      <c r="O620" s="3153"/>
      <c r="P620" s="3153"/>
      <c r="Q620" s="3153"/>
      <c r="R620" s="3153"/>
      <c r="S620" s="3153"/>
      <c r="T620" s="3153"/>
      <c r="U620" s="3153"/>
      <c r="V620" s="3153"/>
      <c r="W620" s="3153"/>
      <c r="X620" s="3153"/>
      <c r="Y620" s="3153"/>
      <c r="Z620" s="3153"/>
      <c r="AA620" s="3153"/>
      <c r="AB620" s="3153"/>
      <c r="AC620" s="3153"/>
      <c r="AD620" s="3153"/>
      <c r="AE620" s="3153"/>
      <c r="AF620" s="3153"/>
      <c r="AG620" s="1176"/>
      <c r="AH620" s="1176"/>
      <c r="AI620" s="1176"/>
      <c r="AJ620" s="1176"/>
      <c r="AK620" s="1176"/>
      <c r="AL620" s="1177"/>
      <c r="AM620" s="1131"/>
      <c r="BS620" s="1131"/>
      <c r="BT620" s="1131"/>
      <c r="BU620" s="1131"/>
      <c r="BV620" s="1131"/>
      <c r="BW620" s="1131"/>
      <c r="BX620" s="1131"/>
      <c r="BY620" s="1131"/>
      <c r="BZ620" s="1131"/>
      <c r="CA620" s="1131"/>
      <c r="CB620" s="1131"/>
      <c r="CC620" s="1131"/>
    </row>
    <row r="621" spans="1:81" s="940" customFormat="1" ht="12.75" customHeight="1">
      <c r="A621" s="924"/>
      <c r="B621" s="51"/>
      <c r="C621" s="1189"/>
      <c r="D621" s="112"/>
      <c r="E621" s="1143"/>
      <c r="F621" s="3153"/>
      <c r="G621" s="3153"/>
      <c r="H621" s="3153"/>
      <c r="I621" s="3153"/>
      <c r="J621" s="3153"/>
      <c r="K621" s="3153"/>
      <c r="L621" s="3153"/>
      <c r="M621" s="3153"/>
      <c r="N621" s="3153"/>
      <c r="O621" s="3153"/>
      <c r="P621" s="3153"/>
      <c r="Q621" s="3153"/>
      <c r="R621" s="3153"/>
      <c r="S621" s="3153"/>
      <c r="T621" s="3153"/>
      <c r="U621" s="3153"/>
      <c r="V621" s="3153"/>
      <c r="W621" s="3153"/>
      <c r="X621" s="3153"/>
      <c r="Y621" s="3153"/>
      <c r="Z621" s="3153"/>
      <c r="AA621" s="3153"/>
      <c r="AB621" s="3153"/>
      <c r="AC621" s="3153"/>
      <c r="AD621" s="3153"/>
      <c r="AE621" s="3153"/>
      <c r="AF621" s="3153"/>
      <c r="AG621" s="1176"/>
      <c r="AH621" s="1176"/>
      <c r="AI621" s="1176"/>
      <c r="AJ621" s="1176"/>
      <c r="AK621" s="1176"/>
      <c r="AL621" s="1177"/>
      <c r="AM621" s="1131"/>
      <c r="AN621" s="997"/>
      <c r="BS621" s="1131"/>
      <c r="BT621" s="1131"/>
      <c r="BY621" s="1131"/>
      <c r="BZ621" s="1131"/>
      <c r="CA621" s="1131"/>
      <c r="CB621" s="1131"/>
      <c r="CC621" s="1131"/>
    </row>
    <row r="622" spans="1:81" s="940" customFormat="1" ht="12.75" customHeight="1">
      <c r="A622" s="924"/>
      <c r="B622" s="51"/>
      <c r="C622" s="3149" t="s">
        <v>624</v>
      </c>
      <c r="D622" s="3097"/>
      <c r="E622" s="1143"/>
      <c r="F622" s="1178" t="s">
        <v>1753</v>
      </c>
      <c r="G622" s="1179"/>
      <c r="H622" s="1179"/>
      <c r="I622" s="1179"/>
      <c r="J622" s="1179"/>
      <c r="K622" s="1179"/>
      <c r="L622" s="1179"/>
      <c r="M622" s="1179"/>
      <c r="N622" s="1179"/>
      <c r="O622" s="1179"/>
      <c r="P622" s="1179"/>
      <c r="Q622" s="1179"/>
      <c r="R622" s="1179"/>
      <c r="S622" s="1179"/>
      <c r="T622" s="1179"/>
      <c r="U622" s="1179"/>
      <c r="V622" s="1179"/>
      <c r="W622" s="1179"/>
      <c r="X622" s="1179"/>
      <c r="Y622" s="1179"/>
      <c r="Z622" s="1179"/>
      <c r="AA622" s="1179"/>
      <c r="AB622" s="1179"/>
      <c r="AC622" s="1179"/>
      <c r="AD622" s="1179"/>
      <c r="AE622" s="1022"/>
      <c r="AF622" s="3150" t="s">
        <v>1743</v>
      </c>
      <c r="AG622" s="3150"/>
      <c r="AH622" s="3150"/>
      <c r="AI622" s="3150"/>
      <c r="AJ622" s="3150"/>
      <c r="AK622" s="3150"/>
      <c r="AL622" s="3151"/>
      <c r="AM622" s="1131"/>
      <c r="AN622" s="997"/>
      <c r="BS622" s="1131"/>
      <c r="BT622" s="1131"/>
      <c r="BY622" s="1131"/>
      <c r="BZ622" s="1131"/>
      <c r="CA622" s="1131"/>
      <c r="CB622" s="1131"/>
      <c r="CC622" s="1131"/>
    </row>
    <row r="623" spans="1:81" s="940" customFormat="1" ht="12.75" customHeight="1">
      <c r="A623" s="924"/>
      <c r="B623" s="51"/>
      <c r="C623" s="1189"/>
      <c r="D623" s="112"/>
      <c r="E623" s="1143"/>
      <c r="F623" s="1022"/>
      <c r="G623" s="1179"/>
      <c r="H623" s="1179"/>
      <c r="I623" s="1179"/>
      <c r="J623" s="1179"/>
      <c r="K623" s="1179"/>
      <c r="L623" s="1179"/>
      <c r="M623" s="1179"/>
      <c r="N623" s="1179"/>
      <c r="O623" s="1179"/>
      <c r="P623" s="1179"/>
      <c r="Q623" s="1179"/>
      <c r="R623" s="1179"/>
      <c r="S623" s="1179"/>
      <c r="T623" s="1179"/>
      <c r="U623" s="1179"/>
      <c r="V623" s="1179"/>
      <c r="W623" s="1179"/>
      <c r="X623" s="1179"/>
      <c r="Y623" s="1179"/>
      <c r="Z623" s="1179"/>
      <c r="AA623" s="1179"/>
      <c r="AB623" s="1179"/>
      <c r="AC623" s="1179"/>
      <c r="AD623" s="1179"/>
      <c r="AE623" s="1022"/>
      <c r="AF623" s="1022"/>
      <c r="AG623" s="1022"/>
      <c r="AH623" s="1022"/>
      <c r="AI623" s="1022"/>
      <c r="AJ623" s="1022"/>
      <c r="AK623" s="1022"/>
      <c r="AL623" s="1190"/>
      <c r="AM623" s="1131"/>
      <c r="AN623" s="997"/>
      <c r="BS623" s="1131"/>
      <c r="BT623" s="1131"/>
      <c r="BY623" s="1131"/>
      <c r="BZ623" s="1131"/>
      <c r="CA623" s="1131"/>
      <c r="CB623" s="1131"/>
      <c r="CC623" s="1131"/>
    </row>
    <row r="624" spans="1:81" s="940" customFormat="1" ht="12.75" customHeight="1">
      <c r="A624" s="924"/>
      <c r="B624" s="51"/>
      <c r="C624" s="3149" t="s">
        <v>624</v>
      </c>
      <c r="D624" s="3097"/>
      <c r="E624" s="1175"/>
      <c r="F624" s="1178" t="s">
        <v>1754</v>
      </c>
      <c r="G624" s="1179"/>
      <c r="H624" s="1179"/>
      <c r="I624" s="1179"/>
      <c r="J624" s="1179"/>
      <c r="K624" s="1179"/>
      <c r="L624" s="1179"/>
      <c r="M624" s="1179"/>
      <c r="N624" s="1179"/>
      <c r="O624" s="1179"/>
      <c r="P624" s="1179"/>
      <c r="Q624" s="1179"/>
      <c r="R624" s="1179"/>
      <c r="S624" s="1179"/>
      <c r="T624" s="1179"/>
      <c r="U624" s="1179"/>
      <c r="V624" s="1179"/>
      <c r="W624" s="1179"/>
      <c r="X624" s="1179"/>
      <c r="Y624" s="1179"/>
      <c r="Z624" s="1179"/>
      <c r="AA624" s="1179"/>
      <c r="AB624" s="1179"/>
      <c r="AC624" s="1179"/>
      <c r="AD624" s="1179"/>
      <c r="AE624" s="1022"/>
      <c r="AF624" s="3150" t="s">
        <v>1755</v>
      </c>
      <c r="AG624" s="3150"/>
      <c r="AH624" s="3150"/>
      <c r="AI624" s="3150"/>
      <c r="AJ624" s="3150"/>
      <c r="AK624" s="3150"/>
      <c r="AL624" s="3151"/>
      <c r="AM624" s="1131"/>
      <c r="AN624" s="997"/>
      <c r="AO624" s="1022"/>
      <c r="AP624" s="1022"/>
      <c r="BS624" s="1131"/>
      <c r="BT624" s="1131"/>
      <c r="BY624" s="1131"/>
      <c r="BZ624" s="1131"/>
      <c r="CA624" s="1131"/>
      <c r="CB624" s="1131"/>
      <c r="CC624" s="1131"/>
    </row>
    <row r="625" spans="1:81" s="940" customFormat="1" ht="12.75" customHeight="1">
      <c r="A625" s="924"/>
      <c r="B625" s="51"/>
      <c r="C625" s="1202"/>
      <c r="D625" s="1185"/>
      <c r="E625" s="1182"/>
      <c r="F625" s="1185"/>
      <c r="G625" s="1184"/>
      <c r="H625" s="1184"/>
      <c r="I625" s="1184"/>
      <c r="J625" s="1184"/>
      <c r="K625" s="1184"/>
      <c r="L625" s="1184"/>
      <c r="M625" s="1184"/>
      <c r="N625" s="1184"/>
      <c r="O625" s="1184"/>
      <c r="P625" s="1184"/>
      <c r="Q625" s="1184"/>
      <c r="R625" s="1184"/>
      <c r="S625" s="1184"/>
      <c r="T625" s="1184"/>
      <c r="U625" s="1184"/>
      <c r="V625" s="1184"/>
      <c r="W625" s="1184"/>
      <c r="X625" s="1184"/>
      <c r="Y625" s="1184"/>
      <c r="Z625" s="1184"/>
      <c r="AA625" s="1184"/>
      <c r="AB625" s="1184"/>
      <c r="AC625" s="1184"/>
      <c r="AD625" s="1184"/>
      <c r="AE625" s="1185"/>
      <c r="AF625" s="1185"/>
      <c r="AG625" s="1185"/>
      <c r="AH625" s="1185"/>
      <c r="AI625" s="1185"/>
      <c r="AJ625" s="1185"/>
      <c r="AK625" s="1185"/>
      <c r="AL625" s="1201"/>
      <c r="AM625" s="1131"/>
      <c r="AN625" s="997"/>
      <c r="BS625" s="1131"/>
      <c r="BT625" s="1131"/>
      <c r="BY625" s="1131"/>
      <c r="BZ625" s="1131"/>
      <c r="CA625" s="1131"/>
      <c r="CB625" s="1131"/>
      <c r="CC625" s="1131"/>
    </row>
    <row r="626" spans="1:81" s="940" customFormat="1" ht="12.75" customHeight="1">
      <c r="A626" s="924"/>
      <c r="B626" s="51"/>
      <c r="C626" s="51"/>
      <c r="D626" s="51"/>
      <c r="E626" s="1143"/>
      <c r="G626" s="1203"/>
      <c r="H626" s="1203"/>
      <c r="I626" s="1203"/>
      <c r="J626" s="1203"/>
      <c r="K626" s="1203"/>
      <c r="L626" s="1203"/>
      <c r="M626" s="1203"/>
      <c r="N626" s="1203"/>
      <c r="O626" s="1203"/>
      <c r="P626" s="1203"/>
      <c r="Q626" s="1203"/>
      <c r="R626" s="1203"/>
      <c r="S626" s="1203"/>
      <c r="T626" s="1203"/>
      <c r="U626" s="1203"/>
      <c r="V626" s="1203"/>
      <c r="W626" s="1203"/>
      <c r="X626" s="1203"/>
      <c r="Y626" s="1203"/>
      <c r="Z626" s="1203"/>
      <c r="AA626" s="1203"/>
      <c r="AB626" s="1203"/>
      <c r="AC626" s="1203"/>
      <c r="AD626" s="1203"/>
      <c r="AE626" s="924"/>
      <c r="AF626" s="929"/>
      <c r="AG626" s="924"/>
      <c r="AM626" s="1131"/>
      <c r="AN626" s="997"/>
      <c r="BS626" s="1131"/>
      <c r="BT626" s="1131"/>
      <c r="BY626" s="1131"/>
      <c r="BZ626" s="1131"/>
      <c r="CA626" s="1131"/>
      <c r="CB626" s="1131"/>
      <c r="CC626" s="1131"/>
    </row>
    <row r="627" spans="1:81" s="940" customFormat="1" ht="12.75" customHeight="1">
      <c r="A627" s="924"/>
      <c r="B627" s="51"/>
      <c r="C627" s="3149" t="s">
        <v>624</v>
      </c>
      <c r="D627" s="3097"/>
      <c r="E627" s="1171" t="s">
        <v>1756</v>
      </c>
      <c r="F627" s="3152" t="s">
        <v>1757</v>
      </c>
      <c r="G627" s="3152"/>
      <c r="H627" s="3152"/>
      <c r="I627" s="3152"/>
      <c r="J627" s="3152"/>
      <c r="K627" s="3152"/>
      <c r="L627" s="3152"/>
      <c r="M627" s="3152"/>
      <c r="N627" s="3152"/>
      <c r="O627" s="3152"/>
      <c r="P627" s="3152"/>
      <c r="Q627" s="3152"/>
      <c r="R627" s="3152"/>
      <c r="S627" s="3152"/>
      <c r="T627" s="3152"/>
      <c r="U627" s="3152"/>
      <c r="V627" s="3152"/>
      <c r="W627" s="3152"/>
      <c r="X627" s="3152"/>
      <c r="Y627" s="3152"/>
      <c r="Z627" s="3152"/>
      <c r="AA627" s="3152"/>
      <c r="AB627" s="3152"/>
      <c r="AC627" s="3152"/>
      <c r="AD627" s="3152"/>
      <c r="AE627" s="3152"/>
      <c r="AF627" s="1204"/>
      <c r="AG627" s="1205"/>
      <c r="AH627" s="1170"/>
      <c r="AI627" s="1170"/>
      <c r="AJ627" s="1170"/>
      <c r="AK627" s="1170"/>
      <c r="AL627" s="1206"/>
      <c r="AM627" s="1131"/>
      <c r="AN627" s="997"/>
      <c r="BS627" s="1131"/>
      <c r="BT627" s="1131"/>
      <c r="BY627" s="1131"/>
      <c r="BZ627" s="1131"/>
      <c r="CA627" s="1131"/>
      <c r="CB627" s="1131"/>
      <c r="CC627" s="1131"/>
    </row>
    <row r="628" spans="1:81" s="940" customFormat="1" ht="12.75" customHeight="1">
      <c r="A628" s="924"/>
      <c r="B628" s="51"/>
      <c r="C628" s="1198"/>
      <c r="D628" s="1022"/>
      <c r="E628" s="1022"/>
      <c r="F628" s="3153"/>
      <c r="G628" s="3153"/>
      <c r="H628" s="3153"/>
      <c r="I628" s="3153"/>
      <c r="J628" s="3153"/>
      <c r="K628" s="3153"/>
      <c r="L628" s="3153"/>
      <c r="M628" s="3153"/>
      <c r="N628" s="3153"/>
      <c r="O628" s="3153"/>
      <c r="P628" s="3153"/>
      <c r="Q628" s="3153"/>
      <c r="R628" s="3153"/>
      <c r="S628" s="3153"/>
      <c r="T628" s="3153"/>
      <c r="U628" s="3153"/>
      <c r="V628" s="3153"/>
      <c r="W628" s="3153"/>
      <c r="X628" s="3153"/>
      <c r="Y628" s="3153"/>
      <c r="Z628" s="3153"/>
      <c r="AA628" s="3153"/>
      <c r="AB628" s="3153"/>
      <c r="AC628" s="3153"/>
      <c r="AD628" s="3153"/>
      <c r="AE628" s="3153"/>
      <c r="AF628" s="3158" t="s">
        <v>1743</v>
      </c>
      <c r="AG628" s="3158"/>
      <c r="AH628" s="3158"/>
      <c r="AI628" s="3158"/>
      <c r="AJ628" s="3158"/>
      <c r="AK628" s="3158"/>
      <c r="AL628" s="3159"/>
      <c r="AM628" s="1131"/>
      <c r="AN628" s="997"/>
      <c r="BS628" s="1131"/>
      <c r="BT628" s="1131"/>
      <c r="BY628" s="1131"/>
      <c r="BZ628" s="1131"/>
      <c r="CA628" s="1131"/>
      <c r="CB628" s="1131"/>
      <c r="CC628" s="1131"/>
    </row>
    <row r="629" spans="1:81" s="940" customFormat="1" ht="12.75" customHeight="1">
      <c r="A629" s="924"/>
      <c r="B629" s="51"/>
      <c r="C629" s="1189"/>
      <c r="D629" s="112"/>
      <c r="E629" s="1143"/>
      <c r="F629" s="3153"/>
      <c r="G629" s="3153"/>
      <c r="H629" s="3153"/>
      <c r="I629" s="3153"/>
      <c r="J629" s="3153"/>
      <c r="K629" s="3153"/>
      <c r="L629" s="3153"/>
      <c r="M629" s="3153"/>
      <c r="N629" s="3153"/>
      <c r="O629" s="3153"/>
      <c r="P629" s="3153"/>
      <c r="Q629" s="3153"/>
      <c r="R629" s="3153"/>
      <c r="S629" s="3153"/>
      <c r="T629" s="3153"/>
      <c r="U629" s="3153"/>
      <c r="V629" s="3153"/>
      <c r="W629" s="3153"/>
      <c r="X629" s="3153"/>
      <c r="Y629" s="3153"/>
      <c r="Z629" s="3153"/>
      <c r="AA629" s="3153"/>
      <c r="AB629" s="3153"/>
      <c r="AC629" s="3153"/>
      <c r="AD629" s="3153"/>
      <c r="AE629" s="3153"/>
      <c r="AF629" s="1022"/>
      <c r="AG629" s="1022"/>
      <c r="AH629" s="1022"/>
      <c r="AI629" s="1022"/>
      <c r="AJ629" s="1022"/>
      <c r="AK629" s="1022"/>
      <c r="AL629" s="1190"/>
      <c r="AM629" s="1131"/>
      <c r="AN629" s="997"/>
      <c r="BS629" s="1131"/>
      <c r="BT629" s="1131"/>
      <c r="BU629" s="1131"/>
      <c r="BV629" s="1131"/>
      <c r="BW629" s="1131"/>
      <c r="BX629" s="1131"/>
      <c r="BY629" s="1131"/>
      <c r="BZ629" s="1131"/>
      <c r="CA629" s="1131"/>
      <c r="CB629" s="1131"/>
      <c r="CC629" s="1131"/>
    </row>
    <row r="630" spans="1:81" s="940" customFormat="1" ht="12.75" customHeight="1">
      <c r="A630" s="924"/>
      <c r="B630" s="51"/>
      <c r="C630" s="1199"/>
      <c r="D630" s="1191"/>
      <c r="E630" s="1192"/>
      <c r="F630" s="3157"/>
      <c r="G630" s="3157"/>
      <c r="H630" s="3157"/>
      <c r="I630" s="3157"/>
      <c r="J630" s="3157"/>
      <c r="K630" s="3157"/>
      <c r="L630" s="3157"/>
      <c r="M630" s="3157"/>
      <c r="N630" s="3157"/>
      <c r="O630" s="3157"/>
      <c r="P630" s="3157"/>
      <c r="Q630" s="3157"/>
      <c r="R630" s="3157"/>
      <c r="S630" s="3157"/>
      <c r="T630" s="3157"/>
      <c r="U630" s="3157"/>
      <c r="V630" s="3157"/>
      <c r="W630" s="3157"/>
      <c r="X630" s="3157"/>
      <c r="Y630" s="3157"/>
      <c r="Z630" s="3157"/>
      <c r="AA630" s="3157"/>
      <c r="AB630" s="3157"/>
      <c r="AC630" s="3157"/>
      <c r="AD630" s="3157"/>
      <c r="AE630" s="3157"/>
      <c r="AF630" s="974"/>
      <c r="AG630" s="1195"/>
      <c r="AH630" s="1185"/>
      <c r="AI630" s="1185"/>
      <c r="AJ630" s="1185"/>
      <c r="AK630" s="1185"/>
      <c r="AL630" s="1201"/>
      <c r="AM630" s="1131"/>
      <c r="AN630" s="997"/>
    </row>
    <row r="631" spans="1:81" ht="13">
      <c r="A631" s="924"/>
      <c r="E631" s="1143"/>
      <c r="F631" s="1203"/>
      <c r="G631" s="1203"/>
      <c r="H631" s="1203"/>
      <c r="I631" s="1203"/>
      <c r="J631" s="1203"/>
      <c r="K631" s="1203"/>
      <c r="L631" s="1203"/>
      <c r="M631" s="1203"/>
      <c r="N631" s="1203"/>
      <c r="O631" s="1203"/>
      <c r="P631" s="1203"/>
      <c r="Q631" s="1203"/>
      <c r="R631" s="1203"/>
      <c r="S631" s="1203"/>
      <c r="T631" s="1203"/>
      <c r="U631" s="1203"/>
      <c r="V631" s="1203"/>
      <c r="W631" s="1203"/>
      <c r="X631" s="1203"/>
      <c r="Y631" s="1203"/>
      <c r="Z631" s="1203"/>
      <c r="AA631" s="1203"/>
      <c r="AB631" s="1203"/>
      <c r="AC631" s="1203"/>
      <c r="AD631" s="1203"/>
      <c r="AE631" s="924"/>
      <c r="AF631" s="929"/>
      <c r="AG631" s="924"/>
      <c r="AH631" s="940"/>
      <c r="AI631" s="940"/>
      <c r="AJ631" s="940"/>
      <c r="AK631" s="940"/>
      <c r="AL631" s="940"/>
      <c r="AM631" s="1131"/>
    </row>
    <row r="632" spans="1:81" ht="12.75" customHeight="1">
      <c r="A632" s="924"/>
      <c r="C632" s="1207"/>
      <c r="D632" s="1208"/>
      <c r="E632" s="1171" t="s">
        <v>1758</v>
      </c>
      <c r="F632" s="3160" t="s">
        <v>1759</v>
      </c>
      <c r="G632" s="3160"/>
      <c r="H632" s="3160"/>
      <c r="I632" s="3160"/>
      <c r="J632" s="3160"/>
      <c r="K632" s="3160"/>
      <c r="L632" s="3160"/>
      <c r="M632" s="3160"/>
      <c r="N632" s="3160"/>
      <c r="O632" s="3160"/>
      <c r="P632" s="3160"/>
      <c r="Q632" s="3160"/>
      <c r="R632" s="3160"/>
      <c r="S632" s="3160"/>
      <c r="T632" s="3160"/>
      <c r="U632" s="3160"/>
      <c r="V632" s="3160"/>
      <c r="W632" s="3160"/>
      <c r="X632" s="3160"/>
      <c r="Y632" s="3160"/>
      <c r="Z632" s="3160"/>
      <c r="AA632" s="3160"/>
      <c r="AB632" s="3160"/>
      <c r="AC632" s="3160"/>
      <c r="AD632" s="3160"/>
      <c r="AE632" s="3160"/>
      <c r="AF632" s="1208"/>
      <c r="AG632" s="1208"/>
      <c r="AH632" s="1208"/>
      <c r="AI632" s="1208"/>
      <c r="AJ632" s="1208"/>
      <c r="AK632" s="1208"/>
      <c r="AL632" s="1209"/>
      <c r="AM632" s="1131"/>
    </row>
    <row r="633" spans="1:81" ht="13">
      <c r="A633" s="924"/>
      <c r="C633" s="1189"/>
      <c r="D633" s="112"/>
      <c r="E633" s="1143"/>
      <c r="F633" s="3161"/>
      <c r="G633" s="3161"/>
      <c r="H633" s="3161"/>
      <c r="I633" s="3161"/>
      <c r="J633" s="3161"/>
      <c r="K633" s="3161"/>
      <c r="L633" s="3161"/>
      <c r="M633" s="3161"/>
      <c r="N633" s="3161"/>
      <c r="O633" s="3161"/>
      <c r="P633" s="3161"/>
      <c r="Q633" s="3161"/>
      <c r="R633" s="3161"/>
      <c r="S633" s="3161"/>
      <c r="T633" s="3161"/>
      <c r="U633" s="3161"/>
      <c r="V633" s="3161"/>
      <c r="W633" s="3161"/>
      <c r="X633" s="3161"/>
      <c r="Y633" s="3161"/>
      <c r="Z633" s="3161"/>
      <c r="AA633" s="3161"/>
      <c r="AB633" s="3161"/>
      <c r="AC633" s="3161"/>
      <c r="AD633" s="3161"/>
      <c r="AE633" s="3161"/>
      <c r="AF633" s="1210"/>
      <c r="AG633" s="988"/>
      <c r="AH633" s="1022"/>
      <c r="AI633" s="1022"/>
      <c r="AJ633" s="1022"/>
      <c r="AK633" s="1022"/>
      <c r="AL633" s="1190"/>
      <c r="AM633" s="1131"/>
    </row>
    <row r="634" spans="1:81" s="940" customFormat="1" ht="12.75" customHeight="1">
      <c r="A634" s="924"/>
      <c r="B634" s="51"/>
      <c r="C634" s="1189"/>
      <c r="D634" s="112"/>
      <c r="E634" s="1143"/>
      <c r="F634" s="3161"/>
      <c r="G634" s="3161"/>
      <c r="H634" s="3161"/>
      <c r="I634" s="3161"/>
      <c r="J634" s="3161"/>
      <c r="K634" s="3161"/>
      <c r="L634" s="3161"/>
      <c r="M634" s="3161"/>
      <c r="N634" s="3161"/>
      <c r="O634" s="3161"/>
      <c r="P634" s="3161"/>
      <c r="Q634" s="3161"/>
      <c r="R634" s="3161"/>
      <c r="S634" s="3161"/>
      <c r="T634" s="3161"/>
      <c r="U634" s="3161"/>
      <c r="V634" s="3161"/>
      <c r="W634" s="3161"/>
      <c r="X634" s="3161"/>
      <c r="Y634" s="3161"/>
      <c r="Z634" s="3161"/>
      <c r="AA634" s="3161"/>
      <c r="AB634" s="3161"/>
      <c r="AC634" s="3161"/>
      <c r="AD634" s="3161"/>
      <c r="AE634" s="3161"/>
      <c r="AF634" s="1022"/>
      <c r="AG634" s="1022"/>
      <c r="AH634" s="1022"/>
      <c r="AI634" s="1022"/>
      <c r="AJ634" s="1022"/>
      <c r="AK634" s="1022"/>
      <c r="AL634" s="1190"/>
      <c r="AM634" s="1131"/>
      <c r="AN634" s="997"/>
    </row>
    <row r="635" spans="1:81" s="940" customFormat="1" ht="12.75" customHeight="1">
      <c r="A635" s="924"/>
      <c r="B635" s="51"/>
      <c r="C635" s="1198"/>
      <c r="D635" s="1022"/>
      <c r="E635" s="1022"/>
      <c r="F635" s="3161"/>
      <c r="G635" s="3161"/>
      <c r="H635" s="3161"/>
      <c r="I635" s="3161"/>
      <c r="J635" s="3161"/>
      <c r="K635" s="3161"/>
      <c r="L635" s="3161"/>
      <c r="M635" s="3161"/>
      <c r="N635" s="3161"/>
      <c r="O635" s="3161"/>
      <c r="P635" s="3161"/>
      <c r="Q635" s="3161"/>
      <c r="R635" s="3161"/>
      <c r="S635" s="3161"/>
      <c r="T635" s="3161"/>
      <c r="U635" s="3161"/>
      <c r="V635" s="3161"/>
      <c r="W635" s="3161"/>
      <c r="X635" s="3161"/>
      <c r="Y635" s="3161"/>
      <c r="Z635" s="3161"/>
      <c r="AA635" s="3161"/>
      <c r="AB635" s="3161"/>
      <c r="AC635" s="3161"/>
      <c r="AD635" s="3161"/>
      <c r="AE635" s="3161"/>
      <c r="AF635" s="1022"/>
      <c r="AG635" s="1022"/>
      <c r="AH635" s="1022"/>
      <c r="AI635" s="1022"/>
      <c r="AJ635" s="1022"/>
      <c r="AK635" s="1022"/>
      <c r="AL635" s="1190"/>
      <c r="AM635" s="1131"/>
      <c r="AN635" s="997"/>
    </row>
    <row r="636" spans="1:81" s="940" customFormat="1" ht="12.75" customHeight="1">
      <c r="A636" s="924"/>
      <c r="B636" s="51"/>
      <c r="C636" s="3149" t="s">
        <v>624</v>
      </c>
      <c r="D636" s="3097"/>
      <c r="E636" s="1143"/>
      <c r="F636" s="1211" t="s">
        <v>1760</v>
      </c>
      <c r="G636" s="1212"/>
      <c r="H636" s="1212"/>
      <c r="I636" s="1212"/>
      <c r="J636" s="1212"/>
      <c r="K636" s="1212"/>
      <c r="L636" s="1212"/>
      <c r="M636" s="1212"/>
      <c r="N636" s="1212"/>
      <c r="O636" s="1212"/>
      <c r="P636" s="1212"/>
      <c r="Q636" s="1212"/>
      <c r="R636" s="1212"/>
      <c r="S636" s="1212"/>
      <c r="T636" s="1212"/>
      <c r="U636" s="1212"/>
      <c r="V636" s="1212"/>
      <c r="W636" s="1212"/>
      <c r="X636" s="1212"/>
      <c r="Y636" s="1212"/>
      <c r="Z636" s="1212"/>
      <c r="AA636" s="1212"/>
      <c r="AB636" s="1212"/>
      <c r="AC636" s="1212"/>
      <c r="AD636" s="1212"/>
      <c r="AE636" s="1022"/>
      <c r="AF636" s="3158" t="s">
        <v>1743</v>
      </c>
      <c r="AG636" s="3158"/>
      <c r="AH636" s="3158"/>
      <c r="AI636" s="3158"/>
      <c r="AJ636" s="3158"/>
      <c r="AK636" s="3158"/>
      <c r="AL636" s="3159"/>
      <c r="AM636" s="1131"/>
      <c r="AN636" s="997"/>
      <c r="AO636" s="1022"/>
      <c r="AP636" s="1022"/>
    </row>
    <row r="637" spans="1:81" s="940" customFormat="1" ht="12.75" customHeight="1">
      <c r="A637" s="924"/>
      <c r="B637" s="51"/>
      <c r="C637" s="1198"/>
      <c r="D637" s="1022"/>
      <c r="E637" s="1022"/>
      <c r="F637" s="1022"/>
      <c r="G637" s="1022"/>
      <c r="H637" s="1022"/>
      <c r="I637" s="1022"/>
      <c r="J637" s="1022"/>
      <c r="K637" s="1022"/>
      <c r="L637" s="1022"/>
      <c r="M637" s="1022"/>
      <c r="N637" s="1022"/>
      <c r="O637" s="1022"/>
      <c r="P637" s="1022"/>
      <c r="Q637" s="1022"/>
      <c r="R637" s="1022"/>
      <c r="S637" s="1022"/>
      <c r="T637" s="1022"/>
      <c r="U637" s="1022"/>
      <c r="V637" s="1022"/>
      <c r="W637" s="1022"/>
      <c r="X637" s="1022"/>
      <c r="Y637" s="1022"/>
      <c r="Z637" s="1022"/>
      <c r="AA637" s="1022"/>
      <c r="AB637" s="1022"/>
      <c r="AC637" s="1022"/>
      <c r="AD637" s="1022"/>
      <c r="AE637" s="1022"/>
      <c r="AF637" s="1022"/>
      <c r="AG637" s="1022"/>
      <c r="AH637" s="1022"/>
      <c r="AI637" s="1022"/>
      <c r="AJ637" s="1022"/>
      <c r="AK637" s="1022"/>
      <c r="AL637" s="1190"/>
      <c r="AM637" s="1131"/>
      <c r="AN637" s="997"/>
      <c r="AO637" s="1022"/>
      <c r="AP637" s="1022"/>
    </row>
    <row r="638" spans="1:81" s="940" customFormat="1" ht="12.75" customHeight="1">
      <c r="A638" s="924"/>
      <c r="B638" s="51"/>
      <c r="C638" s="3149" t="s">
        <v>624</v>
      </c>
      <c r="D638" s="3097"/>
      <c r="E638" s="1175"/>
      <c r="F638" s="1211" t="s">
        <v>1761</v>
      </c>
      <c r="G638" s="1212"/>
      <c r="H638" s="1212"/>
      <c r="I638" s="1212"/>
      <c r="J638" s="1212"/>
      <c r="K638" s="1212"/>
      <c r="L638" s="1212"/>
      <c r="M638" s="1212"/>
      <c r="N638" s="1212"/>
      <c r="O638" s="1212"/>
      <c r="P638" s="1212"/>
      <c r="Q638" s="1212"/>
      <c r="R638" s="1212"/>
      <c r="S638" s="1212"/>
      <c r="T638" s="1212"/>
      <c r="U638" s="1212"/>
      <c r="V638" s="1212"/>
      <c r="W638" s="1212"/>
      <c r="X638" s="1212"/>
      <c r="Y638" s="1212"/>
      <c r="Z638" s="1212"/>
      <c r="AA638" s="1212"/>
      <c r="AB638" s="1212"/>
      <c r="AC638" s="1212"/>
      <c r="AD638" s="1212"/>
      <c r="AE638" s="1022"/>
      <c r="AF638" s="3158" t="s">
        <v>1755</v>
      </c>
      <c r="AG638" s="3158"/>
      <c r="AH638" s="3158"/>
      <c r="AI638" s="3158"/>
      <c r="AJ638" s="3158"/>
      <c r="AK638" s="3158"/>
      <c r="AL638" s="3159"/>
      <c r="AM638" s="1131"/>
      <c r="AN638" s="997"/>
      <c r="AO638" s="1213"/>
      <c r="AP638" s="1213"/>
      <c r="BC638" s="51"/>
    </row>
    <row r="639" spans="1:81" s="940" customFormat="1" ht="12.75" customHeight="1">
      <c r="A639" s="924"/>
      <c r="B639" s="51"/>
      <c r="C639" s="1191"/>
      <c r="D639" s="1191"/>
      <c r="E639" s="1192"/>
      <c r="F639" s="1214"/>
      <c r="G639" s="1215"/>
      <c r="H639" s="1215"/>
      <c r="I639" s="1215"/>
      <c r="J639" s="1215"/>
      <c r="K639" s="1215"/>
      <c r="L639" s="1215"/>
      <c r="M639" s="1215"/>
      <c r="N639" s="1215"/>
      <c r="O639" s="1215"/>
      <c r="P639" s="1215"/>
      <c r="Q639" s="1215"/>
      <c r="R639" s="1215"/>
      <c r="S639" s="1215"/>
      <c r="T639" s="1215"/>
      <c r="U639" s="1215"/>
      <c r="V639" s="1215"/>
      <c r="W639" s="1215"/>
      <c r="X639" s="1215"/>
      <c r="Y639" s="1215"/>
      <c r="Z639" s="1215"/>
      <c r="AA639" s="1215"/>
      <c r="AB639" s="1215"/>
      <c r="AC639" s="1215"/>
      <c r="AD639" s="1215"/>
      <c r="AE639" s="1195"/>
      <c r="AF639" s="974"/>
      <c r="AG639" s="1195"/>
      <c r="AH639" s="1185"/>
      <c r="AI639" s="1185"/>
      <c r="AJ639" s="1185"/>
      <c r="AK639" s="1185"/>
      <c r="AL639" s="1216"/>
      <c r="AM639" s="1131"/>
      <c r="AN639" s="997"/>
      <c r="AO639" s="1022"/>
      <c r="AP639" s="1022"/>
    </row>
    <row r="640" spans="1:81" s="940" customFormat="1" ht="12.75" customHeight="1">
      <c r="A640" s="924"/>
      <c r="B640" s="51"/>
      <c r="C640" s="51"/>
      <c r="D640" s="51"/>
      <c r="E640" s="1143"/>
      <c r="F640" s="1217"/>
      <c r="G640" s="1218"/>
      <c r="H640" s="1218"/>
      <c r="I640" s="1218"/>
      <c r="J640" s="1218"/>
      <c r="K640" s="1218"/>
      <c r="L640" s="1218"/>
      <c r="M640" s="1218"/>
      <c r="N640" s="1218"/>
      <c r="O640" s="1218"/>
      <c r="P640" s="1218"/>
      <c r="Q640" s="1218"/>
      <c r="R640" s="1218"/>
      <c r="S640" s="1218"/>
      <c r="T640" s="1218"/>
      <c r="U640" s="1218"/>
      <c r="V640" s="1218"/>
      <c r="W640" s="1218"/>
      <c r="X640" s="1218"/>
      <c r="Y640" s="1218"/>
      <c r="Z640" s="1218"/>
      <c r="AA640" s="1218"/>
      <c r="AB640" s="1218"/>
      <c r="AC640" s="1218"/>
      <c r="AD640" s="1218"/>
      <c r="AE640" s="924"/>
      <c r="AF640" s="929"/>
      <c r="AG640" s="924"/>
      <c r="AM640" s="1131"/>
      <c r="AN640" s="997"/>
      <c r="AO640" s="1022"/>
      <c r="AP640" s="1022"/>
    </row>
    <row r="641" spans="1:60" s="940" customFormat="1" ht="12.75" customHeight="1">
      <c r="A641" s="924"/>
      <c r="B641" s="51"/>
      <c r="C641" s="1168" t="s">
        <v>1762</v>
      </c>
      <c r="D641" s="51"/>
      <c r="E641" s="1143"/>
      <c r="F641" s="1218"/>
      <c r="G641" s="1218"/>
      <c r="H641" s="1218"/>
      <c r="I641" s="1218"/>
      <c r="J641" s="1218"/>
      <c r="K641" s="1218"/>
      <c r="L641" s="1218"/>
      <c r="M641" s="1218"/>
      <c r="N641" s="1218"/>
      <c r="O641" s="1218"/>
      <c r="P641" s="1218"/>
      <c r="Q641" s="1218"/>
      <c r="R641" s="1218"/>
      <c r="S641" s="1218"/>
      <c r="T641" s="1218"/>
      <c r="U641" s="1218"/>
      <c r="V641" s="1218"/>
      <c r="W641" s="1218"/>
      <c r="X641" s="1218"/>
      <c r="Y641" s="1218"/>
      <c r="Z641" s="1218"/>
      <c r="AA641" s="1218"/>
      <c r="AB641" s="1218"/>
      <c r="AC641" s="1218"/>
      <c r="AD641" s="1218"/>
      <c r="AE641" s="924"/>
      <c r="AF641" s="929"/>
      <c r="AG641" s="924"/>
      <c r="AM641" s="1131"/>
      <c r="AN641" s="997"/>
      <c r="AO641" s="1022"/>
      <c r="AP641" s="1022"/>
    </row>
    <row r="642" spans="1:60" s="940" customFormat="1" ht="12.75" customHeight="1">
      <c r="A642" s="924"/>
      <c r="B642" s="51"/>
      <c r="C642" s="1169"/>
      <c r="D642" s="1170"/>
      <c r="E642" s="1171" t="s">
        <v>1763</v>
      </c>
      <c r="F642" s="3152" t="s">
        <v>1764</v>
      </c>
      <c r="G642" s="3152"/>
      <c r="H642" s="3152"/>
      <c r="I642" s="3152"/>
      <c r="J642" s="3152"/>
      <c r="K642" s="3152"/>
      <c r="L642" s="3152"/>
      <c r="M642" s="3152"/>
      <c r="N642" s="3152"/>
      <c r="O642" s="3152"/>
      <c r="P642" s="3152"/>
      <c r="Q642" s="3152"/>
      <c r="R642" s="3152"/>
      <c r="S642" s="3152"/>
      <c r="T642" s="3152"/>
      <c r="U642" s="3152"/>
      <c r="V642" s="3152"/>
      <c r="W642" s="3152"/>
      <c r="X642" s="3152"/>
      <c r="Y642" s="3152"/>
      <c r="Z642" s="3152"/>
      <c r="AA642" s="3152"/>
      <c r="AB642" s="3152"/>
      <c r="AC642" s="3152"/>
      <c r="AD642" s="3152"/>
      <c r="AE642" s="3152"/>
      <c r="AF642" s="1170"/>
      <c r="AG642" s="1170"/>
      <c r="AH642" s="1170"/>
      <c r="AI642" s="1170"/>
      <c r="AJ642" s="1170"/>
      <c r="AK642" s="1170"/>
      <c r="AL642" s="1206"/>
      <c r="AM642" s="1131"/>
      <c r="AN642" s="997"/>
      <c r="AO642" s="1022"/>
      <c r="AP642" s="1022"/>
    </row>
    <row r="643" spans="1:60" s="999" customFormat="1" ht="12.75" customHeight="1">
      <c r="A643" s="924"/>
      <c r="B643" s="51"/>
      <c r="C643" s="1189"/>
      <c r="D643" s="112"/>
      <c r="E643" s="1143"/>
      <c r="F643" s="3153"/>
      <c r="G643" s="3153"/>
      <c r="H643" s="3153"/>
      <c r="I643" s="3153"/>
      <c r="J643" s="3153"/>
      <c r="K643" s="3153"/>
      <c r="L643" s="3153"/>
      <c r="M643" s="3153"/>
      <c r="N643" s="3153"/>
      <c r="O643" s="3153"/>
      <c r="P643" s="3153"/>
      <c r="Q643" s="3153"/>
      <c r="R643" s="3153"/>
      <c r="S643" s="3153"/>
      <c r="T643" s="3153"/>
      <c r="U643" s="3153"/>
      <c r="V643" s="3153"/>
      <c r="W643" s="3153"/>
      <c r="X643" s="3153"/>
      <c r="Y643" s="3153"/>
      <c r="Z643" s="3153"/>
      <c r="AA643" s="3153"/>
      <c r="AB643" s="3153"/>
      <c r="AC643" s="3153"/>
      <c r="AD643" s="3153"/>
      <c r="AE643" s="3153"/>
      <c r="AF643" s="1210"/>
      <c r="AG643" s="988"/>
      <c r="AH643" s="1022"/>
      <c r="AI643" s="1022"/>
      <c r="AJ643" s="1022"/>
      <c r="AK643" s="1022"/>
      <c r="AL643" s="1190"/>
      <c r="AM643" s="1131"/>
      <c r="AN643" s="998"/>
      <c r="AO643" s="1022"/>
      <c r="AP643" s="1022"/>
    </row>
    <row r="644" spans="1:60" s="940" customFormat="1" ht="12.75" customHeight="1">
      <c r="A644" s="924"/>
      <c r="B644" s="51"/>
      <c r="C644" s="1189"/>
      <c r="D644" s="112"/>
      <c r="E644" s="1143"/>
      <c r="F644" s="3153"/>
      <c r="G644" s="3153"/>
      <c r="H644" s="3153"/>
      <c r="I644" s="3153"/>
      <c r="J644" s="3153"/>
      <c r="K644" s="3153"/>
      <c r="L644" s="3153"/>
      <c r="M644" s="3153"/>
      <c r="N644" s="3153"/>
      <c r="O644" s="3153"/>
      <c r="P644" s="3153"/>
      <c r="Q644" s="3153"/>
      <c r="R644" s="3153"/>
      <c r="S644" s="3153"/>
      <c r="T644" s="3153"/>
      <c r="U644" s="3153"/>
      <c r="V644" s="3153"/>
      <c r="W644" s="3153"/>
      <c r="X644" s="3153"/>
      <c r="Y644" s="3153"/>
      <c r="Z644" s="3153"/>
      <c r="AA644" s="3153"/>
      <c r="AB644" s="3153"/>
      <c r="AC644" s="3153"/>
      <c r="AD644" s="3153"/>
      <c r="AE644" s="3153"/>
      <c r="AF644" s="1022"/>
      <c r="AG644" s="1022"/>
      <c r="AH644" s="1022"/>
      <c r="AI644" s="1022"/>
      <c r="AJ644" s="1022"/>
      <c r="AK644" s="1022"/>
      <c r="AL644" s="1190"/>
      <c r="AM644" s="1131"/>
      <c r="AN644" s="997"/>
      <c r="AO644" s="1022"/>
      <c r="AP644" s="1022"/>
    </row>
    <row r="645" spans="1:60" s="940" customFormat="1" ht="12.75" customHeight="1">
      <c r="A645" s="924"/>
      <c r="B645" s="51"/>
      <c r="C645" s="3149" t="s">
        <v>624</v>
      </c>
      <c r="D645" s="3097"/>
      <c r="E645" s="1143"/>
      <c r="F645" s="1178" t="s">
        <v>1765</v>
      </c>
      <c r="G645" s="1219"/>
      <c r="H645" s="1219"/>
      <c r="I645" s="1219"/>
      <c r="J645" s="1219"/>
      <c r="K645" s="1219"/>
      <c r="L645" s="1219"/>
      <c r="M645" s="1219"/>
      <c r="N645" s="1219"/>
      <c r="O645" s="1219"/>
      <c r="P645" s="1219"/>
      <c r="Q645" s="1219"/>
      <c r="R645" s="1219"/>
      <c r="S645" s="1219"/>
      <c r="T645" s="1219"/>
      <c r="U645" s="1219"/>
      <c r="V645" s="1219"/>
      <c r="W645" s="1219"/>
      <c r="X645" s="1219"/>
      <c r="Y645" s="1219"/>
      <c r="Z645" s="1219"/>
      <c r="AA645" s="1219"/>
      <c r="AB645" s="1219"/>
      <c r="AC645" s="1219"/>
      <c r="AD645" s="1219"/>
      <c r="AE645" s="1022"/>
      <c r="AF645" s="3158" t="s">
        <v>1743</v>
      </c>
      <c r="AG645" s="3158"/>
      <c r="AH645" s="3158"/>
      <c r="AI645" s="3158"/>
      <c r="AJ645" s="3158"/>
      <c r="AK645" s="3158"/>
      <c r="AL645" s="3159"/>
      <c r="AM645" s="1131"/>
      <c r="AN645" s="997"/>
      <c r="AO645" s="1022"/>
      <c r="AP645" s="1022"/>
    </row>
    <row r="646" spans="1:60" s="940" customFormat="1" ht="12.75" customHeight="1">
      <c r="A646" s="924"/>
      <c r="B646" s="51"/>
      <c r="C646" s="1202"/>
      <c r="D646" s="1185"/>
      <c r="E646" s="1182"/>
      <c r="F646" s="1200"/>
      <c r="G646" s="1184"/>
      <c r="H646" s="1184"/>
      <c r="I646" s="1184"/>
      <c r="J646" s="1184"/>
      <c r="K646" s="1184"/>
      <c r="L646" s="1184"/>
      <c r="M646" s="1184"/>
      <c r="N646" s="1184"/>
      <c r="O646" s="1184"/>
      <c r="P646" s="1184"/>
      <c r="Q646" s="1184"/>
      <c r="R646" s="1184"/>
      <c r="S646" s="1184"/>
      <c r="T646" s="1184"/>
      <c r="U646" s="1184"/>
      <c r="V646" s="1184"/>
      <c r="W646" s="1184"/>
      <c r="X646" s="1184"/>
      <c r="Y646" s="1184"/>
      <c r="Z646" s="1184"/>
      <c r="AA646" s="1184"/>
      <c r="AB646" s="1184"/>
      <c r="AC646" s="1184"/>
      <c r="AD646" s="1184"/>
      <c r="AE646" s="1185"/>
      <c r="AF646" s="1185"/>
      <c r="AG646" s="1185"/>
      <c r="AH646" s="1185"/>
      <c r="AI646" s="1185"/>
      <c r="AJ646" s="1185"/>
      <c r="AK646" s="1185"/>
      <c r="AL646" s="1201"/>
      <c r="AM646" s="1131"/>
      <c r="AN646" s="997"/>
      <c r="AO646" s="1022"/>
      <c r="AP646" s="1022"/>
    </row>
    <row r="647" spans="1:60" s="940" customFormat="1" ht="12.75" customHeight="1">
      <c r="A647" s="924"/>
      <c r="B647" s="51"/>
      <c r="C647" s="1188"/>
      <c r="D647" s="1188"/>
      <c r="E647" s="1175"/>
      <c r="F647" s="1220"/>
      <c r="G647" s="1203"/>
      <c r="H647" s="1203"/>
      <c r="I647" s="1203"/>
      <c r="J647" s="1203"/>
      <c r="K647" s="1203"/>
      <c r="L647" s="1203"/>
      <c r="M647" s="1203"/>
      <c r="N647" s="1203"/>
      <c r="O647" s="1203"/>
      <c r="P647" s="1203"/>
      <c r="Q647" s="1203"/>
      <c r="R647" s="1203"/>
      <c r="S647" s="1203"/>
      <c r="T647" s="1203"/>
      <c r="U647" s="1203"/>
      <c r="V647" s="1203"/>
      <c r="W647" s="1203"/>
      <c r="X647" s="1203"/>
      <c r="Y647" s="1203"/>
      <c r="Z647" s="1203"/>
      <c r="AA647" s="1203"/>
      <c r="AB647" s="1203"/>
      <c r="AC647" s="1203"/>
      <c r="AD647" s="1203"/>
      <c r="AE647" s="924"/>
      <c r="AM647" s="1131"/>
      <c r="AN647" s="997"/>
      <c r="AO647" s="1022"/>
      <c r="AP647" s="1022"/>
    </row>
    <row r="648" spans="1:60" ht="13.5" customHeight="1">
      <c r="A648" s="924"/>
      <c r="C648" s="1207"/>
      <c r="D648" s="1208"/>
      <c r="E648" s="1171" t="s">
        <v>1766</v>
      </c>
      <c r="F648" s="3152" t="s">
        <v>1767</v>
      </c>
      <c r="G648" s="3152"/>
      <c r="H648" s="3152"/>
      <c r="I648" s="3152"/>
      <c r="J648" s="3152"/>
      <c r="K648" s="3152"/>
      <c r="L648" s="3152"/>
      <c r="M648" s="3152"/>
      <c r="N648" s="3152"/>
      <c r="O648" s="3152"/>
      <c r="P648" s="3152"/>
      <c r="Q648" s="3152"/>
      <c r="R648" s="3152"/>
      <c r="S648" s="3152"/>
      <c r="T648" s="3152"/>
      <c r="U648" s="3152"/>
      <c r="V648" s="3152"/>
      <c r="W648" s="3152"/>
      <c r="X648" s="3152"/>
      <c r="Y648" s="3152"/>
      <c r="Z648" s="3152"/>
      <c r="AA648" s="3152"/>
      <c r="AB648" s="3152"/>
      <c r="AC648" s="3152"/>
      <c r="AD648" s="3152"/>
      <c r="AE648" s="3152"/>
      <c r="AF648" s="1208"/>
      <c r="AG648" s="1208"/>
      <c r="AH648" s="1208"/>
      <c r="AI648" s="1208"/>
      <c r="AJ648" s="1208"/>
      <c r="AK648" s="1208"/>
      <c r="AL648" s="1209"/>
      <c r="AM648" s="1131"/>
      <c r="AO648" s="1022"/>
      <c r="AP648" s="1022"/>
      <c r="BD648" s="51"/>
      <c r="BE648" s="51"/>
      <c r="BF648" s="51"/>
      <c r="BG648" s="51"/>
      <c r="BH648" s="51"/>
    </row>
    <row r="649" spans="1:60" ht="13">
      <c r="A649" s="924"/>
      <c r="C649" s="1189"/>
      <c r="D649" s="112"/>
      <c r="E649" s="1143"/>
      <c r="F649" s="3153"/>
      <c r="G649" s="3153"/>
      <c r="H649" s="3153"/>
      <c r="I649" s="3153"/>
      <c r="J649" s="3153"/>
      <c r="K649" s="3153"/>
      <c r="L649" s="3153"/>
      <c r="M649" s="3153"/>
      <c r="N649" s="3153"/>
      <c r="O649" s="3153"/>
      <c r="P649" s="3153"/>
      <c r="Q649" s="3153"/>
      <c r="R649" s="3153"/>
      <c r="S649" s="3153"/>
      <c r="T649" s="3153"/>
      <c r="U649" s="3153"/>
      <c r="V649" s="3153"/>
      <c r="W649" s="3153"/>
      <c r="X649" s="3153"/>
      <c r="Y649" s="3153"/>
      <c r="Z649" s="3153"/>
      <c r="AA649" s="3153"/>
      <c r="AB649" s="3153"/>
      <c r="AC649" s="3153"/>
      <c r="AD649" s="3153"/>
      <c r="AE649" s="3153"/>
      <c r="AF649" s="1221"/>
      <c r="AG649" s="1221"/>
      <c r="AH649" s="1221"/>
      <c r="AI649" s="1221"/>
      <c r="AJ649" s="1221"/>
      <c r="AK649" s="1221"/>
      <c r="AL649" s="1222"/>
      <c r="AM649" s="1131"/>
      <c r="AO649" s="1022"/>
      <c r="AP649" s="1022"/>
    </row>
    <row r="650" spans="1:60" s="940" customFormat="1" ht="12.75" customHeight="1">
      <c r="A650" s="924"/>
      <c r="B650" s="51"/>
      <c r="C650" s="1189"/>
      <c r="D650" s="112"/>
      <c r="E650" s="1143"/>
      <c r="F650" s="3153"/>
      <c r="G650" s="3153"/>
      <c r="H650" s="3153"/>
      <c r="I650" s="3153"/>
      <c r="J650" s="3153"/>
      <c r="K650" s="3153"/>
      <c r="L650" s="3153"/>
      <c r="M650" s="3153"/>
      <c r="N650" s="3153"/>
      <c r="O650" s="3153"/>
      <c r="P650" s="3153"/>
      <c r="Q650" s="3153"/>
      <c r="R650" s="3153"/>
      <c r="S650" s="3153"/>
      <c r="T650" s="3153"/>
      <c r="U650" s="3153"/>
      <c r="V650" s="3153"/>
      <c r="W650" s="3153"/>
      <c r="X650" s="3153"/>
      <c r="Y650" s="3153"/>
      <c r="Z650" s="3153"/>
      <c r="AA650" s="3153"/>
      <c r="AB650" s="3153"/>
      <c r="AC650" s="3153"/>
      <c r="AD650" s="3153"/>
      <c r="AE650" s="3153"/>
      <c r="AF650" s="1221"/>
      <c r="AG650" s="1221"/>
      <c r="AH650" s="1221"/>
      <c r="AI650" s="1221"/>
      <c r="AJ650" s="1221"/>
      <c r="AK650" s="1221"/>
      <c r="AL650" s="1222"/>
      <c r="AM650" s="1131"/>
      <c r="AN650" s="997"/>
      <c r="AO650" s="1022"/>
      <c r="AP650" s="1022"/>
    </row>
    <row r="651" spans="1:60" s="940" customFormat="1" ht="12.75" customHeight="1">
      <c r="A651" s="924"/>
      <c r="B651" s="51"/>
      <c r="C651" s="1223"/>
      <c r="D651" s="1188"/>
      <c r="E651" s="1175"/>
      <c r="F651" s="3153"/>
      <c r="G651" s="3153"/>
      <c r="H651" s="3153"/>
      <c r="I651" s="3153"/>
      <c r="J651" s="3153"/>
      <c r="K651" s="3153"/>
      <c r="L651" s="3153"/>
      <c r="M651" s="3153"/>
      <c r="N651" s="3153"/>
      <c r="O651" s="3153"/>
      <c r="P651" s="3153"/>
      <c r="Q651" s="3153"/>
      <c r="R651" s="3153"/>
      <c r="S651" s="3153"/>
      <c r="T651" s="3153"/>
      <c r="U651" s="3153"/>
      <c r="V651" s="3153"/>
      <c r="W651" s="3153"/>
      <c r="X651" s="3153"/>
      <c r="Y651" s="3153"/>
      <c r="Z651" s="3153"/>
      <c r="AA651" s="3153"/>
      <c r="AB651" s="3153"/>
      <c r="AC651" s="3153"/>
      <c r="AD651" s="3153"/>
      <c r="AE651" s="3153"/>
      <c r="AF651" s="1221"/>
      <c r="AG651" s="1221"/>
      <c r="AH651" s="1221"/>
      <c r="AI651" s="1221"/>
      <c r="AJ651" s="1221"/>
      <c r="AK651" s="1221"/>
      <c r="AL651" s="1222"/>
      <c r="AM651" s="1131"/>
      <c r="AN651" s="997"/>
      <c r="AO651" s="1224"/>
      <c r="AP651" s="112"/>
    </row>
    <row r="652" spans="1:60" s="940" customFormat="1" ht="12.75" customHeight="1">
      <c r="A652" s="924"/>
      <c r="B652" s="51"/>
      <c r="C652" s="1223"/>
      <c r="D652" s="1188"/>
      <c r="E652" s="1175"/>
      <c r="F652" s="3153"/>
      <c r="G652" s="3153"/>
      <c r="H652" s="3153"/>
      <c r="I652" s="3153"/>
      <c r="J652" s="3153"/>
      <c r="K652" s="3153"/>
      <c r="L652" s="3153"/>
      <c r="M652" s="3153"/>
      <c r="N652" s="3153"/>
      <c r="O652" s="3153"/>
      <c r="P652" s="3153"/>
      <c r="Q652" s="3153"/>
      <c r="R652" s="3153"/>
      <c r="S652" s="3153"/>
      <c r="T652" s="3153"/>
      <c r="U652" s="3153"/>
      <c r="V652" s="3153"/>
      <c r="W652" s="3153"/>
      <c r="X652" s="3153"/>
      <c r="Y652" s="3153"/>
      <c r="Z652" s="3153"/>
      <c r="AA652" s="3153"/>
      <c r="AB652" s="3153"/>
      <c r="AC652" s="3153"/>
      <c r="AD652" s="3153"/>
      <c r="AE652" s="3153"/>
      <c r="AF652" s="1221"/>
      <c r="AG652" s="1221"/>
      <c r="AH652" s="1221"/>
      <c r="AI652" s="1221"/>
      <c r="AJ652" s="1221"/>
      <c r="AK652" s="1221"/>
      <c r="AL652" s="1222"/>
      <c r="AM652" s="1131"/>
      <c r="AN652" s="997"/>
      <c r="AO652" s="1022"/>
      <c r="AP652" s="1022"/>
    </row>
    <row r="653" spans="1:60" s="940" customFormat="1" ht="12.75" customHeight="1">
      <c r="A653" s="924"/>
      <c r="B653" s="51"/>
      <c r="C653" s="1223"/>
      <c r="D653" s="1188"/>
      <c r="E653" s="1175"/>
      <c r="F653" s="3153"/>
      <c r="G653" s="3153"/>
      <c r="H653" s="3153"/>
      <c r="I653" s="3153"/>
      <c r="J653" s="3153"/>
      <c r="K653" s="3153"/>
      <c r="L653" s="3153"/>
      <c r="M653" s="3153"/>
      <c r="N653" s="3153"/>
      <c r="O653" s="3153"/>
      <c r="P653" s="3153"/>
      <c r="Q653" s="3153"/>
      <c r="R653" s="3153"/>
      <c r="S653" s="3153"/>
      <c r="T653" s="3153"/>
      <c r="U653" s="3153"/>
      <c r="V653" s="3153"/>
      <c r="W653" s="3153"/>
      <c r="X653" s="3153"/>
      <c r="Y653" s="3153"/>
      <c r="Z653" s="3153"/>
      <c r="AA653" s="3153"/>
      <c r="AB653" s="3153"/>
      <c r="AC653" s="3153"/>
      <c r="AD653" s="3153"/>
      <c r="AE653" s="3153"/>
      <c r="AF653" s="1221"/>
      <c r="AG653" s="1221"/>
      <c r="AH653" s="1221"/>
      <c r="AI653" s="1221"/>
      <c r="AJ653" s="1221"/>
      <c r="AK653" s="1221"/>
      <c r="AL653" s="1222"/>
      <c r="AM653" s="1131"/>
      <c r="AN653" s="997"/>
    </row>
    <row r="654" spans="1:60" s="940" customFormat="1" ht="12.75" customHeight="1">
      <c r="A654" s="924"/>
      <c r="B654" s="51"/>
      <c r="C654" s="1223"/>
      <c r="D654" s="1188"/>
      <c r="E654" s="1175"/>
      <c r="F654" s="3153"/>
      <c r="G654" s="3153"/>
      <c r="H654" s="3153"/>
      <c r="I654" s="3153"/>
      <c r="J654" s="3153"/>
      <c r="K654" s="3153"/>
      <c r="L654" s="3153"/>
      <c r="M654" s="3153"/>
      <c r="N654" s="3153"/>
      <c r="O654" s="3153"/>
      <c r="P654" s="3153"/>
      <c r="Q654" s="3153"/>
      <c r="R654" s="3153"/>
      <c r="S654" s="3153"/>
      <c r="T654" s="3153"/>
      <c r="U654" s="3153"/>
      <c r="V654" s="3153"/>
      <c r="W654" s="3153"/>
      <c r="X654" s="3153"/>
      <c r="Y654" s="3153"/>
      <c r="Z654" s="3153"/>
      <c r="AA654" s="3153"/>
      <c r="AB654" s="3153"/>
      <c r="AC654" s="3153"/>
      <c r="AD654" s="3153"/>
      <c r="AE654" s="3153"/>
      <c r="AF654" s="1221"/>
      <c r="AG654" s="1221"/>
      <c r="AH654" s="1221"/>
      <c r="AI654" s="1221"/>
      <c r="AJ654" s="1221"/>
      <c r="AK654" s="1221"/>
      <c r="AL654" s="1222"/>
      <c r="AM654" s="1131"/>
      <c r="AN654" s="997"/>
    </row>
    <row r="655" spans="1:60" s="940" customFormat="1" ht="12.75" customHeight="1">
      <c r="A655" s="924"/>
      <c r="B655" s="51"/>
      <c r="C655" s="1223"/>
      <c r="D655" s="1188"/>
      <c r="E655" s="1175"/>
      <c r="F655" s="3153"/>
      <c r="G655" s="3153"/>
      <c r="H655" s="3153"/>
      <c r="I655" s="3153"/>
      <c r="J655" s="3153"/>
      <c r="K655" s="3153"/>
      <c r="L655" s="3153"/>
      <c r="M655" s="3153"/>
      <c r="N655" s="3153"/>
      <c r="O655" s="3153"/>
      <c r="P655" s="3153"/>
      <c r="Q655" s="3153"/>
      <c r="R655" s="3153"/>
      <c r="S655" s="3153"/>
      <c r="T655" s="3153"/>
      <c r="U655" s="3153"/>
      <c r="V655" s="3153"/>
      <c r="W655" s="3153"/>
      <c r="X655" s="3153"/>
      <c r="Y655" s="3153"/>
      <c r="Z655" s="3153"/>
      <c r="AA655" s="3153"/>
      <c r="AB655" s="3153"/>
      <c r="AC655" s="3153"/>
      <c r="AD655" s="3153"/>
      <c r="AE655" s="3153"/>
      <c r="AF655" s="1221"/>
      <c r="AG655" s="1221"/>
      <c r="AH655" s="1221"/>
      <c r="AI655" s="1221"/>
      <c r="AJ655" s="1221"/>
      <c r="AK655" s="1221"/>
      <c r="AL655" s="1222"/>
      <c r="AM655" s="1131"/>
      <c r="AN655" s="997"/>
    </row>
    <row r="656" spans="1:60" s="940" customFormat="1" ht="17.25" customHeight="1">
      <c r="A656" s="924"/>
      <c r="B656" s="51"/>
      <c r="C656" s="1223"/>
      <c r="D656" s="1188"/>
      <c r="E656" s="1175"/>
      <c r="F656" s="3153"/>
      <c r="G656" s="3153"/>
      <c r="H656" s="3153"/>
      <c r="I656" s="3153"/>
      <c r="J656" s="3153"/>
      <c r="K656" s="3153"/>
      <c r="L656" s="3153"/>
      <c r="M656" s="3153"/>
      <c r="N656" s="3153"/>
      <c r="O656" s="3153"/>
      <c r="P656" s="3153"/>
      <c r="Q656" s="3153"/>
      <c r="R656" s="3153"/>
      <c r="S656" s="3153"/>
      <c r="T656" s="3153"/>
      <c r="U656" s="3153"/>
      <c r="V656" s="3153"/>
      <c r="W656" s="3153"/>
      <c r="X656" s="3153"/>
      <c r="Y656" s="3153"/>
      <c r="Z656" s="3153"/>
      <c r="AA656" s="3153"/>
      <c r="AB656" s="3153"/>
      <c r="AC656" s="3153"/>
      <c r="AD656" s="3153"/>
      <c r="AE656" s="3153"/>
      <c r="AF656" s="1022"/>
      <c r="AG656" s="1022"/>
      <c r="AH656" s="1022"/>
      <c r="AI656" s="1022"/>
      <c r="AJ656" s="1022"/>
      <c r="AK656" s="1022"/>
      <c r="AL656" s="1190"/>
      <c r="AM656" s="1131"/>
      <c r="AN656" s="997"/>
    </row>
    <row r="657" spans="1:54" s="940" customFormat="1" ht="12.75" customHeight="1">
      <c r="A657" s="924"/>
      <c r="B657" s="51"/>
      <c r="C657" s="3149" t="s">
        <v>624</v>
      </c>
      <c r="D657" s="3097"/>
      <c r="E657" s="1175"/>
      <c r="F657" s="1213" t="s">
        <v>1768</v>
      </c>
      <c r="G657" s="1225"/>
      <c r="H657" s="1225"/>
      <c r="I657" s="1225"/>
      <c r="J657" s="1225"/>
      <c r="K657" s="1225"/>
      <c r="L657" s="1225"/>
      <c r="M657" s="1225"/>
      <c r="N657" s="1225"/>
      <c r="O657" s="1225"/>
      <c r="P657" s="1225"/>
      <c r="Q657" s="1225"/>
      <c r="R657" s="1225"/>
      <c r="S657" s="1225"/>
      <c r="T657" s="1225"/>
      <c r="U657" s="1225"/>
      <c r="V657" s="1225"/>
      <c r="W657" s="1225"/>
      <c r="X657" s="1225"/>
      <c r="Y657" s="1225"/>
      <c r="Z657" s="1225"/>
      <c r="AA657" s="1225"/>
      <c r="AB657" s="1225"/>
      <c r="AC657" s="1225"/>
      <c r="AD657" s="1225"/>
      <c r="AE657" s="1022"/>
      <c r="AF657" s="3158" t="s">
        <v>1743</v>
      </c>
      <c r="AG657" s="3158"/>
      <c r="AH657" s="3158"/>
      <c r="AI657" s="3158"/>
      <c r="AJ657" s="3158"/>
      <c r="AK657" s="3158"/>
      <c r="AL657" s="3159"/>
      <c r="AM657" s="1131"/>
      <c r="AN657" s="997"/>
    </row>
    <row r="658" spans="1:54" s="940" customFormat="1" ht="12.75" customHeight="1">
      <c r="A658" s="924"/>
      <c r="B658" s="51"/>
      <c r="C658" s="1202"/>
      <c r="D658" s="1185"/>
      <c r="E658" s="1182"/>
      <c r="F658" s="1200"/>
      <c r="G658" s="1184"/>
      <c r="H658" s="1184"/>
      <c r="I658" s="1184"/>
      <c r="J658" s="1184"/>
      <c r="K658" s="1184"/>
      <c r="L658" s="1184"/>
      <c r="M658" s="1184"/>
      <c r="N658" s="1184"/>
      <c r="O658" s="1184"/>
      <c r="P658" s="1184"/>
      <c r="Q658" s="1184"/>
      <c r="R658" s="1184"/>
      <c r="S658" s="1184"/>
      <c r="T658" s="1184"/>
      <c r="U658" s="1184"/>
      <c r="V658" s="1184"/>
      <c r="W658" s="1184"/>
      <c r="X658" s="1184"/>
      <c r="Y658" s="1184"/>
      <c r="Z658" s="1184"/>
      <c r="AA658" s="1184"/>
      <c r="AB658" s="1184"/>
      <c r="AC658" s="1184"/>
      <c r="AD658" s="1184"/>
      <c r="AE658" s="1185"/>
      <c r="AF658" s="1185"/>
      <c r="AG658" s="1185"/>
      <c r="AH658" s="1185"/>
      <c r="AI658" s="1185"/>
      <c r="AJ658" s="1185"/>
      <c r="AK658" s="1185"/>
      <c r="AL658" s="1201"/>
      <c r="AM658" s="1131"/>
      <c r="AN658" s="997"/>
    </row>
    <row r="659" spans="1:54" s="940" customFormat="1" ht="12.75" customHeight="1">
      <c r="A659" s="924"/>
      <c r="B659" s="51"/>
      <c r="C659" s="1188"/>
      <c r="D659" s="1188"/>
      <c r="E659" s="1175"/>
      <c r="F659" s="1220"/>
      <c r="G659" s="1203"/>
      <c r="H659" s="1203"/>
      <c r="I659" s="1203"/>
      <c r="J659" s="1203"/>
      <c r="K659" s="1203"/>
      <c r="L659" s="1203"/>
      <c r="M659" s="1203"/>
      <c r="N659" s="1203"/>
      <c r="O659" s="1203"/>
      <c r="P659" s="1203"/>
      <c r="Q659" s="1203"/>
      <c r="R659" s="1203"/>
      <c r="S659" s="1203"/>
      <c r="T659" s="1203"/>
      <c r="U659" s="1203"/>
      <c r="V659" s="1203"/>
      <c r="W659" s="1203"/>
      <c r="X659" s="1203"/>
      <c r="Y659" s="1203"/>
      <c r="Z659" s="1203"/>
      <c r="AA659" s="1203"/>
      <c r="AB659" s="1203"/>
      <c r="AC659" s="1203"/>
      <c r="AD659" s="1203"/>
      <c r="AE659" s="982"/>
      <c r="AF659" s="982"/>
      <c r="AG659" s="982"/>
      <c r="AH659" s="982"/>
      <c r="AI659" s="982"/>
      <c r="AJ659" s="982"/>
      <c r="AK659" s="982"/>
      <c r="AL659" s="982"/>
      <c r="AM659" s="1131"/>
      <c r="AN659" s="997"/>
    </row>
    <row r="660" spans="1:54" s="940" customFormat="1" ht="12.75" customHeight="1">
      <c r="A660" s="924"/>
      <c r="B660" s="51"/>
      <c r="C660" s="1169"/>
      <c r="D660" s="1170"/>
      <c r="E660" s="1171" t="s">
        <v>1769</v>
      </c>
      <c r="F660" s="3152" t="s">
        <v>1770</v>
      </c>
      <c r="G660" s="3152"/>
      <c r="H660" s="3152"/>
      <c r="I660" s="3152"/>
      <c r="J660" s="3152"/>
      <c r="K660" s="3152"/>
      <c r="L660" s="3152"/>
      <c r="M660" s="3152"/>
      <c r="N660" s="3152"/>
      <c r="O660" s="3152"/>
      <c r="P660" s="3152"/>
      <c r="Q660" s="3152"/>
      <c r="R660" s="3152"/>
      <c r="S660" s="3152"/>
      <c r="T660" s="3152"/>
      <c r="U660" s="3152"/>
      <c r="V660" s="3152"/>
      <c r="W660" s="3152"/>
      <c r="X660" s="3152"/>
      <c r="Y660" s="3152"/>
      <c r="Z660" s="3152"/>
      <c r="AA660" s="3152"/>
      <c r="AB660" s="3152"/>
      <c r="AC660" s="3152"/>
      <c r="AD660" s="3152"/>
      <c r="AE660" s="3152"/>
      <c r="AF660" s="1170"/>
      <c r="AG660" s="1170"/>
      <c r="AH660" s="1170"/>
      <c r="AI660" s="1170"/>
      <c r="AJ660" s="1170"/>
      <c r="AK660" s="1170"/>
      <c r="AL660" s="1206"/>
      <c r="AM660" s="1131"/>
      <c r="AN660" s="997"/>
      <c r="AO660" s="940" t="s">
        <v>624</v>
      </c>
      <c r="AP660" s="1022">
        <v>0</v>
      </c>
      <c r="AQ660" s="1226"/>
      <c r="AR660" s="999"/>
      <c r="AS660" s="999"/>
      <c r="AT660" s="999"/>
      <c r="AU660" s="999"/>
      <c r="AV660" s="999"/>
      <c r="AW660" s="999"/>
      <c r="AX660" s="999"/>
      <c r="AY660" s="999"/>
      <c r="AZ660" s="999"/>
      <c r="BA660" s="999"/>
      <c r="BB660" s="999"/>
    </row>
    <row r="661" spans="1:54" s="940" customFormat="1" ht="12.75" customHeight="1">
      <c r="A661" s="924"/>
      <c r="B661" s="51"/>
      <c r="C661" s="1223"/>
      <c r="D661" s="1188"/>
      <c r="E661" s="1175"/>
      <c r="F661" s="3153"/>
      <c r="G661" s="3153"/>
      <c r="H661" s="3153"/>
      <c r="I661" s="3153"/>
      <c r="J661" s="3153"/>
      <c r="K661" s="3153"/>
      <c r="L661" s="3153"/>
      <c r="M661" s="3153"/>
      <c r="N661" s="3153"/>
      <c r="O661" s="3153"/>
      <c r="P661" s="3153"/>
      <c r="Q661" s="3153"/>
      <c r="R661" s="3153"/>
      <c r="S661" s="3153"/>
      <c r="T661" s="3153"/>
      <c r="U661" s="3153"/>
      <c r="V661" s="3153"/>
      <c r="W661" s="3153"/>
      <c r="X661" s="3153"/>
      <c r="Y661" s="3153"/>
      <c r="Z661" s="3153"/>
      <c r="AA661" s="3153"/>
      <c r="AB661" s="3153"/>
      <c r="AC661" s="3153"/>
      <c r="AD661" s="3153"/>
      <c r="AE661" s="3153"/>
      <c r="AF661" s="1227"/>
      <c r="AG661" s="1227"/>
      <c r="AH661" s="1227"/>
      <c r="AI661" s="1227"/>
      <c r="AJ661" s="1227"/>
      <c r="AK661" s="1227"/>
      <c r="AL661" s="1177"/>
      <c r="AM661" s="1131"/>
      <c r="AN661" s="997"/>
      <c r="AO661" s="940" t="s">
        <v>1771</v>
      </c>
      <c r="AP661" s="940">
        <v>5</v>
      </c>
      <c r="AQ661" s="1226"/>
    </row>
    <row r="662" spans="1:54" s="940" customFormat="1" ht="12.75" customHeight="1">
      <c r="A662" s="924"/>
      <c r="B662" s="51"/>
      <c r="C662" s="1223"/>
      <c r="D662" s="1188"/>
      <c r="E662" s="1175"/>
      <c r="F662" s="3153"/>
      <c r="G662" s="3153"/>
      <c r="H662" s="3153"/>
      <c r="I662" s="3153"/>
      <c r="J662" s="3153"/>
      <c r="K662" s="3153"/>
      <c r="L662" s="3153"/>
      <c r="M662" s="3153"/>
      <c r="N662" s="3153"/>
      <c r="O662" s="3153"/>
      <c r="P662" s="3153"/>
      <c r="Q662" s="3153"/>
      <c r="R662" s="3153"/>
      <c r="S662" s="3153"/>
      <c r="T662" s="3153"/>
      <c r="U662" s="3153"/>
      <c r="V662" s="3153"/>
      <c r="W662" s="3153"/>
      <c r="X662" s="3153"/>
      <c r="Y662" s="3153"/>
      <c r="Z662" s="3153"/>
      <c r="AA662" s="3153"/>
      <c r="AB662" s="3153"/>
      <c r="AC662" s="3153"/>
      <c r="AD662" s="3153"/>
      <c r="AE662" s="3153"/>
      <c r="AF662" s="1227"/>
      <c r="AG662" s="1227"/>
      <c r="AH662" s="1227"/>
      <c r="AI662" s="1227"/>
      <c r="AJ662" s="1227"/>
      <c r="AK662" s="1227"/>
      <c r="AL662" s="1177"/>
      <c r="AM662" s="1131"/>
      <c r="AN662" s="997"/>
      <c r="AO662" s="940" t="s">
        <v>1772</v>
      </c>
      <c r="AP662" s="940">
        <v>5</v>
      </c>
      <c r="AQ662" s="1228"/>
    </row>
    <row r="663" spans="1:54" s="940" customFormat="1" ht="12.75" customHeight="1">
      <c r="A663" s="924"/>
      <c r="B663" s="51"/>
      <c r="C663" s="1223"/>
      <c r="D663" s="1188"/>
      <c r="E663" s="1175"/>
      <c r="F663" s="3153"/>
      <c r="G663" s="3153"/>
      <c r="H663" s="3153"/>
      <c r="I663" s="3153"/>
      <c r="J663" s="3153"/>
      <c r="K663" s="3153"/>
      <c r="L663" s="3153"/>
      <c r="M663" s="3153"/>
      <c r="N663" s="3153"/>
      <c r="O663" s="3153"/>
      <c r="P663" s="3153"/>
      <c r="Q663" s="3153"/>
      <c r="R663" s="3153"/>
      <c r="S663" s="3153"/>
      <c r="T663" s="3153"/>
      <c r="U663" s="3153"/>
      <c r="V663" s="3153"/>
      <c r="W663" s="3153"/>
      <c r="X663" s="3153"/>
      <c r="Y663" s="3153"/>
      <c r="Z663" s="3153"/>
      <c r="AA663" s="3153"/>
      <c r="AB663" s="3153"/>
      <c r="AC663" s="3153"/>
      <c r="AD663" s="3153"/>
      <c r="AE663" s="3153"/>
      <c r="AF663" s="1022"/>
      <c r="AG663" s="1022"/>
      <c r="AH663" s="1022"/>
      <c r="AI663" s="1022"/>
      <c r="AJ663" s="1022"/>
      <c r="AK663" s="1022"/>
      <c r="AL663" s="1190"/>
      <c r="AM663" s="1131"/>
      <c r="AN663" s="997"/>
      <c r="AO663" s="940" t="s">
        <v>1773</v>
      </c>
      <c r="AP663" s="940">
        <v>5</v>
      </c>
      <c r="AQ663" s="1229"/>
    </row>
    <row r="664" spans="1:54" s="1022" customFormat="1" ht="12.75" customHeight="1">
      <c r="A664" s="924"/>
      <c r="B664" s="51"/>
      <c r="C664" s="3149" t="s">
        <v>624</v>
      </c>
      <c r="D664" s="3097"/>
      <c r="E664" s="1175"/>
      <c r="F664" s="1178" t="s">
        <v>1774</v>
      </c>
      <c r="G664" s="1179"/>
      <c r="H664" s="1179"/>
      <c r="I664" s="1179"/>
      <c r="J664" s="1179"/>
      <c r="K664" s="1179"/>
      <c r="L664" s="1179"/>
      <c r="M664" s="1179"/>
      <c r="N664" s="1179"/>
      <c r="O664" s="1179"/>
      <c r="P664" s="1179"/>
      <c r="Q664" s="1179"/>
      <c r="R664" s="1179"/>
      <c r="S664" s="1179"/>
      <c r="T664" s="1179"/>
      <c r="U664" s="1179"/>
      <c r="V664" s="1179"/>
      <c r="W664" s="1179"/>
      <c r="X664" s="1179"/>
      <c r="Y664" s="1179"/>
      <c r="Z664" s="1179"/>
      <c r="AA664" s="1179"/>
      <c r="AB664" s="1179"/>
      <c r="AC664" s="1179"/>
      <c r="AD664" s="1179"/>
      <c r="AF664" s="3158" t="s">
        <v>1743</v>
      </c>
      <c r="AG664" s="3158"/>
      <c r="AH664" s="3158"/>
      <c r="AI664" s="3158"/>
      <c r="AJ664" s="3158"/>
      <c r="AK664" s="3158"/>
      <c r="AL664" s="3159"/>
      <c r="AM664" s="1131"/>
      <c r="AN664" s="1230"/>
      <c r="AO664" s="940" t="s">
        <v>1775</v>
      </c>
      <c r="AP664" s="940">
        <v>5</v>
      </c>
      <c r="AQ664" s="940"/>
      <c r="AR664" s="940"/>
      <c r="AS664" s="940"/>
      <c r="AT664" s="940"/>
      <c r="AU664" s="940"/>
      <c r="AV664" s="940"/>
      <c r="AW664" s="940"/>
      <c r="AX664" s="940"/>
      <c r="AY664" s="940"/>
      <c r="AZ664" s="940"/>
      <c r="BA664" s="940"/>
      <c r="BB664" s="940"/>
    </row>
    <row r="665" spans="1:54" s="940" customFormat="1" ht="12.75" customHeight="1">
      <c r="A665" s="924"/>
      <c r="B665" s="51"/>
      <c r="C665" s="1223"/>
      <c r="D665" s="1188"/>
      <c r="E665" s="1175"/>
      <c r="F665" s="1178"/>
      <c r="G665" s="1179"/>
      <c r="H665" s="1179"/>
      <c r="I665" s="1179"/>
      <c r="J665" s="1179"/>
      <c r="K665" s="1179"/>
      <c r="L665" s="1179"/>
      <c r="M665" s="1179"/>
      <c r="N665" s="1179"/>
      <c r="O665" s="1179"/>
      <c r="P665" s="1179"/>
      <c r="Q665" s="1179"/>
      <c r="R665" s="1179"/>
      <c r="S665" s="1179"/>
      <c r="T665" s="1179"/>
      <c r="U665" s="1179"/>
      <c r="V665" s="1179"/>
      <c r="W665" s="1179"/>
      <c r="X665" s="1179"/>
      <c r="Y665" s="1179"/>
      <c r="Z665" s="1179"/>
      <c r="AA665" s="1179"/>
      <c r="AB665" s="1179"/>
      <c r="AC665" s="1179"/>
      <c r="AD665" s="1179"/>
      <c r="AE665" s="1227"/>
      <c r="AF665" s="1022"/>
      <c r="AG665" s="1022"/>
      <c r="AH665" s="1022"/>
      <c r="AI665" s="1022"/>
      <c r="AJ665" s="1022"/>
      <c r="AK665" s="1022"/>
      <c r="AL665" s="1190"/>
      <c r="AM665" s="1131"/>
      <c r="AN665" s="1230"/>
      <c r="AO665" s="940" t="s">
        <v>1776</v>
      </c>
      <c r="AP665" s="940">
        <v>5</v>
      </c>
    </row>
    <row r="666" spans="1:54" s="940" customFormat="1" ht="12.75" customHeight="1">
      <c r="A666" s="924"/>
      <c r="B666" s="51"/>
      <c r="C666" s="1199"/>
      <c r="D666" s="1191"/>
      <c r="E666" s="1192"/>
      <c r="F666" s="1185" t="s">
        <v>1750</v>
      </c>
      <c r="G666" s="1193"/>
      <c r="H666" s="1193"/>
      <c r="I666" s="1193"/>
      <c r="J666" s="1193"/>
      <c r="K666" s="1193"/>
      <c r="L666" s="1193"/>
      <c r="M666" s="1193"/>
      <c r="N666" s="1193"/>
      <c r="O666" s="1193"/>
      <c r="P666" s="1193"/>
      <c r="Q666" s="1193"/>
      <c r="R666" s="1193"/>
      <c r="S666" s="1193"/>
      <c r="T666" s="1193"/>
      <c r="U666" s="1193"/>
      <c r="V666" s="1193"/>
      <c r="W666" s="1193"/>
      <c r="X666" s="1193"/>
      <c r="Y666" s="1193"/>
      <c r="Z666" s="1193"/>
      <c r="AA666" s="1193"/>
      <c r="AB666" s="1193"/>
      <c r="AC666" s="1193"/>
      <c r="AD666" s="1193"/>
      <c r="AE666" s="1195"/>
      <c r="AF666" s="974"/>
      <c r="AG666" s="1195"/>
      <c r="AH666" s="1185"/>
      <c r="AI666" s="1185"/>
      <c r="AJ666" s="1185"/>
      <c r="AK666" s="1185"/>
      <c r="AL666" s="1201"/>
      <c r="AM666" s="1131"/>
      <c r="AN666" s="1230"/>
      <c r="AO666" s="940" t="s">
        <v>1777</v>
      </c>
      <c r="AP666" s="940">
        <v>5</v>
      </c>
    </row>
    <row r="667" spans="1:54" s="940" customFormat="1" ht="12.75" customHeight="1">
      <c r="A667" s="924"/>
      <c r="B667" s="51"/>
      <c r="C667" s="1188"/>
      <c r="D667" s="1188"/>
      <c r="E667" s="1175"/>
      <c r="F667" s="1220"/>
      <c r="G667" s="1203"/>
      <c r="H667" s="1203"/>
      <c r="I667" s="1203"/>
      <c r="J667" s="1203"/>
      <c r="K667" s="1203"/>
      <c r="L667" s="1203"/>
      <c r="M667" s="1203"/>
      <c r="N667" s="1203"/>
      <c r="O667" s="1203"/>
      <c r="P667" s="1203"/>
      <c r="Q667" s="1203"/>
      <c r="R667" s="1203"/>
      <c r="S667" s="1203"/>
      <c r="T667" s="1203"/>
      <c r="U667" s="1203"/>
      <c r="V667" s="1203"/>
      <c r="W667" s="1203"/>
      <c r="X667" s="1203"/>
      <c r="Y667" s="1203"/>
      <c r="Z667" s="1203"/>
      <c r="AA667" s="1203"/>
      <c r="AB667" s="1203"/>
      <c r="AC667" s="1203"/>
      <c r="AD667" s="1203"/>
      <c r="AE667" s="982"/>
      <c r="AM667" s="1131"/>
      <c r="AN667" s="1230"/>
      <c r="AO667" s="940" t="s">
        <v>1778</v>
      </c>
      <c r="AP667" s="940">
        <v>5</v>
      </c>
    </row>
    <row r="668" spans="1:54" s="999" customFormat="1" ht="12.75" customHeight="1">
      <c r="A668" s="924"/>
      <c r="B668" s="51"/>
      <c r="C668" s="3162" t="s">
        <v>624</v>
      </c>
      <c r="D668" s="3163"/>
      <c r="E668" s="1171" t="s">
        <v>1779</v>
      </c>
      <c r="F668" s="3152" t="s">
        <v>1780</v>
      </c>
      <c r="G668" s="3152"/>
      <c r="H668" s="3152"/>
      <c r="I668" s="3152"/>
      <c r="J668" s="3152"/>
      <c r="K668" s="3152"/>
      <c r="L668" s="3152"/>
      <c r="M668" s="3152"/>
      <c r="N668" s="3152"/>
      <c r="O668" s="3152"/>
      <c r="P668" s="3152"/>
      <c r="Q668" s="3152"/>
      <c r="R668" s="3152"/>
      <c r="S668" s="3152"/>
      <c r="T668" s="3152"/>
      <c r="U668" s="3152"/>
      <c r="V668" s="3152"/>
      <c r="W668" s="3152"/>
      <c r="X668" s="3152"/>
      <c r="Y668" s="3152"/>
      <c r="Z668" s="3152"/>
      <c r="AA668" s="3152"/>
      <c r="AB668" s="3152"/>
      <c r="AC668" s="3152"/>
      <c r="AD668" s="3152"/>
      <c r="AE668" s="3152"/>
      <c r="AF668" s="3164" t="s">
        <v>1743</v>
      </c>
      <c r="AG668" s="3164"/>
      <c r="AH668" s="3164"/>
      <c r="AI668" s="3164"/>
      <c r="AJ668" s="3164"/>
      <c r="AK668" s="3164"/>
      <c r="AL668" s="3165"/>
      <c r="AM668" s="1131"/>
      <c r="AN668" s="1230"/>
      <c r="AO668" s="940" t="s">
        <v>1781</v>
      </c>
      <c r="AP668" s="940">
        <v>1</v>
      </c>
      <c r="AQ668" s="940"/>
      <c r="AR668" s="940"/>
      <c r="AS668" s="940"/>
      <c r="AT668" s="940"/>
      <c r="AU668" s="940"/>
      <c r="AV668" s="940"/>
      <c r="AW668" s="940"/>
      <c r="AX668" s="940"/>
      <c r="AY668" s="940"/>
      <c r="AZ668" s="940"/>
      <c r="BA668" s="940"/>
      <c r="BB668" s="940"/>
    </row>
    <row r="669" spans="1:54" s="999" customFormat="1" ht="12.75" customHeight="1">
      <c r="A669" s="924"/>
      <c r="B669" s="51"/>
      <c r="C669" s="1223"/>
      <c r="D669" s="1188"/>
      <c r="E669" s="1175"/>
      <c r="F669" s="3153"/>
      <c r="G669" s="3153"/>
      <c r="H669" s="3153"/>
      <c r="I669" s="3153"/>
      <c r="J669" s="3153"/>
      <c r="K669" s="3153"/>
      <c r="L669" s="3153"/>
      <c r="M669" s="3153"/>
      <c r="N669" s="3153"/>
      <c r="O669" s="3153"/>
      <c r="P669" s="3153"/>
      <c r="Q669" s="3153"/>
      <c r="R669" s="3153"/>
      <c r="S669" s="3153"/>
      <c r="T669" s="3153"/>
      <c r="U669" s="3153"/>
      <c r="V669" s="3153"/>
      <c r="W669" s="3153"/>
      <c r="X669" s="3153"/>
      <c r="Y669" s="3153"/>
      <c r="Z669" s="3153"/>
      <c r="AA669" s="3153"/>
      <c r="AB669" s="3153"/>
      <c r="AC669" s="3153"/>
      <c r="AD669" s="3153"/>
      <c r="AE669" s="3153"/>
      <c r="AF669" s="1227"/>
      <c r="AG669" s="1227"/>
      <c r="AH669" s="1227"/>
      <c r="AI669" s="1227"/>
      <c r="AJ669" s="1227"/>
      <c r="AK669" s="1227"/>
      <c r="AL669" s="1177"/>
      <c r="AM669" s="1131"/>
      <c r="AN669" s="1231"/>
      <c r="AO669" s="940"/>
      <c r="AP669" s="940"/>
      <c r="AQ669" s="940"/>
      <c r="AR669" s="940"/>
      <c r="AS669" s="1232"/>
      <c r="AT669" s="940"/>
      <c r="AU669" s="940"/>
      <c r="AV669" s="940"/>
      <c r="AW669" s="1232" t="s">
        <v>1782</v>
      </c>
      <c r="AX669" s="940"/>
      <c r="AY669" s="940"/>
      <c r="AZ669" s="940"/>
      <c r="BA669" s="1232" t="s">
        <v>1783</v>
      </c>
      <c r="BB669" s="940"/>
    </row>
    <row r="670" spans="1:54" s="940" customFormat="1" ht="18" customHeight="1">
      <c r="A670" s="924"/>
      <c r="B670" s="51"/>
      <c r="C670" s="1233"/>
      <c r="D670" s="1181"/>
      <c r="E670" s="1182"/>
      <c r="F670" s="3157"/>
      <c r="G670" s="3157"/>
      <c r="H670" s="3157"/>
      <c r="I670" s="3157"/>
      <c r="J670" s="3157"/>
      <c r="K670" s="3157"/>
      <c r="L670" s="3157"/>
      <c r="M670" s="3157"/>
      <c r="N670" s="3157"/>
      <c r="O670" s="3157"/>
      <c r="P670" s="3157"/>
      <c r="Q670" s="3157"/>
      <c r="R670" s="3157"/>
      <c r="S670" s="3157"/>
      <c r="T670" s="3157"/>
      <c r="U670" s="3157"/>
      <c r="V670" s="3157"/>
      <c r="W670" s="3157"/>
      <c r="X670" s="3157"/>
      <c r="Y670" s="3157"/>
      <c r="Z670" s="3157"/>
      <c r="AA670" s="3157"/>
      <c r="AB670" s="3157"/>
      <c r="AC670" s="3157"/>
      <c r="AD670" s="3157"/>
      <c r="AE670" s="3157"/>
      <c r="AF670" s="1186"/>
      <c r="AG670" s="1186"/>
      <c r="AH670" s="1186"/>
      <c r="AI670" s="1186"/>
      <c r="AJ670" s="1186"/>
      <c r="AK670" s="1186"/>
      <c r="AL670" s="1234"/>
      <c r="AM670" s="1131"/>
      <c r="AN670" s="1235"/>
      <c r="AO670" s="940" t="s">
        <v>624</v>
      </c>
      <c r="AP670" s="1065">
        <v>0</v>
      </c>
      <c r="AR670" s="940" t="s">
        <v>624</v>
      </c>
      <c r="AS670" s="1065">
        <v>0</v>
      </c>
      <c r="AT670" s="1236"/>
      <c r="AW670" s="940" t="s">
        <v>624</v>
      </c>
      <c r="AX670" s="1236">
        <v>0</v>
      </c>
      <c r="BA670" s="940" t="s">
        <v>624</v>
      </c>
      <c r="BB670" s="1236">
        <v>0</v>
      </c>
    </row>
    <row r="671" spans="1:54" s="940" customFormat="1" ht="12.75" customHeight="1">
      <c r="A671" s="924"/>
      <c r="B671" s="51"/>
      <c r="C671" s="1188"/>
      <c r="D671" s="1188"/>
      <c r="E671" s="1175"/>
      <c r="F671" s="1220"/>
      <c r="G671" s="1203"/>
      <c r="H671" s="1203"/>
      <c r="I671" s="1203"/>
      <c r="J671" s="1203"/>
      <c r="K671" s="1203"/>
      <c r="L671" s="1203"/>
      <c r="M671" s="1203"/>
      <c r="N671" s="1203"/>
      <c r="O671" s="1203"/>
      <c r="P671" s="1203"/>
      <c r="Q671" s="1203"/>
      <c r="R671" s="1203"/>
      <c r="S671" s="1203"/>
      <c r="T671" s="1203"/>
      <c r="U671" s="1203"/>
      <c r="V671" s="1203"/>
      <c r="W671" s="1203"/>
      <c r="X671" s="1203"/>
      <c r="Y671" s="1203"/>
      <c r="Z671" s="1203"/>
      <c r="AA671" s="1203"/>
      <c r="AB671" s="1203"/>
      <c r="AC671" s="1203"/>
      <c r="AD671" s="1203"/>
      <c r="AE671" s="982"/>
      <c r="AM671" s="1131"/>
      <c r="AN671" s="1237"/>
      <c r="AO671" s="1238">
        <v>7.0000000000000007E-2</v>
      </c>
      <c r="AP671" s="1065">
        <v>3</v>
      </c>
      <c r="AR671" s="940" t="s">
        <v>1784</v>
      </c>
      <c r="AS671" s="1065">
        <v>3</v>
      </c>
      <c r="AT671" s="1236"/>
      <c r="AW671" s="1238">
        <v>0.4</v>
      </c>
      <c r="AX671" s="1236">
        <v>3</v>
      </c>
      <c r="BA671" s="1238">
        <v>0.4</v>
      </c>
      <c r="BB671" s="1236">
        <v>4</v>
      </c>
    </row>
    <row r="672" spans="1:54" s="940" customFormat="1" ht="12.75" customHeight="1">
      <c r="A672" s="924"/>
      <c r="B672" s="51"/>
      <c r="C672" s="3149" t="s">
        <v>624</v>
      </c>
      <c r="D672" s="3097"/>
      <c r="E672" s="1171" t="s">
        <v>1785</v>
      </c>
      <c r="F672" s="3152" t="s">
        <v>1786</v>
      </c>
      <c r="G672" s="3152"/>
      <c r="H672" s="3152"/>
      <c r="I672" s="3152"/>
      <c r="J672" s="3152"/>
      <c r="K672" s="3152"/>
      <c r="L672" s="3152"/>
      <c r="M672" s="3152"/>
      <c r="N672" s="3152"/>
      <c r="O672" s="3152"/>
      <c r="P672" s="3152"/>
      <c r="Q672" s="3152"/>
      <c r="R672" s="3152"/>
      <c r="S672" s="3152"/>
      <c r="T672" s="3152"/>
      <c r="U672" s="3152"/>
      <c r="V672" s="3152"/>
      <c r="W672" s="3152"/>
      <c r="X672" s="3152"/>
      <c r="Y672" s="3152"/>
      <c r="Z672" s="3152"/>
      <c r="AA672" s="3152"/>
      <c r="AB672" s="3152"/>
      <c r="AC672" s="3152"/>
      <c r="AD672" s="3152"/>
      <c r="AE672" s="3152"/>
      <c r="AF672" s="3164" t="s">
        <v>1743</v>
      </c>
      <c r="AG672" s="3164"/>
      <c r="AH672" s="3164"/>
      <c r="AI672" s="3164"/>
      <c r="AJ672" s="3164"/>
      <c r="AK672" s="3164"/>
      <c r="AL672" s="3165"/>
      <c r="AM672" s="1131"/>
      <c r="AN672" s="1237"/>
      <c r="AO672" s="1238">
        <v>0.12</v>
      </c>
      <c r="AP672" s="1065">
        <v>5</v>
      </c>
      <c r="AR672" s="940" t="s">
        <v>1787</v>
      </c>
      <c r="AS672" s="1065">
        <v>5</v>
      </c>
      <c r="AT672" s="1236"/>
      <c r="AW672" s="1238">
        <v>0.6</v>
      </c>
      <c r="AX672" s="1236">
        <v>4</v>
      </c>
      <c r="BA672" s="1238">
        <v>0.6</v>
      </c>
      <c r="BB672" s="1236">
        <v>5</v>
      </c>
    </row>
    <row r="673" spans="1:54" s="940" customFormat="1" ht="12.75" customHeight="1">
      <c r="A673" s="924"/>
      <c r="B673" s="51"/>
      <c r="C673" s="1189"/>
      <c r="D673" s="112"/>
      <c r="E673" s="1143"/>
      <c r="F673" s="3153"/>
      <c r="G673" s="3153"/>
      <c r="H673" s="3153"/>
      <c r="I673" s="3153"/>
      <c r="J673" s="3153"/>
      <c r="K673" s="3153"/>
      <c r="L673" s="3153"/>
      <c r="M673" s="3153"/>
      <c r="N673" s="3153"/>
      <c r="O673" s="3153"/>
      <c r="P673" s="3153"/>
      <c r="Q673" s="3153"/>
      <c r="R673" s="3153"/>
      <c r="S673" s="3153"/>
      <c r="T673" s="3153"/>
      <c r="U673" s="3153"/>
      <c r="V673" s="3153"/>
      <c r="W673" s="3153"/>
      <c r="X673" s="3153"/>
      <c r="Y673" s="3153"/>
      <c r="Z673" s="3153"/>
      <c r="AA673" s="3153"/>
      <c r="AB673" s="3153"/>
      <c r="AC673" s="3153"/>
      <c r="AD673" s="3153"/>
      <c r="AE673" s="3153"/>
      <c r="AF673" s="1210"/>
      <c r="AG673" s="988"/>
      <c r="AH673" s="1022"/>
      <c r="AI673" s="1022"/>
      <c r="AJ673" s="1022"/>
      <c r="AK673" s="1022"/>
      <c r="AL673" s="1190"/>
      <c r="AM673" s="1131"/>
      <c r="AN673" s="1237"/>
      <c r="AO673" s="1238"/>
      <c r="AP673" s="1236"/>
      <c r="AS673" s="1238"/>
      <c r="AT673" s="1236"/>
      <c r="AW673" s="1238">
        <v>0.8</v>
      </c>
      <c r="AX673" s="1236">
        <v>5</v>
      </c>
      <c r="BA673" s="1238"/>
      <c r="BB673" s="1236"/>
    </row>
    <row r="674" spans="1:54" s="940" customFormat="1" ht="12.75" customHeight="1">
      <c r="A674" s="924"/>
      <c r="B674" s="51"/>
      <c r="C674" s="1189"/>
      <c r="D674" s="112"/>
      <c r="E674" s="1143"/>
      <c r="F674" s="3153"/>
      <c r="G674" s="3153"/>
      <c r="H674" s="3153"/>
      <c r="I674" s="3153"/>
      <c r="J674" s="3153"/>
      <c r="K674" s="3153"/>
      <c r="L674" s="3153"/>
      <c r="M674" s="3153"/>
      <c r="N674" s="3153"/>
      <c r="O674" s="3153"/>
      <c r="P674" s="3153"/>
      <c r="Q674" s="3153"/>
      <c r="R674" s="3153"/>
      <c r="S674" s="3153"/>
      <c r="T674" s="3153"/>
      <c r="U674" s="3153"/>
      <c r="V674" s="3153"/>
      <c r="W674" s="3153"/>
      <c r="X674" s="3153"/>
      <c r="Y674" s="3153"/>
      <c r="Z674" s="3153"/>
      <c r="AA674" s="3153"/>
      <c r="AB674" s="3153"/>
      <c r="AC674" s="3153"/>
      <c r="AD674" s="3153"/>
      <c r="AE674" s="3153"/>
      <c r="AF674" s="1210"/>
      <c r="AG674" s="988"/>
      <c r="AH674" s="1022"/>
      <c r="AI674" s="1022"/>
      <c r="AJ674" s="1022"/>
      <c r="AK674" s="1022"/>
      <c r="AL674" s="1190"/>
      <c r="AM674" s="1131"/>
      <c r="AN674" s="1237"/>
      <c r="AO674" s="940" t="s">
        <v>624</v>
      </c>
      <c r="AP674" s="1065">
        <v>0</v>
      </c>
      <c r="AW674" s="1238"/>
      <c r="AX674" s="1236"/>
    </row>
    <row r="675" spans="1:54" s="940" customFormat="1" ht="12.75" customHeight="1">
      <c r="A675" s="924"/>
      <c r="B675" s="51"/>
      <c r="C675" s="1233"/>
      <c r="D675" s="1181"/>
      <c r="E675" s="1182"/>
      <c r="F675" s="3157"/>
      <c r="G675" s="3157"/>
      <c r="H675" s="3157"/>
      <c r="I675" s="3157"/>
      <c r="J675" s="3157"/>
      <c r="K675" s="3157"/>
      <c r="L675" s="3157"/>
      <c r="M675" s="3157"/>
      <c r="N675" s="3157"/>
      <c r="O675" s="3157"/>
      <c r="P675" s="3157"/>
      <c r="Q675" s="3157"/>
      <c r="R675" s="3157"/>
      <c r="S675" s="3157"/>
      <c r="T675" s="3157"/>
      <c r="U675" s="3157"/>
      <c r="V675" s="3157"/>
      <c r="W675" s="3157"/>
      <c r="X675" s="3157"/>
      <c r="Y675" s="3157"/>
      <c r="Z675" s="3157"/>
      <c r="AA675" s="3157"/>
      <c r="AB675" s="3157"/>
      <c r="AC675" s="3157"/>
      <c r="AD675" s="3157"/>
      <c r="AE675" s="3157"/>
      <c r="AF675" s="1186"/>
      <c r="AG675" s="1186"/>
      <c r="AH675" s="1186"/>
      <c r="AI675" s="1186"/>
      <c r="AJ675" s="1186"/>
      <c r="AK675" s="1186"/>
      <c r="AL675" s="1234"/>
      <c r="AM675" s="1131"/>
      <c r="AN675" s="997"/>
      <c r="AO675" s="1238">
        <v>0.09</v>
      </c>
      <c r="AP675" s="1065">
        <v>3</v>
      </c>
      <c r="AS675" s="1232"/>
    </row>
    <row r="676" spans="1:54" s="940" customFormat="1" ht="12.75" customHeight="1">
      <c r="A676" s="924"/>
      <c r="B676" s="51"/>
      <c r="C676" s="1022"/>
      <c r="D676" s="1022"/>
      <c r="E676" s="1022"/>
      <c r="F676" s="1022"/>
      <c r="G676" s="1212"/>
      <c r="H676" s="1212"/>
      <c r="I676" s="1212"/>
      <c r="J676" s="1212"/>
      <c r="K676" s="1212"/>
      <c r="L676" s="1212"/>
      <c r="M676" s="1212"/>
      <c r="N676" s="1212"/>
      <c r="O676" s="1212"/>
      <c r="P676" s="1212"/>
      <c r="Q676" s="1212"/>
      <c r="R676" s="1212"/>
      <c r="S676" s="1212"/>
      <c r="T676" s="1212"/>
      <c r="U676" s="1212"/>
      <c r="V676" s="1212"/>
      <c r="W676" s="1212"/>
      <c r="X676" s="1212"/>
      <c r="Y676" s="1212"/>
      <c r="Z676" s="1212"/>
      <c r="AA676" s="1212"/>
      <c r="AB676" s="1212"/>
      <c r="AC676" s="1212"/>
      <c r="AD676" s="1212"/>
      <c r="AE676" s="1022"/>
      <c r="AF676" s="1022"/>
      <c r="AG676" s="1022"/>
      <c r="AH676" s="1022"/>
      <c r="AI676" s="1022"/>
      <c r="AJ676" s="1022"/>
      <c r="AK676" s="1022"/>
      <c r="AL676" s="1022"/>
      <c r="AM676" s="1131"/>
      <c r="AN676" s="997"/>
      <c r="AO676" s="1238">
        <v>0.15</v>
      </c>
      <c r="AP676" s="1065">
        <v>5</v>
      </c>
    </row>
    <row r="677" spans="1:54" s="940" customFormat="1" ht="12.75" customHeight="1">
      <c r="A677" s="924"/>
      <c r="B677" s="51"/>
      <c r="C677" s="1239"/>
      <c r="D677" s="1240"/>
      <c r="E677" s="1171" t="s">
        <v>1788</v>
      </c>
      <c r="F677" s="3160" t="s">
        <v>1789</v>
      </c>
      <c r="G677" s="3160"/>
      <c r="H677" s="3160"/>
      <c r="I677" s="3160"/>
      <c r="J677" s="3160"/>
      <c r="K677" s="3160"/>
      <c r="L677" s="3160"/>
      <c r="M677" s="3160"/>
      <c r="N677" s="3160"/>
      <c r="O677" s="3160"/>
      <c r="P677" s="3160"/>
      <c r="Q677" s="3160"/>
      <c r="R677" s="3160"/>
      <c r="S677" s="3160"/>
      <c r="T677" s="3160"/>
      <c r="U677" s="3160"/>
      <c r="V677" s="3160"/>
      <c r="W677" s="3160"/>
      <c r="X677" s="3160"/>
      <c r="Y677" s="3160"/>
      <c r="Z677" s="3160"/>
      <c r="AA677" s="3160"/>
      <c r="AB677" s="3160"/>
      <c r="AC677" s="3160"/>
      <c r="AD677" s="3160"/>
      <c r="AE677" s="3160"/>
      <c r="AF677" s="3160"/>
      <c r="AG677" s="1205"/>
      <c r="AH677" s="1170"/>
      <c r="AI677" s="1170"/>
      <c r="AJ677" s="1170"/>
      <c r="AK677" s="1170"/>
      <c r="AL677" s="1206"/>
      <c r="AM677" s="1131"/>
      <c r="AN677" s="997"/>
    </row>
    <row r="678" spans="1:54" s="940" customFormat="1" ht="12.75" customHeight="1">
      <c r="A678" s="924"/>
      <c r="B678" s="51"/>
      <c r="C678" s="1189"/>
      <c r="D678" s="112"/>
      <c r="E678" s="1143"/>
      <c r="F678" s="3161"/>
      <c r="G678" s="3161"/>
      <c r="H678" s="3161"/>
      <c r="I678" s="3161"/>
      <c r="J678" s="3161"/>
      <c r="K678" s="3161"/>
      <c r="L678" s="3161"/>
      <c r="M678" s="3161"/>
      <c r="N678" s="3161"/>
      <c r="O678" s="3161"/>
      <c r="P678" s="3161"/>
      <c r="Q678" s="3161"/>
      <c r="R678" s="3161"/>
      <c r="S678" s="3161"/>
      <c r="T678" s="3161"/>
      <c r="U678" s="3161"/>
      <c r="V678" s="3161"/>
      <c r="W678" s="3161"/>
      <c r="X678" s="3161"/>
      <c r="Y678" s="3161"/>
      <c r="Z678" s="3161"/>
      <c r="AA678" s="3161"/>
      <c r="AB678" s="3161"/>
      <c r="AC678" s="3161"/>
      <c r="AD678" s="3161"/>
      <c r="AE678" s="3161"/>
      <c r="AF678" s="3161"/>
      <c r="AG678" s="1022"/>
      <c r="AH678" s="1022"/>
      <c r="AI678" s="1022"/>
      <c r="AJ678" s="1022"/>
      <c r="AK678" s="1022"/>
      <c r="AL678" s="1190"/>
      <c r="AM678" s="1131"/>
      <c r="AN678" s="997"/>
    </row>
    <row r="679" spans="1:54" s="940" customFormat="1" ht="12.75" customHeight="1">
      <c r="A679" s="924"/>
      <c r="B679" s="51"/>
      <c r="C679" s="1198"/>
      <c r="D679" s="1022"/>
      <c r="E679" s="1022"/>
      <c r="F679" s="3161"/>
      <c r="G679" s="3161"/>
      <c r="H679" s="3161"/>
      <c r="I679" s="3161"/>
      <c r="J679" s="3161"/>
      <c r="K679" s="3161"/>
      <c r="L679" s="3161"/>
      <c r="M679" s="3161"/>
      <c r="N679" s="3161"/>
      <c r="O679" s="3161"/>
      <c r="P679" s="3161"/>
      <c r="Q679" s="3161"/>
      <c r="R679" s="3161"/>
      <c r="S679" s="3161"/>
      <c r="T679" s="3161"/>
      <c r="U679" s="3161"/>
      <c r="V679" s="3161"/>
      <c r="W679" s="3161"/>
      <c r="X679" s="3161"/>
      <c r="Y679" s="3161"/>
      <c r="Z679" s="3161"/>
      <c r="AA679" s="3161"/>
      <c r="AB679" s="3161"/>
      <c r="AC679" s="3161"/>
      <c r="AD679" s="3161"/>
      <c r="AE679" s="3161"/>
      <c r="AF679" s="3161"/>
      <c r="AG679" s="1022"/>
      <c r="AH679" s="1022"/>
      <c r="AI679" s="1022"/>
      <c r="AJ679" s="1022"/>
      <c r="AK679" s="1022"/>
      <c r="AL679" s="1190"/>
      <c r="AM679" s="1131"/>
      <c r="AN679" s="997"/>
    </row>
    <row r="680" spans="1:54" s="940" customFormat="1" ht="12.75" customHeight="1">
      <c r="A680" s="924"/>
      <c r="B680" s="51"/>
      <c r="C680" s="1198"/>
      <c r="D680" s="1022"/>
      <c r="E680" s="1022"/>
      <c r="F680" s="3161"/>
      <c r="G680" s="3161"/>
      <c r="H680" s="3161"/>
      <c r="I680" s="3161"/>
      <c r="J680" s="3161"/>
      <c r="K680" s="3161"/>
      <c r="L680" s="3161"/>
      <c r="M680" s="3161"/>
      <c r="N680" s="3161"/>
      <c r="O680" s="3161"/>
      <c r="P680" s="3161"/>
      <c r="Q680" s="3161"/>
      <c r="R680" s="3161"/>
      <c r="S680" s="3161"/>
      <c r="T680" s="3161"/>
      <c r="U680" s="3161"/>
      <c r="V680" s="3161"/>
      <c r="W680" s="3161"/>
      <c r="X680" s="3161"/>
      <c r="Y680" s="3161"/>
      <c r="Z680" s="3161"/>
      <c r="AA680" s="3161"/>
      <c r="AB680" s="3161"/>
      <c r="AC680" s="3161"/>
      <c r="AD680" s="3161"/>
      <c r="AE680" s="3161"/>
      <c r="AF680" s="3161"/>
      <c r="AG680" s="1022"/>
      <c r="AH680" s="1022"/>
      <c r="AI680" s="1022"/>
      <c r="AJ680" s="1022"/>
      <c r="AK680" s="1022"/>
      <c r="AL680" s="1190"/>
      <c r="AM680" s="1131"/>
      <c r="AN680" s="997"/>
    </row>
    <row r="681" spans="1:54" s="940" customFormat="1" ht="12.75" customHeight="1">
      <c r="A681" s="924"/>
      <c r="B681" s="51"/>
      <c r="C681" s="3149" t="s">
        <v>624</v>
      </c>
      <c r="D681" s="3097"/>
      <c r="E681" s="1175"/>
      <c r="F681" s="1211" t="s">
        <v>1760</v>
      </c>
      <c r="G681" s="1212"/>
      <c r="H681" s="1212"/>
      <c r="I681" s="1212"/>
      <c r="J681" s="1212"/>
      <c r="K681" s="1212"/>
      <c r="L681" s="1212"/>
      <c r="M681" s="1212"/>
      <c r="N681" s="1212"/>
      <c r="O681" s="1212"/>
      <c r="P681" s="1212"/>
      <c r="Q681" s="1212"/>
      <c r="R681" s="1212"/>
      <c r="S681" s="1212"/>
      <c r="T681" s="1212"/>
      <c r="U681" s="1212"/>
      <c r="V681" s="1212"/>
      <c r="W681" s="1212"/>
      <c r="X681" s="1212"/>
      <c r="Y681" s="1212"/>
      <c r="Z681" s="1212"/>
      <c r="AA681" s="1212"/>
      <c r="AB681" s="1212"/>
      <c r="AC681" s="1212"/>
      <c r="AD681" s="1212"/>
      <c r="AE681" s="1022"/>
      <c r="AF681" s="3150" t="s">
        <v>1743</v>
      </c>
      <c r="AG681" s="3150"/>
      <c r="AH681" s="3150"/>
      <c r="AI681" s="3150"/>
      <c r="AJ681" s="3150"/>
      <c r="AK681" s="3150"/>
      <c r="AL681" s="3151"/>
      <c r="AM681" s="1131"/>
      <c r="AN681" s="997"/>
    </row>
    <row r="682" spans="1:54" s="940" customFormat="1" ht="12.75" customHeight="1">
      <c r="A682" s="924"/>
      <c r="B682" s="51"/>
      <c r="C682" s="1199"/>
      <c r="D682" s="1191"/>
      <c r="E682" s="1192"/>
      <c r="F682" s="1185"/>
      <c r="G682" s="1185"/>
      <c r="H682" s="1185"/>
      <c r="I682" s="1185"/>
      <c r="J682" s="1185"/>
      <c r="K682" s="1185"/>
      <c r="L682" s="1185"/>
      <c r="M682" s="1185"/>
      <c r="N682" s="1185"/>
      <c r="O682" s="1185"/>
      <c r="P682" s="1185"/>
      <c r="Q682" s="1185"/>
      <c r="R682" s="1185"/>
      <c r="S682" s="1185"/>
      <c r="T682" s="1185"/>
      <c r="U682" s="1185"/>
      <c r="V682" s="1185"/>
      <c r="W682" s="1185"/>
      <c r="X682" s="1185"/>
      <c r="Y682" s="1185"/>
      <c r="Z682" s="1185"/>
      <c r="AA682" s="1185"/>
      <c r="AB682" s="1185"/>
      <c r="AC682" s="1185"/>
      <c r="AD682" s="1185"/>
      <c r="AE682" s="1185"/>
      <c r="AF682" s="1185"/>
      <c r="AG682" s="1185"/>
      <c r="AH682" s="1185"/>
      <c r="AI682" s="1185"/>
      <c r="AJ682" s="1185"/>
      <c r="AK682" s="1185"/>
      <c r="AL682" s="1201"/>
      <c r="AN682" s="997"/>
    </row>
    <row r="683" spans="1:54" s="940" customFormat="1" ht="12.75" customHeight="1">
      <c r="A683" s="924"/>
      <c r="B683" s="51"/>
      <c r="C683" s="1715"/>
      <c r="D683" s="1253"/>
      <c r="E683" s="1023"/>
      <c r="F683" s="1716"/>
      <c r="G683" s="1066"/>
      <c r="H683" s="1066"/>
      <c r="I683" s="1066"/>
      <c r="J683" s="1066"/>
      <c r="K683" s="1066"/>
      <c r="L683" s="1066"/>
      <c r="M683" s="1066"/>
      <c r="N683" s="1066"/>
      <c r="O683" s="1066"/>
      <c r="P683" s="1066"/>
      <c r="Q683" s="1066"/>
      <c r="R683" s="1066"/>
      <c r="S683" s="1066"/>
      <c r="T683" s="1066"/>
      <c r="U683" s="1066"/>
      <c r="V683" s="1066"/>
      <c r="W683" s="1066"/>
      <c r="X683" s="1066"/>
      <c r="Y683" s="1066"/>
      <c r="Z683" s="1066"/>
      <c r="AA683" s="1066"/>
      <c r="AB683" s="1066"/>
      <c r="AC683" s="1066"/>
      <c r="AD683" s="1066"/>
      <c r="AE683" s="1023"/>
      <c r="AF683" s="1028"/>
      <c r="AG683" s="1028"/>
      <c r="AH683" s="1028"/>
      <c r="AI683" s="1028"/>
      <c r="AJ683" s="1028"/>
      <c r="AK683" s="1028"/>
      <c r="AL683" s="1028"/>
      <c r="AN683" s="997"/>
    </row>
    <row r="684" spans="1:54" s="940" customFormat="1" ht="12.75" customHeight="1">
      <c r="A684" s="1005"/>
      <c r="B684" s="1409" t="s">
        <v>1790</v>
      </c>
      <c r="C684" s="999"/>
      <c r="D684" s="1121"/>
      <c r="E684" s="1006"/>
      <c r="F684" s="1006"/>
      <c r="G684" s="1006"/>
      <c r="H684" s="1006"/>
      <c r="I684" s="1006"/>
      <c r="J684" s="1006"/>
      <c r="K684" s="1006"/>
      <c r="L684" s="1006"/>
      <c r="M684" s="1006"/>
      <c r="N684" s="1006"/>
      <c r="O684" s="1006"/>
      <c r="P684" s="1006"/>
      <c r="Q684" s="1006"/>
      <c r="R684" s="1006"/>
      <c r="S684" s="1006"/>
      <c r="T684" s="1006"/>
      <c r="U684" s="1006"/>
      <c r="V684" s="1006"/>
      <c r="W684" s="1006"/>
      <c r="X684" s="1006"/>
      <c r="Y684" s="1006"/>
      <c r="Z684" s="1006"/>
      <c r="AA684" s="1006"/>
      <c r="AB684" s="1006"/>
      <c r="AC684" s="1006"/>
      <c r="AD684" s="1006"/>
      <c r="AE684" s="1015"/>
      <c r="AF684" s="1015"/>
      <c r="AG684" s="1015"/>
      <c r="AH684" s="1015"/>
      <c r="AI684" s="956"/>
      <c r="AJ684" s="956" t="s">
        <v>1791</v>
      </c>
      <c r="AK684" s="3100">
        <f>IF(Application!D213="N/A",AS573,AS575)</f>
        <v>10</v>
      </c>
      <c r="AL684" s="3101"/>
      <c r="AM684" s="3102"/>
      <c r="AN684" s="997"/>
    </row>
    <row r="685" spans="1:54" s="940" customFormat="1" ht="12.75" customHeight="1" thickBot="1">
      <c r="A685" s="1241"/>
      <c r="B685" s="1241"/>
      <c r="C685" s="1241"/>
      <c r="D685" s="1241"/>
      <c r="E685" s="1241"/>
      <c r="F685" s="1241"/>
      <c r="G685" s="1241"/>
      <c r="H685" s="1241"/>
      <c r="I685" s="1241"/>
      <c r="J685" s="1241"/>
      <c r="K685" s="1241"/>
      <c r="L685" s="1241"/>
      <c r="M685" s="1241"/>
      <c r="N685" s="1241"/>
      <c r="O685" s="1241"/>
      <c r="P685" s="1241"/>
      <c r="Q685" s="1241"/>
      <c r="R685" s="1241"/>
      <c r="S685" s="1241"/>
      <c r="T685" s="1241"/>
      <c r="U685" s="1241"/>
      <c r="V685" s="1241"/>
      <c r="W685" s="1241"/>
      <c r="X685" s="1241"/>
      <c r="Y685" s="1241"/>
      <c r="Z685" s="1241"/>
      <c r="AA685" s="1241"/>
      <c r="AB685" s="1241"/>
      <c r="AC685" s="1241"/>
      <c r="AD685" s="1241"/>
      <c r="AE685" s="1241"/>
      <c r="AF685" s="1241"/>
      <c r="AG685" s="1241"/>
      <c r="AH685" s="1241"/>
      <c r="AI685" s="1241"/>
      <c r="AJ685" s="1241"/>
      <c r="AK685" s="1241"/>
      <c r="AL685" s="1241"/>
      <c r="AM685" s="1242"/>
      <c r="AN685" s="997"/>
    </row>
    <row r="686" spans="1:54" s="940" customFormat="1" ht="12.75" hidden="1" customHeight="1" thickTop="1">
      <c r="A686" s="124"/>
      <c r="B686" s="962"/>
      <c r="C686" s="963"/>
      <c r="D686" s="963"/>
      <c r="E686" s="963"/>
      <c r="F686" s="963"/>
      <c r="G686" s="963"/>
      <c r="H686" s="963"/>
      <c r="I686" s="1696"/>
      <c r="J686" s="1696"/>
      <c r="K686" s="1696"/>
      <c r="L686" s="1696"/>
      <c r="M686" s="1696"/>
      <c r="N686" s="1696"/>
      <c r="O686" s="1696"/>
      <c r="P686" s="1696"/>
      <c r="Q686" s="1696"/>
      <c r="R686" s="961"/>
      <c r="S686" s="929"/>
      <c r="T686" s="929"/>
      <c r="U686" s="929"/>
      <c r="V686" s="929"/>
      <c r="W686" s="929"/>
      <c r="X686" s="929"/>
      <c r="Y686" s="929"/>
      <c r="Z686" s="929"/>
      <c r="AA686" s="929"/>
      <c r="AB686" s="929"/>
      <c r="AC686" s="929"/>
      <c r="AD686" s="929"/>
      <c r="AE686" s="929"/>
      <c r="AF686" s="961"/>
      <c r="AG686" s="929"/>
      <c r="AH686" s="929"/>
      <c r="AI686" s="929"/>
      <c r="AJ686" s="929"/>
      <c r="AM686" s="51"/>
      <c r="AN686" s="997"/>
      <c r="AO686" s="940" t="s">
        <v>624</v>
      </c>
      <c r="AP686" s="1022">
        <v>0</v>
      </c>
    </row>
    <row r="687" spans="1:54" s="940" customFormat="1" ht="12.75" hidden="1" customHeight="1">
      <c r="A687" s="1009" t="s">
        <v>1792</v>
      </c>
      <c r="B687" s="1023"/>
      <c r="C687" s="1009"/>
      <c r="D687" s="1023"/>
      <c r="E687" s="996"/>
      <c r="F687" s="1023"/>
      <c r="G687" s="1023"/>
      <c r="H687" s="1023"/>
      <c r="I687" s="1023"/>
      <c r="J687" s="1023"/>
      <c r="K687" s="1023"/>
      <c r="L687" s="1023"/>
      <c r="M687" s="1023"/>
      <c r="N687" s="1023"/>
      <c r="O687" s="1023"/>
      <c r="P687" s="1023"/>
      <c r="Q687" s="1023"/>
      <c r="R687" s="1023"/>
      <c r="S687" s="1023"/>
      <c r="T687" s="1023"/>
      <c r="U687" s="1023"/>
      <c r="V687" s="1023"/>
      <c r="W687" s="1023"/>
      <c r="X687" s="1023"/>
      <c r="Y687" s="1023"/>
      <c r="Z687" s="1023"/>
      <c r="AA687" s="1023"/>
      <c r="AB687" s="1023"/>
      <c r="AE687" s="3216" t="s">
        <v>1793</v>
      </c>
      <c r="AF687" s="3216"/>
      <c r="AG687" s="3216"/>
      <c r="AH687" s="3216"/>
      <c r="AI687" s="3216"/>
      <c r="AJ687" s="3216"/>
      <c r="AK687" s="3216"/>
      <c r="AL687" s="1692"/>
      <c r="AM687" s="1023"/>
      <c r="AN687" s="997"/>
      <c r="AO687" s="940" t="s">
        <v>1771</v>
      </c>
      <c r="AP687" s="940">
        <v>5</v>
      </c>
      <c r="AQ687" s="1022"/>
      <c r="AR687" s="1022"/>
      <c r="AS687" s="1022"/>
      <c r="AT687" s="1022"/>
      <c r="AU687" s="1022"/>
      <c r="AV687" s="1022"/>
      <c r="AW687" s="1022"/>
    </row>
    <row r="688" spans="1:54" s="940" customFormat="1" ht="12.75" hidden="1" customHeight="1">
      <c r="A688" s="1009"/>
      <c r="B688" s="1003" t="s">
        <v>1794</v>
      </c>
      <c r="C688" s="1009"/>
      <c r="D688" s="1023"/>
      <c r="E688" s="996"/>
      <c r="F688" s="1023"/>
      <c r="G688" s="1023"/>
      <c r="H688" s="1023"/>
      <c r="I688" s="1023"/>
      <c r="J688" s="1023"/>
      <c r="K688" s="1023"/>
      <c r="L688" s="1023"/>
      <c r="M688" s="1023"/>
      <c r="N688" s="1023"/>
      <c r="O688" s="1023"/>
      <c r="P688" s="1023"/>
      <c r="Q688" s="1023"/>
      <c r="R688" s="1023"/>
      <c r="S688" s="1023"/>
      <c r="T688" s="1023"/>
      <c r="U688" s="1023"/>
      <c r="V688" s="1023"/>
      <c r="W688" s="1023"/>
      <c r="X688" s="1023"/>
      <c r="Y688" s="1023"/>
      <c r="Z688" s="1023"/>
      <c r="AA688" s="1023"/>
      <c r="AB688" s="1023"/>
      <c r="AE688" s="1692"/>
      <c r="AF688" s="1692"/>
      <c r="AG688" s="1692"/>
      <c r="AH688" s="1692"/>
      <c r="AI688" s="1692"/>
      <c r="AJ688" s="1692"/>
      <c r="AK688" s="1692"/>
      <c r="AL688" s="1692"/>
      <c r="AM688" s="1023"/>
      <c r="AN688" s="997"/>
      <c r="AO688" s="940" t="s">
        <v>1795</v>
      </c>
      <c r="AP688" s="940">
        <v>5</v>
      </c>
      <c r="AQ688" s="1022"/>
      <c r="AR688" s="1022"/>
      <c r="AS688" s="1022"/>
      <c r="AT688" s="1022"/>
      <c r="AU688" s="1022"/>
      <c r="AV688" s="1022"/>
      <c r="AW688" s="1022"/>
    </row>
    <row r="689" spans="1:50" s="940" customFormat="1" ht="12.75" hidden="1" customHeight="1">
      <c r="A689" s="1009"/>
      <c r="B689" s="983" t="s">
        <v>1796</v>
      </c>
      <c r="C689" s="1009"/>
      <c r="D689" s="1023"/>
      <c r="E689" s="996"/>
      <c r="F689" s="1023"/>
      <c r="G689" s="1023"/>
      <c r="H689" s="1023"/>
      <c r="I689" s="1023"/>
      <c r="J689" s="1023"/>
      <c r="K689" s="1023"/>
      <c r="L689" s="1023"/>
      <c r="M689" s="1023"/>
      <c r="N689" s="1023"/>
      <c r="O689" s="1023"/>
      <c r="P689" s="1023"/>
      <c r="Q689" s="1023"/>
      <c r="R689" s="1023"/>
      <c r="S689" s="1023"/>
      <c r="T689" s="1023"/>
      <c r="U689" s="1023"/>
      <c r="V689" s="1023"/>
      <c r="W689" s="1023"/>
      <c r="X689" s="1023"/>
      <c r="Y689" s="1023"/>
      <c r="Z689" s="1023"/>
      <c r="AA689" s="1023"/>
      <c r="AB689" s="1023"/>
      <c r="AE689" s="1692"/>
      <c r="AF689" s="1692"/>
      <c r="AG689" s="1692"/>
      <c r="AH689" s="1692"/>
      <c r="AI689" s="1692"/>
      <c r="AJ689" s="1692"/>
      <c r="AK689" s="1692"/>
      <c r="AL689" s="1692"/>
      <c r="AM689" s="1023"/>
      <c r="AN689" s="997"/>
      <c r="AO689" s="940" t="s">
        <v>1773</v>
      </c>
      <c r="AP689" s="940">
        <v>5</v>
      </c>
      <c r="AQ689" s="1176"/>
      <c r="AR689" s="1176"/>
      <c r="AS689" s="1232"/>
      <c r="AW689" s="1232"/>
    </row>
    <row r="690" spans="1:50" s="940" customFormat="1" ht="12.75" hidden="1" customHeight="1">
      <c r="A690" s="1009"/>
      <c r="B690" s="983" t="s">
        <v>1797</v>
      </c>
      <c r="C690" s="1009"/>
      <c r="D690" s="1023"/>
      <c r="E690" s="996"/>
      <c r="F690" s="1023"/>
      <c r="G690" s="1023"/>
      <c r="H690" s="1023"/>
      <c r="I690" s="1023"/>
      <c r="J690" s="1023"/>
      <c r="K690" s="1023"/>
      <c r="L690" s="1023"/>
      <c r="M690" s="1023"/>
      <c r="N690" s="1023"/>
      <c r="O690" s="1023"/>
      <c r="P690" s="1023"/>
      <c r="Q690" s="1023"/>
      <c r="R690" s="1023"/>
      <c r="S690" s="1023"/>
      <c r="T690" s="1023"/>
      <c r="U690" s="1023"/>
      <c r="V690" s="1023"/>
      <c r="W690" s="1023"/>
      <c r="X690" s="1023"/>
      <c r="Y690" s="1023"/>
      <c r="Z690" s="1023"/>
      <c r="AA690" s="1023"/>
      <c r="AB690" s="1023"/>
      <c r="AE690" s="1692"/>
      <c r="AF690" s="1692"/>
      <c r="AG690" s="1692"/>
      <c r="AH690" s="1692"/>
      <c r="AI690" s="1692"/>
      <c r="AJ690" s="1692"/>
      <c r="AK690" s="1692"/>
      <c r="AL690" s="1692"/>
      <c r="AM690" s="1023"/>
      <c r="AN690" s="997"/>
      <c r="AO690" s="940" t="s">
        <v>1775</v>
      </c>
      <c r="AP690" s="940">
        <v>5</v>
      </c>
      <c r="AQ690" s="1176"/>
      <c r="AR690" s="1176"/>
      <c r="AW690" s="1243"/>
    </row>
    <row r="691" spans="1:50" s="940" customFormat="1" ht="12.75" hidden="1" customHeight="1">
      <c r="A691" s="1009"/>
      <c r="B691" s="1023"/>
      <c r="C691" s="1009"/>
      <c r="D691" s="1023"/>
      <c r="E691" s="996"/>
      <c r="F691" s="1023"/>
      <c r="G691" s="1023"/>
      <c r="H691" s="1023"/>
      <c r="I691" s="1023"/>
      <c r="J691" s="1023"/>
      <c r="K691" s="1023"/>
      <c r="L691" s="1023"/>
      <c r="M691" s="1023"/>
      <c r="N691" s="1023"/>
      <c r="O691" s="1023"/>
      <c r="P691" s="1023"/>
      <c r="Q691" s="1023"/>
      <c r="R691" s="1023"/>
      <c r="S691" s="1023"/>
      <c r="T691" s="1023"/>
      <c r="U691" s="1023"/>
      <c r="V691" s="1023"/>
      <c r="W691" s="1023"/>
      <c r="X691" s="1023"/>
      <c r="Y691" s="1023"/>
      <c r="Z691" s="1023"/>
      <c r="AA691" s="1023"/>
      <c r="AB691" s="1023"/>
      <c r="AE691" s="1692"/>
      <c r="AF691" s="1692"/>
      <c r="AG691" s="1692"/>
      <c r="AH691" s="1692"/>
      <c r="AI691" s="1692"/>
      <c r="AJ691" s="1692"/>
      <c r="AK691" s="1692"/>
      <c r="AL691" s="1692"/>
      <c r="AM691" s="1023"/>
      <c r="AN691" s="997"/>
      <c r="AO691" s="940" t="s">
        <v>1776</v>
      </c>
      <c r="AP691" s="940">
        <v>5</v>
      </c>
      <c r="AQ691" s="1176"/>
      <c r="AR691" s="1176"/>
      <c r="AW691" s="1243"/>
    </row>
    <row r="692" spans="1:50" s="940" customFormat="1" ht="12.75" hidden="1" customHeight="1">
      <c r="A692" s="1009"/>
      <c r="B692" s="1023"/>
      <c r="C692" s="1244" t="s">
        <v>1798</v>
      </c>
      <c r="D692" s="1131"/>
      <c r="F692" s="1023"/>
      <c r="G692" s="1023"/>
      <c r="H692" s="1023"/>
      <c r="I692" s="1023"/>
      <c r="J692" s="1023"/>
      <c r="K692" s="1023"/>
      <c r="L692" s="1023"/>
      <c r="M692" s="1023"/>
      <c r="N692" s="1023"/>
      <c r="O692" s="1023"/>
      <c r="P692" s="1023"/>
      <c r="Q692" s="1023"/>
      <c r="R692" s="1023"/>
      <c r="S692" s="1023"/>
      <c r="T692" s="1023"/>
      <c r="U692" s="1023"/>
      <c r="V692" s="1023"/>
      <c r="W692" s="1023"/>
      <c r="X692" s="1023"/>
      <c r="Y692" s="1023"/>
      <c r="Z692" s="1023"/>
      <c r="AA692" s="1023"/>
      <c r="AB692" s="1023"/>
      <c r="AE692" s="1692"/>
      <c r="AF692" s="1692"/>
      <c r="AG692" s="996"/>
      <c r="AH692" s="996"/>
      <c r="AI692" s="996"/>
      <c r="AJ692" s="996"/>
      <c r="AK692" s="996"/>
      <c r="AL692" s="996"/>
      <c r="AM692" s="1023"/>
      <c r="AN692" s="997"/>
      <c r="AO692" s="940" t="s">
        <v>1777</v>
      </c>
      <c r="AP692" s="940">
        <v>5</v>
      </c>
      <c r="AW692" s="1243"/>
    </row>
    <row r="693" spans="1:50" s="940" customFormat="1" ht="12.75" hidden="1" customHeight="1">
      <c r="A693" s="1009"/>
      <c r="C693" s="3166" t="s">
        <v>624</v>
      </c>
      <c r="D693" s="3167"/>
      <c r="E693" s="1245" t="s">
        <v>538</v>
      </c>
      <c r="F693" s="3168" t="s">
        <v>1799</v>
      </c>
      <c r="G693" s="3168"/>
      <c r="H693" s="3168"/>
      <c r="I693" s="3168"/>
      <c r="J693" s="3168"/>
      <c r="K693" s="3168"/>
      <c r="L693" s="3168"/>
      <c r="M693" s="3168"/>
      <c r="N693" s="3168"/>
      <c r="O693" s="3168"/>
      <c r="P693" s="3168"/>
      <c r="Q693" s="3168"/>
      <c r="R693" s="3168"/>
      <c r="S693" s="3168"/>
      <c r="T693" s="3168"/>
      <c r="U693" s="3168"/>
      <c r="V693" s="3168"/>
      <c r="W693" s="3168"/>
      <c r="X693" s="3168"/>
      <c r="Y693" s="3168"/>
      <c r="Z693" s="3168"/>
      <c r="AA693" s="3168"/>
      <c r="AB693" s="3168"/>
      <c r="AC693" s="3168"/>
      <c r="AD693" s="3168"/>
      <c r="AE693" s="3168"/>
      <c r="AF693" s="1170"/>
      <c r="AG693" s="1170"/>
      <c r="AH693" s="1170"/>
      <c r="AI693" s="1170"/>
      <c r="AJ693" s="1170"/>
      <c r="AK693" s="1206"/>
      <c r="AL693" s="1022"/>
      <c r="AN693" s="997"/>
      <c r="AO693" s="940" t="s">
        <v>1800</v>
      </c>
      <c r="AP693" s="940">
        <v>5</v>
      </c>
      <c r="AS693" s="1238"/>
      <c r="AT693" s="1236"/>
      <c r="AW693" s="1243"/>
      <c r="AX693" s="1065"/>
    </row>
    <row r="694" spans="1:50" s="940" customFormat="1" ht="12.75" hidden="1" customHeight="1">
      <c r="A694" s="1057"/>
      <c r="C694" s="1246"/>
      <c r="D694" s="1022"/>
      <c r="E694" s="1247"/>
      <c r="F694" s="3169"/>
      <c r="G694" s="3169"/>
      <c r="H694" s="3169"/>
      <c r="I694" s="3169"/>
      <c r="J694" s="3169"/>
      <c r="K694" s="3169"/>
      <c r="L694" s="3169"/>
      <c r="M694" s="3169"/>
      <c r="N694" s="3169"/>
      <c r="O694" s="3169"/>
      <c r="P694" s="3169"/>
      <c r="Q694" s="3169"/>
      <c r="R694" s="3169"/>
      <c r="S694" s="3169"/>
      <c r="T694" s="3169"/>
      <c r="U694" s="3169"/>
      <c r="V694" s="3169"/>
      <c r="W694" s="3169"/>
      <c r="X694" s="3169"/>
      <c r="Y694" s="3169"/>
      <c r="Z694" s="3169"/>
      <c r="AA694" s="3169"/>
      <c r="AB694" s="3169"/>
      <c r="AC694" s="3169"/>
      <c r="AD694" s="3169"/>
      <c r="AE694" s="3169"/>
      <c r="AF694" s="1022"/>
      <c r="AG694" s="941"/>
      <c r="AH694" s="941"/>
      <c r="AI694" s="941"/>
      <c r="AJ694" s="941"/>
      <c r="AK694" s="1190"/>
      <c r="AL694" s="1022"/>
      <c r="AN694" s="997"/>
      <c r="AO694" s="940" t="s">
        <v>1781</v>
      </c>
      <c r="AP694" s="940">
        <v>1</v>
      </c>
    </row>
    <row r="695" spans="1:50" s="940" customFormat="1" ht="12.75" hidden="1" customHeight="1">
      <c r="A695" s="1057"/>
      <c r="C695" s="1248"/>
      <c r="D695" s="1185"/>
      <c r="E695" s="1249"/>
      <c r="F695" s="3170" t="s">
        <v>624</v>
      </c>
      <c r="G695" s="3170"/>
      <c r="H695" s="3170"/>
      <c r="I695" s="3170"/>
      <c r="J695" s="3170"/>
      <c r="K695" s="3170"/>
      <c r="L695" s="3170"/>
      <c r="M695" s="3170"/>
      <c r="N695" s="3170"/>
      <c r="O695" s="3170"/>
      <c r="P695" s="3170"/>
      <c r="Q695" s="3170"/>
      <c r="R695" s="3170"/>
      <c r="S695" s="3170"/>
      <c r="T695" s="3170"/>
      <c r="U695" s="3170"/>
      <c r="V695" s="3170"/>
      <c r="W695" s="3170"/>
      <c r="X695" s="3170"/>
      <c r="Y695" s="3170"/>
      <c r="Z695" s="3170"/>
      <c r="AA695" s="1250"/>
      <c r="AB695" s="1097"/>
      <c r="AC695" s="1097"/>
      <c r="AD695" s="1185"/>
      <c r="AE695" s="1185"/>
      <c r="AF695" s="1185"/>
      <c r="AG695" s="1251">
        <f>IF($C$693="Yes",(VLOOKUP($F$695,$AO$660:$AP$668,2,FALSE)),0)</f>
        <v>0</v>
      </c>
      <c r="AH695" s="1252" t="s">
        <v>1591</v>
      </c>
      <c r="AI695" s="1251"/>
      <c r="AJ695" s="1251"/>
      <c r="AK695" s="1201"/>
      <c r="AL695" s="1022"/>
      <c r="AN695" s="997"/>
      <c r="AS695" s="1232"/>
      <c r="AW695" s="1232"/>
    </row>
    <row r="696" spans="1:50" s="940" customFormat="1" ht="12.75" hidden="1" customHeight="1">
      <c r="A696" s="1057"/>
      <c r="C696" s="941"/>
      <c r="E696" s="1247"/>
      <c r="F696" s="986"/>
      <c r="G696" s="986"/>
      <c r="H696" s="986"/>
      <c r="I696" s="986"/>
      <c r="J696" s="986"/>
      <c r="K696" s="986"/>
      <c r="L696" s="986"/>
      <c r="M696" s="986"/>
      <c r="N696" s="986"/>
      <c r="O696" s="986"/>
      <c r="P696" s="986"/>
      <c r="Q696" s="986"/>
      <c r="R696" s="986"/>
      <c r="S696" s="986"/>
      <c r="T696" s="986"/>
      <c r="U696" s="986"/>
      <c r="V696" s="986"/>
      <c r="W696" s="986"/>
      <c r="X696" s="986"/>
      <c r="Y696" s="986"/>
      <c r="Z696" s="986"/>
      <c r="AA696" s="1253"/>
      <c r="AB696" s="941"/>
      <c r="AC696" s="941"/>
      <c r="AG696" s="941"/>
      <c r="AH696" s="941"/>
      <c r="AI696" s="941"/>
      <c r="AJ696" s="941"/>
      <c r="AN696" s="997"/>
      <c r="AO696" s="940" t="s">
        <v>624</v>
      </c>
      <c r="AP696" s="1065">
        <v>0</v>
      </c>
    </row>
    <row r="697" spans="1:50" s="940" customFormat="1" ht="12.75" hidden="1" customHeight="1">
      <c r="A697" s="1057"/>
      <c r="C697" s="3171" t="s">
        <v>576</v>
      </c>
      <c r="D697" s="3172"/>
      <c r="E697" s="1245" t="s">
        <v>796</v>
      </c>
      <c r="F697" s="1254" t="s">
        <v>1801</v>
      </c>
      <c r="G697" s="1084"/>
      <c r="H697" s="1084"/>
      <c r="I697" s="1084"/>
      <c r="J697" s="1084"/>
      <c r="K697" s="1084"/>
      <c r="L697" s="1084"/>
      <c r="M697" s="1084"/>
      <c r="N697" s="1084"/>
      <c r="O697" s="1084"/>
      <c r="P697" s="1084"/>
      <c r="Q697" s="1084"/>
      <c r="R697" s="1084"/>
      <c r="S697" s="1084"/>
      <c r="T697" s="1084"/>
      <c r="U697" s="1084"/>
      <c r="V697" s="1084"/>
      <c r="W697" s="1084"/>
      <c r="X697" s="1084"/>
      <c r="Y697" s="1084"/>
      <c r="Z697" s="1084"/>
      <c r="AA697" s="1084"/>
      <c r="AB697" s="1084"/>
      <c r="AC697" s="1084"/>
      <c r="AD697" s="1170"/>
      <c r="AE697" s="1170"/>
      <c r="AF697" s="1170"/>
      <c r="AG697" s="1084"/>
      <c r="AH697" s="1084"/>
      <c r="AI697" s="1084"/>
      <c r="AJ697" s="1084"/>
      <c r="AK697" s="1206"/>
      <c r="AL697" s="1022"/>
      <c r="AN697" s="997"/>
      <c r="AO697" s="1238">
        <v>0.15</v>
      </c>
      <c r="AP697" s="1065">
        <v>3</v>
      </c>
    </row>
    <row r="698" spans="1:50" s="940" customFormat="1" ht="12.75" hidden="1" customHeight="1">
      <c r="A698" s="1057"/>
      <c r="C698" s="1255" t="s">
        <v>1802</v>
      </c>
      <c r="D698" s="1022"/>
      <c r="E698" s="1022"/>
      <c r="F698" s="1256" t="s">
        <v>1803</v>
      </c>
      <c r="G698" s="941"/>
      <c r="H698" s="941"/>
      <c r="I698" s="941"/>
      <c r="J698" s="941"/>
      <c r="K698" s="941"/>
      <c r="L698" s="941"/>
      <c r="M698" s="941"/>
      <c r="N698" s="941"/>
      <c r="O698" s="941"/>
      <c r="P698" s="941"/>
      <c r="Q698" s="941"/>
      <c r="R698" s="941"/>
      <c r="S698" s="941"/>
      <c r="T698" s="941"/>
      <c r="U698" s="941"/>
      <c r="V698" s="941"/>
      <c r="W698" s="941"/>
      <c r="X698" s="941"/>
      <c r="Y698" s="941"/>
      <c r="Z698" s="941"/>
      <c r="AA698" s="941"/>
      <c r="AB698" s="941"/>
      <c r="AC698" s="1692"/>
      <c r="AD698" s="1022"/>
      <c r="AE698" s="1022"/>
      <c r="AF698" s="1022"/>
      <c r="AG698" s="1028"/>
      <c r="AH698" s="1028"/>
      <c r="AI698" s="1028"/>
      <c r="AJ698" s="1028"/>
      <c r="AK698" s="1190"/>
      <c r="AL698" s="1022"/>
      <c r="AN698" s="997"/>
      <c r="AO698" s="1238">
        <v>0.2</v>
      </c>
      <c r="AP698" s="1065">
        <v>5</v>
      </c>
    </row>
    <row r="699" spans="1:50" s="940" customFormat="1" ht="12.75" hidden="1" customHeight="1">
      <c r="A699" s="1057"/>
      <c r="C699" s="1694"/>
      <c r="D699" s="1695"/>
      <c r="E699" s="1257"/>
      <c r="F699" s="1256" t="s">
        <v>1804</v>
      </c>
      <c r="G699" s="1256"/>
      <c r="H699" s="1256"/>
      <c r="I699" s="1256"/>
      <c r="J699" s="1256"/>
      <c r="K699" s="1256"/>
      <c r="L699" s="1256"/>
      <c r="M699" s="1256"/>
      <c r="N699" s="1256"/>
      <c r="O699" s="1256"/>
      <c r="P699" s="1256"/>
      <c r="Q699" s="1256"/>
      <c r="R699" s="1256"/>
      <c r="S699" s="1256"/>
      <c r="T699" s="1256"/>
      <c r="U699" s="1256"/>
      <c r="V699" s="1256"/>
      <c r="W699" s="1256"/>
      <c r="X699" s="1256"/>
      <c r="Y699" s="1256"/>
      <c r="Z699" s="1256"/>
      <c r="AA699" s="1256"/>
      <c r="AB699" s="1256"/>
      <c r="AC699" s="1258"/>
      <c r="AD699" s="1259"/>
      <c r="AE699" s="1259"/>
      <c r="AF699" s="1259"/>
      <c r="AG699" s="1260"/>
      <c r="AH699" s="1028"/>
      <c r="AI699" s="1028"/>
      <c r="AJ699" s="1028"/>
      <c r="AK699" s="1190"/>
      <c r="AL699" s="1022"/>
      <c r="AN699" s="1122"/>
      <c r="AO699" s="1238"/>
      <c r="AP699" s="1236"/>
    </row>
    <row r="700" spans="1:50" s="990" customFormat="1" ht="12.75" hidden="1" customHeight="1">
      <c r="A700" s="1116"/>
      <c r="B700" s="940"/>
      <c r="C700" s="1246"/>
      <c r="D700" s="1022"/>
      <c r="E700" s="1247"/>
      <c r="F700" s="1261" t="s">
        <v>1805</v>
      </c>
      <c r="G700" s="1022"/>
      <c r="H700" s="1022"/>
      <c r="I700" s="1256"/>
      <c r="J700" s="1256"/>
      <c r="K700" s="1256"/>
      <c r="L700" s="1256"/>
      <c r="M700" s="1256"/>
      <c r="N700" s="1256"/>
      <c r="O700" s="1256"/>
      <c r="P700" s="1256"/>
      <c r="Q700" s="1256"/>
      <c r="R700" s="1256"/>
      <c r="S700" s="1256"/>
      <c r="T700" s="1256"/>
      <c r="U700" s="1256"/>
      <c r="V700" s="3178" t="s">
        <v>624</v>
      </c>
      <c r="W700" s="3178"/>
      <c r="X700" s="3178"/>
      <c r="Y700" s="1256"/>
      <c r="Z700" s="1256"/>
      <c r="AA700" s="1256"/>
      <c r="AB700" s="1256"/>
      <c r="AC700" s="1256"/>
      <c r="AD700" s="1259"/>
      <c r="AE700" s="1259"/>
      <c r="AF700" s="1259"/>
      <c r="AG700" s="1028">
        <f>IF(AND($C$697="Yes",$V$702="N/A",$V$707="N/A",$V$711="N/A",$V$713="N/A"),(VLOOKUP(V700,$AR$670:$AS$672,2,FALSE)),0)</f>
        <v>0</v>
      </c>
      <c r="AH700" s="1700" t="s">
        <v>1591</v>
      </c>
      <c r="AI700" s="941"/>
      <c r="AJ700" s="941"/>
      <c r="AK700" s="1190"/>
      <c r="AL700" s="1022"/>
      <c r="AM700" s="940"/>
      <c r="AN700" s="997"/>
    </row>
    <row r="701" spans="1:50" s="990" customFormat="1" ht="12.75" hidden="1" customHeight="1">
      <c r="A701" s="1116"/>
      <c r="B701" s="940"/>
      <c r="C701" s="1246"/>
      <c r="D701" s="1022"/>
      <c r="E701" s="1247"/>
      <c r="F701" s="1261"/>
      <c r="G701" s="1022"/>
      <c r="H701" s="1022"/>
      <c r="I701" s="1256"/>
      <c r="J701" s="1256"/>
      <c r="K701" s="1256"/>
      <c r="L701" s="1256"/>
      <c r="M701" s="1256"/>
      <c r="N701" s="1256"/>
      <c r="O701" s="1256"/>
      <c r="P701" s="1256"/>
      <c r="Q701" s="1256"/>
      <c r="R701" s="1256"/>
      <c r="S701" s="1256"/>
      <c r="T701" s="1256"/>
      <c r="U701" s="1256"/>
      <c r="V701" s="1256"/>
      <c r="W701" s="1256"/>
      <c r="X701" s="1256"/>
      <c r="Y701" s="1256"/>
      <c r="Z701" s="1256"/>
      <c r="AA701" s="1256"/>
      <c r="AB701" s="1256"/>
      <c r="AC701" s="1256"/>
      <c r="AD701" s="1259"/>
      <c r="AE701" s="1259"/>
      <c r="AF701" s="1259"/>
      <c r="AG701" s="1028"/>
      <c r="AH701" s="1700"/>
      <c r="AI701" s="941"/>
      <c r="AJ701" s="941"/>
      <c r="AK701" s="1190"/>
      <c r="AL701" s="1022"/>
      <c r="AM701" s="940"/>
      <c r="AN701" s="997"/>
    </row>
    <row r="702" spans="1:50" s="990" customFormat="1" ht="12.75" hidden="1" customHeight="1">
      <c r="A702" s="1116"/>
      <c r="B702" s="940"/>
      <c r="C702" s="1246"/>
      <c r="D702" s="1022"/>
      <c r="E702" s="1247"/>
      <c r="F702" s="1261" t="s">
        <v>1806</v>
      </c>
      <c r="G702" s="1022"/>
      <c r="H702" s="1022"/>
      <c r="I702" s="1256"/>
      <c r="J702" s="1256"/>
      <c r="K702" s="1256"/>
      <c r="L702" s="1256"/>
      <c r="M702" s="1256"/>
      <c r="N702" s="1256"/>
      <c r="O702" s="1256"/>
      <c r="P702" s="1256"/>
      <c r="Q702" s="1256"/>
      <c r="R702" s="1256"/>
      <c r="S702" s="1256"/>
      <c r="T702" s="1256"/>
      <c r="U702" s="1256"/>
      <c r="V702" s="3178" t="s">
        <v>624</v>
      </c>
      <c r="W702" s="3178"/>
      <c r="X702" s="3178"/>
      <c r="Y702" s="1256"/>
      <c r="Z702" s="1256"/>
      <c r="AA702" s="1256"/>
      <c r="AB702" s="1256"/>
      <c r="AC702" s="1256"/>
      <c r="AD702" s="1259"/>
      <c r="AE702" s="1259"/>
      <c r="AF702" s="1259"/>
      <c r="AG702" s="1028">
        <f>IF(AND($C$697="Yes",$V$700="N/A", $V$707="N/A",$V$711="N/A",$V$713="N/A"),(VLOOKUP(V702,$AO$670:$AP$672,2,FALSE)),0)</f>
        <v>0</v>
      </c>
      <c r="AH702" s="1700" t="s">
        <v>1591</v>
      </c>
      <c r="AI702" s="941"/>
      <c r="AJ702" s="941"/>
      <c r="AK702" s="1190"/>
      <c r="AL702" s="1022"/>
      <c r="AM702" s="940"/>
      <c r="AN702" s="997"/>
    </row>
    <row r="703" spans="1:50" s="940" customFormat="1" ht="12.75" hidden="1" customHeight="1">
      <c r="A703" s="1057"/>
      <c r="C703" s="1246"/>
      <c r="D703" s="1022"/>
      <c r="E703" s="1247"/>
      <c r="F703" s="1213"/>
      <c r="G703" s="1262"/>
      <c r="H703" s="1262"/>
      <c r="I703" s="1262"/>
      <c r="J703" s="1262"/>
      <c r="K703" s="1262"/>
      <c r="L703" s="1262"/>
      <c r="M703" s="1262"/>
      <c r="N703" s="1262"/>
      <c r="O703" s="1262"/>
      <c r="P703" s="1262"/>
      <c r="Q703" s="941"/>
      <c r="R703" s="941"/>
      <c r="S703" s="941"/>
      <c r="T703" s="941"/>
      <c r="U703" s="941"/>
      <c r="V703" s="941"/>
      <c r="W703" s="941"/>
      <c r="X703" s="941"/>
      <c r="Y703" s="941"/>
      <c r="Z703" s="941"/>
      <c r="AA703" s="941"/>
      <c r="AB703" s="941"/>
      <c r="AC703" s="941"/>
      <c r="AD703" s="1022"/>
      <c r="AE703" s="1022"/>
      <c r="AF703" s="1022"/>
      <c r="AG703" s="1213"/>
      <c r="AH703" s="1213"/>
      <c r="AI703" s="1213"/>
      <c r="AJ703" s="1213"/>
      <c r="AK703" s="1190"/>
      <c r="AL703" s="1022"/>
      <c r="AN703" s="997"/>
      <c r="AO703" s="940" t="s">
        <v>624</v>
      </c>
      <c r="AP703" s="940">
        <v>0</v>
      </c>
    </row>
    <row r="704" spans="1:50" s="940" customFormat="1" ht="12.75" hidden="1" customHeight="1">
      <c r="A704" s="1057"/>
      <c r="C704" s="1246"/>
      <c r="D704" s="1022"/>
      <c r="E704" s="1247"/>
      <c r="F704" s="1262" t="s">
        <v>1807</v>
      </c>
      <c r="G704" s="1022"/>
      <c r="H704" s="1022"/>
      <c r="I704" s="1247"/>
      <c r="J704" s="1247"/>
      <c r="K704" s="1247"/>
      <c r="L704" s="1247"/>
      <c r="M704" s="1247"/>
      <c r="N704" s="1247"/>
      <c r="O704" s="1247"/>
      <c r="P704" s="1247"/>
      <c r="Q704" s="941"/>
      <c r="R704" s="941"/>
      <c r="S704" s="941"/>
      <c r="T704" s="941"/>
      <c r="U704" s="941"/>
      <c r="V704" s="941"/>
      <c r="W704" s="941"/>
      <c r="X704" s="941"/>
      <c r="Y704" s="941"/>
      <c r="Z704" s="941"/>
      <c r="AA704" s="941"/>
      <c r="AB704" s="941"/>
      <c r="AC704" s="941"/>
      <c r="AD704" s="1022"/>
      <c r="AE704" s="1022"/>
      <c r="AF704" s="1022"/>
      <c r="AG704" s="1022"/>
      <c r="AH704" s="1022"/>
      <c r="AI704" s="1022"/>
      <c r="AJ704" s="941"/>
      <c r="AK704" s="1190"/>
      <c r="AL704" s="1022"/>
      <c r="AN704" s="997"/>
      <c r="AO704" s="940" t="s">
        <v>1808</v>
      </c>
      <c r="AP704" s="1065">
        <v>2</v>
      </c>
    </row>
    <row r="705" spans="1:81" s="940" customFormat="1" ht="12.75" hidden="1" customHeight="1">
      <c r="A705" s="1057"/>
      <c r="C705" s="1246"/>
      <c r="D705" s="1057"/>
      <c r="E705" s="1057"/>
      <c r="F705" s="1259" t="s">
        <v>1809</v>
      </c>
      <c r="G705" s="1057"/>
      <c r="H705" s="1057"/>
      <c r="I705" s="1057"/>
      <c r="J705" s="1057"/>
      <c r="K705" s="1057"/>
      <c r="L705" s="1057"/>
      <c r="M705" s="1247"/>
      <c r="N705" s="1247"/>
      <c r="O705" s="1247"/>
      <c r="P705" s="1247"/>
      <c r="Q705" s="941"/>
      <c r="R705" s="941"/>
      <c r="S705" s="941"/>
      <c r="T705" s="941"/>
      <c r="U705" s="941"/>
      <c r="V705" s="941"/>
      <c r="W705" s="941"/>
      <c r="X705" s="941"/>
      <c r="Y705" s="941"/>
      <c r="Z705" s="941"/>
      <c r="AA705" s="941"/>
      <c r="AB705" s="941"/>
      <c r="AC705" s="941"/>
      <c r="AD705" s="1022"/>
      <c r="AE705" s="1022"/>
      <c r="AF705" s="1022"/>
      <c r="AG705" s="1028"/>
      <c r="AH705" s="1700"/>
      <c r="AI705" s="941"/>
      <c r="AJ705" s="941"/>
      <c r="AK705" s="1190"/>
      <c r="AL705" s="1022"/>
      <c r="AN705" s="997"/>
      <c r="AO705" s="940" t="s">
        <v>1810</v>
      </c>
      <c r="AP705" s="940">
        <v>2</v>
      </c>
    </row>
    <row r="706" spans="1:81" s="990" customFormat="1" ht="12.75" hidden="1" customHeight="1">
      <c r="A706" s="1057"/>
      <c r="B706" s="940"/>
      <c r="C706" s="1198"/>
      <c r="D706" s="1253"/>
      <c r="E706" s="1253"/>
      <c r="F706" s="1259" t="s">
        <v>1811</v>
      </c>
      <c r="G706" s="1057"/>
      <c r="H706" s="1057"/>
      <c r="I706" s="1057"/>
      <c r="J706" s="1057"/>
      <c r="K706" s="1057"/>
      <c r="L706" s="1057"/>
      <c r="M706" s="1247"/>
      <c r="N706" s="1247"/>
      <c r="O706" s="1247"/>
      <c r="P706" s="1247"/>
      <c r="Q706" s="941"/>
      <c r="R706" s="941"/>
      <c r="S706" s="941"/>
      <c r="T706" s="941"/>
      <c r="U706" s="941"/>
      <c r="V706" s="941"/>
      <c r="W706" s="941"/>
      <c r="X706" s="941"/>
      <c r="Y706" s="941"/>
      <c r="Z706" s="941"/>
      <c r="AA706" s="941"/>
      <c r="AB706" s="941"/>
      <c r="AC706" s="941"/>
      <c r="AD706" s="1022"/>
      <c r="AE706" s="1022"/>
      <c r="AF706" s="1022"/>
      <c r="AG706" s="1028"/>
      <c r="AH706" s="1700"/>
      <c r="AI706" s="941"/>
      <c r="AJ706" s="941"/>
      <c r="AK706" s="1190"/>
      <c r="AL706" s="1022"/>
      <c r="AM706" s="940"/>
      <c r="AN706" s="1122"/>
      <c r="AO706" s="940" t="s">
        <v>1812</v>
      </c>
      <c r="AP706" s="940">
        <v>2</v>
      </c>
    </row>
    <row r="707" spans="1:81" s="940" customFormat="1" ht="12.75" hidden="1" customHeight="1">
      <c r="A707" s="1057"/>
      <c r="C707" s="1263"/>
      <c r="D707" s="1057"/>
      <c r="E707" s="1057"/>
      <c r="F707" s="1261" t="s">
        <v>1813</v>
      </c>
      <c r="G707" s="1057"/>
      <c r="H707" s="1057"/>
      <c r="I707" s="1057"/>
      <c r="J707" s="1057"/>
      <c r="K707" s="1057"/>
      <c r="L707" s="1057"/>
      <c r="M707" s="1247"/>
      <c r="N707" s="1247"/>
      <c r="O707" s="1247"/>
      <c r="P707" s="1247"/>
      <c r="Q707" s="941"/>
      <c r="R707" s="941"/>
      <c r="S707" s="941"/>
      <c r="T707" s="941"/>
      <c r="U707" s="941"/>
      <c r="V707" s="3178" t="s">
        <v>624</v>
      </c>
      <c r="W707" s="3178"/>
      <c r="X707" s="3178"/>
      <c r="Y707" s="941"/>
      <c r="Z707" s="941"/>
      <c r="AA707" s="941"/>
      <c r="AB707" s="941"/>
      <c r="AC707" s="941"/>
      <c r="AD707" s="1022"/>
      <c r="AE707" s="1022"/>
      <c r="AF707" s="1022"/>
      <c r="AG707" s="1028">
        <f>IF(AND($C$697="Yes",$V$700="N/A",$V$702="N/A", $V$711="N/A",$V$713="N/A"),(VLOOKUP($V$707,$AO$674:$AP$676,2,FALSE)),0)</f>
        <v>0</v>
      </c>
      <c r="AH707" s="1700" t="s">
        <v>1591</v>
      </c>
      <c r="AI707" s="941"/>
      <c r="AJ707" s="941"/>
      <c r="AK707" s="1190"/>
      <c r="AL707" s="1022"/>
      <c r="AN707" s="923"/>
    </row>
    <row r="708" spans="1:81" s="940" customFormat="1" ht="12.75" hidden="1" customHeight="1">
      <c r="A708" s="1057"/>
      <c r="C708" s="1246"/>
      <c r="D708" s="1057"/>
      <c r="E708" s="1057"/>
      <c r="F708" s="1022"/>
      <c r="G708" s="1022"/>
      <c r="H708" s="1022"/>
      <c r="I708" s="1057"/>
      <c r="J708" s="1057"/>
      <c r="K708" s="1057"/>
      <c r="L708" s="1057"/>
      <c r="M708" s="1247"/>
      <c r="N708" s="1247"/>
      <c r="O708" s="1247"/>
      <c r="P708" s="1247"/>
      <c r="Q708" s="941"/>
      <c r="R708" s="941"/>
      <c r="S708" s="941"/>
      <c r="T708" s="941"/>
      <c r="U708" s="941"/>
      <c r="V708" s="941"/>
      <c r="W708" s="941"/>
      <c r="X708" s="941"/>
      <c r="Y708" s="941"/>
      <c r="Z708" s="941"/>
      <c r="AA708" s="941"/>
      <c r="AB708" s="941"/>
      <c r="AC708" s="941"/>
      <c r="AD708" s="1022"/>
      <c r="AE708" s="1022"/>
      <c r="AF708" s="1022"/>
      <c r="AG708" s="1022"/>
      <c r="AH708" s="1022"/>
      <c r="AI708" s="1022"/>
      <c r="AJ708" s="941"/>
      <c r="AK708" s="1190"/>
      <c r="AL708" s="1022"/>
      <c r="AN708" s="1264"/>
    </row>
    <row r="709" spans="1:81" s="990" customFormat="1" ht="12.75" hidden="1" customHeight="1">
      <c r="A709" s="1057"/>
      <c r="B709" s="1023"/>
      <c r="C709" s="1265" t="s">
        <v>1814</v>
      </c>
      <c r="D709" s="1266"/>
      <c r="E709" s="1266"/>
      <c r="F709" s="1267" t="s">
        <v>1815</v>
      </c>
      <c r="G709" s="1170"/>
      <c r="H709" s="1170"/>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170"/>
      <c r="AE709" s="1170"/>
      <c r="AF709" s="1170"/>
      <c r="AG709" s="1170"/>
      <c r="AH709" s="1170"/>
      <c r="AI709" s="1170"/>
      <c r="AJ709" s="1266"/>
      <c r="AK709" s="1206"/>
      <c r="AL709" s="1022"/>
      <c r="AM709" s="940"/>
      <c r="AN709" s="984"/>
      <c r="AO709" s="940" t="s">
        <v>624</v>
      </c>
      <c r="AP709" s="940">
        <v>0</v>
      </c>
      <c r="AQ709" s="1210"/>
    </row>
    <row r="710" spans="1:81" s="990" customFormat="1" ht="12.75" hidden="1" customHeight="1">
      <c r="A710" s="1057"/>
      <c r="B710" s="1023"/>
      <c r="C710" s="1268"/>
      <c r="D710" s="3177"/>
      <c r="E710" s="3177"/>
      <c r="F710" s="1256" t="s">
        <v>1816</v>
      </c>
      <c r="G710" s="1213"/>
      <c r="H710" s="1213"/>
      <c r="I710" s="1022"/>
      <c r="J710" s="1022"/>
      <c r="K710" s="1022"/>
      <c r="L710" s="1022"/>
      <c r="M710" s="1022"/>
      <c r="N710" s="1022"/>
      <c r="O710" s="1022"/>
      <c r="P710" s="1022"/>
      <c r="Q710" s="1022"/>
      <c r="R710" s="1022"/>
      <c r="S710" s="1022"/>
      <c r="T710" s="1022"/>
      <c r="U710" s="1022"/>
      <c r="V710" s="1213"/>
      <c r="W710" s="1213"/>
      <c r="X710" s="1213"/>
      <c r="Y710" s="1022"/>
      <c r="Z710" s="1022"/>
      <c r="AA710" s="1022"/>
      <c r="AB710" s="1022"/>
      <c r="AC710" s="1022"/>
      <c r="AD710" s="1022"/>
      <c r="AE710" s="1022"/>
      <c r="AF710" s="1022"/>
      <c r="AG710" s="1213"/>
      <c r="AH710" s="1213"/>
      <c r="AI710" s="1213"/>
      <c r="AJ710" s="1213"/>
      <c r="AK710" s="1190"/>
      <c r="AL710" s="1022"/>
      <c r="AM710" s="940"/>
      <c r="AN710" s="984"/>
      <c r="AO710" s="940" t="s">
        <v>1817</v>
      </c>
      <c r="AP710" s="1065">
        <v>5</v>
      </c>
      <c r="AQ710" s="929"/>
    </row>
    <row r="711" spans="1:81" s="1131" customFormat="1" ht="12.75" hidden="1" customHeight="1">
      <c r="A711" s="1698"/>
      <c r="B711" s="1023"/>
      <c r="C711" s="1246"/>
      <c r="D711" s="1022"/>
      <c r="E711" s="1022"/>
      <c r="F711" s="1269" t="s">
        <v>1805</v>
      </c>
      <c r="G711" s="1022"/>
      <c r="H711" s="1022"/>
      <c r="I711" s="1022"/>
      <c r="J711" s="1022"/>
      <c r="K711" s="1022"/>
      <c r="L711" s="1022"/>
      <c r="M711" s="1022"/>
      <c r="N711" s="1022"/>
      <c r="O711" s="1022"/>
      <c r="P711" s="1022"/>
      <c r="Q711" s="1022"/>
      <c r="R711" s="1022"/>
      <c r="S711" s="1022"/>
      <c r="T711" s="1022"/>
      <c r="U711" s="1022"/>
      <c r="V711" s="3178" t="s">
        <v>624</v>
      </c>
      <c r="W711" s="3178"/>
      <c r="X711" s="3178"/>
      <c r="Y711" s="1022"/>
      <c r="Z711" s="1022"/>
      <c r="AA711" s="1022"/>
      <c r="AB711" s="1022"/>
      <c r="AC711" s="1022"/>
      <c r="AD711" s="1022"/>
      <c r="AE711" s="1022"/>
      <c r="AF711" s="1022"/>
      <c r="AG711" s="1028">
        <f>IF(AND($C$697="Yes",$V$700="N/A",V702="N/A",$V$707="N/A",$V$713="N/A"),(VLOOKUP($V$711,$AW$670:$AX$673,2,FALSE)),0)</f>
        <v>0</v>
      </c>
      <c r="AH711" s="1700" t="s">
        <v>1591</v>
      </c>
      <c r="AI711" s="941"/>
      <c r="AJ711" s="1022"/>
      <c r="AK711" s="1190"/>
      <c r="AL711" s="1022"/>
      <c r="AM711" s="940"/>
      <c r="AN711" s="1130"/>
      <c r="AO711" s="940" t="s">
        <v>1818</v>
      </c>
      <c r="AP711" s="940">
        <v>5</v>
      </c>
      <c r="AS711" s="940"/>
      <c r="AT711" s="940"/>
      <c r="AU711" s="940"/>
      <c r="AV711" s="940"/>
      <c r="AW711" s="940"/>
      <c r="AX711" s="940"/>
      <c r="AY711" s="940"/>
      <c r="AZ711" s="940"/>
      <c r="BA711" s="940"/>
      <c r="BB711" s="940"/>
      <c r="BO711" s="940"/>
      <c r="BP711" s="940"/>
      <c r="BQ711" s="940"/>
      <c r="BR711" s="940"/>
      <c r="BS711" s="940"/>
      <c r="BT711" s="940"/>
      <c r="BU711" s="940"/>
      <c r="BV711" s="940"/>
      <c r="BW711" s="940"/>
      <c r="BX711" s="940"/>
      <c r="BY711" s="940"/>
      <c r="BZ711" s="940"/>
      <c r="CA711" s="940"/>
      <c r="CB711" s="940"/>
      <c r="CC711" s="940"/>
    </row>
    <row r="712" spans="1:81" s="1131" customFormat="1" ht="12.75" hidden="1" customHeight="1">
      <c r="A712" s="1698"/>
      <c r="B712" s="1023"/>
      <c r="C712" s="1246"/>
      <c r="D712" s="1022"/>
      <c r="E712" s="1022"/>
      <c r="F712" s="961"/>
      <c r="G712" s="961"/>
      <c r="H712" s="961"/>
      <c r="I712" s="1022"/>
      <c r="J712" s="1022"/>
      <c r="K712" s="1022"/>
      <c r="L712" s="1022"/>
      <c r="M712" s="1022"/>
      <c r="N712" s="1022"/>
      <c r="O712" s="1022"/>
      <c r="P712" s="1022"/>
      <c r="Q712" s="1022"/>
      <c r="R712" s="1022"/>
      <c r="S712" s="1022"/>
      <c r="T712" s="1022"/>
      <c r="U712" s="1022"/>
      <c r="V712" s="1022"/>
      <c r="W712" s="1022"/>
      <c r="X712" s="1022"/>
      <c r="Y712" s="1022"/>
      <c r="Z712" s="1022"/>
      <c r="AA712" s="1022"/>
      <c r="AB712" s="1022"/>
      <c r="AC712" s="1022"/>
      <c r="AD712" s="1022"/>
      <c r="AE712" s="1022"/>
      <c r="AF712" s="1022"/>
      <c r="AG712" s="961"/>
      <c r="AH712" s="961"/>
      <c r="AI712" s="961"/>
      <c r="AJ712" s="961"/>
      <c r="AK712" s="1190"/>
      <c r="AL712" s="1022"/>
      <c r="AM712" s="940"/>
      <c r="AN712" s="1130"/>
      <c r="AO712" s="940" t="s">
        <v>1819</v>
      </c>
      <c r="AP712" s="940">
        <v>5</v>
      </c>
      <c r="AS712" s="940"/>
      <c r="AT712" s="940"/>
      <c r="AU712" s="940"/>
      <c r="AV712" s="940"/>
      <c r="AW712" s="940"/>
      <c r="AX712" s="940"/>
      <c r="AY712" s="940"/>
      <c r="AZ712" s="940"/>
      <c r="BA712" s="940"/>
      <c r="BB712" s="940"/>
      <c r="BC712" s="940"/>
      <c r="BD712" s="940"/>
      <c r="BE712" s="940"/>
      <c r="BF712" s="940"/>
      <c r="BG712" s="940"/>
      <c r="BH712" s="940"/>
      <c r="BI712" s="940"/>
      <c r="BJ712" s="940"/>
      <c r="BK712" s="940"/>
      <c r="BL712" s="940"/>
      <c r="BM712" s="940"/>
      <c r="BN712" s="940"/>
      <c r="BO712" s="940"/>
      <c r="BP712" s="940"/>
      <c r="BQ712" s="940"/>
      <c r="BR712" s="940"/>
      <c r="BS712" s="940"/>
      <c r="BT712" s="940"/>
      <c r="BU712" s="940"/>
      <c r="BV712" s="940"/>
      <c r="BW712" s="940"/>
      <c r="BX712" s="940"/>
      <c r="BY712" s="940"/>
      <c r="BZ712" s="940"/>
      <c r="CA712" s="940"/>
      <c r="CB712" s="940"/>
      <c r="CC712" s="940"/>
    </row>
    <row r="713" spans="1:81" s="929" customFormat="1" ht="12.75" hidden="1" customHeight="1">
      <c r="A713" s="1698"/>
      <c r="B713" s="1023"/>
      <c r="C713" s="1248"/>
      <c r="D713" s="1185"/>
      <c r="E713" s="1185"/>
      <c r="F713" s="1261" t="s">
        <v>1806</v>
      </c>
      <c r="G713" s="1270"/>
      <c r="H713" s="1270"/>
      <c r="I713" s="1185"/>
      <c r="J713" s="1185"/>
      <c r="K713" s="1185"/>
      <c r="L713" s="1185"/>
      <c r="M713" s="1185"/>
      <c r="N713" s="1185"/>
      <c r="O713" s="1185"/>
      <c r="P713" s="1185"/>
      <c r="Q713" s="1185"/>
      <c r="R713" s="1185"/>
      <c r="S713" s="1185"/>
      <c r="T713" s="1185"/>
      <c r="U713" s="1185"/>
      <c r="V713" s="3178" t="s">
        <v>624</v>
      </c>
      <c r="W713" s="3178"/>
      <c r="X713" s="3178"/>
      <c r="Y713" s="1185"/>
      <c r="Z713" s="1185"/>
      <c r="AA713" s="1185"/>
      <c r="AB713" s="1185"/>
      <c r="AC713" s="1185"/>
      <c r="AD713" s="1185"/>
      <c r="AE713" s="1185"/>
      <c r="AF713" s="1185"/>
      <c r="AG713" s="1271">
        <f>IF(AND($C$697="Yes",$V$700="N/A",$V$702="N/A",$V$707="N/A",$V$711="N/A"),(VLOOKUP($V$713,$BA$670:$BB$672,2,FALSE)),0)</f>
        <v>0</v>
      </c>
      <c r="AH713" s="1252" t="s">
        <v>1591</v>
      </c>
      <c r="AI713" s="1185"/>
      <c r="AJ713" s="1185"/>
      <c r="AK713" s="1201"/>
      <c r="AL713" s="1022"/>
      <c r="AM713" s="940"/>
      <c r="AN713" s="1272"/>
      <c r="AP713" s="990"/>
      <c r="AQ713" s="990"/>
      <c r="AR713" s="990"/>
      <c r="AS713" s="990"/>
      <c r="AT713" s="990"/>
      <c r="AU713" s="990"/>
      <c r="AV713" s="990"/>
      <c r="AW713" s="990"/>
      <c r="AX713" s="990"/>
      <c r="AY713" s="990"/>
      <c r="AZ713" s="990"/>
      <c r="BA713" s="990"/>
      <c r="BB713" s="990"/>
      <c r="BC713" s="990"/>
      <c r="BE713" s="990"/>
      <c r="BF713" s="990"/>
      <c r="BG713" s="990"/>
      <c r="BH713" s="990"/>
      <c r="BI713" s="990"/>
      <c r="BJ713" s="990"/>
      <c r="BK713" s="990"/>
      <c r="BL713" s="990"/>
      <c r="BM713" s="990"/>
      <c r="BN713" s="990"/>
      <c r="BO713" s="990"/>
      <c r="BP713" s="990"/>
      <c r="BQ713" s="990"/>
      <c r="BR713" s="990"/>
    </row>
    <row r="714" spans="1:81" s="929" customFormat="1" ht="12.75" hidden="1" customHeight="1">
      <c r="A714" s="1698"/>
      <c r="B714" s="1023"/>
      <c r="C714" s="941"/>
      <c r="D714" s="940"/>
      <c r="E714" s="1247"/>
      <c r="F714" s="940"/>
      <c r="G714" s="940"/>
      <c r="H714" s="940"/>
      <c r="I714" s="940"/>
      <c r="J714" s="940"/>
      <c r="K714" s="940"/>
      <c r="L714" s="940"/>
      <c r="M714" s="940"/>
      <c r="N714" s="940"/>
      <c r="O714" s="940"/>
      <c r="P714" s="940"/>
      <c r="Q714" s="940"/>
      <c r="R714" s="940"/>
      <c r="S714" s="940"/>
      <c r="T714" s="940"/>
      <c r="U714" s="940"/>
      <c r="V714" s="940"/>
      <c r="W714" s="940"/>
      <c r="X714" s="940"/>
      <c r="Y714" s="940"/>
      <c r="Z714" s="940"/>
      <c r="AA714" s="940"/>
      <c r="AB714" s="940"/>
      <c r="AC714" s="940"/>
      <c r="AD714" s="940"/>
      <c r="AE714" s="940"/>
      <c r="AF714" s="940"/>
      <c r="AG714" s="940"/>
      <c r="AH714" s="940"/>
      <c r="AI714" s="940"/>
      <c r="AJ714" s="940"/>
      <c r="AK714" s="940"/>
      <c r="AL714" s="940"/>
      <c r="AM714" s="940"/>
      <c r="AN714" s="1272"/>
      <c r="AO714" s="1273"/>
      <c r="AP714" s="1023"/>
      <c r="AQ714" s="1023"/>
      <c r="AR714" s="1023"/>
      <c r="AS714" s="1023"/>
      <c r="AT714" s="1023"/>
      <c r="AU714" s="1274"/>
      <c r="AV714" s="1274"/>
      <c r="AW714" s="1274"/>
      <c r="AX714" s="1274"/>
      <c r="AY714" s="1274"/>
      <c r="AZ714" s="1274"/>
      <c r="BA714" s="1274"/>
      <c r="BB714" s="1062"/>
      <c r="BC714" s="1062"/>
      <c r="BD714" s="983"/>
      <c r="BE714" s="1023"/>
      <c r="BF714" s="1023"/>
      <c r="BG714" s="1023"/>
      <c r="BH714" s="1023"/>
      <c r="BI714" s="1023"/>
      <c r="BJ714" s="1274"/>
      <c r="BK714" s="1274"/>
      <c r="BL714" s="1274"/>
      <c r="BM714" s="1274"/>
      <c r="BN714" s="1274"/>
      <c r="BO714" s="1274"/>
      <c r="BP714" s="1274"/>
      <c r="BQ714" s="1062"/>
      <c r="BR714" s="1023"/>
      <c r="BS714" s="983"/>
      <c r="BT714" s="983"/>
      <c r="BU714" s="983"/>
      <c r="BV714" s="983"/>
      <c r="BW714" s="983"/>
      <c r="BX714" s="983"/>
      <c r="BY714" s="983"/>
      <c r="BZ714" s="983"/>
      <c r="CA714" s="983"/>
      <c r="CB714" s="983"/>
      <c r="CC714" s="983"/>
    </row>
    <row r="715" spans="1:81" s="929" customFormat="1" ht="12.75" hidden="1" customHeight="1">
      <c r="A715" s="1698"/>
      <c r="B715" s="940"/>
      <c r="C715" s="1244" t="s">
        <v>1820</v>
      </c>
      <c r="D715" s="1023"/>
      <c r="E715" s="1247"/>
      <c r="F715" s="941"/>
      <c r="G715" s="941"/>
      <c r="H715" s="941"/>
      <c r="I715" s="941"/>
      <c r="J715" s="941"/>
      <c r="K715" s="941"/>
      <c r="L715" s="941"/>
      <c r="M715" s="941"/>
      <c r="N715" s="941"/>
      <c r="O715" s="941"/>
      <c r="P715" s="941"/>
      <c r="Q715" s="941"/>
      <c r="R715" s="941"/>
      <c r="S715" s="941"/>
      <c r="T715" s="941"/>
      <c r="U715" s="941"/>
      <c r="V715" s="941"/>
      <c r="W715" s="941"/>
      <c r="X715" s="941"/>
      <c r="Y715" s="941"/>
      <c r="Z715" s="941"/>
      <c r="AA715" s="941"/>
      <c r="AB715" s="941"/>
      <c r="AC715" s="941"/>
      <c r="AD715" s="940"/>
      <c r="AE715" s="940"/>
      <c r="AF715" s="940"/>
      <c r="AG715" s="941"/>
      <c r="AH715" s="941"/>
      <c r="AI715" s="941"/>
      <c r="AJ715" s="941"/>
      <c r="AK715" s="940"/>
      <c r="AL715" s="940"/>
      <c r="AM715" s="940"/>
      <c r="AN715" s="1272"/>
      <c r="AO715" s="1273"/>
      <c r="AP715" s="1023"/>
      <c r="AQ715" s="1023"/>
      <c r="AR715" s="1023"/>
      <c r="AS715" s="1023"/>
      <c r="AT715" s="1023"/>
      <c r="AU715" s="1274"/>
      <c r="AV715" s="1274"/>
      <c r="AW715" s="1274"/>
      <c r="AX715" s="1274"/>
      <c r="AY715" s="1274"/>
      <c r="AZ715" s="1274"/>
      <c r="BA715" s="1274"/>
      <c r="BB715" s="1062"/>
      <c r="BC715" s="1062"/>
      <c r="BD715" s="983"/>
      <c r="BE715" s="1023"/>
      <c r="BF715" s="1023"/>
      <c r="BG715" s="1023"/>
      <c r="BH715" s="1023"/>
      <c r="BI715" s="1023"/>
      <c r="BJ715" s="1274"/>
      <c r="BK715" s="1274"/>
      <c r="BL715" s="1274"/>
      <c r="BM715" s="1274"/>
      <c r="BN715" s="1274"/>
      <c r="BO715" s="1274"/>
      <c r="BP715" s="1274"/>
      <c r="BQ715" s="1062"/>
      <c r="BR715" s="1023"/>
      <c r="BS715" s="983"/>
      <c r="BT715" s="983"/>
      <c r="BU715" s="983"/>
      <c r="BV715" s="983"/>
      <c r="BW715" s="983"/>
      <c r="BX715" s="983"/>
      <c r="BY715" s="983"/>
      <c r="BZ715" s="983"/>
      <c r="CA715" s="983"/>
      <c r="CB715" s="983"/>
      <c r="CC715" s="983"/>
    </row>
    <row r="716" spans="1:81" s="1131" customFormat="1" ht="12.75" hidden="1" customHeight="1">
      <c r="A716" s="1698"/>
      <c r="B716" s="940"/>
      <c r="C716" s="3166" t="s">
        <v>624</v>
      </c>
      <c r="D716" s="3167"/>
      <c r="E716" s="1245" t="s">
        <v>538</v>
      </c>
      <c r="F716" s="3168" t="s">
        <v>1799</v>
      </c>
      <c r="G716" s="3168"/>
      <c r="H716" s="3168"/>
      <c r="I716" s="3168"/>
      <c r="J716" s="3168"/>
      <c r="K716" s="3168"/>
      <c r="L716" s="3168"/>
      <c r="M716" s="3168"/>
      <c r="N716" s="3168"/>
      <c r="O716" s="3168"/>
      <c r="P716" s="3168"/>
      <c r="Q716" s="3168"/>
      <c r="R716" s="3168"/>
      <c r="S716" s="3168"/>
      <c r="T716" s="3168"/>
      <c r="U716" s="3168"/>
      <c r="V716" s="3168"/>
      <c r="W716" s="3168"/>
      <c r="X716" s="3168"/>
      <c r="Y716" s="3168"/>
      <c r="Z716" s="3168"/>
      <c r="AA716" s="3168"/>
      <c r="AB716" s="3168"/>
      <c r="AC716" s="3168"/>
      <c r="AD716" s="3168"/>
      <c r="AE716" s="3168"/>
      <c r="AF716" s="1170"/>
      <c r="AG716" s="1204"/>
      <c r="AH716" s="1204"/>
      <c r="AI716" s="1204"/>
      <c r="AJ716" s="1204"/>
      <c r="AK716" s="1206"/>
      <c r="AL716" s="1022"/>
      <c r="AM716" s="940"/>
      <c r="AN716" s="922"/>
      <c r="AO716" s="1102"/>
      <c r="AP716" s="1023"/>
      <c r="AQ716" s="1023"/>
      <c r="AR716" s="1023"/>
      <c r="AS716" s="1023"/>
      <c r="AT716" s="1023"/>
      <c r="AU716" s="1275"/>
      <c r="AV716" s="1275"/>
      <c r="AW716" s="1275"/>
      <c r="AX716" s="1275"/>
      <c r="AY716" s="1275"/>
      <c r="AZ716" s="1275"/>
      <c r="BA716" s="1275"/>
      <c r="BB716" s="1023"/>
      <c r="BC716" s="1023"/>
      <c r="BD716" s="1003"/>
      <c r="BE716" s="1023"/>
      <c r="BF716" s="1023"/>
      <c r="BG716" s="1023"/>
      <c r="BH716" s="1023"/>
      <c r="BI716" s="1023"/>
      <c r="BJ716" s="1275"/>
      <c r="BK716" s="1275"/>
      <c r="BL716" s="1275"/>
      <c r="BM716" s="1275"/>
      <c r="BN716" s="1275"/>
      <c r="BO716" s="1275"/>
      <c r="BP716" s="1275"/>
      <c r="BQ716" s="1023"/>
      <c r="BR716" s="1023"/>
      <c r="BS716" s="1003"/>
      <c r="BT716" s="1003"/>
      <c r="BU716" s="1003"/>
      <c r="BV716" s="1003"/>
      <c r="BW716" s="1003"/>
      <c r="BX716" s="1003"/>
      <c r="BY716" s="1003"/>
      <c r="BZ716" s="1003"/>
      <c r="CA716" s="1003"/>
      <c r="CB716" s="1003"/>
      <c r="CC716" s="1003"/>
    </row>
    <row r="717" spans="1:81" s="1131" customFormat="1" ht="12.75" hidden="1" customHeight="1">
      <c r="A717" s="1698"/>
      <c r="B717" s="940"/>
      <c r="C717" s="1246"/>
      <c r="D717" s="1022"/>
      <c r="E717" s="1247"/>
      <c r="F717" s="3169"/>
      <c r="G717" s="3169"/>
      <c r="H717" s="3169"/>
      <c r="I717" s="3169"/>
      <c r="J717" s="3169"/>
      <c r="K717" s="3169"/>
      <c r="L717" s="3169"/>
      <c r="M717" s="3169"/>
      <c r="N717" s="3169"/>
      <c r="O717" s="3169"/>
      <c r="P717" s="3169"/>
      <c r="Q717" s="3169"/>
      <c r="R717" s="3169"/>
      <c r="S717" s="3169"/>
      <c r="T717" s="3169"/>
      <c r="U717" s="3169"/>
      <c r="V717" s="3169"/>
      <c r="W717" s="3169"/>
      <c r="X717" s="3169"/>
      <c r="Y717" s="3169"/>
      <c r="Z717" s="3169"/>
      <c r="AA717" s="3169"/>
      <c r="AB717" s="3169"/>
      <c r="AC717" s="3169"/>
      <c r="AD717" s="3169"/>
      <c r="AE717" s="3169"/>
      <c r="AF717" s="1022"/>
      <c r="AG717" s="941"/>
      <c r="AH717" s="941"/>
      <c r="AI717" s="941"/>
      <c r="AJ717" s="941"/>
      <c r="AK717" s="1190"/>
      <c r="AL717" s="1022"/>
      <c r="AM717" s="940"/>
      <c r="AN717" s="922"/>
      <c r="AO717" s="1102"/>
      <c r="AP717" s="1276"/>
      <c r="AQ717" s="1276"/>
      <c r="AR717" s="1276"/>
      <c r="AS717" s="1277"/>
      <c r="AT717" s="1023"/>
      <c r="AU717" s="1278"/>
      <c r="AV717" s="1278"/>
      <c r="AW717" s="1278"/>
      <c r="AX717" s="1278"/>
      <c r="AY717" s="1278"/>
      <c r="AZ717" s="1278"/>
      <c r="BA717" s="1278"/>
      <c r="BB717" s="1059"/>
      <c r="BC717" s="1059"/>
      <c r="BD717" s="1003"/>
      <c r="BE717" s="1276"/>
      <c r="BF717" s="1276"/>
      <c r="BG717" s="1276"/>
      <c r="BH717" s="1277"/>
      <c r="BI717" s="1023"/>
      <c r="BJ717" s="1279"/>
      <c r="BK717" s="1278"/>
      <c r="BL717" s="1278"/>
      <c r="BM717" s="1278"/>
      <c r="BN717" s="1278"/>
      <c r="BO717" s="1278"/>
      <c r="BP717" s="1278"/>
      <c r="BQ717" s="1059"/>
      <c r="BR717" s="1023"/>
      <c r="BS717" s="1003"/>
      <c r="BT717" s="1003"/>
      <c r="BU717" s="1003"/>
      <c r="BV717" s="1003"/>
      <c r="BW717" s="1003"/>
      <c r="BX717" s="1003"/>
      <c r="BY717" s="1003"/>
      <c r="BZ717" s="1003"/>
      <c r="CA717" s="1003"/>
      <c r="CB717" s="1003"/>
      <c r="CC717" s="1003"/>
    </row>
    <row r="718" spans="1:81" s="1131" customFormat="1" ht="12.75" hidden="1" customHeight="1">
      <c r="A718" s="1698"/>
      <c r="B718" s="940"/>
      <c r="C718" s="1248"/>
      <c r="D718" s="1185"/>
      <c r="E718" s="1249"/>
      <c r="F718" s="3173" t="s">
        <v>624</v>
      </c>
      <c r="G718" s="3173"/>
      <c r="H718" s="3173"/>
      <c r="I718" s="3173"/>
      <c r="J718" s="3173"/>
      <c r="K718" s="3173"/>
      <c r="L718" s="3173"/>
      <c r="M718" s="3173"/>
      <c r="N718" s="3173"/>
      <c r="O718" s="3173"/>
      <c r="P718" s="3173"/>
      <c r="Q718" s="3173"/>
      <c r="R718" s="3173"/>
      <c r="S718" s="3173"/>
      <c r="T718" s="3173"/>
      <c r="U718" s="3173"/>
      <c r="V718" s="3173"/>
      <c r="W718" s="3173"/>
      <c r="X718" s="3173"/>
      <c r="Y718" s="3173"/>
      <c r="Z718" s="3173"/>
      <c r="AA718" s="1250"/>
      <c r="AB718" s="1097"/>
      <c r="AC718" s="1097"/>
      <c r="AD718" s="1185"/>
      <c r="AE718" s="1185"/>
      <c r="AF718" s="1185"/>
      <c r="AG718" s="1251">
        <f>IF($C$716="Yes",(VLOOKUP($F$718,$AO$686:$AP$694,2,FALSE)),0)</f>
        <v>0</v>
      </c>
      <c r="AH718" s="1252" t="s">
        <v>1591</v>
      </c>
      <c r="AI718" s="1251"/>
      <c r="AJ718" s="1097"/>
      <c r="AK718" s="1201"/>
      <c r="AL718" s="1022"/>
      <c r="AM718" s="940"/>
      <c r="AN718" s="922"/>
      <c r="AO718" s="1102"/>
      <c r="AP718" s="1276"/>
      <c r="AQ718" s="1276"/>
      <c r="AR718" s="1276"/>
      <c r="AS718" s="1277"/>
      <c r="AT718" s="1023"/>
      <c r="AU718" s="1278"/>
      <c r="AV718" s="1278"/>
      <c r="AW718" s="1278"/>
      <c r="AX718" s="1278"/>
      <c r="AY718" s="1278"/>
      <c r="AZ718" s="1278"/>
      <c r="BA718" s="1278"/>
      <c r="BB718" s="1059"/>
      <c r="BC718" s="1059"/>
      <c r="BD718" s="1003"/>
      <c r="BE718" s="1276"/>
      <c r="BF718" s="1276"/>
      <c r="BG718" s="1276"/>
      <c r="BH718" s="1277"/>
      <c r="BI718" s="1023"/>
      <c r="BJ718" s="1279"/>
      <c r="BK718" s="1278"/>
      <c r="BL718" s="1278"/>
      <c r="BM718" s="1278"/>
      <c r="BN718" s="1278"/>
      <c r="BO718" s="1278"/>
      <c r="BP718" s="1278"/>
      <c r="BQ718" s="1059"/>
      <c r="BR718" s="1023"/>
      <c r="BS718" s="1003"/>
      <c r="BT718" s="1003"/>
      <c r="BU718" s="1003"/>
      <c r="BV718" s="1003"/>
      <c r="BW718" s="1003"/>
      <c r="BX718" s="1003"/>
      <c r="BY718" s="1003"/>
      <c r="BZ718" s="1003"/>
      <c r="CA718" s="1003"/>
      <c r="CB718" s="1003"/>
      <c r="CC718" s="1003"/>
    </row>
    <row r="719" spans="1:81" s="1131" customFormat="1" ht="12.75" hidden="1" customHeight="1">
      <c r="A719" s="1698"/>
      <c r="B719" s="940"/>
      <c r="C719" s="1244"/>
      <c r="D719" s="1023"/>
      <c r="E719" s="1247"/>
      <c r="F719" s="941"/>
      <c r="G719" s="941"/>
      <c r="H719" s="941"/>
      <c r="I719" s="941"/>
      <c r="J719" s="941"/>
      <c r="K719" s="941"/>
      <c r="L719" s="941"/>
      <c r="M719" s="941"/>
      <c r="N719" s="941"/>
      <c r="O719" s="941"/>
      <c r="P719" s="941"/>
      <c r="Q719" s="941"/>
      <c r="R719" s="941"/>
      <c r="S719" s="941"/>
      <c r="T719" s="941"/>
      <c r="U719" s="941"/>
      <c r="V719" s="941"/>
      <c r="W719" s="941"/>
      <c r="X719" s="941"/>
      <c r="Y719" s="941"/>
      <c r="Z719" s="941"/>
      <c r="AA719" s="941"/>
      <c r="AB719" s="941"/>
      <c r="AC719" s="941"/>
      <c r="AD719" s="1022"/>
      <c r="AE719" s="1022"/>
      <c r="AF719" s="1022"/>
      <c r="AG719" s="941"/>
      <c r="AH719" s="941"/>
      <c r="AI719" s="941"/>
      <c r="AJ719" s="941"/>
      <c r="AK719" s="1022"/>
      <c r="AL719" s="1022"/>
      <c r="AM719" s="940"/>
      <c r="AN719" s="922"/>
      <c r="AO719" s="1102"/>
      <c r="AP719" s="1276"/>
      <c r="AQ719" s="1276"/>
      <c r="AR719" s="1276"/>
      <c r="AS719" s="1277"/>
      <c r="AT719" s="1023"/>
      <c r="AU719" s="1278"/>
      <c r="AV719" s="1278"/>
      <c r="AW719" s="1278"/>
      <c r="AX719" s="1278"/>
      <c r="AY719" s="1278"/>
      <c r="AZ719" s="1278"/>
      <c r="BA719" s="1278"/>
      <c r="BB719" s="1059"/>
      <c r="BC719" s="1059"/>
      <c r="BD719" s="1003"/>
      <c r="BE719" s="1276"/>
      <c r="BF719" s="1276"/>
      <c r="BG719" s="1276"/>
      <c r="BH719" s="1277"/>
      <c r="BI719" s="1023"/>
      <c r="BJ719" s="1279"/>
      <c r="BK719" s="1278"/>
      <c r="BL719" s="1278"/>
      <c r="BM719" s="1278"/>
      <c r="BN719" s="1278"/>
      <c r="BO719" s="1278"/>
      <c r="BP719" s="1278"/>
      <c r="BQ719" s="1059"/>
      <c r="BR719" s="1023"/>
      <c r="BS719" s="1003"/>
      <c r="BT719" s="1003"/>
      <c r="BU719" s="1003"/>
      <c r="BV719" s="1003"/>
      <c r="BW719" s="1003"/>
      <c r="BX719" s="1003"/>
      <c r="BY719" s="1003"/>
      <c r="BZ719" s="1003"/>
      <c r="CA719" s="1003"/>
      <c r="CB719" s="1003"/>
      <c r="CC719" s="1003"/>
    </row>
    <row r="720" spans="1:81" s="1131" customFormat="1" ht="12.75" hidden="1" customHeight="1">
      <c r="A720" s="1057"/>
      <c r="B720" s="940"/>
      <c r="C720" s="3166" t="s">
        <v>624</v>
      </c>
      <c r="D720" s="3167"/>
      <c r="E720" s="1245" t="s">
        <v>796</v>
      </c>
      <c r="F720" s="3174" t="s">
        <v>1821</v>
      </c>
      <c r="G720" s="3174"/>
      <c r="H720" s="3174"/>
      <c r="I720" s="3174"/>
      <c r="J720" s="3174"/>
      <c r="K720" s="3174"/>
      <c r="L720" s="3174"/>
      <c r="M720" s="3174"/>
      <c r="N720" s="3174"/>
      <c r="O720" s="3174"/>
      <c r="P720" s="3174"/>
      <c r="Q720" s="3174"/>
      <c r="R720" s="3174"/>
      <c r="S720" s="3174"/>
      <c r="T720" s="3174"/>
      <c r="U720" s="3174"/>
      <c r="V720" s="3174"/>
      <c r="W720" s="3174"/>
      <c r="X720" s="3174"/>
      <c r="Y720" s="3174"/>
      <c r="Z720" s="3174"/>
      <c r="AA720" s="3174"/>
      <c r="AB720" s="3174"/>
      <c r="AC720" s="3174"/>
      <c r="AD720" s="3174"/>
      <c r="AE720" s="3174"/>
      <c r="AF720" s="1170"/>
      <c r="AG720" s="1084"/>
      <c r="AH720" s="1084"/>
      <c r="AI720" s="1084"/>
      <c r="AJ720" s="1084"/>
      <c r="AK720" s="1206"/>
      <c r="AL720" s="1022"/>
      <c r="AM720" s="940"/>
      <c r="AN720" s="922"/>
      <c r="AO720" s="1102"/>
      <c r="AP720" s="1276"/>
      <c r="AQ720" s="1276"/>
      <c r="AR720" s="1276"/>
      <c r="AS720" s="1277"/>
      <c r="AT720" s="1023"/>
      <c r="AU720" s="1278"/>
      <c r="AV720" s="1278"/>
      <c r="AW720" s="1278"/>
      <c r="AX720" s="1278"/>
      <c r="AY720" s="1278"/>
      <c r="AZ720" s="1278"/>
      <c r="BA720" s="1278"/>
      <c r="BB720" s="1059"/>
      <c r="BC720" s="1059"/>
      <c r="BD720" s="1003"/>
      <c r="BE720" s="1276"/>
      <c r="BF720" s="1276"/>
      <c r="BG720" s="1276"/>
      <c r="BH720" s="1277"/>
      <c r="BI720" s="1023"/>
      <c r="BJ720" s="1279"/>
      <c r="BK720" s="1278"/>
      <c r="BL720" s="1278"/>
      <c r="BM720" s="1278"/>
      <c r="BN720" s="1278"/>
      <c r="BO720" s="1278"/>
      <c r="BP720" s="1278"/>
      <c r="BQ720" s="1059"/>
      <c r="BR720" s="1023"/>
      <c r="BS720" s="1003"/>
      <c r="BT720" s="1003"/>
      <c r="BU720" s="1003"/>
      <c r="BV720" s="1003"/>
      <c r="BW720" s="1003"/>
      <c r="BX720" s="1003"/>
      <c r="BY720" s="1003"/>
      <c r="BZ720" s="1003"/>
      <c r="CA720" s="1003"/>
      <c r="CB720" s="1003"/>
      <c r="CC720" s="1003"/>
    </row>
    <row r="721" spans="1:81" s="1131" customFormat="1" ht="12.75" hidden="1" customHeight="1">
      <c r="A721" s="1057"/>
      <c r="B721" s="940"/>
      <c r="C721" s="1246"/>
      <c r="D721" s="1022"/>
      <c r="E721" s="1247"/>
      <c r="F721" s="3175"/>
      <c r="G721" s="3175"/>
      <c r="H721" s="3175"/>
      <c r="I721" s="3175"/>
      <c r="J721" s="3175"/>
      <c r="K721" s="3175"/>
      <c r="L721" s="3175"/>
      <c r="M721" s="3175"/>
      <c r="N721" s="3175"/>
      <c r="O721" s="3175"/>
      <c r="P721" s="3175"/>
      <c r="Q721" s="3175"/>
      <c r="R721" s="3175"/>
      <c r="S721" s="3175"/>
      <c r="T721" s="3175"/>
      <c r="U721" s="3175"/>
      <c r="V721" s="3175"/>
      <c r="W721" s="3175"/>
      <c r="X721" s="3175"/>
      <c r="Y721" s="3175"/>
      <c r="Z721" s="3175"/>
      <c r="AA721" s="3175"/>
      <c r="AB721" s="3175"/>
      <c r="AC721" s="3175"/>
      <c r="AD721" s="3175"/>
      <c r="AE721" s="3175"/>
      <c r="AF721" s="1022"/>
      <c r="AG721" s="941"/>
      <c r="AH721" s="941"/>
      <c r="AI721" s="941"/>
      <c r="AJ721" s="941"/>
      <c r="AK721" s="1190"/>
      <c r="AL721" s="1022"/>
      <c r="AM721" s="940"/>
      <c r="AN721" s="922"/>
      <c r="AO721" s="1102"/>
      <c r="AP721" s="1276"/>
      <c r="AQ721" s="1276"/>
      <c r="AR721" s="1276"/>
      <c r="AS721" s="1277"/>
      <c r="AT721" s="1023"/>
      <c r="AU721" s="1278"/>
      <c r="AV721" s="1278"/>
      <c r="AW721" s="1278"/>
      <c r="AX721" s="1278"/>
      <c r="AY721" s="1278"/>
      <c r="AZ721" s="1278"/>
      <c r="BA721" s="1278"/>
      <c r="BB721" s="1059"/>
      <c r="BC721" s="1059"/>
      <c r="BD721" s="1003"/>
      <c r="BE721" s="1276"/>
      <c r="BF721" s="1276"/>
      <c r="BG721" s="1276"/>
      <c r="BH721" s="1277"/>
      <c r="BI721" s="1023"/>
      <c r="BJ721" s="1279"/>
      <c r="BK721" s="1278"/>
      <c r="BL721" s="1278"/>
      <c r="BM721" s="1278"/>
      <c r="BN721" s="1278"/>
      <c r="BO721" s="1278"/>
      <c r="BP721" s="1278"/>
      <c r="BQ721" s="1059"/>
      <c r="BR721" s="1023"/>
      <c r="BS721" s="1003"/>
      <c r="BT721" s="1003"/>
      <c r="BU721" s="1003"/>
      <c r="BV721" s="1003"/>
      <c r="BW721" s="1003"/>
      <c r="BX721" s="1003"/>
      <c r="BY721" s="1003"/>
      <c r="BZ721" s="1003"/>
      <c r="CA721" s="1003"/>
      <c r="CB721" s="1003"/>
      <c r="CC721" s="1003"/>
    </row>
    <row r="722" spans="1:81" s="1131" customFormat="1" ht="12.75" hidden="1" customHeight="1">
      <c r="A722" s="1057"/>
      <c r="B722" s="940"/>
      <c r="C722" s="1198"/>
      <c r="D722" s="1022"/>
      <c r="E722" s="1022"/>
      <c r="F722" s="1269" t="s">
        <v>1822</v>
      </c>
      <c r="G722" s="941"/>
      <c r="H722" s="941"/>
      <c r="I722" s="941"/>
      <c r="J722" s="941"/>
      <c r="K722" s="941"/>
      <c r="L722" s="941"/>
      <c r="M722" s="941"/>
      <c r="N722" s="941"/>
      <c r="O722" s="941"/>
      <c r="P722" s="941"/>
      <c r="Q722" s="941"/>
      <c r="R722" s="941"/>
      <c r="S722" s="941"/>
      <c r="T722" s="941"/>
      <c r="U722" s="941"/>
      <c r="V722" s="941"/>
      <c r="W722" s="941"/>
      <c r="X722" s="941"/>
      <c r="Y722" s="941"/>
      <c r="Z722" s="941"/>
      <c r="AA722" s="941"/>
      <c r="AB722" s="941"/>
      <c r="AC722" s="1692"/>
      <c r="AD722" s="1022"/>
      <c r="AE722" s="1022"/>
      <c r="AF722" s="1022"/>
      <c r="AG722" s="1028"/>
      <c r="AH722" s="1028"/>
      <c r="AI722" s="1028"/>
      <c r="AJ722" s="1028"/>
      <c r="AK722" s="1190"/>
      <c r="AL722" s="1022"/>
      <c r="AM722" s="940"/>
      <c r="AN722" s="922"/>
      <c r="AO722" s="1003"/>
      <c r="AP722" s="1276"/>
      <c r="AQ722" s="1276"/>
      <c r="AR722" s="1276"/>
      <c r="AS722" s="1277"/>
      <c r="AT722" s="1023"/>
      <c r="AU722" s="1278"/>
      <c r="AV722" s="1278"/>
      <c r="AW722" s="1278"/>
      <c r="AX722" s="1278"/>
      <c r="AY722" s="1278"/>
      <c r="AZ722" s="1278"/>
      <c r="BA722" s="1278"/>
      <c r="BB722" s="1003"/>
      <c r="BC722" s="1003"/>
      <c r="BD722" s="1003"/>
      <c r="BE722" s="1276"/>
      <c r="BF722" s="1276"/>
      <c r="BG722" s="1276"/>
      <c r="BH722" s="1277"/>
      <c r="BI722" s="1023"/>
      <c r="BJ722" s="1279"/>
      <c r="BK722" s="1278"/>
      <c r="BL722" s="1278"/>
      <c r="BM722" s="1278"/>
      <c r="BN722" s="1278"/>
      <c r="BO722" s="1278"/>
      <c r="BP722" s="1278"/>
      <c r="BQ722" s="1003"/>
      <c r="BR722" s="1023"/>
      <c r="BS722" s="1003"/>
      <c r="BT722" s="1003"/>
      <c r="BU722" s="1003"/>
      <c r="BV722" s="1003"/>
      <c r="BW722" s="1003"/>
      <c r="BX722" s="1003"/>
      <c r="BY722" s="1003"/>
      <c r="BZ722" s="1003"/>
      <c r="CA722" s="1003"/>
      <c r="CB722" s="1003"/>
      <c r="CC722" s="1003"/>
    </row>
    <row r="723" spans="1:81" s="1131" customFormat="1" ht="13.5" hidden="1" thickTop="1">
      <c r="A723" s="1057"/>
      <c r="B723" s="940"/>
      <c r="C723" s="1248"/>
      <c r="D723" s="1185"/>
      <c r="E723" s="1249"/>
      <c r="F723" s="3176" t="s">
        <v>624</v>
      </c>
      <c r="G723" s="3176"/>
      <c r="H723" s="3176"/>
      <c r="I723" s="1097"/>
      <c r="J723" s="1097"/>
      <c r="K723" s="1097"/>
      <c r="L723" s="1097"/>
      <c r="M723" s="1097"/>
      <c r="N723" s="1097"/>
      <c r="O723" s="1097"/>
      <c r="P723" s="1097"/>
      <c r="Q723" s="1097"/>
      <c r="R723" s="1097"/>
      <c r="S723" s="1097"/>
      <c r="T723" s="1097"/>
      <c r="U723" s="1097"/>
      <c r="V723" s="1097"/>
      <c r="W723" s="1097"/>
      <c r="X723" s="1097"/>
      <c r="Y723" s="1097"/>
      <c r="Z723" s="1097"/>
      <c r="AA723" s="1097"/>
      <c r="AB723" s="1097"/>
      <c r="AC723" s="1097"/>
      <c r="AD723" s="1185"/>
      <c r="AE723" s="1185"/>
      <c r="AF723" s="1185"/>
      <c r="AG723" s="1251">
        <f>IF($C$720="Yes",(VLOOKUP($F$723,$AO$696:$AP$698,2,FALSE)),0)</f>
        <v>0</v>
      </c>
      <c r="AH723" s="1252" t="s">
        <v>1591</v>
      </c>
      <c r="AI723" s="1097"/>
      <c r="AJ723" s="1097"/>
      <c r="AK723" s="1201"/>
      <c r="AL723" s="1022"/>
      <c r="AM723" s="940"/>
      <c r="AN723" s="922"/>
      <c r="AO723" s="1003"/>
      <c r="AP723" s="1276"/>
      <c r="AQ723" s="1276"/>
      <c r="AR723" s="1276"/>
      <c r="AS723" s="1275"/>
      <c r="AT723" s="1023"/>
      <c r="AU723" s="1278"/>
      <c r="AV723" s="1278"/>
      <c r="AW723" s="1278"/>
      <c r="AX723" s="1278"/>
      <c r="AY723" s="1278"/>
      <c r="AZ723" s="1278"/>
      <c r="BA723" s="1278"/>
      <c r="BB723" s="1003"/>
      <c r="BC723" s="1003"/>
      <c r="BD723" s="1003"/>
      <c r="BE723" s="1276"/>
      <c r="BF723" s="1276"/>
      <c r="BG723" s="1276"/>
      <c r="BH723" s="1275"/>
      <c r="BI723" s="1023"/>
      <c r="BJ723" s="1279"/>
      <c r="BK723" s="1278"/>
      <c r="BL723" s="1278"/>
      <c r="BM723" s="1278"/>
      <c r="BN723" s="1278"/>
      <c r="BO723" s="1278"/>
      <c r="BP723" s="1278"/>
      <c r="BQ723" s="1003"/>
      <c r="BR723" s="1023"/>
      <c r="BS723" s="1003"/>
      <c r="BT723" s="1003"/>
      <c r="BU723" s="1003"/>
      <c r="BV723" s="1003"/>
      <c r="BW723" s="1003"/>
      <c r="BX723" s="1003"/>
      <c r="BY723" s="1003"/>
      <c r="BZ723" s="1003"/>
      <c r="CA723" s="1003"/>
      <c r="CB723" s="1003"/>
      <c r="CC723" s="1003"/>
    </row>
    <row r="724" spans="1:81" s="1131" customFormat="1" ht="13.5" hidden="1" thickTop="1">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c r="AA724" s="941"/>
      <c r="AB724" s="941"/>
      <c r="AC724" s="941"/>
      <c r="AD724" s="941"/>
      <c r="AE724" s="1022"/>
      <c r="AF724" s="1022"/>
      <c r="AG724" s="1028"/>
      <c r="AH724" s="1700"/>
      <c r="AI724" s="941"/>
      <c r="AJ724" s="941"/>
      <c r="AK724" s="1022"/>
      <c r="AL724" s="1022"/>
      <c r="AM724" s="940"/>
      <c r="AN724" s="922"/>
      <c r="AO724" s="1003"/>
      <c r="AP724" s="1276"/>
      <c r="AQ724" s="1276"/>
      <c r="AR724" s="1276"/>
      <c r="AS724" s="1275"/>
      <c r="AT724" s="1023"/>
      <c r="AU724" s="1278"/>
      <c r="AV724" s="1278"/>
      <c r="AW724" s="1278"/>
      <c r="AX724" s="1278"/>
      <c r="AY724" s="1278"/>
      <c r="AZ724" s="1278"/>
      <c r="BA724" s="1278"/>
      <c r="BB724" s="1003"/>
      <c r="BC724" s="1003"/>
      <c r="BD724" s="1003"/>
      <c r="BE724" s="1276"/>
      <c r="BF724" s="1276"/>
      <c r="BG724" s="1276"/>
      <c r="BH724" s="1275"/>
      <c r="BI724" s="1023"/>
      <c r="BJ724" s="1279"/>
      <c r="BK724" s="1278"/>
      <c r="BL724" s="1278"/>
      <c r="BM724" s="1278"/>
      <c r="BN724" s="1278"/>
      <c r="BO724" s="1278"/>
      <c r="BP724" s="1278"/>
      <c r="BQ724" s="1003"/>
      <c r="BR724" s="1023"/>
      <c r="BS724" s="1003"/>
      <c r="BT724" s="1003"/>
      <c r="BU724" s="1003"/>
      <c r="BV724" s="1003"/>
      <c r="BW724" s="1003"/>
      <c r="BX724" s="1003"/>
      <c r="BY724" s="1003"/>
      <c r="BZ724" s="1003"/>
      <c r="CA724" s="1003"/>
      <c r="CB724" s="1003"/>
      <c r="CC724" s="1003"/>
    </row>
    <row r="725" spans="1:81" s="1131" customFormat="1" ht="13.5" hidden="1" thickTop="1">
      <c r="A725" s="1057"/>
      <c r="B725" s="940"/>
      <c r="C725" s="3166" t="s">
        <v>624</v>
      </c>
      <c r="D725" s="3167"/>
      <c r="E725" s="1245" t="s">
        <v>1823</v>
      </c>
      <c r="F725" s="1267" t="s">
        <v>1824</v>
      </c>
      <c r="G725" s="1084"/>
      <c r="H725" s="1084"/>
      <c r="I725" s="1084"/>
      <c r="J725" s="1084"/>
      <c r="K725" s="1084"/>
      <c r="L725" s="1084"/>
      <c r="M725" s="1084"/>
      <c r="N725" s="1084"/>
      <c r="O725" s="1084"/>
      <c r="P725" s="1084"/>
      <c r="Q725" s="1084"/>
      <c r="R725" s="1084"/>
      <c r="S725" s="1084"/>
      <c r="T725" s="1084"/>
      <c r="U725" s="1084"/>
      <c r="V725" s="1084"/>
      <c r="W725" s="1084"/>
      <c r="X725" s="1084"/>
      <c r="Y725" s="1084"/>
      <c r="Z725" s="1084"/>
      <c r="AA725" s="1084"/>
      <c r="AB725" s="1084"/>
      <c r="AC725" s="1280"/>
      <c r="AD725" s="1170"/>
      <c r="AE725" s="1170"/>
      <c r="AF725" s="1170"/>
      <c r="AG725" s="1281"/>
      <c r="AH725" s="1281"/>
      <c r="AI725" s="1281"/>
      <c r="AJ725" s="1281"/>
      <c r="AK725" s="1206"/>
      <c r="AL725" s="1022"/>
      <c r="AM725" s="940"/>
      <c r="AN725" s="922"/>
      <c r="AO725" s="1003"/>
      <c r="AP725" s="1276"/>
      <c r="AQ725" s="1276"/>
      <c r="AR725" s="1276"/>
      <c r="AS725" s="1275"/>
      <c r="AT725" s="1023"/>
      <c r="AU725" s="1278"/>
      <c r="AV725" s="1278"/>
      <c r="AW725" s="1278"/>
      <c r="AX725" s="1278"/>
      <c r="AY725" s="1278"/>
      <c r="AZ725" s="1278"/>
      <c r="BA725" s="1278"/>
      <c r="BB725" s="1003"/>
      <c r="BC725" s="1003"/>
      <c r="BD725" s="1003"/>
      <c r="BE725" s="1276"/>
      <c r="BF725" s="1276"/>
      <c r="BG725" s="1276"/>
      <c r="BH725" s="1275"/>
      <c r="BI725" s="1023"/>
      <c r="BJ725" s="1279"/>
      <c r="BK725" s="1278"/>
      <c r="BL725" s="1278"/>
      <c r="BM725" s="1278"/>
      <c r="BN725" s="1278"/>
      <c r="BO725" s="1278"/>
      <c r="BP725" s="1278"/>
      <c r="BQ725" s="1003"/>
      <c r="BR725" s="1023"/>
      <c r="BS725" s="1003"/>
      <c r="BT725" s="1003"/>
      <c r="BU725" s="1003"/>
      <c r="BV725" s="1003"/>
      <c r="BW725" s="1003"/>
      <c r="BX725" s="1003"/>
      <c r="BY725" s="1003"/>
      <c r="BZ725" s="1003"/>
      <c r="CA725" s="1003"/>
      <c r="CB725" s="1003"/>
      <c r="CC725" s="1003"/>
    </row>
    <row r="726" spans="1:81" s="1131" customFormat="1" ht="13" hidden="1" thickTop="1">
      <c r="A726" s="1023"/>
      <c r="B726" s="940"/>
      <c r="C726" s="1246"/>
      <c r="D726" s="1022"/>
      <c r="E726" s="1247"/>
      <c r="F726" s="941"/>
      <c r="G726" s="941"/>
      <c r="H726" s="941"/>
      <c r="I726" s="941"/>
      <c r="J726" s="941"/>
      <c r="K726" s="941"/>
      <c r="L726" s="941"/>
      <c r="M726" s="941"/>
      <c r="N726" s="941"/>
      <c r="O726" s="941"/>
      <c r="P726" s="941"/>
      <c r="Q726" s="941"/>
      <c r="R726" s="941"/>
      <c r="S726" s="941"/>
      <c r="T726" s="941"/>
      <c r="U726" s="941"/>
      <c r="V726" s="941"/>
      <c r="W726" s="941"/>
      <c r="X726" s="941"/>
      <c r="Y726" s="941"/>
      <c r="Z726" s="941"/>
      <c r="AA726" s="941"/>
      <c r="AB726" s="941"/>
      <c r="AC726" s="941"/>
      <c r="AD726" s="1022"/>
      <c r="AE726" s="1022"/>
      <c r="AF726" s="1022"/>
      <c r="AG726" s="941"/>
      <c r="AH726" s="941"/>
      <c r="AI726" s="941"/>
      <c r="AJ726" s="941"/>
      <c r="AK726" s="1190"/>
      <c r="AL726" s="1022"/>
      <c r="AM726" s="940"/>
      <c r="AN726" s="922"/>
      <c r="AO726" s="1003"/>
      <c r="AP726" s="1276"/>
      <c r="AQ726" s="1276"/>
      <c r="AR726" s="1276"/>
      <c r="AS726" s="1275"/>
      <c r="AT726" s="1023"/>
      <c r="AU726" s="1278"/>
      <c r="AV726" s="1278"/>
      <c r="AW726" s="1278"/>
      <c r="AX726" s="1278"/>
      <c r="AY726" s="1278"/>
      <c r="AZ726" s="1278"/>
      <c r="BA726" s="1278"/>
      <c r="BB726" s="1003"/>
      <c r="BC726" s="1003"/>
      <c r="BD726" s="1003"/>
      <c r="BE726" s="1276"/>
      <c r="BF726" s="1276"/>
      <c r="BG726" s="1276"/>
      <c r="BH726" s="1275"/>
      <c r="BI726" s="1023"/>
      <c r="BJ726" s="1279"/>
      <c r="BK726" s="1278"/>
      <c r="BL726" s="1278"/>
      <c r="BM726" s="1278"/>
      <c r="BN726" s="1278"/>
      <c r="BO726" s="1278"/>
      <c r="BP726" s="1278"/>
      <c r="BQ726" s="1003"/>
      <c r="BR726" s="1059"/>
      <c r="BS726" s="1003"/>
      <c r="BT726" s="1003"/>
      <c r="BU726" s="1003"/>
      <c r="BV726" s="1003"/>
      <c r="BW726" s="1003"/>
      <c r="BX726" s="1003"/>
      <c r="BY726" s="1003"/>
      <c r="BZ726" s="1003"/>
      <c r="CA726" s="1003"/>
      <c r="CB726" s="1003"/>
      <c r="CC726" s="1003"/>
    </row>
    <row r="727" spans="1:81" s="1131" customFormat="1" ht="13.5" hidden="1" thickTop="1">
      <c r="A727" s="1023"/>
      <c r="B727" s="940"/>
      <c r="C727" s="3189"/>
      <c r="D727" s="3177"/>
      <c r="E727" s="1257"/>
      <c r="F727" s="941" t="s">
        <v>1825</v>
      </c>
      <c r="G727" s="941"/>
      <c r="H727" s="941"/>
      <c r="I727" s="941"/>
      <c r="J727" s="941"/>
      <c r="K727" s="941"/>
      <c r="L727" s="941"/>
      <c r="M727" s="941"/>
      <c r="N727" s="941"/>
      <c r="O727" s="941"/>
      <c r="P727" s="941"/>
      <c r="Q727" s="941"/>
      <c r="R727" s="941"/>
      <c r="S727" s="941"/>
      <c r="T727" s="941"/>
      <c r="U727" s="941"/>
      <c r="V727" s="941"/>
      <c r="W727" s="941"/>
      <c r="X727" s="941"/>
      <c r="Y727" s="941"/>
      <c r="Z727" s="941"/>
      <c r="AA727" s="941"/>
      <c r="AB727" s="941"/>
      <c r="AC727" s="1692"/>
      <c r="AD727" s="1022"/>
      <c r="AE727" s="1022"/>
      <c r="AF727" s="1022"/>
      <c r="AG727" s="1028">
        <f>IF($C$725="Yes",(VLOOKUP($G$728,$AO$703:$AP$706,2,FALSE)),0)</f>
        <v>0</v>
      </c>
      <c r="AH727" s="1700" t="s">
        <v>1591</v>
      </c>
      <c r="AI727" s="941"/>
      <c r="AJ727" s="1028"/>
      <c r="AK727" s="1190"/>
      <c r="AL727" s="1022"/>
      <c r="AM727" s="940"/>
      <c r="AN727" s="922"/>
      <c r="AO727" s="1003"/>
      <c r="AP727" s="1276"/>
      <c r="AQ727" s="1276"/>
      <c r="AR727" s="1276"/>
      <c r="AS727" s="1275"/>
      <c r="AT727" s="1023"/>
      <c r="AU727" s="1278"/>
      <c r="AV727" s="1278"/>
      <c r="AW727" s="1278"/>
      <c r="AX727" s="1278"/>
      <c r="AY727" s="1278"/>
      <c r="AZ727" s="1278"/>
      <c r="BA727" s="1278"/>
      <c r="BB727" s="1003"/>
      <c r="BC727" s="1003"/>
      <c r="BD727" s="1003"/>
      <c r="BE727" s="1276"/>
      <c r="BF727" s="1276"/>
      <c r="BG727" s="1276"/>
      <c r="BH727" s="1275"/>
      <c r="BI727" s="1023"/>
      <c r="BJ727" s="1279"/>
      <c r="BK727" s="1278"/>
      <c r="BL727" s="1278"/>
      <c r="BM727" s="1278"/>
      <c r="BN727" s="1278"/>
      <c r="BO727" s="1278"/>
      <c r="BP727" s="1278"/>
      <c r="BQ727" s="1003"/>
      <c r="BR727" s="1023"/>
      <c r="BS727" s="1003"/>
      <c r="BT727" s="1003"/>
      <c r="BU727" s="1003"/>
      <c r="BV727" s="1003"/>
      <c r="BW727" s="1003"/>
      <c r="BX727" s="1003"/>
      <c r="BY727" s="1003"/>
      <c r="BZ727" s="1003"/>
      <c r="CA727" s="1003"/>
      <c r="CB727" s="1003"/>
      <c r="CC727" s="1003"/>
    </row>
    <row r="728" spans="1:81" s="1131" customFormat="1" ht="13" hidden="1" thickTop="1">
      <c r="A728" s="1023"/>
      <c r="B728" s="940"/>
      <c r="C728" s="1246"/>
      <c r="D728" s="1023"/>
      <c r="E728" s="1247"/>
      <c r="F728" s="941"/>
      <c r="G728" s="3190" t="s">
        <v>624</v>
      </c>
      <c r="H728" s="3190"/>
      <c r="I728" s="3190"/>
      <c r="J728" s="3190"/>
      <c r="K728" s="3190"/>
      <c r="L728" s="3190"/>
      <c r="M728" s="3190"/>
      <c r="N728" s="3190"/>
      <c r="O728" s="3190"/>
      <c r="P728" s="3190"/>
      <c r="Q728" s="3190"/>
      <c r="R728" s="3190"/>
      <c r="S728" s="3190"/>
      <c r="T728" s="3190"/>
      <c r="U728" s="3190"/>
      <c r="V728" s="3190"/>
      <c r="W728" s="3190"/>
      <c r="X728" s="3190"/>
      <c r="Y728" s="3190"/>
      <c r="Z728" s="3190"/>
      <c r="AA728" s="3190"/>
      <c r="AB728" s="3190"/>
      <c r="AC728" s="3190"/>
      <c r="AD728" s="3190"/>
      <c r="AE728" s="3190"/>
      <c r="AF728" s="3190"/>
      <c r="AG728" s="1022"/>
      <c r="AH728" s="1022"/>
      <c r="AI728" s="1022"/>
      <c r="AJ728" s="941"/>
      <c r="AK728" s="1190"/>
      <c r="AL728" s="1022"/>
      <c r="AM728" s="940"/>
      <c r="AN728" s="922"/>
      <c r="AO728" s="1003"/>
      <c r="AP728" s="1276"/>
      <c r="AQ728" s="1276"/>
      <c r="AR728" s="1276"/>
      <c r="AS728" s="1275"/>
      <c r="AT728" s="1023"/>
      <c r="AU728" s="1278"/>
      <c r="AV728" s="1278"/>
      <c r="AW728" s="1278"/>
      <c r="AX728" s="1278"/>
      <c r="AY728" s="1278"/>
      <c r="AZ728" s="1278"/>
      <c r="BA728" s="1278"/>
      <c r="BB728" s="1003"/>
      <c r="BC728" s="1003"/>
      <c r="BD728" s="1003"/>
      <c r="BE728" s="1276"/>
      <c r="BF728" s="1276"/>
      <c r="BG728" s="1276"/>
      <c r="BH728" s="1275"/>
      <c r="BI728" s="1023"/>
      <c r="BJ728" s="1279"/>
      <c r="BK728" s="1278"/>
      <c r="BL728" s="1278"/>
      <c r="BM728" s="1278"/>
      <c r="BN728" s="1278"/>
      <c r="BO728" s="1278"/>
      <c r="BP728" s="1278"/>
      <c r="BQ728" s="1003"/>
      <c r="BR728" s="1023"/>
      <c r="BS728" s="1003"/>
      <c r="BT728" s="1003"/>
      <c r="BU728" s="1003"/>
      <c r="BV728" s="1003"/>
      <c r="BW728" s="1003"/>
      <c r="BX728" s="1003"/>
      <c r="BY728" s="1003"/>
      <c r="BZ728" s="1003"/>
      <c r="CA728" s="1003"/>
      <c r="CB728" s="1003"/>
      <c r="CC728" s="1003"/>
    </row>
    <row r="729" spans="1:81" s="1131" customFormat="1" ht="13" hidden="1" thickTop="1">
      <c r="A729" s="1023"/>
      <c r="B729" s="940"/>
      <c r="C729" s="1282"/>
      <c r="D729" s="961"/>
      <c r="E729" s="961"/>
      <c r="F729" s="1060"/>
      <c r="G729" s="1283"/>
      <c r="H729" s="1283"/>
      <c r="I729" s="1283"/>
      <c r="J729" s="1283"/>
      <c r="K729" s="1283"/>
      <c r="L729" s="1283"/>
      <c r="M729" s="1283"/>
      <c r="N729" s="1283"/>
      <c r="O729" s="1283"/>
      <c r="P729" s="1283"/>
      <c r="Q729" s="1283"/>
      <c r="R729" s="1283"/>
      <c r="S729" s="1283"/>
      <c r="T729" s="1283"/>
      <c r="U729" s="1283"/>
      <c r="V729" s="1283"/>
      <c r="W729" s="1283"/>
      <c r="X729" s="1283"/>
      <c r="Y729" s="1283"/>
      <c r="Z729" s="1283"/>
      <c r="AA729" s="1283"/>
      <c r="AB729" s="1283"/>
      <c r="AC729" s="1283"/>
      <c r="AD729" s="1022"/>
      <c r="AE729" s="1022"/>
      <c r="AF729" s="1022"/>
      <c r="AG729" s="1283"/>
      <c r="AH729" s="1283"/>
      <c r="AI729" s="1283"/>
      <c r="AJ729" s="1283"/>
      <c r="AK729" s="1190"/>
      <c r="AL729" s="1022"/>
      <c r="AM729" s="940"/>
      <c r="AN729" s="922"/>
      <c r="AO729" s="1003"/>
      <c r="AP729" s="1276"/>
      <c r="AQ729" s="1276"/>
      <c r="AR729" s="1276"/>
      <c r="AS729" s="1275"/>
      <c r="AT729" s="1023"/>
      <c r="AU729" s="1278"/>
      <c r="AV729" s="1278"/>
      <c r="AW729" s="1278"/>
      <c r="AX729" s="1278"/>
      <c r="AY729" s="1278"/>
      <c r="AZ729" s="1278"/>
      <c r="BA729" s="1278"/>
      <c r="BB729" s="1003"/>
      <c r="BC729" s="1003"/>
      <c r="BD729" s="1003"/>
      <c r="BE729" s="1276"/>
      <c r="BF729" s="1276"/>
      <c r="BG729" s="1276"/>
      <c r="BH729" s="1275"/>
      <c r="BI729" s="1023"/>
      <c r="BJ729" s="1279"/>
      <c r="BK729" s="1278"/>
      <c r="BL729" s="1278"/>
      <c r="BM729" s="1278"/>
      <c r="BN729" s="1278"/>
      <c r="BO729" s="1278"/>
      <c r="BP729" s="1278"/>
      <c r="BQ729" s="1003"/>
      <c r="BR729" s="1023"/>
      <c r="BS729" s="1003"/>
      <c r="BT729" s="1003"/>
      <c r="BU729" s="1003"/>
      <c r="BV729" s="1003"/>
      <c r="BW729" s="1003"/>
      <c r="BX729" s="1003"/>
      <c r="BY729" s="1003"/>
      <c r="BZ729" s="1003"/>
      <c r="CA729" s="1003"/>
      <c r="CB729" s="1003"/>
      <c r="CC729" s="1003"/>
    </row>
    <row r="730" spans="1:81" s="1131" customFormat="1" ht="12.75" hidden="1" customHeight="1">
      <c r="A730" s="51"/>
      <c r="B730" s="940"/>
      <c r="C730" s="3191" t="s">
        <v>624</v>
      </c>
      <c r="D730" s="3192"/>
      <c r="E730" s="961"/>
      <c r="F730" s="941" t="s">
        <v>1826</v>
      </c>
      <c r="G730" s="941"/>
      <c r="H730" s="941"/>
      <c r="I730" s="941"/>
      <c r="J730" s="941"/>
      <c r="K730" s="941"/>
      <c r="L730" s="941"/>
      <c r="M730" s="941"/>
      <c r="N730" s="941"/>
      <c r="O730" s="941"/>
      <c r="P730" s="941"/>
      <c r="Q730" s="941"/>
      <c r="R730" s="941"/>
      <c r="S730" s="941"/>
      <c r="T730" s="941"/>
      <c r="U730" s="941"/>
      <c r="V730" s="941"/>
      <c r="W730" s="941"/>
      <c r="X730" s="941"/>
      <c r="Y730" s="941"/>
      <c r="Z730" s="941"/>
      <c r="AA730" s="941"/>
      <c r="AB730" s="941"/>
      <c r="AC730" s="1692"/>
      <c r="AD730" s="1022"/>
      <c r="AE730" s="1022"/>
      <c r="AF730" s="1022"/>
      <c r="AG730" s="1028">
        <f>IF(AND($C$730="Yes",$C$725="Yes"),2,0)</f>
        <v>0</v>
      </c>
      <c r="AH730" s="1700" t="s">
        <v>1591</v>
      </c>
      <c r="AI730" s="941"/>
      <c r="AJ730" s="1697"/>
      <c r="AK730" s="1190"/>
      <c r="AL730" s="1022"/>
      <c r="AM730" s="940"/>
      <c r="AN730" s="922"/>
      <c r="AO730" s="1003"/>
      <c r="AP730" s="1276"/>
      <c r="AQ730" s="1276"/>
      <c r="AR730" s="1276"/>
      <c r="AS730" s="1275"/>
      <c r="AT730" s="1023"/>
      <c r="AU730" s="1278"/>
      <c r="AV730" s="1278"/>
      <c r="AW730" s="1278"/>
      <c r="AX730" s="1278"/>
      <c r="AY730" s="1278"/>
      <c r="AZ730" s="1278"/>
      <c r="BA730" s="1278"/>
      <c r="BB730" s="1003"/>
      <c r="BC730" s="1003"/>
      <c r="BD730" s="1003"/>
      <c r="BE730" s="1276"/>
      <c r="BF730" s="1276"/>
      <c r="BG730" s="1276"/>
      <c r="BH730" s="1275"/>
      <c r="BI730" s="1023"/>
      <c r="BJ730" s="1279"/>
      <c r="BK730" s="1278"/>
      <c r="BL730" s="1278"/>
      <c r="BM730" s="1278"/>
      <c r="BN730" s="1278"/>
      <c r="BO730" s="1278"/>
      <c r="BP730" s="1278"/>
      <c r="BQ730" s="1003"/>
      <c r="BR730" s="1023"/>
      <c r="BS730" s="1003"/>
      <c r="BT730" s="1003"/>
      <c r="BU730" s="1003"/>
      <c r="BV730" s="1003"/>
      <c r="BW730" s="1003"/>
      <c r="BX730" s="1003"/>
      <c r="BY730" s="1003"/>
      <c r="BZ730" s="1003"/>
      <c r="CA730" s="1003"/>
      <c r="CB730" s="1003"/>
      <c r="CC730" s="1003"/>
    </row>
    <row r="731" spans="1:81" s="1131" customFormat="1" ht="13.5" hidden="1" thickTop="1">
      <c r="A731" s="51"/>
      <c r="B731" s="940"/>
      <c r="C731" s="1268"/>
      <c r="D731" s="1695"/>
      <c r="E731" s="1695"/>
      <c r="F731" s="941"/>
      <c r="G731" s="941" t="s">
        <v>1827</v>
      </c>
      <c r="H731" s="941"/>
      <c r="I731" s="941"/>
      <c r="J731" s="941"/>
      <c r="K731" s="941"/>
      <c r="L731" s="941"/>
      <c r="M731" s="941"/>
      <c r="N731" s="941"/>
      <c r="O731" s="941"/>
      <c r="P731" s="941"/>
      <c r="Q731" s="941"/>
      <c r="R731" s="941"/>
      <c r="S731" s="941"/>
      <c r="T731" s="941"/>
      <c r="U731" s="941"/>
      <c r="V731" s="941"/>
      <c r="W731" s="941"/>
      <c r="X731" s="941"/>
      <c r="Y731" s="941"/>
      <c r="Z731" s="941"/>
      <c r="AA731" s="941"/>
      <c r="AB731" s="941"/>
      <c r="AC731" s="1692"/>
      <c r="AD731" s="1022"/>
      <c r="AE731" s="1022"/>
      <c r="AF731" s="1022"/>
      <c r="AG731" s="1697"/>
      <c r="AH731" s="1697"/>
      <c r="AI731" s="1697"/>
      <c r="AJ731" s="1697"/>
      <c r="AK731" s="1190"/>
      <c r="AL731" s="1022"/>
      <c r="AM731" s="940"/>
      <c r="AN731" s="998"/>
      <c r="AO731" s="1003"/>
      <c r="AP731" s="1276"/>
      <c r="AQ731" s="1276"/>
      <c r="AR731" s="1276"/>
      <c r="AS731" s="1275"/>
      <c r="AT731" s="1023"/>
      <c r="AU731" s="1278"/>
      <c r="AV731" s="1278"/>
      <c r="AW731" s="1278"/>
      <c r="AX731" s="1278"/>
      <c r="AY731" s="1278"/>
      <c r="AZ731" s="1278"/>
      <c r="BA731" s="1278"/>
      <c r="BB731" s="1003"/>
      <c r="BC731" s="1003"/>
      <c r="BD731" s="1003"/>
      <c r="BE731" s="1276"/>
      <c r="BF731" s="1276"/>
      <c r="BG731" s="1276"/>
      <c r="BH731" s="1275"/>
      <c r="BI731" s="1023"/>
      <c r="BJ731" s="1279"/>
      <c r="BK731" s="1278"/>
      <c r="BL731" s="1278"/>
      <c r="BM731" s="1278"/>
      <c r="BN731" s="1278"/>
      <c r="BO731" s="1278"/>
      <c r="BP731" s="1278"/>
      <c r="BQ731" s="1003"/>
      <c r="BR731" s="1023"/>
      <c r="BS731" s="1003"/>
      <c r="BT731" s="1003"/>
      <c r="BU731" s="1003"/>
      <c r="BV731" s="1003"/>
      <c r="BW731" s="1003"/>
      <c r="BX731" s="1003"/>
      <c r="BY731" s="1003"/>
      <c r="BZ731" s="1003"/>
      <c r="CA731" s="1003"/>
      <c r="CB731" s="1003"/>
      <c r="CC731" s="1003"/>
    </row>
    <row r="732" spans="1:81" s="999" customFormat="1" ht="12.75" hidden="1" customHeight="1">
      <c r="A732" s="1059"/>
      <c r="B732" s="1023"/>
      <c r="C732" s="1268"/>
      <c r="D732" s="1695"/>
      <c r="E732" s="1695"/>
      <c r="F732" s="941"/>
      <c r="G732" s="941" t="s">
        <v>1828</v>
      </c>
      <c r="H732" s="941"/>
      <c r="I732" s="941"/>
      <c r="J732" s="941"/>
      <c r="K732" s="941"/>
      <c r="L732" s="941"/>
      <c r="M732" s="941"/>
      <c r="N732" s="941"/>
      <c r="O732" s="941"/>
      <c r="P732" s="941"/>
      <c r="Q732" s="941"/>
      <c r="R732" s="941"/>
      <c r="S732" s="941"/>
      <c r="T732" s="941"/>
      <c r="U732" s="941"/>
      <c r="V732" s="941"/>
      <c r="W732" s="941"/>
      <c r="X732" s="941"/>
      <c r="Y732" s="941"/>
      <c r="Z732" s="941"/>
      <c r="AA732" s="941"/>
      <c r="AB732" s="941"/>
      <c r="AC732" s="1692"/>
      <c r="AD732" s="1023"/>
      <c r="AE732" s="1023"/>
      <c r="AF732" s="1023"/>
      <c r="AG732" s="1697"/>
      <c r="AH732" s="1697"/>
      <c r="AI732" s="1697"/>
      <c r="AJ732" s="1697"/>
      <c r="AK732" s="1284"/>
      <c r="AL732" s="1023"/>
      <c r="AM732" s="1023"/>
      <c r="AN732" s="923"/>
      <c r="AO732" s="1023"/>
      <c r="AP732" s="1003"/>
      <c r="AQ732" s="1003"/>
      <c r="AR732" s="1003"/>
      <c r="AS732" s="1023"/>
      <c r="AT732" s="1023"/>
      <c r="AU732" s="1023"/>
      <c r="AV732" s="1023"/>
      <c r="AW732" s="1023"/>
      <c r="AX732" s="1023"/>
      <c r="AY732" s="1023"/>
      <c r="AZ732" s="1023"/>
      <c r="BA732" s="1023"/>
      <c r="BB732" s="1023"/>
      <c r="BC732" s="1023"/>
      <c r="BD732" s="1023"/>
      <c r="BE732" s="1023"/>
      <c r="BF732" s="1023"/>
      <c r="BG732" s="1023"/>
      <c r="BH732" s="1023"/>
      <c r="BI732" s="1023"/>
      <c r="BJ732" s="1023"/>
      <c r="BK732" s="1023"/>
      <c r="BL732" s="1023"/>
      <c r="BM732" s="1023"/>
      <c r="BN732" s="1023"/>
      <c r="BO732" s="1023"/>
      <c r="BP732" s="1023"/>
      <c r="BQ732" s="1023"/>
      <c r="BR732" s="1023"/>
      <c r="BS732" s="1023"/>
      <c r="BT732" s="1023"/>
      <c r="BU732" s="1023"/>
      <c r="BV732" s="1023"/>
      <c r="BW732" s="1023"/>
      <c r="BX732" s="1023"/>
      <c r="BY732" s="1023"/>
      <c r="BZ732" s="1023"/>
      <c r="CA732" s="1023"/>
      <c r="CB732" s="1023"/>
      <c r="CC732" s="1023"/>
    </row>
    <row r="733" spans="1:81" s="940" customFormat="1" ht="12.75" hidden="1" customHeight="1">
      <c r="A733" s="1116"/>
      <c r="B733" s="51"/>
      <c r="C733" s="1285"/>
      <c r="D733" s="1059"/>
      <c r="E733" s="1023"/>
      <c r="F733" s="1023"/>
      <c r="G733" s="1115"/>
      <c r="H733" s="1115"/>
      <c r="I733" s="1115"/>
      <c r="J733" s="1115"/>
      <c r="K733" s="1115"/>
      <c r="L733" s="1115"/>
      <c r="M733" s="1115"/>
      <c r="N733" s="1115"/>
      <c r="O733" s="1115"/>
      <c r="P733" s="1115"/>
      <c r="Q733" s="1115"/>
      <c r="R733" s="1115"/>
      <c r="S733" s="1115"/>
      <c r="T733" s="1115"/>
      <c r="U733" s="1115"/>
      <c r="V733" s="1115"/>
      <c r="W733" s="1115"/>
      <c r="X733" s="1115"/>
      <c r="Y733" s="1115"/>
      <c r="Z733" s="1115"/>
      <c r="AA733" s="1115"/>
      <c r="AB733" s="1115"/>
      <c r="AC733" s="1115"/>
      <c r="AD733" s="1115"/>
      <c r="AE733" s="1115"/>
      <c r="AF733" s="1115"/>
      <c r="AG733" s="1692"/>
      <c r="AH733" s="1692"/>
      <c r="AI733" s="1692"/>
      <c r="AJ733" s="1692"/>
      <c r="AK733" s="1286"/>
      <c r="AL733" s="112"/>
      <c r="AM733" s="51"/>
      <c r="AN733" s="923"/>
      <c r="AO733" s="1003"/>
      <c r="AP733" s="1003"/>
      <c r="AQ733" s="1003"/>
      <c r="AR733" s="1003"/>
      <c r="AS733" s="1023"/>
      <c r="AT733" s="1023"/>
      <c r="AU733" s="1023"/>
      <c r="AV733" s="1023"/>
      <c r="AW733" s="1023"/>
      <c r="AX733" s="1023"/>
      <c r="AY733" s="1023"/>
      <c r="AZ733" s="1023"/>
      <c r="BA733" s="1023"/>
      <c r="BB733" s="1023"/>
      <c r="BC733" s="1023"/>
      <c r="BD733" s="1023"/>
      <c r="BE733" s="1023"/>
      <c r="BF733" s="1023"/>
      <c r="BG733" s="1023"/>
      <c r="BH733" s="1023"/>
      <c r="BI733" s="1023"/>
      <c r="BJ733" s="1023"/>
      <c r="BK733" s="1023"/>
      <c r="BL733" s="1023"/>
      <c r="BM733" s="1023"/>
      <c r="BN733" s="1023"/>
      <c r="BO733" s="1023"/>
      <c r="BP733" s="1023"/>
      <c r="BQ733" s="1023"/>
      <c r="BR733" s="1023"/>
      <c r="BS733" s="1023"/>
      <c r="BT733" s="1023"/>
      <c r="BU733" s="1023"/>
      <c r="BV733" s="1023"/>
      <c r="BW733" s="1023"/>
      <c r="BX733" s="1023"/>
      <c r="BY733" s="1023"/>
      <c r="BZ733" s="1023"/>
      <c r="CA733" s="1023"/>
      <c r="CB733" s="1023"/>
      <c r="CC733" s="1023"/>
    </row>
    <row r="734" spans="1:81" s="940" customFormat="1" ht="12.75" hidden="1" customHeight="1">
      <c r="A734" s="1116"/>
      <c r="C734" s="3191" t="s">
        <v>624</v>
      </c>
      <c r="D734" s="3192"/>
      <c r="E734" s="1022"/>
      <c r="F734" s="1287" t="s">
        <v>1829</v>
      </c>
      <c r="G734" s="3193" t="s">
        <v>1830</v>
      </c>
      <c r="H734" s="3193"/>
      <c r="I734" s="3193"/>
      <c r="J734" s="3193"/>
      <c r="K734" s="3193"/>
      <c r="L734" s="3193"/>
      <c r="M734" s="3193"/>
      <c r="N734" s="3193"/>
      <c r="O734" s="3193"/>
      <c r="P734" s="3193"/>
      <c r="Q734" s="3193"/>
      <c r="R734" s="3193"/>
      <c r="S734" s="3193"/>
      <c r="T734" s="3193"/>
      <c r="U734" s="3193"/>
      <c r="V734" s="3193"/>
      <c r="W734" s="3193"/>
      <c r="X734" s="3193"/>
      <c r="Y734" s="3193"/>
      <c r="Z734" s="3193"/>
      <c r="AA734" s="3193"/>
      <c r="AB734" s="3193"/>
      <c r="AC734" s="3193"/>
      <c r="AD734" s="3193"/>
      <c r="AE734" s="3193"/>
      <c r="AF734" s="3193"/>
      <c r="AG734" s="1028">
        <f>IF(AND($C$734="Yes",$C$725="Yes"),2,0)</f>
        <v>0</v>
      </c>
      <c r="AH734" s="1700" t="s">
        <v>1591</v>
      </c>
      <c r="AI734" s="941"/>
      <c r="AJ734" s="1697"/>
      <c r="AK734" s="1190"/>
      <c r="AL734" s="1022"/>
      <c r="AN734" s="923"/>
      <c r="AO734" s="1023"/>
      <c r="AP734" s="1023"/>
      <c r="AQ734" s="1023"/>
      <c r="AR734" s="1023"/>
      <c r="AS734" s="1023"/>
      <c r="AT734" s="1023"/>
      <c r="AU734" s="1023"/>
      <c r="AV734" s="1023"/>
      <c r="AW734" s="1023"/>
      <c r="AX734" s="1023"/>
      <c r="AY734" s="1023"/>
      <c r="AZ734" s="1009"/>
      <c r="BA734" s="1023"/>
      <c r="BB734" s="1023"/>
      <c r="BC734" s="1034"/>
      <c r="BD734" s="1009"/>
      <c r="BE734" s="1009"/>
      <c r="BF734" s="1009"/>
      <c r="BG734" s="1023"/>
      <c r="BH734" s="1023"/>
      <c r="BI734" s="1023"/>
      <c r="BJ734" s="1023"/>
      <c r="BK734" s="1023"/>
      <c r="BL734" s="1023"/>
      <c r="BM734" s="1003"/>
      <c r="BN734" s="983"/>
      <c r="BO734" s="1003"/>
      <c r="BP734" s="983"/>
      <c r="BQ734" s="983"/>
      <c r="BR734" s="983"/>
      <c r="BS734" s="983"/>
      <c r="BT734" s="983"/>
      <c r="BU734" s="983"/>
      <c r="BV734" s="1003"/>
      <c r="BW734" s="1003"/>
      <c r="BX734" s="1003"/>
      <c r="BY734" s="1003"/>
      <c r="BZ734" s="1003"/>
      <c r="CA734" s="1003"/>
      <c r="CB734" s="1003"/>
      <c r="CC734" s="1003"/>
    </row>
    <row r="735" spans="1:81" s="940" customFormat="1" ht="12.75" hidden="1" customHeight="1">
      <c r="A735" s="1057"/>
      <c r="C735" s="1288"/>
      <c r="D735" s="1289"/>
      <c r="E735" s="1249"/>
      <c r="F735" s="1290"/>
      <c r="G735" s="3194"/>
      <c r="H735" s="3194"/>
      <c r="I735" s="3194"/>
      <c r="J735" s="3194"/>
      <c r="K735" s="3194"/>
      <c r="L735" s="3194"/>
      <c r="M735" s="3194"/>
      <c r="N735" s="3194"/>
      <c r="O735" s="3194"/>
      <c r="P735" s="3194"/>
      <c r="Q735" s="3194"/>
      <c r="R735" s="3194"/>
      <c r="S735" s="3194"/>
      <c r="T735" s="3194"/>
      <c r="U735" s="3194"/>
      <c r="V735" s="3194"/>
      <c r="W735" s="3194"/>
      <c r="X735" s="3194"/>
      <c r="Y735" s="3194"/>
      <c r="Z735" s="3194"/>
      <c r="AA735" s="3194"/>
      <c r="AB735" s="3194"/>
      <c r="AC735" s="3194"/>
      <c r="AD735" s="3194"/>
      <c r="AE735" s="3194"/>
      <c r="AF735" s="3194"/>
      <c r="AG735" s="1097"/>
      <c r="AH735" s="1097"/>
      <c r="AI735" s="1097"/>
      <c r="AJ735" s="1097"/>
      <c r="AK735" s="1201"/>
      <c r="AL735" s="1022"/>
      <c r="AN735" s="923"/>
      <c r="AO735" s="1023"/>
      <c r="AP735" s="1023"/>
      <c r="AQ735" s="1023"/>
      <c r="AR735" s="1023"/>
      <c r="AS735" s="1023"/>
      <c r="AT735" s="1023"/>
      <c r="AU735" s="1023"/>
      <c r="AV735" s="1023"/>
      <c r="AW735" s="1023"/>
      <c r="AX735" s="1023"/>
      <c r="AY735" s="1023"/>
      <c r="AZ735" s="1009"/>
      <c r="BA735" s="1023"/>
      <c r="BB735" s="1023"/>
      <c r="BC735" s="1034"/>
      <c r="BD735" s="1009"/>
      <c r="BE735" s="1009"/>
      <c r="BF735" s="1009"/>
      <c r="BG735" s="1023"/>
      <c r="BH735" s="1023"/>
      <c r="BI735" s="1023"/>
      <c r="BJ735" s="1023"/>
      <c r="BK735" s="1023"/>
      <c r="BL735" s="1023"/>
      <c r="BM735" s="1002"/>
      <c r="BN735" s="1002"/>
      <c r="BO735" s="1002"/>
      <c r="BP735" s="1002"/>
      <c r="BQ735" s="1002"/>
      <c r="BR735" s="1002"/>
      <c r="BS735" s="1002"/>
      <c r="BT735" s="1002"/>
      <c r="BU735" s="1002"/>
      <c r="BV735" s="1002"/>
      <c r="BW735" s="1002"/>
      <c r="BX735" s="1002"/>
      <c r="BY735" s="1002"/>
      <c r="BZ735" s="1002"/>
      <c r="CA735" s="1002"/>
      <c r="CB735" s="1002"/>
      <c r="CC735" s="1002"/>
    </row>
    <row r="736" spans="1:81" s="999" customFormat="1" ht="12.75" hidden="1" customHeight="1">
      <c r="A736" s="1057"/>
      <c r="B736" s="940"/>
      <c r="C736" s="1020"/>
      <c r="D736" s="1023"/>
      <c r="E736" s="1247"/>
      <c r="F736" s="1024"/>
      <c r="G736" s="1696"/>
      <c r="H736" s="1696"/>
      <c r="I736" s="1696"/>
      <c r="J736" s="1696"/>
      <c r="K736" s="1696"/>
      <c r="L736" s="1696"/>
      <c r="M736" s="1696"/>
      <c r="N736" s="1696"/>
      <c r="O736" s="1696"/>
      <c r="P736" s="1696"/>
      <c r="Q736" s="1696"/>
      <c r="R736" s="1696"/>
      <c r="S736" s="1696"/>
      <c r="T736" s="1696"/>
      <c r="U736" s="1696"/>
      <c r="V736" s="1696"/>
      <c r="W736" s="1696"/>
      <c r="X736" s="1696"/>
      <c r="Y736" s="1696"/>
      <c r="Z736" s="1696"/>
      <c r="AA736" s="1696"/>
      <c r="AB736" s="1696"/>
      <c r="AC736" s="1696"/>
      <c r="AD736" s="1696"/>
      <c r="AE736" s="1696"/>
      <c r="AF736" s="1696"/>
      <c r="AG736" s="941"/>
      <c r="AH736" s="941"/>
      <c r="AI736" s="941"/>
      <c r="AJ736" s="941"/>
      <c r="AK736" s="1022"/>
      <c r="AL736" s="1022"/>
      <c r="AM736" s="940"/>
      <c r="AN736" s="926"/>
      <c r="AO736" s="1023"/>
      <c r="AP736" s="1009"/>
      <c r="AQ736" s="1009"/>
      <c r="AR736" s="1009"/>
      <c r="AS736" s="1009"/>
      <c r="AT736" s="1009"/>
      <c r="AU736" s="1009"/>
      <c r="AV736" s="1009"/>
      <c r="AW736" s="1009"/>
      <c r="AX736" s="1009"/>
      <c r="AY736" s="1009"/>
      <c r="AZ736" s="1009"/>
      <c r="BA736" s="1009"/>
      <c r="BB736" s="1009"/>
      <c r="BC736" s="1009"/>
      <c r="BD736" s="1009"/>
      <c r="BE736" s="1009"/>
      <c r="BF736" s="1009"/>
      <c r="BG736" s="1009"/>
      <c r="BH736" s="1009"/>
      <c r="BI736" s="1034"/>
      <c r="BJ736" s="1291"/>
      <c r="BK736" s="1291"/>
      <c r="BL736" s="1023"/>
      <c r="BM736" s="1002"/>
      <c r="BN736" s="1002"/>
      <c r="BO736" s="1002"/>
      <c r="BP736" s="1002"/>
      <c r="BQ736" s="1002"/>
      <c r="BR736" s="1002"/>
      <c r="BS736" s="1002"/>
      <c r="BT736" s="1002"/>
      <c r="BU736" s="1002"/>
      <c r="BV736" s="1002"/>
      <c r="BW736" s="1002"/>
      <c r="BX736" s="1002"/>
      <c r="BY736" s="1002"/>
      <c r="BZ736" s="1002"/>
      <c r="CA736" s="1002"/>
      <c r="CB736" s="1002"/>
      <c r="CC736" s="1002"/>
    </row>
    <row r="737" spans="1:81" s="940" customFormat="1" ht="12.75" hidden="1" customHeight="1">
      <c r="A737" s="1057"/>
      <c r="C737" s="1292" t="s">
        <v>1831</v>
      </c>
      <c r="D737" s="1240"/>
      <c r="E737" s="1293"/>
      <c r="F737" s="1294"/>
      <c r="G737" s="1295"/>
      <c r="H737" s="1295"/>
      <c r="I737" s="1295"/>
      <c r="J737" s="1295"/>
      <c r="K737" s="1295"/>
      <c r="L737" s="1295"/>
      <c r="M737" s="1295"/>
      <c r="N737" s="1295"/>
      <c r="O737" s="1295"/>
      <c r="P737" s="1295"/>
      <c r="Q737" s="1295"/>
      <c r="R737" s="1295"/>
      <c r="S737" s="1295"/>
      <c r="T737" s="1295"/>
      <c r="U737" s="1295"/>
      <c r="V737" s="1295"/>
      <c r="W737" s="1295"/>
      <c r="X737" s="1295"/>
      <c r="Y737" s="1295"/>
      <c r="Z737" s="1295"/>
      <c r="AA737" s="1295"/>
      <c r="AB737" s="1295"/>
      <c r="AC737" s="1295"/>
      <c r="AD737" s="1295"/>
      <c r="AE737" s="1295"/>
      <c r="AF737" s="1295"/>
      <c r="AG737" s="1084"/>
      <c r="AH737" s="1084"/>
      <c r="AI737" s="1084"/>
      <c r="AJ737" s="1084"/>
      <c r="AK737" s="1206"/>
      <c r="AL737" s="1022"/>
      <c r="AN737" s="997"/>
      <c r="AO737" s="1023"/>
      <c r="AP737" s="1009"/>
      <c r="AQ737" s="1009"/>
      <c r="AR737" s="1009"/>
      <c r="AS737" s="1009"/>
      <c r="AT737" s="1009"/>
      <c r="AU737" s="1009"/>
      <c r="AV737" s="1009"/>
      <c r="AW737" s="1009"/>
      <c r="AX737" s="1009"/>
      <c r="AY737" s="1009"/>
      <c r="AZ737" s="1009"/>
      <c r="BA737" s="1009"/>
      <c r="BB737" s="1009"/>
      <c r="BC737" s="1009"/>
      <c r="BD737" s="1009"/>
      <c r="BE737" s="1009"/>
      <c r="BF737" s="1009"/>
      <c r="BG737" s="1009"/>
      <c r="BH737" s="1009"/>
      <c r="BI737" s="1116"/>
      <c r="BJ737" s="1291"/>
      <c r="BK737" s="1291"/>
      <c r="BL737" s="1023"/>
      <c r="BM737" s="1002"/>
      <c r="BN737" s="1002"/>
      <c r="BO737" s="1002"/>
      <c r="BP737" s="1002"/>
      <c r="BQ737" s="1002"/>
      <c r="BR737" s="1002"/>
      <c r="BS737" s="1002"/>
      <c r="BT737" s="1002"/>
      <c r="BU737" s="1002"/>
      <c r="BV737" s="1002"/>
      <c r="BW737" s="1002"/>
      <c r="BX737" s="1002"/>
      <c r="BY737" s="1002"/>
      <c r="BZ737" s="1002"/>
      <c r="CA737" s="1002"/>
      <c r="CB737" s="1002"/>
      <c r="CC737" s="1002"/>
    </row>
    <row r="738" spans="1:81" s="940" customFormat="1" ht="12.75" hidden="1" customHeight="1">
      <c r="A738" s="1057"/>
      <c r="C738" s="3179" t="s">
        <v>624</v>
      </c>
      <c r="D738" s="3180"/>
      <c r="E738" s="1296" t="s">
        <v>1832</v>
      </c>
      <c r="F738" s="1256" t="s">
        <v>1833</v>
      </c>
      <c r="G738" s="1696"/>
      <c r="H738" s="1696"/>
      <c r="I738" s="1696"/>
      <c r="J738" s="1696"/>
      <c r="K738" s="1696"/>
      <c r="L738" s="1696"/>
      <c r="M738" s="1696"/>
      <c r="N738" s="1696"/>
      <c r="O738" s="1696"/>
      <c r="P738" s="1696"/>
      <c r="Q738" s="1696"/>
      <c r="R738" s="1696"/>
      <c r="S738" s="1696"/>
      <c r="T738" s="1696"/>
      <c r="U738" s="1696"/>
      <c r="V738" s="1696"/>
      <c r="W738" s="1696"/>
      <c r="X738" s="1696"/>
      <c r="Y738" s="1696"/>
      <c r="Z738" s="1696"/>
      <c r="AA738" s="1696"/>
      <c r="AB738" s="1696"/>
      <c r="AC738" s="1696"/>
      <c r="AD738" s="1696"/>
      <c r="AE738" s="1696"/>
      <c r="AF738" s="1696"/>
      <c r="AG738" s="1028">
        <f>IF(C$738="Yes",(VLOOKUP(F$739,$AO$709:$AP$712,2,FALSE)),0)</f>
        <v>0</v>
      </c>
      <c r="AH738" s="1700" t="s">
        <v>1591</v>
      </c>
      <c r="AI738" s="941"/>
      <c r="AJ738" s="941"/>
      <c r="AK738" s="1190"/>
      <c r="AL738" s="1022"/>
      <c r="AN738" s="997"/>
      <c r="AO738" s="1023"/>
      <c r="AP738" s="1009"/>
      <c r="AQ738" s="1009"/>
      <c r="AR738" s="1009"/>
      <c r="AS738" s="1009"/>
      <c r="AT738" s="1009"/>
      <c r="AU738" s="1009"/>
      <c r="AV738" s="1009"/>
      <c r="AW738" s="1009"/>
      <c r="AX738" s="1009"/>
      <c r="AY738" s="1009"/>
      <c r="AZ738" s="1009"/>
      <c r="BA738" s="1009"/>
      <c r="BB738" s="1009"/>
      <c r="BC738" s="1009"/>
      <c r="BD738" s="1009"/>
      <c r="BE738" s="1009"/>
      <c r="BF738" s="1009"/>
      <c r="BG738" s="1009"/>
      <c r="BH738" s="1009"/>
      <c r="BI738" s="1116"/>
      <c r="BJ738" s="1291"/>
      <c r="BK738" s="1291"/>
      <c r="BL738" s="1023"/>
      <c r="BM738" s="1020"/>
      <c r="BN738" s="1020"/>
      <c r="BO738" s="1020"/>
      <c r="BP738" s="1020"/>
      <c r="BQ738" s="1020"/>
      <c r="BR738" s="1020"/>
      <c r="BS738" s="1020"/>
      <c r="BT738" s="1020"/>
      <c r="BU738" s="1020"/>
      <c r="BV738" s="1020"/>
      <c r="BW738" s="1020"/>
      <c r="BX738" s="1020"/>
      <c r="BY738" s="1020"/>
      <c r="BZ738" s="1020"/>
      <c r="CA738" s="1020"/>
      <c r="CB738" s="1020"/>
      <c r="CC738" s="1020"/>
    </row>
    <row r="739" spans="1:81" s="940" customFormat="1" ht="12.75" hidden="1" customHeight="1">
      <c r="A739" s="1057"/>
      <c r="C739" s="1297"/>
      <c r="D739" s="1023"/>
      <c r="E739" s="1247"/>
      <c r="F739" s="3181" t="s">
        <v>624</v>
      </c>
      <c r="G739" s="3181"/>
      <c r="H739" s="3181"/>
      <c r="I739" s="3181"/>
      <c r="J739" s="3181"/>
      <c r="K739" s="3181"/>
      <c r="L739" s="3181"/>
      <c r="M739" s="3181"/>
      <c r="N739" s="3181"/>
      <c r="O739" s="3181"/>
      <c r="P739" s="3181"/>
      <c r="Q739" s="3181"/>
      <c r="R739" s="3181"/>
      <c r="S739" s="3181"/>
      <c r="T739" s="3181"/>
      <c r="U739" s="3181"/>
      <c r="V739" s="3181"/>
      <c r="W739" s="3181"/>
      <c r="X739" s="3181"/>
      <c r="Y739" s="3181"/>
      <c r="Z739" s="3181"/>
      <c r="AA739" s="3181"/>
      <c r="AB739" s="3181"/>
      <c r="AC739" s="3181"/>
      <c r="AD739" s="3181"/>
      <c r="AE739" s="3181"/>
      <c r="AF739" s="3181"/>
      <c r="AG739" s="941"/>
      <c r="AH739" s="941"/>
      <c r="AI739" s="941"/>
      <c r="AJ739" s="941"/>
      <c r="AK739" s="1190"/>
      <c r="AL739" s="1022"/>
      <c r="AN739" s="997"/>
      <c r="AO739" s="1023"/>
      <c r="AP739" s="1023"/>
      <c r="AQ739" s="1023"/>
      <c r="AR739" s="1023"/>
      <c r="AS739" s="1023"/>
      <c r="AT739" s="1023"/>
      <c r="AU739" s="1023"/>
      <c r="AV739" s="1023"/>
      <c r="AW739" s="1023"/>
      <c r="AX739" s="1023"/>
      <c r="AY739" s="1023"/>
      <c r="AZ739" s="1023"/>
      <c r="BA739" s="1023"/>
      <c r="BB739" s="1023"/>
      <c r="BC739" s="1023"/>
      <c r="BD739" s="1023"/>
      <c r="BE739" s="1023"/>
      <c r="BF739" s="1023"/>
      <c r="BG739" s="1023"/>
      <c r="BH739" s="1023"/>
      <c r="BI739" s="1023"/>
      <c r="BJ739" s="1023"/>
      <c r="BK739" s="1023"/>
      <c r="BL739" s="1023"/>
      <c r="BM739" s="1020"/>
      <c r="BN739" s="1020"/>
      <c r="BO739" s="1020"/>
      <c r="BP739" s="1020"/>
      <c r="BQ739" s="1020"/>
      <c r="BR739" s="1020"/>
      <c r="BS739" s="1020"/>
      <c r="BT739" s="1020"/>
      <c r="BU739" s="1020"/>
      <c r="BV739" s="1020"/>
      <c r="BW739" s="1020"/>
      <c r="BX739" s="1020"/>
      <c r="BY739" s="1020"/>
      <c r="BZ739" s="1020"/>
      <c r="CA739" s="1020"/>
      <c r="CB739" s="1020"/>
      <c r="CC739" s="1020"/>
    </row>
    <row r="740" spans="1:81" s="940" customFormat="1" ht="12.75" hidden="1" customHeight="1">
      <c r="A740" s="1057"/>
      <c r="C740" s="1288"/>
      <c r="D740" s="1185"/>
      <c r="E740" s="1249"/>
      <c r="F740" s="3182"/>
      <c r="G740" s="3182"/>
      <c r="H740" s="3182"/>
      <c r="I740" s="3182"/>
      <c r="J740" s="3182"/>
      <c r="K740" s="3182"/>
      <c r="L740" s="3182"/>
      <c r="M740" s="3182"/>
      <c r="N740" s="3182"/>
      <c r="O740" s="3182"/>
      <c r="P740" s="3182"/>
      <c r="Q740" s="3182"/>
      <c r="R740" s="3182"/>
      <c r="S740" s="3182"/>
      <c r="T740" s="3182"/>
      <c r="U740" s="3182"/>
      <c r="V740" s="3182"/>
      <c r="W740" s="3182"/>
      <c r="X740" s="3182"/>
      <c r="Y740" s="3182"/>
      <c r="Z740" s="3182"/>
      <c r="AA740" s="3182"/>
      <c r="AB740" s="3182"/>
      <c r="AC740" s="3182"/>
      <c r="AD740" s="3182"/>
      <c r="AE740" s="3182"/>
      <c r="AF740" s="3182"/>
      <c r="AG740" s="1097"/>
      <c r="AH740" s="1097"/>
      <c r="AI740" s="1097"/>
      <c r="AJ740" s="1097"/>
      <c r="AK740" s="1201"/>
      <c r="AL740" s="1022"/>
      <c r="AN740" s="997"/>
      <c r="AO740" s="1023"/>
      <c r="AP740" s="1023"/>
      <c r="AQ740" s="1023"/>
      <c r="AR740" s="1023"/>
      <c r="AS740" s="1023"/>
      <c r="AT740" s="1023"/>
      <c r="AU740" s="1023"/>
      <c r="AV740" s="1023"/>
      <c r="AW740" s="1023"/>
      <c r="AX740" s="1023"/>
      <c r="AY740" s="1023"/>
      <c r="AZ740" s="1023"/>
      <c r="BA740" s="1023"/>
      <c r="BB740" s="1023"/>
      <c r="BC740" s="1023"/>
      <c r="BD740" s="1023"/>
      <c r="BE740" s="1023"/>
      <c r="BF740" s="1023"/>
      <c r="BG740" s="1023"/>
      <c r="BH740" s="1023"/>
      <c r="BI740" s="1023"/>
      <c r="BJ740" s="1023"/>
      <c r="BK740" s="1023"/>
      <c r="BL740" s="1023"/>
      <c r="BM740" s="1020"/>
      <c r="BN740" s="1020"/>
      <c r="BO740" s="1020"/>
      <c r="BP740" s="1020"/>
      <c r="BQ740" s="1020"/>
      <c r="BR740" s="1020"/>
      <c r="BS740" s="1020"/>
      <c r="BT740" s="1020"/>
      <c r="BU740" s="1020"/>
      <c r="BV740" s="1020"/>
      <c r="BW740" s="1020"/>
      <c r="BX740" s="1020"/>
      <c r="BY740" s="1020"/>
      <c r="BZ740" s="1020"/>
      <c r="CA740" s="1020"/>
      <c r="CB740" s="1020"/>
      <c r="CC740" s="1020"/>
    </row>
    <row r="741" spans="1:81" s="940" customFormat="1" ht="12.75" hidden="1" customHeight="1">
      <c r="A741" s="1116"/>
      <c r="C741" s="941"/>
      <c r="E741" s="941"/>
      <c r="F741" s="1256"/>
      <c r="G741" s="941"/>
      <c r="H741" s="941"/>
      <c r="I741" s="941"/>
      <c r="J741" s="941"/>
      <c r="K741" s="941"/>
      <c r="L741" s="941"/>
      <c r="M741" s="941"/>
      <c r="N741" s="941"/>
      <c r="O741" s="941"/>
      <c r="P741" s="941"/>
      <c r="Q741" s="941"/>
      <c r="R741" s="941"/>
      <c r="S741" s="941"/>
      <c r="T741" s="941"/>
      <c r="U741" s="941"/>
      <c r="V741" s="941"/>
      <c r="W741" s="941"/>
      <c r="X741" s="941"/>
      <c r="Y741" s="941"/>
      <c r="Z741" s="941"/>
      <c r="AA741" s="941"/>
      <c r="AB741" s="941"/>
      <c r="AC741" s="941"/>
      <c r="AD741" s="1032"/>
      <c r="AE741" s="941"/>
      <c r="AF741" s="941"/>
      <c r="AG741" s="941"/>
      <c r="AH741" s="941"/>
      <c r="AI741" s="1023"/>
      <c r="AK741" s="1023"/>
      <c r="AL741" s="1023"/>
      <c r="AM741" s="1023"/>
      <c r="AN741" s="997"/>
      <c r="AO741" s="1023"/>
      <c r="AP741" s="1023"/>
      <c r="AQ741" s="1023"/>
      <c r="AR741" s="1023"/>
      <c r="AS741" s="1023"/>
      <c r="AT741" s="1023"/>
      <c r="AU741" s="1023"/>
      <c r="AV741" s="1023"/>
      <c r="AW741" s="1023"/>
      <c r="AX741" s="1023"/>
      <c r="AY741" s="1023"/>
      <c r="AZ741" s="1023"/>
      <c r="BA741" s="1023"/>
      <c r="BB741" s="1023"/>
      <c r="BC741" s="1023"/>
      <c r="BD741" s="1023"/>
      <c r="BE741" s="1023"/>
      <c r="BF741" s="1023"/>
      <c r="BG741" s="1023"/>
      <c r="BH741" s="1023"/>
      <c r="BI741" s="1023"/>
      <c r="BJ741" s="1023"/>
      <c r="BK741" s="1023"/>
      <c r="BL741" s="1023"/>
      <c r="BM741" s="1020"/>
      <c r="BN741" s="1020"/>
      <c r="BO741" s="1020"/>
      <c r="BP741" s="1020"/>
      <c r="BQ741" s="1020"/>
      <c r="BR741" s="1020"/>
      <c r="BS741" s="1020"/>
      <c r="BT741" s="1020"/>
      <c r="BU741" s="1020"/>
      <c r="BV741" s="1020"/>
      <c r="BW741" s="1020"/>
      <c r="BX741" s="1020"/>
      <c r="BY741" s="1020"/>
      <c r="BZ741" s="1020"/>
      <c r="CA741" s="1020"/>
      <c r="CB741" s="1020"/>
      <c r="CC741" s="1020"/>
    </row>
    <row r="742" spans="1:81" s="940" customFormat="1" ht="12.75" hidden="1" customHeight="1">
      <c r="A742" s="1116"/>
      <c r="B742" s="1298" t="s">
        <v>1834</v>
      </c>
      <c r="C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c r="AA742" s="941"/>
      <c r="AB742" s="941"/>
      <c r="AC742" s="941"/>
      <c r="AD742" s="1032"/>
      <c r="AE742" s="941"/>
      <c r="AF742" s="941"/>
      <c r="AG742" s="941"/>
      <c r="AH742" s="941"/>
      <c r="AI742" s="1023"/>
      <c r="AK742" s="1023"/>
      <c r="AL742" s="1023"/>
      <c r="AM742" s="1023"/>
      <c r="AN742" s="997"/>
      <c r="AO742" s="1023"/>
      <c r="AP742" s="1274"/>
      <c r="AQ742" s="1274"/>
      <c r="AR742" s="1274"/>
      <c r="AS742" s="1274"/>
      <c r="AT742" s="1274"/>
      <c r="AU742" s="1274"/>
      <c r="AV742" s="1274"/>
      <c r="AW742" s="1274"/>
      <c r="AX742" s="1274"/>
      <c r="AY742" s="1274"/>
      <c r="AZ742" s="1023"/>
      <c r="BA742" s="1023"/>
      <c r="BB742" s="1023"/>
      <c r="BC742" s="1023"/>
      <c r="BD742" s="1023"/>
      <c r="BE742" s="1023"/>
      <c r="BF742" s="1023"/>
      <c r="BG742" s="1023"/>
      <c r="BH742" s="1023"/>
      <c r="BI742" s="1023"/>
      <c r="BJ742" s="1023"/>
      <c r="BK742" s="1023"/>
      <c r="BL742" s="1023"/>
      <c r="BM742" s="1020"/>
      <c r="BN742" s="1020"/>
      <c r="BO742" s="1020"/>
      <c r="BP742" s="1020"/>
      <c r="BQ742" s="1020"/>
      <c r="BR742" s="1020"/>
      <c r="BS742" s="1020"/>
      <c r="BT742" s="1020"/>
      <c r="BU742" s="1020"/>
      <c r="BV742" s="1020"/>
      <c r="BW742" s="1020"/>
      <c r="BX742" s="1020"/>
      <c r="BY742" s="1020"/>
      <c r="BZ742" s="1020"/>
      <c r="CA742" s="1020"/>
      <c r="CB742" s="1020"/>
      <c r="CC742" s="1020"/>
    </row>
    <row r="743" spans="1:81" s="940" customFormat="1" ht="12.75" hidden="1" customHeight="1">
      <c r="A743" s="1116"/>
      <c r="B743" s="1298" t="s">
        <v>1835</v>
      </c>
      <c r="C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c r="AA743" s="941"/>
      <c r="AB743" s="941"/>
      <c r="AC743" s="941"/>
      <c r="AD743" s="1032"/>
      <c r="AE743" s="941"/>
      <c r="AF743" s="941"/>
      <c r="AG743" s="941"/>
      <c r="AH743" s="941"/>
      <c r="AI743" s="1023"/>
      <c r="AK743" s="1023"/>
      <c r="AL743" s="1023"/>
      <c r="AM743" s="1023"/>
      <c r="AN743" s="997"/>
      <c r="AO743" s="1023"/>
      <c r="AP743" s="1299"/>
      <c r="AQ743" s="1299"/>
      <c r="AR743" s="1299"/>
      <c r="AS743" s="1299"/>
      <c r="AT743" s="1299"/>
      <c r="AU743" s="1299"/>
      <c r="AV743" s="1299"/>
      <c r="AW743" s="1299"/>
      <c r="AX743" s="1299"/>
      <c r="AY743" s="1299"/>
      <c r="AZ743" s="1023"/>
      <c r="BA743" s="1023"/>
      <c r="BB743" s="1023"/>
      <c r="BC743" s="1023"/>
      <c r="BD743" s="1023"/>
      <c r="BE743" s="1023"/>
      <c r="BF743" s="1023"/>
      <c r="BG743" s="1023"/>
      <c r="BH743" s="1023"/>
      <c r="BI743" s="1023"/>
      <c r="BJ743" s="1023"/>
      <c r="BK743" s="1023"/>
      <c r="BL743" s="1023"/>
      <c r="BM743" s="1020"/>
      <c r="BN743" s="1020"/>
      <c r="BO743" s="1020"/>
      <c r="BP743" s="1020"/>
      <c r="BQ743" s="1020"/>
      <c r="BR743" s="1020"/>
      <c r="BS743" s="1020"/>
      <c r="BT743" s="1020"/>
      <c r="BU743" s="1020"/>
      <c r="BV743" s="1020"/>
      <c r="BW743" s="1020"/>
      <c r="BX743" s="1020"/>
      <c r="BY743" s="1020"/>
      <c r="BZ743" s="1020"/>
      <c r="CA743" s="1020"/>
      <c r="CB743" s="1020"/>
      <c r="CC743" s="1020"/>
    </row>
    <row r="744" spans="1:81" s="940" customFormat="1" ht="12.75" hidden="1" customHeight="1">
      <c r="A744" s="1116"/>
      <c r="B744" s="940" t="s">
        <v>1836</v>
      </c>
      <c r="C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c r="AA744" s="941"/>
      <c r="AB744" s="941"/>
      <c r="AC744" s="941"/>
      <c r="AD744" s="1032"/>
      <c r="AE744" s="941"/>
      <c r="AF744" s="941"/>
      <c r="AG744" s="941"/>
      <c r="AH744" s="941"/>
      <c r="AI744" s="1023"/>
      <c r="AK744" s="1023"/>
      <c r="AL744" s="1023"/>
      <c r="AM744" s="1023"/>
      <c r="AN744" s="997"/>
      <c r="AO744" s="1023"/>
      <c r="AP744" s="1299"/>
      <c r="AQ744" s="1299"/>
      <c r="AR744" s="1299"/>
      <c r="AS744" s="1299"/>
      <c r="AT744" s="1299"/>
      <c r="AU744" s="1299"/>
      <c r="AV744" s="1299"/>
      <c r="AW744" s="1299"/>
      <c r="AX744" s="1299"/>
      <c r="AY744" s="1299"/>
      <c r="AZ744" s="1023"/>
      <c r="BA744" s="1023"/>
      <c r="BB744" s="1023"/>
      <c r="BC744" s="1023"/>
      <c r="BD744" s="1023"/>
      <c r="BE744" s="1023"/>
      <c r="BF744" s="1023"/>
      <c r="BG744" s="1023"/>
      <c r="BH744" s="1023"/>
      <c r="BI744" s="1023"/>
      <c r="BJ744" s="1023"/>
      <c r="BK744" s="1023"/>
      <c r="BL744" s="1023"/>
      <c r="BM744" s="1020"/>
      <c r="BN744" s="1020"/>
      <c r="BO744" s="1020"/>
      <c r="BP744" s="1020"/>
      <c r="BQ744" s="1020"/>
      <c r="BR744" s="1020"/>
      <c r="BS744" s="1020"/>
      <c r="BT744" s="1020"/>
      <c r="BU744" s="1020"/>
      <c r="BV744" s="1020"/>
      <c r="BW744" s="1020"/>
      <c r="BX744" s="1020"/>
      <c r="BY744" s="1020"/>
      <c r="BZ744" s="1020"/>
      <c r="CA744" s="1020"/>
      <c r="CB744" s="1020"/>
      <c r="CC744" s="1020"/>
    </row>
    <row r="745" spans="1:81" s="940" customFormat="1" ht="12.75" hidden="1" customHeight="1">
      <c r="A745" s="1116"/>
      <c r="B745" s="940" t="s">
        <v>1837</v>
      </c>
      <c r="C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c r="AA745" s="941"/>
      <c r="AB745" s="941"/>
      <c r="AC745" s="941"/>
      <c r="AD745" s="1032"/>
      <c r="AE745" s="941"/>
      <c r="AF745" s="941"/>
      <c r="AG745" s="941"/>
      <c r="AH745" s="941"/>
      <c r="AI745" s="1023"/>
      <c r="AK745" s="1023"/>
      <c r="AL745" s="1023"/>
      <c r="AM745" s="1023"/>
      <c r="AN745" s="997"/>
      <c r="AO745" s="1023"/>
      <c r="AP745" s="1299"/>
      <c r="AQ745" s="1299"/>
      <c r="AR745" s="1299"/>
      <c r="AS745" s="1299"/>
      <c r="AT745" s="1299"/>
      <c r="AU745" s="1299"/>
      <c r="AV745" s="1299"/>
      <c r="AW745" s="1299"/>
      <c r="AX745" s="1299"/>
      <c r="AY745" s="1299"/>
      <c r="AZ745" s="1023"/>
      <c r="BA745" s="1023"/>
      <c r="BB745" s="1023"/>
      <c r="BC745" s="1023"/>
      <c r="BD745" s="1023"/>
      <c r="BE745" s="1023"/>
      <c r="BF745" s="1023"/>
      <c r="BG745" s="1023"/>
      <c r="BH745" s="1023"/>
      <c r="BI745" s="1023"/>
      <c r="BJ745" s="1023"/>
      <c r="BK745" s="1023"/>
      <c r="BL745" s="1023"/>
      <c r="BM745" s="1020"/>
      <c r="BN745" s="1020"/>
      <c r="BO745" s="1020"/>
      <c r="BP745" s="1020"/>
      <c r="BQ745" s="1020"/>
      <c r="BR745" s="1020"/>
      <c r="BS745" s="1020"/>
      <c r="BT745" s="1020"/>
      <c r="BU745" s="1020"/>
      <c r="BV745" s="1020"/>
      <c r="BW745" s="1020"/>
      <c r="BX745" s="1020"/>
      <c r="BY745" s="1020"/>
      <c r="BZ745" s="1020"/>
      <c r="CA745" s="1020"/>
      <c r="CB745" s="1020"/>
      <c r="CC745" s="1020"/>
    </row>
    <row r="746" spans="1:81" s="940" customFormat="1" ht="12.75" hidden="1" customHeight="1">
      <c r="A746" s="1116"/>
      <c r="B746" s="940" t="s">
        <v>1838</v>
      </c>
      <c r="C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c r="AA746" s="941"/>
      <c r="AB746" s="941"/>
      <c r="AC746" s="941"/>
      <c r="AD746" s="1032"/>
      <c r="AE746" s="941"/>
      <c r="AF746" s="941"/>
      <c r="AG746" s="941"/>
      <c r="AH746" s="941"/>
      <c r="AI746" s="1023"/>
      <c r="AK746" s="1023"/>
      <c r="AL746" s="1023"/>
      <c r="AM746" s="1023"/>
      <c r="AN746" s="997"/>
      <c r="AO746" s="1023"/>
      <c r="AP746" s="1299"/>
      <c r="AQ746" s="1299"/>
      <c r="AR746" s="1299"/>
      <c r="AS746" s="1299"/>
      <c r="AT746" s="1299"/>
      <c r="AU746" s="1299"/>
      <c r="AV746" s="1299"/>
      <c r="AW746" s="1299"/>
      <c r="AX746" s="1299"/>
      <c r="AY746" s="1299"/>
      <c r="AZ746" s="1023"/>
      <c r="BA746" s="1023"/>
      <c r="BB746" s="1023"/>
      <c r="BC746" s="1023"/>
      <c r="BD746" s="1023"/>
      <c r="BE746" s="1023"/>
      <c r="BF746" s="1023"/>
      <c r="BG746" s="1023"/>
      <c r="BH746" s="1023"/>
      <c r="BI746" s="1023"/>
      <c r="BJ746" s="1023"/>
      <c r="BK746" s="1023"/>
      <c r="BL746" s="1023"/>
      <c r="BM746" s="1020"/>
      <c r="BN746" s="1020"/>
      <c r="BO746" s="1020"/>
      <c r="BP746" s="1020"/>
      <c r="BQ746" s="1020"/>
      <c r="BR746" s="1020"/>
      <c r="BS746" s="1020"/>
      <c r="BT746" s="1020"/>
      <c r="BU746" s="1020"/>
      <c r="BV746" s="1020"/>
      <c r="BW746" s="1020"/>
      <c r="BX746" s="1020"/>
      <c r="BY746" s="1020"/>
      <c r="BZ746" s="1020"/>
      <c r="CA746" s="1020"/>
      <c r="CB746" s="1020"/>
      <c r="CC746" s="1020"/>
    </row>
    <row r="747" spans="1:81" s="940" customFormat="1" ht="12.75" hidden="1" customHeight="1">
      <c r="A747" s="1116"/>
      <c r="B747" s="940" t="s">
        <v>1839</v>
      </c>
      <c r="C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c r="AA747" s="941"/>
      <c r="AB747" s="941"/>
      <c r="AC747" s="941"/>
      <c r="AD747" s="1032"/>
      <c r="AE747" s="941"/>
      <c r="AF747" s="941"/>
      <c r="AG747" s="941"/>
      <c r="AH747" s="941"/>
      <c r="AI747" s="1023"/>
      <c r="AK747" s="1023"/>
      <c r="AL747" s="1023"/>
      <c r="AM747" s="1023"/>
      <c r="AN747" s="997"/>
      <c r="AO747" s="1023"/>
      <c r="AP747" s="1299"/>
      <c r="AQ747" s="1299"/>
      <c r="AR747" s="1299"/>
      <c r="AS747" s="1299"/>
      <c r="AT747" s="1299"/>
      <c r="AU747" s="1299"/>
      <c r="AV747" s="1299"/>
      <c r="AW747" s="1299"/>
      <c r="AX747" s="1299"/>
      <c r="AY747" s="1299"/>
      <c r="AZ747" s="1023"/>
      <c r="BA747" s="1023"/>
      <c r="BB747" s="1023"/>
      <c r="BC747" s="1023"/>
      <c r="BD747" s="1023"/>
      <c r="BE747" s="1023"/>
      <c r="BF747" s="1023"/>
      <c r="BG747" s="1023"/>
      <c r="BH747" s="1023"/>
      <c r="BI747" s="1023"/>
      <c r="BJ747" s="1023"/>
      <c r="BK747" s="1023"/>
      <c r="BL747" s="1023"/>
      <c r="BM747" s="1020"/>
      <c r="BN747" s="1020"/>
      <c r="BO747" s="1020"/>
      <c r="BP747" s="1020"/>
      <c r="BQ747" s="1020"/>
      <c r="BR747" s="1020"/>
      <c r="BS747" s="1020"/>
      <c r="BT747" s="1020"/>
      <c r="BU747" s="1020"/>
      <c r="BV747" s="1020"/>
      <c r="BW747" s="1020"/>
      <c r="BX747" s="1020"/>
      <c r="BY747" s="1020"/>
      <c r="BZ747" s="1020"/>
      <c r="CA747" s="1020"/>
      <c r="CB747" s="1020"/>
      <c r="CC747" s="1020"/>
    </row>
    <row r="748" spans="1:81" s="940" customFormat="1" ht="12.75" hidden="1" customHeight="1">
      <c r="A748" s="1116"/>
      <c r="B748" s="940" t="s">
        <v>1840</v>
      </c>
      <c r="C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c r="AA748" s="941"/>
      <c r="AB748" s="941"/>
      <c r="AC748" s="941"/>
      <c r="AD748" s="1032"/>
      <c r="AE748" s="941"/>
      <c r="AF748" s="941"/>
      <c r="AG748" s="941"/>
      <c r="AH748" s="941"/>
      <c r="AI748" s="1023"/>
      <c r="AK748" s="1023"/>
      <c r="AL748" s="1023"/>
      <c r="AM748" s="1023"/>
      <c r="AN748" s="997"/>
      <c r="AO748" s="1023"/>
      <c r="AP748" s="1023"/>
      <c r="AQ748" s="1023"/>
      <c r="AR748" s="1023"/>
      <c r="AS748" s="1023"/>
      <c r="AT748" s="1023"/>
      <c r="AU748" s="1023"/>
      <c r="AV748" s="1023"/>
      <c r="AW748" s="1023"/>
      <c r="AX748" s="1023"/>
      <c r="AY748" s="1023"/>
      <c r="AZ748" s="1023"/>
      <c r="BA748" s="1023"/>
      <c r="BB748" s="1023"/>
      <c r="BC748" s="1023"/>
      <c r="BD748" s="1023"/>
      <c r="BE748" s="1023"/>
      <c r="BF748" s="1023"/>
      <c r="BG748" s="1023"/>
      <c r="BH748" s="1023"/>
      <c r="BI748" s="1023"/>
      <c r="BJ748" s="1023"/>
      <c r="BK748" s="1023"/>
      <c r="BL748" s="1023"/>
      <c r="BM748" s="1023"/>
      <c r="BN748" s="1023"/>
      <c r="BO748" s="1023"/>
      <c r="BP748" s="1023"/>
      <c r="BQ748" s="1023"/>
      <c r="BR748" s="1023"/>
      <c r="BS748" s="1023"/>
      <c r="BT748" s="1023"/>
      <c r="BU748" s="1023"/>
      <c r="BV748" s="1023"/>
      <c r="BW748" s="1023"/>
      <c r="BX748" s="1023"/>
      <c r="BY748" s="1023"/>
      <c r="BZ748" s="1023"/>
      <c r="CA748" s="1023"/>
      <c r="CB748" s="1023"/>
      <c r="CC748" s="1023"/>
    </row>
    <row r="749" spans="1:81" s="940" customFormat="1" ht="12.75" hidden="1" customHeight="1">
      <c r="A749" s="1300"/>
      <c r="C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c r="AA749" s="941"/>
      <c r="AB749" s="941"/>
      <c r="AC749" s="941"/>
      <c r="AD749" s="1032"/>
      <c r="AE749" s="941"/>
      <c r="AF749" s="941"/>
      <c r="AG749" s="941"/>
      <c r="AH749" s="941"/>
      <c r="AI749" s="1023"/>
      <c r="AK749" s="1023"/>
      <c r="AL749" s="1023"/>
      <c r="AM749" s="1023"/>
      <c r="AN749" s="997"/>
      <c r="AO749" s="1023"/>
      <c r="AP749" s="1023"/>
      <c r="AQ749" s="1023"/>
      <c r="AR749" s="1023"/>
      <c r="AS749" s="1023"/>
      <c r="AT749" s="1023"/>
      <c r="AU749" s="1023"/>
      <c r="AV749" s="1023"/>
      <c r="AW749" s="1023"/>
      <c r="AX749" s="1023"/>
      <c r="AY749" s="1023"/>
      <c r="AZ749" s="1023"/>
      <c r="BA749" s="1023"/>
      <c r="BB749" s="1023"/>
      <c r="BC749" s="1023"/>
      <c r="BD749" s="1023"/>
      <c r="BE749" s="1023"/>
      <c r="BF749" s="1023"/>
      <c r="BG749" s="1023"/>
      <c r="BH749" s="1023"/>
      <c r="BI749" s="1023"/>
      <c r="BJ749" s="1023"/>
      <c r="BK749" s="1023"/>
      <c r="BL749" s="1023"/>
      <c r="BM749" s="1023"/>
      <c r="BN749" s="1023"/>
      <c r="BO749" s="1023"/>
      <c r="BP749" s="1023"/>
      <c r="BQ749" s="1023"/>
      <c r="BR749" s="1023"/>
      <c r="BS749" s="1023"/>
      <c r="BT749" s="1023"/>
      <c r="BU749" s="1023"/>
      <c r="BV749" s="1023"/>
      <c r="BW749" s="1023"/>
      <c r="BX749" s="1023"/>
      <c r="BY749" s="1023"/>
      <c r="BZ749" s="1023"/>
      <c r="CA749" s="1023"/>
      <c r="CB749" s="1023"/>
      <c r="CC749" s="1023"/>
    </row>
    <row r="750" spans="1:81" s="940" customFormat="1" ht="12.75" hidden="1" customHeight="1">
      <c r="A750" s="1068"/>
      <c r="B750" s="1104"/>
      <c r="C750" s="1104"/>
      <c r="D750" s="1104"/>
      <c r="E750" s="1104"/>
      <c r="F750" s="1104"/>
      <c r="G750" s="1104"/>
      <c r="H750" s="1104"/>
      <c r="I750" s="1104"/>
      <c r="J750" s="1104"/>
      <c r="K750" s="1104"/>
      <c r="L750" s="1104"/>
      <c r="M750" s="1104"/>
      <c r="N750" s="1104"/>
      <c r="O750" s="1104"/>
      <c r="P750" s="1104"/>
      <c r="Q750" s="1104"/>
      <c r="R750" s="1104"/>
      <c r="S750" s="1104"/>
      <c r="T750" s="1104"/>
      <c r="U750" s="1104"/>
      <c r="V750" s="1104"/>
      <c r="W750" s="1104"/>
      <c r="X750" s="1104"/>
      <c r="Y750" s="1104"/>
      <c r="Z750" s="1104"/>
      <c r="AA750" s="1104"/>
      <c r="AB750" s="1104"/>
      <c r="AC750" s="1105"/>
      <c r="AD750" s="1104"/>
      <c r="AE750" s="1104"/>
      <c r="AF750" s="1104"/>
      <c r="AG750" s="1104"/>
      <c r="AH750" s="1015"/>
      <c r="AI750" s="956"/>
      <c r="AJ750" s="956" t="s">
        <v>1841</v>
      </c>
      <c r="AK750" s="3100">
        <f>SUM(AG694:AG739)</f>
        <v>0</v>
      </c>
      <c r="AL750" s="3101"/>
      <c r="AM750" s="3102"/>
      <c r="AN750" s="997"/>
      <c r="AO750" s="1023"/>
      <c r="AP750" s="1003"/>
      <c r="AQ750" s="1003"/>
      <c r="AR750" s="1003"/>
      <c r="AS750" s="1003"/>
      <c r="AT750" s="1003"/>
      <c r="AU750" s="1003"/>
      <c r="AV750" s="1003"/>
      <c r="AW750" s="1003"/>
      <c r="AX750" s="1003"/>
      <c r="AY750" s="1003"/>
      <c r="AZ750" s="1003"/>
      <c r="BA750" s="1023"/>
      <c r="BB750" s="1023"/>
      <c r="BC750" s="1023"/>
      <c r="BD750" s="1023"/>
      <c r="BE750" s="1023"/>
      <c r="BF750" s="1023"/>
      <c r="BG750" s="1023"/>
      <c r="BH750" s="1023"/>
      <c r="BI750" s="1023"/>
      <c r="BJ750" s="1023"/>
      <c r="BK750" s="1023"/>
      <c r="BL750" s="1023"/>
      <c r="BM750" s="1023"/>
      <c r="BN750" s="1023"/>
      <c r="BO750" s="1023"/>
      <c r="BP750" s="1023"/>
      <c r="BQ750" s="1023"/>
      <c r="BR750" s="1023"/>
      <c r="BS750" s="1023"/>
      <c r="BT750" s="1023"/>
      <c r="BU750" s="1023"/>
      <c r="BV750" s="1023"/>
      <c r="BW750" s="1023"/>
      <c r="BX750" s="1023"/>
      <c r="BY750" s="1023"/>
      <c r="BZ750" s="1023"/>
      <c r="CA750" s="1023"/>
      <c r="CB750" s="1023"/>
      <c r="CC750" s="1023"/>
    </row>
    <row r="751" spans="1:81" s="940" customFormat="1" ht="12.75" hidden="1" customHeight="1" thickBot="1">
      <c r="A751" s="1057"/>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c r="AA751" s="941"/>
      <c r="AB751" s="941"/>
      <c r="AC751" s="1032"/>
      <c r="AD751" s="941"/>
      <c r="AE751" s="941"/>
      <c r="AF751" s="941"/>
      <c r="AG751" s="941"/>
      <c r="AH751" s="1023"/>
      <c r="AI751" s="1693"/>
      <c r="AJ751" s="1693"/>
      <c r="AK751" s="1002"/>
      <c r="AL751" s="1002"/>
      <c r="AM751" s="1002"/>
      <c r="AN751" s="997"/>
      <c r="AO751" s="1023"/>
      <c r="AP751" s="1003"/>
      <c r="AQ751" s="1003"/>
      <c r="AR751" s="1003"/>
      <c r="AS751" s="1003"/>
      <c r="AT751" s="1003"/>
      <c r="AU751" s="1003"/>
      <c r="AV751" s="1003"/>
      <c r="AW751" s="1003"/>
      <c r="AX751" s="1003"/>
      <c r="AY751" s="1003"/>
      <c r="AZ751" s="1003"/>
      <c r="BA751" s="1023"/>
      <c r="BB751" s="1023"/>
      <c r="BC751" s="1023"/>
      <c r="BD751" s="1023"/>
      <c r="BE751" s="1023"/>
      <c r="BF751" s="1023"/>
      <c r="BG751" s="1023"/>
      <c r="BH751" s="1023"/>
      <c r="BI751" s="1023"/>
      <c r="BJ751" s="1023"/>
      <c r="BK751" s="1023"/>
      <c r="BL751" s="1023"/>
      <c r="BM751" s="1023"/>
      <c r="BN751" s="1023"/>
      <c r="BO751" s="1023"/>
      <c r="BP751" s="1023"/>
      <c r="BQ751" s="1023"/>
      <c r="BR751" s="1023"/>
      <c r="BS751" s="1023"/>
      <c r="BT751" s="1023"/>
      <c r="BU751" s="1023"/>
      <c r="BV751" s="1023"/>
      <c r="BW751" s="1023"/>
      <c r="BX751" s="1023"/>
      <c r="BY751" s="1023"/>
      <c r="BZ751" s="1023"/>
      <c r="CA751" s="1023"/>
      <c r="CB751" s="1023"/>
      <c r="CC751" s="1023"/>
    </row>
    <row r="752" spans="1:81" ht="13" thickTop="1"/>
    <row r="753" spans="1:49" s="940" customFormat="1" ht="12.75" customHeight="1">
      <c r="A753" s="1009" t="s">
        <v>1842</v>
      </c>
      <c r="B753" s="1009" t="s">
        <v>1843</v>
      </c>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c r="AA753" s="941"/>
      <c r="AB753" s="941"/>
      <c r="AC753" s="1032"/>
      <c r="AD753" s="941"/>
      <c r="AE753" s="3090" t="s">
        <v>1844</v>
      </c>
      <c r="AF753" s="3090"/>
      <c r="AG753" s="3090"/>
      <c r="AH753" s="3090"/>
      <c r="AI753" s="3090"/>
      <c r="AJ753" s="3090"/>
      <c r="AK753" s="3090"/>
      <c r="AL753" s="1002"/>
      <c r="AM753" s="1002"/>
      <c r="AN753" s="997"/>
    </row>
    <row r="754" spans="1:49" s="940" customFormat="1" ht="12.75" customHeight="1">
      <c r="A754" s="1009"/>
      <c r="B754" s="1009" t="s">
        <v>1587</v>
      </c>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c r="AA754" s="941"/>
      <c r="AB754" s="941"/>
      <c r="AC754" s="1032"/>
      <c r="AD754" s="941"/>
      <c r="AE754" s="1693"/>
      <c r="AF754" s="1693"/>
      <c r="AG754" s="1693"/>
      <c r="AH754" s="1693"/>
      <c r="AI754" s="1693"/>
      <c r="AJ754" s="1693"/>
      <c r="AK754" s="1693"/>
      <c r="AL754" s="1002"/>
      <c r="AM754" s="1002"/>
      <c r="AN754" s="997"/>
    </row>
    <row r="755" spans="1:49" s="940" customFormat="1" ht="12.75" customHeight="1">
      <c r="A755" s="1009"/>
      <c r="B755" s="1009"/>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c r="AA755" s="941"/>
      <c r="AB755" s="941"/>
      <c r="AC755" s="1032"/>
      <c r="AD755" s="941"/>
      <c r="AE755" s="1034"/>
      <c r="AF755" s="1034"/>
      <c r="AG755" s="1034"/>
      <c r="AH755" s="1034"/>
      <c r="AI755" s="1034"/>
      <c r="AJ755" s="1034"/>
      <c r="AK755" s="1034"/>
      <c r="AL755" s="1002"/>
      <c r="AM755" s="1002"/>
      <c r="AN755" s="997"/>
    </row>
    <row r="756" spans="1:49" s="940" customFormat="1" ht="12.75" customHeight="1">
      <c r="A756" s="1009"/>
      <c r="B756" s="1009"/>
      <c r="C756" s="3097" t="s">
        <v>576</v>
      </c>
      <c r="D756" s="3097"/>
      <c r="E756" s="941"/>
      <c r="F756" s="3183" t="s">
        <v>1845</v>
      </c>
      <c r="G756" s="3184"/>
      <c r="H756" s="3184"/>
      <c r="I756" s="3184"/>
      <c r="J756" s="3184"/>
      <c r="K756" s="3184"/>
      <c r="L756" s="3184"/>
      <c r="M756" s="3184"/>
      <c r="N756" s="3184"/>
      <c r="O756" s="3184"/>
      <c r="P756" s="3184"/>
      <c r="Q756" s="3184"/>
      <c r="R756" s="3184"/>
      <c r="S756" s="3184"/>
      <c r="T756" s="3184"/>
      <c r="U756" s="3184"/>
      <c r="V756" s="3184"/>
      <c r="W756" s="3184"/>
      <c r="X756" s="3184"/>
      <c r="Y756" s="3184"/>
      <c r="Z756" s="3184"/>
      <c r="AA756" s="3184"/>
      <c r="AB756" s="3184"/>
      <c r="AC756" s="3184"/>
      <c r="AD756" s="3184"/>
      <c r="AE756" s="3184"/>
      <c r="AF756" s="3184"/>
      <c r="AG756" s="3184"/>
      <c r="AH756" s="3184"/>
      <c r="AI756" s="3184"/>
      <c r="AJ756" s="3184"/>
      <c r="AK756" s="3184"/>
      <c r="AL756" s="3185"/>
      <c r="AM756" s="1002"/>
      <c r="AN756" s="997"/>
    </row>
    <row r="757" spans="1:49" s="940" customFormat="1" ht="12.75" customHeight="1">
      <c r="A757" s="1009"/>
      <c r="B757" s="1009"/>
      <c r="C757" s="941"/>
      <c r="D757" s="941"/>
      <c r="E757" s="941"/>
      <c r="F757" s="3186"/>
      <c r="G757" s="3187"/>
      <c r="H757" s="3187"/>
      <c r="I757" s="3187"/>
      <c r="J757" s="3187"/>
      <c r="K757" s="3187"/>
      <c r="L757" s="3187"/>
      <c r="M757" s="3187"/>
      <c r="N757" s="3187"/>
      <c r="O757" s="3187"/>
      <c r="P757" s="3187"/>
      <c r="Q757" s="3187"/>
      <c r="R757" s="3187"/>
      <c r="S757" s="3187"/>
      <c r="T757" s="3187"/>
      <c r="U757" s="3187"/>
      <c r="V757" s="3187"/>
      <c r="W757" s="3187"/>
      <c r="X757" s="3187"/>
      <c r="Y757" s="3187"/>
      <c r="Z757" s="3187"/>
      <c r="AA757" s="3187"/>
      <c r="AB757" s="3187"/>
      <c r="AC757" s="3187"/>
      <c r="AD757" s="3187"/>
      <c r="AE757" s="3187"/>
      <c r="AF757" s="3187"/>
      <c r="AG757" s="3187"/>
      <c r="AH757" s="3187"/>
      <c r="AI757" s="3187"/>
      <c r="AJ757" s="3187"/>
      <c r="AK757" s="3187"/>
      <c r="AL757" s="3188"/>
      <c r="AM757" s="1002"/>
      <c r="AN757" s="997"/>
    </row>
    <row r="758" spans="1:49" s="940" customFormat="1" ht="12.75" customHeight="1">
      <c r="A758" s="1009"/>
      <c r="B758" s="1009"/>
      <c r="C758" s="941"/>
      <c r="D758" s="941"/>
      <c r="E758" s="941"/>
      <c r="F758" s="1301"/>
      <c r="G758" s="1301"/>
      <c r="H758" s="1301"/>
      <c r="I758" s="1301"/>
      <c r="J758" s="1301"/>
      <c r="K758" s="1301"/>
      <c r="L758" s="1301"/>
      <c r="M758" s="1301"/>
      <c r="N758" s="1301"/>
      <c r="O758" s="1301"/>
      <c r="P758" s="1301"/>
      <c r="Q758" s="1301"/>
      <c r="R758" s="1301"/>
      <c r="S758" s="1301"/>
      <c r="T758" s="1301"/>
      <c r="U758" s="1301"/>
      <c r="V758" s="1301"/>
      <c r="W758" s="1301"/>
      <c r="X758" s="1301"/>
      <c r="Y758" s="1301"/>
      <c r="Z758" s="1301"/>
      <c r="AA758" s="1301"/>
      <c r="AB758" s="1301"/>
      <c r="AC758" s="1301"/>
      <c r="AD758" s="1301"/>
      <c r="AE758" s="1301"/>
      <c r="AF758" s="1301"/>
      <c r="AG758" s="1301"/>
      <c r="AH758" s="1301"/>
      <c r="AI758" s="1301"/>
      <c r="AJ758" s="1301"/>
      <c r="AK758" s="1301"/>
      <c r="AL758" s="1301"/>
      <c r="AM758" s="1002"/>
      <c r="AN758" s="997"/>
    </row>
    <row r="759" spans="1:49" s="940" customFormat="1" ht="12.75" customHeight="1">
      <c r="A759" s="1009"/>
      <c r="B759" s="1302"/>
      <c r="C759" s="3097" t="s">
        <v>624</v>
      </c>
      <c r="D759" s="3097"/>
      <c r="E759" s="1302"/>
      <c r="F759" s="1303" t="s">
        <v>1846</v>
      </c>
      <c r="G759" s="1304"/>
      <c r="H759" s="1305"/>
      <c r="I759" s="1305"/>
      <c r="J759" s="1305"/>
      <c r="K759" s="1305"/>
      <c r="L759" s="1305"/>
      <c r="M759" s="1305"/>
      <c r="N759" s="1305"/>
      <c r="O759" s="1305"/>
      <c r="P759" s="1305"/>
      <c r="Q759" s="1305"/>
      <c r="R759" s="1305"/>
      <c r="S759" s="1305"/>
      <c r="T759" s="1305"/>
      <c r="U759" s="1305"/>
      <c r="V759" s="1305"/>
      <c r="W759" s="1305"/>
      <c r="X759" s="1305"/>
      <c r="Y759" s="1305"/>
      <c r="Z759" s="1305"/>
      <c r="AA759" s="1305"/>
      <c r="AB759" s="1305"/>
      <c r="AC759" s="1305"/>
      <c r="AD759" s="1305"/>
      <c r="AE759" s="1305"/>
      <c r="AF759" s="1305"/>
      <c r="AG759" s="1305"/>
      <c r="AH759" s="1305"/>
      <c r="AI759" s="1305"/>
      <c r="AJ759" s="1305"/>
      <c r="AK759" s="1306"/>
      <c r="AL759" s="1307"/>
      <c r="AM759" s="1002"/>
      <c r="AN759" s="997"/>
    </row>
    <row r="760" spans="1:49" s="940" customFormat="1" ht="12.75" customHeight="1">
      <c r="A760" s="1023"/>
      <c r="B760" s="1302"/>
      <c r="C760" s="1302"/>
      <c r="D760" s="1302"/>
      <c r="E760" s="1302"/>
      <c r="F760" s="3261" t="s">
        <v>1847</v>
      </c>
      <c r="G760" s="3262"/>
      <c r="H760" s="3262"/>
      <c r="I760" s="3262"/>
      <c r="J760" s="3262"/>
      <c r="K760" s="3262"/>
      <c r="L760" s="3262"/>
      <c r="M760" s="3262"/>
      <c r="N760" s="3262"/>
      <c r="O760" s="3262"/>
      <c r="P760" s="3262"/>
      <c r="Q760" s="3262"/>
      <c r="R760" s="3262"/>
      <c r="S760" s="3262"/>
      <c r="T760" s="3262"/>
      <c r="U760" s="3262"/>
      <c r="V760" s="3262"/>
      <c r="W760" s="3262"/>
      <c r="X760" s="3262"/>
      <c r="Y760" s="3262"/>
      <c r="Z760" s="3262"/>
      <c r="AA760" s="3262"/>
      <c r="AB760" s="3262"/>
      <c r="AC760" s="3262"/>
      <c r="AD760" s="3262"/>
      <c r="AE760" s="3262"/>
      <c r="AF760" s="3262"/>
      <c r="AG760" s="3262"/>
      <c r="AH760" s="3262"/>
      <c r="AI760" s="3262"/>
      <c r="AJ760" s="3262"/>
      <c r="AK760" s="3262"/>
      <c r="AL760" s="3263"/>
      <c r="AM760" s="1002"/>
      <c r="AN760" s="997"/>
      <c r="AS760" s="1433"/>
      <c r="AT760" s="1433"/>
      <c r="AU760" s="1433"/>
      <c r="AV760" s="1433"/>
      <c r="AW760" s="1433"/>
    </row>
    <row r="761" spans="1:49" s="940" customFormat="1" ht="12.75" customHeight="1">
      <c r="A761" s="1023"/>
      <c r="B761" s="1302"/>
      <c r="C761" s="1302"/>
      <c r="D761" s="1302"/>
      <c r="E761" s="1302"/>
      <c r="F761" s="3261"/>
      <c r="G761" s="3262"/>
      <c r="H761" s="3262"/>
      <c r="I761" s="3262"/>
      <c r="J761" s="3262"/>
      <c r="K761" s="3262"/>
      <c r="L761" s="3262"/>
      <c r="M761" s="3262"/>
      <c r="N761" s="3262"/>
      <c r="O761" s="3262"/>
      <c r="P761" s="3262"/>
      <c r="Q761" s="3262"/>
      <c r="R761" s="3262"/>
      <c r="S761" s="3262"/>
      <c r="T761" s="3262"/>
      <c r="U761" s="3262"/>
      <c r="V761" s="3262"/>
      <c r="W761" s="3262"/>
      <c r="X761" s="3262"/>
      <c r="Y761" s="3262"/>
      <c r="Z761" s="3262"/>
      <c r="AA761" s="3262"/>
      <c r="AB761" s="3262"/>
      <c r="AC761" s="3262"/>
      <c r="AD761" s="3262"/>
      <c r="AE761" s="3262"/>
      <c r="AF761" s="3262"/>
      <c r="AG761" s="3262"/>
      <c r="AH761" s="3262"/>
      <c r="AI761" s="3262"/>
      <c r="AJ761" s="3262"/>
      <c r="AK761" s="3262"/>
      <c r="AL761" s="3263"/>
      <c r="AM761" s="1002"/>
      <c r="AN761" s="997"/>
    </row>
    <row r="762" spans="1:49" s="940" customFormat="1" ht="12.75" customHeight="1">
      <c r="A762" s="1023"/>
      <c r="B762" s="1302"/>
      <c r="C762" s="1302"/>
      <c r="D762" s="1302"/>
      <c r="E762" s="1302"/>
      <c r="F762" s="1308" t="s">
        <v>1848</v>
      </c>
      <c r="G762" s="1309"/>
      <c r="H762" s="1309"/>
      <c r="I762" s="1309"/>
      <c r="J762" s="1309"/>
      <c r="K762" s="1309"/>
      <c r="L762" s="1309"/>
      <c r="M762" s="1309"/>
      <c r="N762" s="1309"/>
      <c r="O762" s="1309"/>
      <c r="P762" s="1309"/>
      <c r="Q762" s="1309"/>
      <c r="R762" s="1309"/>
      <c r="S762" s="1309"/>
      <c r="T762" s="1309"/>
      <c r="U762" s="1309"/>
      <c r="V762" s="1309"/>
      <c r="W762" s="1309"/>
      <c r="X762" s="1309"/>
      <c r="Y762" s="1309"/>
      <c r="Z762" s="1309"/>
      <c r="AA762" s="1309"/>
      <c r="AB762" s="1309"/>
      <c r="AC762" s="1309"/>
      <c r="AD762" s="1309"/>
      <c r="AE762" s="1309"/>
      <c r="AF762" s="1309"/>
      <c r="AG762" s="1309"/>
      <c r="AH762" s="1309"/>
      <c r="AI762" s="1309"/>
      <c r="AJ762" s="1309"/>
      <c r="AK762" s="1309"/>
      <c r="AL762" s="1310"/>
      <c r="AM762" s="1002"/>
      <c r="AN762" s="997"/>
      <c r="AT762" s="1086"/>
      <c r="AU762" s="1086"/>
      <c r="AV762" s="1086"/>
    </row>
    <row r="763" spans="1:49" s="940" customFormat="1" ht="12.75" customHeight="1">
      <c r="A763" s="1023"/>
      <c r="B763" s="1302"/>
      <c r="C763" s="1302"/>
      <c r="D763" s="1302"/>
      <c r="E763" s="1302"/>
      <c r="F763" s="3261" t="s">
        <v>1849</v>
      </c>
      <c r="G763" s="3262"/>
      <c r="H763" s="3262"/>
      <c r="I763" s="3262"/>
      <c r="J763" s="3262"/>
      <c r="K763" s="3262"/>
      <c r="L763" s="3262"/>
      <c r="M763" s="3262"/>
      <c r="N763" s="3262"/>
      <c r="O763" s="3262"/>
      <c r="P763" s="3262"/>
      <c r="Q763" s="3262"/>
      <c r="R763" s="3262"/>
      <c r="S763" s="3262"/>
      <c r="T763" s="3262"/>
      <c r="U763" s="3262"/>
      <c r="V763" s="3262"/>
      <c r="W763" s="3262"/>
      <c r="X763" s="3262"/>
      <c r="Y763" s="3262"/>
      <c r="Z763" s="3262"/>
      <c r="AA763" s="3262"/>
      <c r="AB763" s="3262"/>
      <c r="AC763" s="3262"/>
      <c r="AD763" s="3262"/>
      <c r="AE763" s="3262"/>
      <c r="AF763" s="3262"/>
      <c r="AG763" s="3262"/>
      <c r="AH763" s="3262"/>
      <c r="AI763" s="3262"/>
      <c r="AJ763" s="3262"/>
      <c r="AK763" s="3262"/>
      <c r="AL763" s="1311"/>
      <c r="AM763" s="1002"/>
      <c r="AN763" s="997"/>
      <c r="AT763" s="1086"/>
      <c r="AU763" s="1086"/>
      <c r="AV763" s="1086"/>
    </row>
    <row r="764" spans="1:49" s="940" customFormat="1" ht="12.75" customHeight="1">
      <c r="A764" s="1023"/>
      <c r="B764" s="1302"/>
      <c r="C764" s="1302"/>
      <c r="D764" s="1302"/>
      <c r="E764" s="1302"/>
      <c r="F764" s="3264"/>
      <c r="G764" s="3265"/>
      <c r="H764" s="3265"/>
      <c r="I764" s="3265"/>
      <c r="J764" s="3265"/>
      <c r="K764" s="3265"/>
      <c r="L764" s="3265"/>
      <c r="M764" s="3265"/>
      <c r="N764" s="3265"/>
      <c r="O764" s="3265"/>
      <c r="P764" s="3265"/>
      <c r="Q764" s="3265"/>
      <c r="R764" s="3265"/>
      <c r="S764" s="3265"/>
      <c r="T764" s="3265"/>
      <c r="U764" s="3265"/>
      <c r="V764" s="3265"/>
      <c r="W764" s="3265"/>
      <c r="X764" s="3265"/>
      <c r="Y764" s="3265"/>
      <c r="Z764" s="3265"/>
      <c r="AA764" s="3265"/>
      <c r="AB764" s="3265"/>
      <c r="AC764" s="3265"/>
      <c r="AD764" s="3265"/>
      <c r="AE764" s="3265"/>
      <c r="AF764" s="3265"/>
      <c r="AG764" s="3265"/>
      <c r="AH764" s="3265"/>
      <c r="AI764" s="3265"/>
      <c r="AJ764" s="3265"/>
      <c r="AK764" s="3265"/>
      <c r="AL764" s="1312"/>
      <c r="AM764" s="1002"/>
      <c r="AN764" s="997"/>
      <c r="AT764" s="1086"/>
      <c r="AU764" s="1086"/>
      <c r="AV764" s="1086"/>
    </row>
    <row r="765" spans="1:49" s="940" customFormat="1" ht="12.75" customHeight="1">
      <c r="A765" s="1023"/>
      <c r="B765" s="1302"/>
      <c r="C765" s="1302"/>
      <c r="D765" s="1302"/>
      <c r="E765" s="1302"/>
      <c r="F765" s="1313"/>
      <c r="G765" s="1313"/>
      <c r="H765" s="1313"/>
      <c r="I765" s="1313"/>
      <c r="J765" s="1313"/>
      <c r="K765" s="1313"/>
      <c r="L765" s="1313"/>
      <c r="M765" s="1313"/>
      <c r="N765" s="1313"/>
      <c r="O765" s="1313"/>
      <c r="P765" s="1313"/>
      <c r="Q765" s="1313"/>
      <c r="R765" s="1313"/>
      <c r="S765" s="1313"/>
      <c r="T765" s="1313"/>
      <c r="U765" s="1313"/>
      <c r="V765" s="1313"/>
      <c r="W765" s="1313"/>
      <c r="X765" s="1313"/>
      <c r="Y765" s="1313"/>
      <c r="Z765" s="1313"/>
      <c r="AA765" s="1313"/>
      <c r="AB765" s="1313"/>
      <c r="AC765" s="1313"/>
      <c r="AD765" s="1313"/>
      <c r="AE765" s="1313"/>
      <c r="AF765" s="1313"/>
      <c r="AG765" s="1313"/>
      <c r="AH765" s="1313"/>
      <c r="AI765" s="1313"/>
      <c r="AJ765" s="1313"/>
      <c r="AK765" s="1313"/>
      <c r="AL765" s="1002"/>
      <c r="AM765" s="1002"/>
      <c r="AN765" s="997"/>
      <c r="AP765" s="3254">
        <f>Application!AJ975</f>
        <v>66101600</v>
      </c>
      <c r="AQ765" s="3254"/>
      <c r="AR765" s="3254"/>
    </row>
    <row r="766" spans="1:49" s="940" customFormat="1" ht="12.75" customHeight="1">
      <c r="A766" s="1314"/>
      <c r="B766" s="921" t="s">
        <v>1850</v>
      </c>
      <c r="C766" s="1043"/>
      <c r="D766" s="1044"/>
      <c r="E766" s="1044"/>
      <c r="F766" s="51"/>
      <c r="G766" s="1045"/>
      <c r="H766" s="1045"/>
      <c r="I766" s="1045"/>
      <c r="J766" s="1045"/>
      <c r="K766" s="1045"/>
      <c r="L766" s="1045"/>
      <c r="M766" s="1045"/>
      <c r="N766" s="1045"/>
      <c r="O766" s="1045"/>
      <c r="P766" s="1045"/>
      <c r="Q766" s="1045"/>
      <c r="R766" s="51"/>
      <c r="S766" s="51"/>
      <c r="T766" s="51"/>
      <c r="U766" s="51"/>
      <c r="V766" s="51"/>
      <c r="W766" s="51"/>
      <c r="X766" s="1045"/>
      <c r="Y766" s="1045"/>
      <c r="Z766" s="1045"/>
      <c r="AA766" s="1042"/>
      <c r="AB766" s="1042"/>
      <c r="AC766" s="1042"/>
      <c r="AD766" s="1042"/>
      <c r="AE766" s="51"/>
      <c r="AF766" s="3103">
        <f>'Sources and Uses Budget'!S107+'Sources and Uses Budget'!T107</f>
        <v>74816465</v>
      </c>
      <c r="AG766" s="3103"/>
      <c r="AH766" s="3103"/>
      <c r="AI766" s="3103"/>
      <c r="AJ766" s="3103"/>
      <c r="AK766" s="1002"/>
      <c r="AL766" s="1002"/>
      <c r="AM766" s="1002"/>
      <c r="AN766" s="997"/>
    </row>
    <row r="767" spans="1:49" s="940" customFormat="1" ht="12.75" customHeight="1">
      <c r="A767" s="1046"/>
      <c r="B767" s="1046" t="s">
        <v>1851</v>
      </c>
      <c r="C767" s="1045"/>
      <c r="D767" s="1045"/>
      <c r="E767" s="1047"/>
      <c r="F767" s="1047"/>
      <c r="G767" s="1047"/>
      <c r="H767" s="1047"/>
      <c r="I767" s="1047"/>
      <c r="J767" s="1047"/>
      <c r="K767" s="1047"/>
      <c r="L767" s="1045"/>
      <c r="M767" s="1047"/>
      <c r="N767" s="1047"/>
      <c r="O767" s="1047"/>
      <c r="P767" s="1047"/>
      <c r="Q767" s="1047"/>
      <c r="R767" s="51"/>
      <c r="S767" s="51"/>
      <c r="T767" s="51"/>
      <c r="U767" s="51"/>
      <c r="V767" s="51"/>
      <c r="W767" s="51"/>
      <c r="X767" s="1045"/>
      <c r="Y767" s="1045"/>
      <c r="Z767" s="1045"/>
      <c r="AA767" s="1042"/>
      <c r="AB767" s="1042"/>
      <c r="AC767" s="1042"/>
      <c r="AD767" s="1042"/>
      <c r="AE767" s="51"/>
      <c r="AF767" s="3266">
        <f>AP774</f>
        <v>138813360</v>
      </c>
      <c r="AG767" s="3266"/>
      <c r="AH767" s="3266"/>
      <c r="AI767" s="3266"/>
      <c r="AJ767" s="3266"/>
      <c r="AK767" s="1002"/>
      <c r="AL767" s="1002"/>
      <c r="AM767" s="1002"/>
      <c r="AN767" s="997"/>
      <c r="AP767" s="3254">
        <f>Application!AJ1024</f>
        <v>7271176</v>
      </c>
      <c r="AQ767" s="3254"/>
      <c r="AR767" s="3254"/>
    </row>
    <row r="768" spans="1:49" s="940" customFormat="1" ht="12.75" customHeight="1">
      <c r="A768" s="1045"/>
      <c r="B768" s="1045" t="s">
        <v>13</v>
      </c>
      <c r="C768" s="1045"/>
      <c r="D768" s="1045"/>
      <c r="E768" s="1045"/>
      <c r="F768" s="1045"/>
      <c r="G768" s="1045"/>
      <c r="H768" s="1045"/>
      <c r="I768" s="1045"/>
      <c r="J768" s="1045"/>
      <c r="K768" s="1045"/>
      <c r="L768" s="1045"/>
      <c r="M768" s="1045"/>
      <c r="N768" s="1045"/>
      <c r="O768" s="1045"/>
      <c r="P768" s="1045"/>
      <c r="Q768" s="1045"/>
      <c r="R768" s="51"/>
      <c r="S768" s="51"/>
      <c r="T768" s="51"/>
      <c r="U768" s="51"/>
      <c r="V768" s="51"/>
      <c r="W768" s="51"/>
      <c r="X768" s="1045"/>
      <c r="Y768" s="1045"/>
      <c r="Z768" s="1045"/>
      <c r="AA768" s="1042"/>
      <c r="AB768" s="1042"/>
      <c r="AC768" s="1042"/>
      <c r="AD768" s="1042"/>
      <c r="AE768" s="51"/>
      <c r="AF768" s="3267">
        <f>ROUNDDOWN(IF(C759="YES",((1-(AF766/AF767))*2),(1-(AF766/AF767))),2)</f>
        <v>0.46</v>
      </c>
      <c r="AG768" s="3267"/>
      <c r="AH768" s="3267"/>
      <c r="AI768" s="3267"/>
      <c r="AJ768" s="3267"/>
      <c r="AK768" s="1002"/>
      <c r="AL768" s="1002"/>
      <c r="AM768" s="1002"/>
      <c r="AN768" s="997"/>
      <c r="AP768" s="3258">
        <f>Application!AJ1028</f>
        <v>35694864</v>
      </c>
      <c r="AQ768" s="3258"/>
      <c r="AR768" s="3258"/>
    </row>
    <row r="769" spans="1:44" s="940" customFormat="1" ht="12.75" customHeight="1">
      <c r="A769" s="1045"/>
      <c r="B769" s="1045"/>
      <c r="C769" s="1045"/>
      <c r="D769" s="1045"/>
      <c r="E769" s="1045"/>
      <c r="F769" s="1045"/>
      <c r="G769" s="1045"/>
      <c r="H769" s="1045"/>
      <c r="I769" s="1045"/>
      <c r="J769" s="1045"/>
      <c r="K769" s="1045"/>
      <c r="L769" s="1045"/>
      <c r="M769" s="1045"/>
      <c r="N769" s="1045"/>
      <c r="O769" s="1045"/>
      <c r="P769" s="1045"/>
      <c r="Q769" s="1045"/>
      <c r="R769" s="51"/>
      <c r="S769" s="51"/>
      <c r="T769" s="51"/>
      <c r="U769" s="51"/>
      <c r="V769" s="51"/>
      <c r="W769" s="51"/>
      <c r="X769" s="1045"/>
      <c r="Y769" s="1045"/>
      <c r="Z769" s="1045"/>
      <c r="AA769" s="1042"/>
      <c r="AB769" s="1042"/>
      <c r="AC769" s="1042"/>
      <c r="AD769" s="1042"/>
      <c r="AE769" s="51"/>
      <c r="AF769" s="1315"/>
      <c r="AG769" s="1315"/>
      <c r="AH769" s="1315"/>
      <c r="AI769" s="1315"/>
      <c r="AJ769" s="1315"/>
      <c r="AK769" s="1002"/>
      <c r="AL769" s="1002"/>
      <c r="AM769" s="1002"/>
      <c r="AN769" s="997"/>
      <c r="AP769" s="3253">
        <f>IF(((AP767+AP768)/AP765)&gt;0.8,0.8,((AP767+AP768)/AP765))</f>
        <v>0.65</v>
      </c>
      <c r="AQ769" s="3253"/>
      <c r="AR769" s="3253"/>
    </row>
    <row r="770" spans="1:44" s="940" customFormat="1" ht="12.75" customHeight="1">
      <c r="A770" s="1045"/>
      <c r="B770" s="3202" t="s">
        <v>1852</v>
      </c>
      <c r="C770" s="3203"/>
      <c r="D770" s="3203"/>
      <c r="E770" s="3203"/>
      <c r="F770" s="3203"/>
      <c r="G770" s="3203"/>
      <c r="H770" s="3203"/>
      <c r="I770" s="3203"/>
      <c r="J770" s="3203"/>
      <c r="K770" s="3203"/>
      <c r="L770" s="3203"/>
      <c r="M770" s="3203"/>
      <c r="N770" s="3203"/>
      <c r="O770" s="3203"/>
      <c r="P770" s="3203"/>
      <c r="Q770" s="3203"/>
      <c r="R770" s="3203"/>
      <c r="S770" s="3203"/>
      <c r="T770" s="3203"/>
      <c r="U770" s="3203"/>
      <c r="V770" s="3203"/>
      <c r="W770" s="3203"/>
      <c r="X770" s="3203"/>
      <c r="Y770" s="3203"/>
      <c r="Z770" s="3203"/>
      <c r="AA770" s="3203"/>
      <c r="AB770" s="3203"/>
      <c r="AC770" s="3203"/>
      <c r="AD770" s="3203"/>
      <c r="AE770" s="3203"/>
      <c r="AF770" s="3203"/>
      <c r="AG770" s="3203"/>
      <c r="AH770" s="3203"/>
      <c r="AI770" s="3203"/>
      <c r="AJ770" s="3204"/>
      <c r="AK770" s="1002"/>
      <c r="AL770" s="1002"/>
      <c r="AM770" s="1002"/>
      <c r="AN770" s="997"/>
    </row>
    <row r="771" spans="1:44" s="940" customFormat="1" ht="12.75" customHeight="1">
      <c r="A771" s="1045"/>
      <c r="B771" s="3205"/>
      <c r="C771" s="3206"/>
      <c r="D771" s="3206"/>
      <c r="E771" s="3206"/>
      <c r="F771" s="3206"/>
      <c r="G771" s="3206"/>
      <c r="H771" s="3206"/>
      <c r="I771" s="3206"/>
      <c r="J771" s="3206"/>
      <c r="K771" s="3206"/>
      <c r="L771" s="3206"/>
      <c r="M771" s="3206"/>
      <c r="N771" s="3206"/>
      <c r="O771" s="3206"/>
      <c r="P771" s="3206"/>
      <c r="Q771" s="3206"/>
      <c r="R771" s="3206"/>
      <c r="S771" s="3206"/>
      <c r="T771" s="3206"/>
      <c r="U771" s="3206"/>
      <c r="V771" s="3206"/>
      <c r="W771" s="3206"/>
      <c r="X771" s="3206"/>
      <c r="Y771" s="3206"/>
      <c r="Z771" s="3206"/>
      <c r="AA771" s="3206"/>
      <c r="AB771" s="3206"/>
      <c r="AC771" s="3206"/>
      <c r="AD771" s="3206"/>
      <c r="AE771" s="3206"/>
      <c r="AF771" s="3206"/>
      <c r="AG771" s="3206"/>
      <c r="AH771" s="3206"/>
      <c r="AI771" s="3206"/>
      <c r="AJ771" s="3207"/>
      <c r="AK771" s="1002"/>
      <c r="AL771" s="1002"/>
      <c r="AM771" s="1002"/>
      <c r="AN771" s="997"/>
      <c r="AP771" s="3254">
        <f>AP772-AP767-AP768</f>
        <v>95847320</v>
      </c>
      <c r="AQ771" s="3255"/>
      <c r="AR771" s="3255"/>
    </row>
    <row r="772" spans="1:44" s="940" customFormat="1" ht="12.75" customHeight="1">
      <c r="A772" s="1045"/>
      <c r="B772" s="3208"/>
      <c r="C772" s="3209"/>
      <c r="D772" s="3209"/>
      <c r="E772" s="3209"/>
      <c r="F772" s="3209"/>
      <c r="G772" s="3209"/>
      <c r="H772" s="3209"/>
      <c r="I772" s="3209"/>
      <c r="J772" s="3209"/>
      <c r="K772" s="3209"/>
      <c r="L772" s="3209"/>
      <c r="M772" s="3209"/>
      <c r="N772" s="3209"/>
      <c r="O772" s="3209"/>
      <c r="P772" s="3209"/>
      <c r="Q772" s="3209"/>
      <c r="R772" s="3209"/>
      <c r="S772" s="3209"/>
      <c r="T772" s="3209"/>
      <c r="U772" s="3209"/>
      <c r="V772" s="3209"/>
      <c r="W772" s="3209"/>
      <c r="X772" s="3209"/>
      <c r="Y772" s="3209"/>
      <c r="Z772" s="3209"/>
      <c r="AA772" s="3209"/>
      <c r="AB772" s="3209"/>
      <c r="AC772" s="3209"/>
      <c r="AD772" s="3209"/>
      <c r="AE772" s="3209"/>
      <c r="AF772" s="3209"/>
      <c r="AG772" s="3209"/>
      <c r="AH772" s="3209"/>
      <c r="AI772" s="3209"/>
      <c r="AJ772" s="3210"/>
      <c r="AK772" s="1002"/>
      <c r="AL772" s="1002"/>
      <c r="AM772" s="1002"/>
      <c r="AN772" s="997"/>
      <c r="AP772" s="3254">
        <f>Application!AJ1032</f>
        <v>138813360</v>
      </c>
      <c r="AQ772" s="3254"/>
      <c r="AR772" s="3254"/>
    </row>
    <row r="773" spans="1:44" s="940" customFormat="1" ht="12.75" customHeight="1">
      <c r="A773" s="1023"/>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c r="AA773" s="941"/>
      <c r="AB773" s="941"/>
      <c r="AC773" s="1032"/>
      <c r="AD773" s="941"/>
      <c r="AE773" s="1023"/>
      <c r="AF773" s="1023"/>
      <c r="AG773" s="1023"/>
      <c r="AH773" s="1023"/>
      <c r="AI773" s="1034"/>
      <c r="AJ773" s="1034"/>
      <c r="AK773" s="1002"/>
      <c r="AL773" s="1002"/>
      <c r="AM773" s="1002"/>
      <c r="AN773" s="997"/>
    </row>
    <row r="774" spans="1:44" s="940" customFormat="1" ht="12.75" customHeight="1">
      <c r="A774" s="1049"/>
      <c r="B774" s="1049"/>
      <c r="C774" s="1049"/>
      <c r="D774" s="1049"/>
      <c r="E774" s="1049"/>
      <c r="F774" s="1049"/>
      <c r="G774" s="1049"/>
      <c r="H774" s="1049"/>
      <c r="I774" s="1049"/>
      <c r="J774" s="1049"/>
      <c r="K774" s="1049"/>
      <c r="L774" s="1049"/>
      <c r="M774" s="1049"/>
      <c r="N774" s="1049"/>
      <c r="O774" s="1049"/>
      <c r="P774" s="1049"/>
      <c r="Q774" s="1049"/>
      <c r="R774" s="1049"/>
      <c r="S774" s="1049"/>
      <c r="T774" s="1049"/>
      <c r="U774" s="1049"/>
      <c r="V774" s="1049"/>
      <c r="W774" s="1049"/>
      <c r="X774" s="1049"/>
      <c r="Y774" s="1049"/>
      <c r="Z774" s="1049"/>
      <c r="AA774" s="1049"/>
      <c r="AB774" s="1049"/>
      <c r="AC774" s="1049"/>
      <c r="AD774" s="1049"/>
      <c r="AE774" s="1049"/>
      <c r="AF774" s="1049"/>
      <c r="AG774" s="1049"/>
      <c r="AH774" s="1050"/>
      <c r="AI774" s="956"/>
      <c r="AJ774" s="956" t="s">
        <v>1853</v>
      </c>
      <c r="AK774" s="3211">
        <f>IF(AF768=0,0,IF((AF768*100)&gt;12,12,(AF768*100)))</f>
        <v>12</v>
      </c>
      <c r="AL774" s="3211"/>
      <c r="AM774" s="3212"/>
      <c r="AN774" s="997"/>
      <c r="AP774" s="3277">
        <f>AP771+(AP765*AP769)</f>
        <v>138813360</v>
      </c>
      <c r="AQ774" s="3278"/>
      <c r="AR774" s="3279"/>
    </row>
    <row r="775" spans="1:44" s="940" customFormat="1" ht="12.75" customHeight="1">
      <c r="A775" s="1023"/>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c r="AA775" s="941"/>
      <c r="AB775" s="941"/>
      <c r="AC775" s="1032"/>
      <c r="AD775" s="941"/>
      <c r="AE775" s="1023"/>
      <c r="AF775" s="1023"/>
      <c r="AG775" s="1023"/>
      <c r="AH775" s="1023"/>
      <c r="AI775" s="1034"/>
      <c r="AJ775" s="1034"/>
      <c r="AK775" s="1002"/>
      <c r="AL775" s="1002"/>
      <c r="AM775" s="1002"/>
      <c r="AN775" s="997"/>
    </row>
    <row r="776" spans="1:44">
      <c r="A776" s="1059"/>
      <c r="B776" s="940"/>
      <c r="C776" s="940"/>
      <c r="D776" s="940"/>
      <c r="E776" s="940"/>
      <c r="F776" s="940"/>
      <c r="G776" s="940"/>
      <c r="H776" s="940"/>
      <c r="I776" s="940"/>
      <c r="J776" s="940"/>
      <c r="K776" s="940"/>
      <c r="L776" s="940"/>
      <c r="M776" s="940"/>
      <c r="N776" s="940"/>
      <c r="O776" s="940"/>
      <c r="P776" s="940"/>
      <c r="Q776" s="940"/>
      <c r="R776" s="940"/>
      <c r="S776" s="940"/>
      <c r="T776" s="940"/>
      <c r="U776" s="940"/>
      <c r="V776" s="940"/>
      <c r="W776" s="940"/>
      <c r="X776" s="940"/>
      <c r="Y776" s="940"/>
      <c r="Z776" s="940"/>
      <c r="AA776" s="940"/>
      <c r="AB776" s="940"/>
      <c r="AC776" s="940"/>
      <c r="AD776" s="940"/>
      <c r="AE776" s="940"/>
      <c r="AF776" s="940"/>
      <c r="AG776" s="940"/>
      <c r="AH776" s="940"/>
      <c r="AI776" s="940"/>
      <c r="AJ776" s="940"/>
      <c r="AK776" s="1023"/>
      <c r="AL776" s="1023"/>
      <c r="AM776" s="1023"/>
    </row>
    <row r="777" spans="1:44">
      <c r="A777" s="3213" t="s">
        <v>1854</v>
      </c>
      <c r="B777" s="3214"/>
      <c r="C777" s="3214"/>
      <c r="D777" s="3214"/>
      <c r="E777" s="3214"/>
      <c r="F777" s="3214"/>
      <c r="G777" s="3214"/>
      <c r="H777" s="3214"/>
      <c r="I777" s="3214"/>
      <c r="J777" s="3214"/>
      <c r="K777" s="3214"/>
      <c r="L777" s="3214"/>
      <c r="M777" s="3214"/>
      <c r="N777" s="3214"/>
      <c r="O777" s="3214"/>
      <c r="P777" s="3214"/>
      <c r="Q777" s="3214"/>
      <c r="R777" s="3214"/>
      <c r="S777" s="3214"/>
      <c r="T777" s="3214"/>
      <c r="U777" s="3214"/>
      <c r="V777" s="3214"/>
      <c r="W777" s="3214"/>
      <c r="X777" s="3214"/>
      <c r="Y777" s="3214"/>
      <c r="Z777" s="3214"/>
      <c r="AA777" s="3214"/>
      <c r="AB777" s="3214"/>
      <c r="AC777" s="3214"/>
      <c r="AD777" s="3214"/>
      <c r="AE777" s="3214"/>
      <c r="AF777" s="3214"/>
      <c r="AG777" s="3214"/>
      <c r="AH777" s="3214"/>
      <c r="AI777" s="3214"/>
      <c r="AJ777" s="3214"/>
      <c r="AK777" s="3214"/>
      <c r="AL777" s="3214"/>
      <c r="AM777" s="3214"/>
    </row>
    <row r="778" spans="1:44">
      <c r="A778" s="3215"/>
      <c r="B778" s="3215"/>
      <c r="C778" s="3215"/>
      <c r="D778" s="3215"/>
      <c r="E778" s="3215"/>
      <c r="F778" s="3215"/>
      <c r="G778" s="3215"/>
      <c r="H778" s="3215"/>
      <c r="I778" s="3215"/>
      <c r="J778" s="3215"/>
      <c r="K778" s="3215"/>
      <c r="L778" s="3215"/>
      <c r="M778" s="3215"/>
      <c r="N778" s="3215"/>
      <c r="O778" s="3215"/>
      <c r="P778" s="3215"/>
      <c r="Q778" s="3215"/>
      <c r="R778" s="3215"/>
      <c r="S778" s="3215"/>
      <c r="T778" s="3215"/>
      <c r="U778" s="3215"/>
      <c r="V778" s="3215"/>
      <c r="W778" s="3215"/>
      <c r="X778" s="3215"/>
      <c r="Y778" s="3215"/>
      <c r="Z778" s="3215"/>
      <c r="AA778" s="3215"/>
      <c r="AB778" s="3215"/>
      <c r="AC778" s="3215"/>
      <c r="AD778" s="3215"/>
      <c r="AE778" s="3215"/>
      <c r="AF778" s="3215"/>
      <c r="AG778" s="3215"/>
      <c r="AH778" s="3215"/>
      <c r="AI778" s="3215"/>
      <c r="AJ778" s="3215"/>
      <c r="AK778" s="3215"/>
      <c r="AL778" s="3215"/>
      <c r="AM778" s="3215"/>
      <c r="AO778" s="1316"/>
      <c r="AP778" s="1316"/>
      <c r="AQ778" s="1316"/>
    </row>
    <row r="779" spans="1:44" ht="13">
      <c r="A779" s="1022"/>
      <c r="B779" s="962"/>
      <c r="C779" s="963"/>
      <c r="D779" s="963"/>
      <c r="E779" s="963"/>
      <c r="F779" s="963"/>
      <c r="G779" s="963"/>
      <c r="H779" s="963"/>
      <c r="I779" s="964"/>
      <c r="J779" s="964"/>
      <c r="K779" s="964"/>
      <c r="L779" s="964"/>
      <c r="M779" s="964"/>
      <c r="N779" s="964"/>
      <c r="O779" s="964"/>
      <c r="P779" s="964"/>
      <c r="Q779" s="964"/>
      <c r="R779" s="112"/>
      <c r="S779" s="1210"/>
      <c r="T779" s="1210"/>
      <c r="U779" s="1210"/>
      <c r="V779" s="1210"/>
      <c r="W779" s="1210"/>
      <c r="X779" s="1210"/>
      <c r="Y779" s="1210"/>
      <c r="Z779" s="1210"/>
      <c r="AA779" s="1210"/>
      <c r="AB779" s="1210"/>
      <c r="AC779" s="1210"/>
      <c r="AD779" s="1210"/>
      <c r="AE779" s="1210"/>
      <c r="AF779" s="112"/>
      <c r="AG779" s="1210"/>
      <c r="AH779" s="1210"/>
      <c r="AI779" s="1210"/>
      <c r="AJ779" s="1210"/>
      <c r="AK779" s="1022"/>
      <c r="AL779" s="1022"/>
      <c r="AM779" s="925"/>
      <c r="AO779" s="1316"/>
      <c r="AP779" s="1316"/>
      <c r="AQ779" s="1316"/>
    </row>
    <row r="780" spans="1:44" ht="13">
      <c r="A780" s="3216"/>
      <c r="B780" s="3216"/>
      <c r="C780" s="3216"/>
      <c r="D780" s="3216"/>
      <c r="E780" s="3216"/>
      <c r="F780" s="3216"/>
      <c r="G780" s="3216"/>
      <c r="H780" s="3216"/>
      <c r="I780" s="3216"/>
      <c r="J780" s="3216"/>
      <c r="K780" s="3216"/>
      <c r="L780" s="3216"/>
      <c r="M780" s="3216"/>
      <c r="N780" s="3216"/>
      <c r="O780" s="3216"/>
      <c r="P780" s="3216"/>
      <c r="Q780" s="3216"/>
      <c r="R780" s="3216"/>
      <c r="S780" s="3216"/>
      <c r="T780" s="3216"/>
      <c r="U780" s="3216"/>
      <c r="V780" s="3216"/>
      <c r="W780" s="3216"/>
      <c r="X780" s="3216"/>
      <c r="Y780" s="3216"/>
      <c r="Z780" s="3216"/>
      <c r="AA780" s="3216"/>
      <c r="AB780" s="3216"/>
      <c r="AC780" s="3216"/>
      <c r="AD780" s="3216"/>
      <c r="AE780" s="3216"/>
      <c r="AF780" s="3216"/>
      <c r="AG780" s="3216"/>
      <c r="AH780" s="3216"/>
      <c r="AI780" s="3216"/>
      <c r="AJ780" s="3216"/>
      <c r="AK780" s="3216"/>
      <c r="AL780" s="3216"/>
      <c r="AM780" s="3216"/>
      <c r="AO780" s="1224"/>
      <c r="AP780" s="1317"/>
      <c r="AQ780" s="1316"/>
    </row>
    <row r="781" spans="1:44" ht="13">
      <c r="A781" s="3216"/>
      <c r="B781" s="3216"/>
      <c r="C781" s="3216"/>
      <c r="D781" s="3216"/>
      <c r="E781" s="3216"/>
      <c r="F781" s="3216"/>
      <c r="G781" s="3216"/>
      <c r="H781" s="3216"/>
      <c r="I781" s="3216"/>
      <c r="J781" s="3216"/>
      <c r="K781" s="3216"/>
      <c r="L781" s="3216"/>
      <c r="M781" s="3216"/>
      <c r="N781" s="3216"/>
      <c r="O781" s="3216"/>
      <c r="P781" s="3216"/>
      <c r="Q781" s="3216"/>
      <c r="R781" s="3216"/>
      <c r="S781" s="3216"/>
      <c r="T781" s="3216"/>
      <c r="U781" s="3216"/>
      <c r="V781" s="3216"/>
      <c r="W781" s="3216"/>
      <c r="X781" s="3216"/>
      <c r="Y781" s="3216"/>
      <c r="Z781" s="3216"/>
      <c r="AA781" s="3216"/>
      <c r="AB781" s="3216"/>
      <c r="AC781" s="3216"/>
      <c r="AD781" s="3216"/>
      <c r="AE781" s="3216"/>
      <c r="AF781" s="3216"/>
      <c r="AG781" s="3216"/>
      <c r="AH781" s="3216"/>
      <c r="AI781" s="3216"/>
      <c r="AJ781" s="3216"/>
      <c r="AK781" s="3216"/>
      <c r="AL781" s="3216"/>
      <c r="AM781" s="3216"/>
      <c r="AO781" s="1317"/>
      <c r="AQ781" s="1316"/>
    </row>
    <row r="782" spans="1:44" ht="13">
      <c r="A782" s="1318"/>
      <c r="B782" s="1107"/>
      <c r="C782" s="1107"/>
      <c r="D782" s="1107"/>
      <c r="E782" s="1107"/>
      <c r="F782" s="1107"/>
      <c r="G782" s="1107"/>
      <c r="H782" s="1107"/>
      <c r="I782" s="1107"/>
      <c r="J782" s="1107"/>
      <c r="K782" s="1107"/>
      <c r="L782" s="1107"/>
      <c r="M782" s="1107"/>
      <c r="N782" s="1107"/>
      <c r="O782" s="1107"/>
      <c r="P782" s="1107"/>
      <c r="Q782" s="1107"/>
      <c r="R782" s="1107"/>
      <c r="S782" s="1111"/>
      <c r="T782" s="3217" t="s">
        <v>1855</v>
      </c>
      <c r="U782" s="3218"/>
      <c r="V782" s="3218"/>
      <c r="W782" s="3218"/>
      <c r="X782" s="3218"/>
      <c r="Y782" s="3219"/>
      <c r="Z782" s="3217" t="s">
        <v>1856</v>
      </c>
      <c r="AA782" s="3218"/>
      <c r="AB782" s="3218"/>
      <c r="AC782" s="3218"/>
      <c r="AD782" s="3218"/>
      <c r="AE782" s="3219"/>
      <c r="AF782" s="3217" t="s">
        <v>1857</v>
      </c>
      <c r="AG782" s="3218"/>
      <c r="AH782" s="3218"/>
      <c r="AI782" s="3218"/>
      <c r="AJ782" s="3218"/>
      <c r="AK782" s="3219"/>
      <c r="AL782" s="1319"/>
      <c r="AM782" s="1213"/>
      <c r="AO782" s="1317"/>
      <c r="AP782" s="1316"/>
      <c r="AQ782" s="1316"/>
    </row>
    <row r="783" spans="1:44" ht="13">
      <c r="A783" s="1320"/>
      <c r="B783" s="1147"/>
      <c r="C783" s="1147"/>
      <c r="D783" s="1147"/>
      <c r="E783" s="1147"/>
      <c r="F783" s="1147"/>
      <c r="G783" s="1147"/>
      <c r="H783" s="1147"/>
      <c r="I783" s="1147"/>
      <c r="J783" s="1147"/>
      <c r="K783" s="1147"/>
      <c r="L783" s="1147"/>
      <c r="M783" s="1147"/>
      <c r="N783" s="1147"/>
      <c r="O783" s="1147"/>
      <c r="P783" s="1147"/>
      <c r="Q783" s="1147"/>
      <c r="R783" s="1147"/>
      <c r="S783" s="1321"/>
      <c r="T783" s="3220"/>
      <c r="U783" s="3221"/>
      <c r="V783" s="3221"/>
      <c r="W783" s="3221"/>
      <c r="X783" s="3221"/>
      <c r="Y783" s="3222"/>
      <c r="Z783" s="3220"/>
      <c r="AA783" s="3221"/>
      <c r="AB783" s="3221"/>
      <c r="AC783" s="3221"/>
      <c r="AD783" s="3221"/>
      <c r="AE783" s="3222"/>
      <c r="AF783" s="3220"/>
      <c r="AG783" s="3221"/>
      <c r="AH783" s="3221"/>
      <c r="AI783" s="3221"/>
      <c r="AJ783" s="3221"/>
      <c r="AK783" s="3222"/>
      <c r="AL783" s="1319"/>
      <c r="AM783" s="1213"/>
      <c r="AO783" s="1317"/>
      <c r="AP783" s="1316"/>
      <c r="AQ783" s="1316"/>
    </row>
    <row r="784" spans="1:44" ht="13">
      <c r="A784" s="1320" t="s">
        <v>796</v>
      </c>
      <c r="B784" s="3195" t="s">
        <v>1555</v>
      </c>
      <c r="C784" s="3195"/>
      <c r="D784" s="3195"/>
      <c r="E784" s="3195"/>
      <c r="F784" s="3195"/>
      <c r="G784" s="3195"/>
      <c r="H784" s="3195"/>
      <c r="I784" s="3195"/>
      <c r="J784" s="3195"/>
      <c r="K784" s="3195"/>
      <c r="L784" s="3195"/>
      <c r="M784" s="3195"/>
      <c r="N784" s="3195"/>
      <c r="O784" s="3195"/>
      <c r="P784" s="3195"/>
      <c r="Q784" s="3195"/>
      <c r="R784" s="3195"/>
      <c r="S784" s="3196"/>
      <c r="T784" s="3197">
        <f>AK51</f>
        <v>0</v>
      </c>
      <c r="U784" s="3198"/>
      <c r="V784" s="3198"/>
      <c r="W784" s="3198"/>
      <c r="X784" s="3198"/>
      <c r="Y784" s="3199"/>
      <c r="Z784" s="3200">
        <v>20</v>
      </c>
      <c r="AA784" s="3198"/>
      <c r="AB784" s="3198"/>
      <c r="AC784" s="3198"/>
      <c r="AD784" s="3198"/>
      <c r="AE784" s="3199"/>
      <c r="AF784" s="3201">
        <f>IF(T784&gt;Z784,Z784,T784)</f>
        <v>0</v>
      </c>
      <c r="AG784" s="3201"/>
      <c r="AH784" s="3201"/>
      <c r="AI784" s="3201"/>
      <c r="AJ784" s="3201"/>
      <c r="AK784" s="3201"/>
      <c r="AL784" s="1319"/>
      <c r="AM784" s="1213"/>
      <c r="AO784" s="1316"/>
      <c r="AP784" s="1316"/>
      <c r="AQ784" s="1316"/>
    </row>
    <row r="785" spans="1:81" ht="13">
      <c r="A785" s="1320" t="s">
        <v>1823</v>
      </c>
      <c r="B785" s="3195" t="s">
        <v>1576</v>
      </c>
      <c r="C785" s="3195"/>
      <c r="D785" s="3195"/>
      <c r="E785" s="3195"/>
      <c r="F785" s="3195"/>
      <c r="G785" s="3195"/>
      <c r="H785" s="3195"/>
      <c r="I785" s="3195"/>
      <c r="J785" s="3195"/>
      <c r="K785" s="3195"/>
      <c r="L785" s="3195"/>
      <c r="M785" s="3195"/>
      <c r="N785" s="3195"/>
      <c r="O785" s="3195"/>
      <c r="P785" s="3195"/>
      <c r="Q785" s="3195"/>
      <c r="R785" s="3195"/>
      <c r="S785" s="3196"/>
      <c r="T785" s="3197">
        <f>AK72</f>
        <v>10</v>
      </c>
      <c r="U785" s="3198"/>
      <c r="V785" s="3198"/>
      <c r="W785" s="3198"/>
      <c r="X785" s="3198"/>
      <c r="Y785" s="3199"/>
      <c r="Z785" s="3200">
        <v>10</v>
      </c>
      <c r="AA785" s="3198"/>
      <c r="AB785" s="3198"/>
      <c r="AC785" s="3198"/>
      <c r="AD785" s="3198"/>
      <c r="AE785" s="3199"/>
      <c r="AF785" s="3201">
        <f>IF(T785&gt;Z785,Z785,T785)</f>
        <v>10</v>
      </c>
      <c r="AG785" s="3201"/>
      <c r="AH785" s="3201"/>
      <c r="AI785" s="3201"/>
      <c r="AJ785" s="3201"/>
      <c r="AK785" s="3201"/>
      <c r="AL785" s="1319"/>
      <c r="AM785" s="1213"/>
      <c r="AO785" s="1316"/>
      <c r="AP785" s="1316"/>
      <c r="AQ785" s="1316"/>
    </row>
    <row r="786" spans="1:81" ht="13">
      <c r="A786" s="1320" t="s">
        <v>1832</v>
      </c>
      <c r="B786" s="3195" t="s">
        <v>1586</v>
      </c>
      <c r="C786" s="3195"/>
      <c r="D786" s="3195"/>
      <c r="E786" s="3195"/>
      <c r="F786" s="3195"/>
      <c r="G786" s="3195"/>
      <c r="H786" s="3195"/>
      <c r="I786" s="3195"/>
      <c r="J786" s="3195"/>
      <c r="K786" s="3195"/>
      <c r="L786" s="3195"/>
      <c r="M786" s="3195"/>
      <c r="N786" s="3195"/>
      <c r="O786" s="3195"/>
      <c r="P786" s="3195"/>
      <c r="Q786" s="3195"/>
      <c r="R786" s="3195"/>
      <c r="S786" s="3196"/>
      <c r="T786" s="3197">
        <f ca="1">AK97</f>
        <v>20</v>
      </c>
      <c r="U786" s="3198"/>
      <c r="V786" s="3198"/>
      <c r="W786" s="3198"/>
      <c r="X786" s="3198"/>
      <c r="Y786" s="3199"/>
      <c r="Z786" s="3200">
        <v>20</v>
      </c>
      <c r="AA786" s="3198"/>
      <c r="AB786" s="3198"/>
      <c r="AC786" s="3198"/>
      <c r="AD786" s="3198"/>
      <c r="AE786" s="3199"/>
      <c r="AF786" s="3201">
        <f ca="1">IF(T786&gt;Z786,Z786,T786)</f>
        <v>20</v>
      </c>
      <c r="AG786" s="3201"/>
      <c r="AH786" s="3201"/>
      <c r="AI786" s="3201"/>
      <c r="AJ786" s="3201"/>
      <c r="AK786" s="3201"/>
      <c r="AL786" s="1319"/>
      <c r="AM786" s="1213"/>
      <c r="AO786" s="1316"/>
      <c r="AP786" s="1316"/>
      <c r="AQ786" s="1316"/>
    </row>
    <row r="787" spans="1:81" ht="13">
      <c r="A787" s="1320" t="s">
        <v>1858</v>
      </c>
      <c r="B787" s="3195" t="s">
        <v>1596</v>
      </c>
      <c r="C787" s="3195"/>
      <c r="D787" s="3195"/>
      <c r="E787" s="3195"/>
      <c r="F787" s="3195"/>
      <c r="G787" s="3195"/>
      <c r="H787" s="3195"/>
      <c r="I787" s="3195"/>
      <c r="J787" s="3195"/>
      <c r="K787" s="3195"/>
      <c r="L787" s="3195"/>
      <c r="M787" s="3195"/>
      <c r="N787" s="3195"/>
      <c r="O787" s="3195"/>
      <c r="P787" s="3195"/>
      <c r="Q787" s="3195"/>
      <c r="R787" s="3195"/>
      <c r="S787" s="3196"/>
      <c r="T787" s="3197">
        <f>AK131</f>
        <v>10</v>
      </c>
      <c r="U787" s="3198"/>
      <c r="V787" s="3198"/>
      <c r="W787" s="3198"/>
      <c r="X787" s="3198"/>
      <c r="Y787" s="3199"/>
      <c r="Z787" s="3200">
        <v>10</v>
      </c>
      <c r="AA787" s="3198"/>
      <c r="AB787" s="3198"/>
      <c r="AC787" s="3198"/>
      <c r="AD787" s="3198"/>
      <c r="AE787" s="3199"/>
      <c r="AF787" s="3201">
        <f>IF(T787&gt;Z787,Z787,T787)</f>
        <v>10</v>
      </c>
      <c r="AG787" s="3201"/>
      <c r="AH787" s="3201"/>
      <c r="AI787" s="3201"/>
      <c r="AJ787" s="3201"/>
      <c r="AK787" s="3201"/>
      <c r="AL787" s="1319"/>
      <c r="AM787" s="1213"/>
      <c r="AO787" s="1316"/>
      <c r="AP787" s="1316"/>
      <c r="AQ787" s="1316"/>
    </row>
    <row r="788" spans="1:81" ht="13">
      <c r="A788" s="1322" t="s">
        <v>1859</v>
      </c>
      <c r="B788" s="3195" t="s">
        <v>1860</v>
      </c>
      <c r="C788" s="3195"/>
      <c r="D788" s="3195"/>
      <c r="E788" s="3195"/>
      <c r="F788" s="3195"/>
      <c r="G788" s="3195"/>
      <c r="H788" s="3195"/>
      <c r="I788" s="3195"/>
      <c r="J788" s="3195"/>
      <c r="K788" s="3195"/>
      <c r="L788" s="3195"/>
      <c r="M788" s="3195"/>
      <c r="N788" s="3195"/>
      <c r="O788" s="3195"/>
      <c r="P788" s="3195"/>
      <c r="Q788" s="3195"/>
      <c r="R788" s="3195"/>
      <c r="S788" s="3196"/>
      <c r="T788" s="3223">
        <f>SUM(T789:Y790)</f>
        <v>10</v>
      </c>
      <c r="U788" s="3223"/>
      <c r="V788" s="3223"/>
      <c r="W788" s="3223"/>
      <c r="X788" s="3223"/>
      <c r="Y788" s="3223"/>
      <c r="Z788" s="3201">
        <v>10</v>
      </c>
      <c r="AA788" s="3201"/>
      <c r="AB788" s="3201"/>
      <c r="AC788" s="3201"/>
      <c r="AD788" s="3201"/>
      <c r="AE788" s="3201"/>
      <c r="AF788" s="3201">
        <f>IF(T788&gt;Z788,Z788,T788)</f>
        <v>10</v>
      </c>
      <c r="AG788" s="3201"/>
      <c r="AH788" s="3201"/>
      <c r="AI788" s="3201"/>
      <c r="AJ788" s="3201"/>
      <c r="AK788" s="3201"/>
      <c r="AL788" s="1319"/>
      <c r="AM788" s="1213"/>
    </row>
    <row r="789" spans="1:81" ht="13">
      <c r="A789" s="923"/>
      <c r="B789" s="1006"/>
      <c r="C789" s="3224" t="s">
        <v>1861</v>
      </c>
      <c r="D789" s="3224"/>
      <c r="E789" s="3224"/>
      <c r="F789" s="3224"/>
      <c r="G789" s="3224"/>
      <c r="H789" s="3224"/>
      <c r="I789" s="3224"/>
      <c r="J789" s="3224"/>
      <c r="K789" s="3224"/>
      <c r="L789" s="3224"/>
      <c r="M789" s="3224"/>
      <c r="N789" s="3224"/>
      <c r="O789" s="3224"/>
      <c r="P789" s="3224"/>
      <c r="Q789" s="3224"/>
      <c r="R789" s="3224"/>
      <c r="S789" s="3225"/>
      <c r="T789" s="3095">
        <f>AJ149</f>
        <v>7</v>
      </c>
      <c r="U789" s="3095"/>
      <c r="V789" s="3095"/>
      <c r="W789" s="3095"/>
      <c r="X789" s="3095"/>
      <c r="Y789" s="3095"/>
      <c r="Z789" s="3226">
        <v>7</v>
      </c>
      <c r="AA789" s="3226"/>
      <c r="AB789" s="3226"/>
      <c r="AC789" s="3226"/>
      <c r="AD789" s="3226"/>
      <c r="AE789" s="3226"/>
      <c r="AF789" s="3227"/>
      <c r="AG789" s="3227"/>
      <c r="AH789" s="3227"/>
      <c r="AI789" s="3227"/>
      <c r="AJ789" s="3227"/>
      <c r="AK789" s="3227"/>
      <c r="AL789" s="1319"/>
      <c r="AM789" s="1213"/>
    </row>
    <row r="790" spans="1:81" ht="13">
      <c r="A790" s="1323"/>
      <c r="B790" s="1006"/>
      <c r="C790" s="3224" t="s">
        <v>1862</v>
      </c>
      <c r="D790" s="3224"/>
      <c r="E790" s="3224"/>
      <c r="F790" s="3224"/>
      <c r="G790" s="3224"/>
      <c r="H790" s="3224"/>
      <c r="I790" s="3224"/>
      <c r="J790" s="3224"/>
      <c r="K790" s="3224"/>
      <c r="L790" s="3224"/>
      <c r="M790" s="3224"/>
      <c r="N790" s="3224"/>
      <c r="O790" s="3224"/>
      <c r="P790" s="3224"/>
      <c r="Q790" s="3224"/>
      <c r="R790" s="3224"/>
      <c r="S790" s="3225"/>
      <c r="T790" s="3095">
        <f>AJ163</f>
        <v>3</v>
      </c>
      <c r="U790" s="3095"/>
      <c r="V790" s="3095"/>
      <c r="W790" s="3095"/>
      <c r="X790" s="3095"/>
      <c r="Y790" s="3095"/>
      <c r="Z790" s="3226">
        <v>3</v>
      </c>
      <c r="AA790" s="3226"/>
      <c r="AB790" s="3226"/>
      <c r="AC790" s="3226"/>
      <c r="AD790" s="3226"/>
      <c r="AE790" s="3226"/>
      <c r="AF790" s="3227"/>
      <c r="AG790" s="3227"/>
      <c r="AH790" s="3227"/>
      <c r="AI790" s="3227"/>
      <c r="AJ790" s="3227"/>
      <c r="AK790" s="3227"/>
      <c r="AL790" s="1319"/>
      <c r="AM790" s="1213"/>
      <c r="AO790" s="940"/>
    </row>
    <row r="791" spans="1:81" ht="13">
      <c r="A791" s="1322" t="s">
        <v>1624</v>
      </c>
      <c r="B791" s="3195" t="s">
        <v>1863</v>
      </c>
      <c r="C791" s="3195"/>
      <c r="D791" s="3195"/>
      <c r="E791" s="3195"/>
      <c r="F791" s="3195"/>
      <c r="G791" s="3195"/>
      <c r="H791" s="3195"/>
      <c r="I791" s="3195"/>
      <c r="J791" s="3195"/>
      <c r="K791" s="3195"/>
      <c r="L791" s="3195"/>
      <c r="M791" s="3195"/>
      <c r="N791" s="3195"/>
      <c r="O791" s="3195"/>
      <c r="P791" s="3195"/>
      <c r="Q791" s="3195"/>
      <c r="R791" s="3195"/>
      <c r="S791" s="3196"/>
      <c r="T791" s="3223">
        <f>AK174</f>
        <v>10</v>
      </c>
      <c r="U791" s="3223"/>
      <c r="V791" s="3223"/>
      <c r="W791" s="3223"/>
      <c r="X791" s="3223"/>
      <c r="Y791" s="3223"/>
      <c r="Z791" s="3201">
        <v>10</v>
      </c>
      <c r="AA791" s="3201"/>
      <c r="AB791" s="3201"/>
      <c r="AC791" s="3201"/>
      <c r="AD791" s="3201"/>
      <c r="AE791" s="3201"/>
      <c r="AF791" s="3201">
        <f>IF(T791&gt;Z791,Z791,T791)</f>
        <v>10</v>
      </c>
      <c r="AG791" s="3201"/>
      <c r="AH791" s="3201"/>
      <c r="AI791" s="3201"/>
      <c r="AJ791" s="3201"/>
      <c r="AK791" s="3201"/>
      <c r="AL791" s="1319"/>
      <c r="AM791" s="1213"/>
    </row>
    <row r="792" spans="1:81" ht="13">
      <c r="A792" s="1320" t="s">
        <v>1633</v>
      </c>
      <c r="B792" s="3195" t="s">
        <v>1634</v>
      </c>
      <c r="C792" s="3195"/>
      <c r="D792" s="3195"/>
      <c r="E792" s="3195"/>
      <c r="F792" s="3195"/>
      <c r="G792" s="3195"/>
      <c r="H792" s="3195"/>
      <c r="I792" s="3195"/>
      <c r="J792" s="3195"/>
      <c r="K792" s="3195"/>
      <c r="L792" s="3195"/>
      <c r="M792" s="3195"/>
      <c r="N792" s="3195"/>
      <c r="O792" s="3195"/>
      <c r="P792" s="3195"/>
      <c r="Q792" s="3195"/>
      <c r="R792" s="3195"/>
      <c r="S792" s="3196"/>
      <c r="T792" s="3223">
        <f>AK256</f>
        <v>8</v>
      </c>
      <c r="U792" s="3223"/>
      <c r="V792" s="3223"/>
      <c r="W792" s="3223"/>
      <c r="X792" s="3223"/>
      <c r="Y792" s="3223"/>
      <c r="Z792" s="3200">
        <v>8</v>
      </c>
      <c r="AA792" s="3198"/>
      <c r="AB792" s="3198"/>
      <c r="AC792" s="3198"/>
      <c r="AD792" s="3198"/>
      <c r="AE792" s="3199"/>
      <c r="AF792" s="3201">
        <f>IF(T792&gt;Z792,Z792,T792)</f>
        <v>8</v>
      </c>
      <c r="AG792" s="3201"/>
      <c r="AH792" s="3201"/>
      <c r="AI792" s="3201"/>
      <c r="AJ792" s="3201"/>
      <c r="AK792" s="3201"/>
      <c r="AL792" s="1319"/>
      <c r="AM792" s="1213"/>
    </row>
    <row r="793" spans="1:81" s="922" customFormat="1" ht="13" hidden="1">
      <c r="A793" s="1322" t="s">
        <v>622</v>
      </c>
      <c r="B793" s="3195" t="s">
        <v>1864</v>
      </c>
      <c r="C793" s="3195"/>
      <c r="D793" s="3195"/>
      <c r="E793" s="3195"/>
      <c r="F793" s="3195"/>
      <c r="G793" s="3195"/>
      <c r="H793" s="3195"/>
      <c r="I793" s="3195"/>
      <c r="J793" s="3195"/>
      <c r="K793" s="3195"/>
      <c r="L793" s="3195"/>
      <c r="M793" s="3195"/>
      <c r="N793" s="3195"/>
      <c r="O793" s="3195"/>
      <c r="P793" s="3195"/>
      <c r="Q793" s="3195"/>
      <c r="R793" s="3195"/>
      <c r="S793" s="3196"/>
      <c r="T793" s="3223">
        <f>IF(AK750&gt;5,5,AK750)</f>
        <v>0</v>
      </c>
      <c r="U793" s="3223"/>
      <c r="V793" s="3223"/>
      <c r="W793" s="3223"/>
      <c r="X793" s="3223"/>
      <c r="Y793" s="3223"/>
      <c r="Z793" s="3201">
        <v>5</v>
      </c>
      <c r="AA793" s="3201"/>
      <c r="AB793" s="3201"/>
      <c r="AC793" s="3201"/>
      <c r="AD793" s="3201"/>
      <c r="AE793" s="3201"/>
      <c r="AF793" s="3201">
        <f>IF(T793&gt;Z793,5,T793)</f>
        <v>0</v>
      </c>
      <c r="AG793" s="3201"/>
      <c r="AH793" s="3201"/>
      <c r="AI793" s="3201"/>
      <c r="AJ793" s="3201"/>
      <c r="AK793" s="3201"/>
      <c r="AL793" s="1319"/>
      <c r="AM793" s="1213"/>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2" customFormat="1" ht="13">
      <c r="A794" s="1320" t="s">
        <v>1639</v>
      </c>
      <c r="B794" s="3195" t="s">
        <v>1865</v>
      </c>
      <c r="C794" s="3195"/>
      <c r="D794" s="3195"/>
      <c r="E794" s="3195"/>
      <c r="F794" s="3195"/>
      <c r="G794" s="3195"/>
      <c r="H794" s="3195"/>
      <c r="I794" s="3195"/>
      <c r="J794" s="3195"/>
      <c r="K794" s="3195"/>
      <c r="L794" s="3195"/>
      <c r="M794" s="3195"/>
      <c r="N794" s="3195"/>
      <c r="O794" s="3195"/>
      <c r="P794" s="3195"/>
      <c r="Q794" s="3195"/>
      <c r="R794" s="3195"/>
      <c r="S794" s="3196"/>
      <c r="T794" s="3223">
        <f>AK267</f>
        <v>10</v>
      </c>
      <c r="U794" s="3223"/>
      <c r="V794" s="3223"/>
      <c r="W794" s="3223"/>
      <c r="X794" s="3223"/>
      <c r="Y794" s="3223"/>
      <c r="Z794" s="3201">
        <v>10</v>
      </c>
      <c r="AA794" s="3201"/>
      <c r="AB794" s="3201"/>
      <c r="AC794" s="3201"/>
      <c r="AD794" s="3201"/>
      <c r="AE794" s="3201"/>
      <c r="AF794" s="3230">
        <f>IF(T794&gt;Z794,Z794,T794)</f>
        <v>10</v>
      </c>
      <c r="AG794" s="3231"/>
      <c r="AH794" s="3231"/>
      <c r="AI794" s="3231"/>
      <c r="AJ794" s="3231"/>
      <c r="AK794" s="3232"/>
      <c r="AL794" s="1319"/>
      <c r="AM794" s="990"/>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2" customFormat="1" ht="13">
      <c r="A795" s="1322" t="s">
        <v>1643</v>
      </c>
      <c r="B795" s="3195" t="s">
        <v>1644</v>
      </c>
      <c r="C795" s="3195"/>
      <c r="D795" s="3195"/>
      <c r="E795" s="3195"/>
      <c r="F795" s="3195"/>
      <c r="G795" s="3195"/>
      <c r="H795" s="3195"/>
      <c r="I795" s="3195"/>
      <c r="J795" s="3195"/>
      <c r="K795" s="3195"/>
      <c r="L795" s="3195"/>
      <c r="M795" s="3195"/>
      <c r="N795" s="3195"/>
      <c r="O795" s="3195"/>
      <c r="P795" s="3195"/>
      <c r="Q795" s="3195"/>
      <c r="R795" s="3195"/>
      <c r="S795" s="3196"/>
      <c r="T795" s="3223">
        <f>AK553</f>
        <v>19</v>
      </c>
      <c r="U795" s="3223"/>
      <c r="V795" s="3223"/>
      <c r="W795" s="3223"/>
      <c r="X795" s="3223"/>
      <c r="Y795" s="3223"/>
      <c r="Z795" s="3230">
        <v>20</v>
      </c>
      <c r="AA795" s="3231"/>
      <c r="AB795" s="3231"/>
      <c r="AC795" s="3231"/>
      <c r="AD795" s="3231"/>
      <c r="AE795" s="3232"/>
      <c r="AF795" s="3230">
        <f>IF(T795&gt;Z795,Z795,T795)</f>
        <v>19</v>
      </c>
      <c r="AG795" s="3245"/>
      <c r="AH795" s="3245"/>
      <c r="AI795" s="3245"/>
      <c r="AJ795" s="3245"/>
      <c r="AK795" s="3246"/>
      <c r="AL795" s="1324"/>
      <c r="AM795" s="990"/>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2" customFormat="1" ht="13">
      <c r="A796" s="1322"/>
      <c r="B796" s="1325"/>
      <c r="C796" s="1326" t="s">
        <v>1866</v>
      </c>
      <c r="D796" s="1327"/>
      <c r="E796" s="1327"/>
      <c r="F796" s="1327"/>
      <c r="G796" s="1327"/>
      <c r="H796" s="1327"/>
      <c r="I796" s="1327"/>
      <c r="J796" s="1327"/>
      <c r="K796" s="1327"/>
      <c r="L796" s="1327"/>
      <c r="M796" s="1327"/>
      <c r="N796" s="1327"/>
      <c r="O796" s="1327"/>
      <c r="P796" s="1327"/>
      <c r="Q796" s="1327"/>
      <c r="R796" s="1325"/>
      <c r="S796" s="1328"/>
      <c r="T796" s="3095">
        <f>AK320</f>
        <v>9</v>
      </c>
      <c r="U796" s="3095"/>
      <c r="V796" s="3095"/>
      <c r="W796" s="3095"/>
      <c r="X796" s="3095"/>
      <c r="Y796" s="3095"/>
      <c r="Z796" s="3100">
        <v>20</v>
      </c>
      <c r="AA796" s="3101"/>
      <c r="AB796" s="3101"/>
      <c r="AC796" s="3101"/>
      <c r="AD796" s="3101"/>
      <c r="AE796" s="3102"/>
      <c r="AF796" s="3227"/>
      <c r="AG796" s="3227"/>
      <c r="AH796" s="3227"/>
      <c r="AI796" s="3227"/>
      <c r="AJ796" s="3227"/>
      <c r="AK796" s="3227"/>
      <c r="AL796" s="1324"/>
      <c r="AM796" s="990"/>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2" customFormat="1" ht="13">
      <c r="A797" s="1322"/>
      <c r="B797" s="1325"/>
      <c r="C797" s="1326" t="s">
        <v>1867</v>
      </c>
      <c r="D797" s="1326"/>
      <c r="E797" s="1326"/>
      <c r="F797" s="1326"/>
      <c r="G797" s="1326"/>
      <c r="H797" s="1326"/>
      <c r="I797" s="1326"/>
      <c r="J797" s="1326"/>
      <c r="K797" s="1326"/>
      <c r="L797" s="1326"/>
      <c r="M797" s="1326"/>
      <c r="N797" s="1326"/>
      <c r="O797" s="1326"/>
      <c r="P797" s="1326"/>
      <c r="Q797" s="1326"/>
      <c r="R797" s="1325"/>
      <c r="S797" s="1328"/>
      <c r="T797" s="3095">
        <f>AK551</f>
        <v>10</v>
      </c>
      <c r="U797" s="3095"/>
      <c r="V797" s="3095"/>
      <c r="W797" s="3095"/>
      <c r="X797" s="3095"/>
      <c r="Y797" s="3095"/>
      <c r="Z797" s="3100">
        <v>10</v>
      </c>
      <c r="AA797" s="3101"/>
      <c r="AB797" s="3101"/>
      <c r="AC797" s="3101"/>
      <c r="AD797" s="3101"/>
      <c r="AE797" s="3102"/>
      <c r="AF797" s="3227"/>
      <c r="AG797" s="3227"/>
      <c r="AH797" s="3227"/>
      <c r="AI797" s="3227"/>
      <c r="AJ797" s="3227"/>
      <c r="AK797" s="3227"/>
      <c r="AL797" s="1324"/>
      <c r="AM797" s="990"/>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2" customFormat="1" ht="13">
      <c r="A798" s="1322" t="s">
        <v>1729</v>
      </c>
      <c r="B798" s="3195" t="s">
        <v>906</v>
      </c>
      <c r="C798" s="3195"/>
      <c r="D798" s="3195"/>
      <c r="E798" s="3195"/>
      <c r="F798" s="3195"/>
      <c r="G798" s="3195"/>
      <c r="H798" s="3195"/>
      <c r="I798" s="3195"/>
      <c r="J798" s="3195"/>
      <c r="K798" s="3195"/>
      <c r="L798" s="3195"/>
      <c r="M798" s="3195"/>
      <c r="N798" s="3195"/>
      <c r="O798" s="3195"/>
      <c r="P798" s="3195"/>
      <c r="Q798" s="3195"/>
      <c r="R798" s="3195"/>
      <c r="S798" s="3196"/>
      <c r="T798" s="3223">
        <f>AK684</f>
        <v>10</v>
      </c>
      <c r="U798" s="3223"/>
      <c r="V798" s="3223"/>
      <c r="W798" s="3223"/>
      <c r="X798" s="3223"/>
      <c r="Y798" s="3223"/>
      <c r="Z798" s="3230">
        <v>10</v>
      </c>
      <c r="AA798" s="3231"/>
      <c r="AB798" s="3231"/>
      <c r="AC798" s="3231"/>
      <c r="AD798" s="3231"/>
      <c r="AE798" s="3232"/>
      <c r="AF798" s="3201">
        <f>IF(T798&gt;Z798,Z798,T798)</f>
        <v>10</v>
      </c>
      <c r="AG798" s="3201"/>
      <c r="AH798" s="3201"/>
      <c r="AI798" s="3201"/>
      <c r="AJ798" s="3201"/>
      <c r="AK798" s="3201"/>
      <c r="AL798" s="1324"/>
      <c r="AM798" s="990"/>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2" customFormat="1" ht="13">
      <c r="A799" s="1322" t="s">
        <v>1842</v>
      </c>
      <c r="B799" s="3195" t="s">
        <v>1843</v>
      </c>
      <c r="C799" s="3195"/>
      <c r="D799" s="3195"/>
      <c r="E799" s="3195"/>
      <c r="F799" s="3195"/>
      <c r="G799" s="3195"/>
      <c r="H799" s="3195"/>
      <c r="I799" s="3195"/>
      <c r="J799" s="3195"/>
      <c r="K799" s="3195"/>
      <c r="L799" s="3195"/>
      <c r="M799" s="3195"/>
      <c r="N799" s="3195"/>
      <c r="O799" s="3195"/>
      <c r="P799" s="3195"/>
      <c r="Q799" s="3195"/>
      <c r="R799" s="3195"/>
      <c r="S799" s="3196"/>
      <c r="T799" s="3223">
        <f>AK774</f>
        <v>12</v>
      </c>
      <c r="U799" s="3223"/>
      <c r="V799" s="3223"/>
      <c r="W799" s="3223"/>
      <c r="X799" s="3223"/>
      <c r="Y799" s="3223"/>
      <c r="Z799" s="3230">
        <v>12</v>
      </c>
      <c r="AA799" s="3231"/>
      <c r="AB799" s="3231"/>
      <c r="AC799" s="3231"/>
      <c r="AD799" s="3231"/>
      <c r="AE799" s="3232"/>
      <c r="AF799" s="3201">
        <f>IF(T799&gt;Z799,Z799,T799)</f>
        <v>12</v>
      </c>
      <c r="AG799" s="3201"/>
      <c r="AH799" s="3201"/>
      <c r="AI799" s="3201"/>
      <c r="AJ799" s="3201"/>
      <c r="AK799" s="3201"/>
      <c r="AL799" s="1324"/>
      <c r="AM799" s="990"/>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2" customFormat="1" ht="13">
      <c r="A800" s="3228" t="s">
        <v>1868</v>
      </c>
      <c r="B800" s="3195"/>
      <c r="C800" s="3195"/>
      <c r="D800" s="3195"/>
      <c r="E800" s="3195"/>
      <c r="F800" s="3195"/>
      <c r="G800" s="3195"/>
      <c r="H800" s="3195"/>
      <c r="I800" s="3195"/>
      <c r="J800" s="3195"/>
      <c r="K800" s="3195"/>
      <c r="L800" s="3195"/>
      <c r="M800" s="3195"/>
      <c r="N800" s="3195"/>
      <c r="O800" s="3195"/>
      <c r="P800" s="3195"/>
      <c r="Q800" s="3195"/>
      <c r="R800" s="3195"/>
      <c r="S800" s="3196"/>
      <c r="T800" s="3229"/>
      <c r="U800" s="3229"/>
      <c r="V800" s="3229"/>
      <c r="W800" s="3229"/>
      <c r="X800" s="3229"/>
      <c r="Y800" s="3229"/>
      <c r="Z800" s="3226" t="s">
        <v>1869</v>
      </c>
      <c r="AA800" s="3226"/>
      <c r="AB800" s="3226"/>
      <c r="AC800" s="3226"/>
      <c r="AD800" s="3226"/>
      <c r="AE800" s="3226"/>
      <c r="AF800" s="3230">
        <f>IF(T800&gt;0,T800,0)</f>
        <v>0</v>
      </c>
      <c r="AG800" s="3231"/>
      <c r="AH800" s="3231"/>
      <c r="AI800" s="3231"/>
      <c r="AJ800" s="3231"/>
      <c r="AK800" s="3232"/>
      <c r="AL800" s="1031"/>
      <c r="AM800" s="990"/>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2" customFormat="1" ht="15.5">
      <c r="A801" s="3233" t="s">
        <v>1870</v>
      </c>
      <c r="B801" s="3234"/>
      <c r="C801" s="3234"/>
      <c r="D801" s="3234"/>
      <c r="E801" s="3234"/>
      <c r="F801" s="3234"/>
      <c r="G801" s="3234"/>
      <c r="H801" s="3234"/>
      <c r="I801" s="3234"/>
      <c r="J801" s="3234"/>
      <c r="K801" s="3234"/>
      <c r="L801" s="3234"/>
      <c r="M801" s="3234"/>
      <c r="N801" s="3234"/>
      <c r="O801" s="3234"/>
      <c r="P801" s="3234"/>
      <c r="Q801" s="3234"/>
      <c r="R801" s="3234"/>
      <c r="S801" s="3234"/>
      <c r="T801" s="3234"/>
      <c r="U801" s="3234"/>
      <c r="V801" s="3234"/>
      <c r="W801" s="3234"/>
      <c r="X801" s="3234"/>
      <c r="Y801" s="3234"/>
      <c r="Z801" s="3234"/>
      <c r="AA801" s="3234"/>
      <c r="AB801" s="3234"/>
      <c r="AC801" s="3234"/>
      <c r="AD801" s="3234"/>
      <c r="AE801" s="3235"/>
      <c r="AF801" s="3239">
        <f ca="1">SUM(AF784:AK799)-AF800</f>
        <v>119</v>
      </c>
      <c r="AG801" s="3240"/>
      <c r="AH801" s="3240"/>
      <c r="AI801" s="3240"/>
      <c r="AJ801" s="3240"/>
      <c r="AK801" s="3241"/>
      <c r="AL801" s="1329"/>
      <c r="AM801" s="940"/>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2" customFormat="1" ht="15.5">
      <c r="A802" s="3236"/>
      <c r="B802" s="3237"/>
      <c r="C802" s="3237"/>
      <c r="D802" s="3237"/>
      <c r="E802" s="3237"/>
      <c r="F802" s="3237"/>
      <c r="G802" s="3237"/>
      <c r="H802" s="3237"/>
      <c r="I802" s="3237"/>
      <c r="J802" s="3237"/>
      <c r="K802" s="3237"/>
      <c r="L802" s="3237"/>
      <c r="M802" s="3237"/>
      <c r="N802" s="3237"/>
      <c r="O802" s="3237"/>
      <c r="P802" s="3237"/>
      <c r="Q802" s="3237"/>
      <c r="R802" s="3237"/>
      <c r="S802" s="3237"/>
      <c r="T802" s="3237"/>
      <c r="U802" s="3237"/>
      <c r="V802" s="3237"/>
      <c r="W802" s="3237"/>
      <c r="X802" s="3237"/>
      <c r="Y802" s="3237"/>
      <c r="Z802" s="3237"/>
      <c r="AA802" s="3237"/>
      <c r="AB802" s="3237"/>
      <c r="AC802" s="3237"/>
      <c r="AD802" s="3237"/>
      <c r="AE802" s="3238"/>
      <c r="AF802" s="3242"/>
      <c r="AG802" s="3243"/>
      <c r="AH802" s="3243"/>
      <c r="AI802" s="3243"/>
      <c r="AJ802" s="3243"/>
      <c r="AK802" s="3244"/>
      <c r="AL802" s="1329"/>
      <c r="AM802" s="940"/>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2" customFormat="1">
      <c r="A803" s="1103"/>
      <c r="B803" s="1103"/>
      <c r="C803" s="1103"/>
      <c r="D803" s="1103"/>
      <c r="E803" s="1103"/>
      <c r="F803" s="1103"/>
      <c r="G803" s="1103"/>
      <c r="H803" s="1103"/>
      <c r="I803" s="1103"/>
      <c r="J803" s="1103"/>
      <c r="K803" s="1103"/>
      <c r="L803" s="1103"/>
      <c r="M803" s="1103"/>
      <c r="N803" s="1103"/>
      <c r="O803" s="1103"/>
      <c r="P803" s="1103"/>
      <c r="Q803" s="1103"/>
      <c r="R803" s="1103"/>
      <c r="S803" s="1103"/>
      <c r="T803" s="1103"/>
      <c r="U803" s="1103"/>
      <c r="V803" s="1103"/>
      <c r="W803" s="1103"/>
      <c r="X803" s="1103"/>
      <c r="Y803" s="1103"/>
      <c r="Z803" s="1103"/>
      <c r="AA803" s="1103"/>
      <c r="AB803" s="1103"/>
      <c r="AC803" s="1103"/>
      <c r="AD803" s="1103"/>
      <c r="AE803" s="1103"/>
      <c r="AF803" s="1103"/>
      <c r="AG803" s="1103"/>
      <c r="AH803" s="1103"/>
      <c r="AI803" s="1103"/>
      <c r="AJ803" s="1103"/>
      <c r="AK803" s="1103"/>
      <c r="AL803" s="1103"/>
      <c r="AM803" s="1330"/>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Fiona Ruddy</cp:lastModifiedBy>
  <cp:lastPrinted>2022-02-10T15:50:20Z</cp:lastPrinted>
  <dcterms:created xsi:type="dcterms:W3CDTF">2007-12-27T18:26:28Z</dcterms:created>
  <dcterms:modified xsi:type="dcterms:W3CDTF">2022-03-15T17:36:44Z</dcterms:modified>
</cp:coreProperties>
</file>