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Power Inn\Finance\TCAC_CDLAC_Applications\2022 TCAC CDLAC Application - First Round\Final to CDLAC TCAC\"/>
    </mc:Choice>
  </mc:AlternateContent>
  <xr:revisionPtr revIDLastSave="0" documentId="13_ncr:1_{2C158CD6-C595-47C5-A7C8-4F0E6C41C0B2}" xr6:coauthVersionLast="47" xr6:coauthVersionMax="47" xr10:uidLastSave="{00000000-0000-0000-0000-000000000000}"/>
  <bookViews>
    <workbookView xWindow="-12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4" l="1"/>
  <c r="E30" i="4"/>
  <c r="C83" i="4"/>
  <c r="AB93" i="25" l="1"/>
  <c r="V93" i="25"/>
  <c r="O93" i="25"/>
  <c r="I93" i="25"/>
  <c r="AY161" i="25"/>
  <c r="AS161" i="25"/>
  <c r="I84" i="25" l="1"/>
  <c r="AB84" i="25"/>
  <c r="V84" i="25"/>
  <c r="O84" i="25"/>
  <c r="I83" i="25"/>
  <c r="O83" i="25"/>
  <c r="V83" i="25"/>
  <c r="V82" i="25"/>
  <c r="I82" i="25"/>
  <c r="L4" i="25" l="1"/>
  <c r="C86" i="4"/>
  <c r="C32" i="4"/>
  <c r="C84" i="4"/>
  <c r="C30" i="4"/>
  <c r="C35" i="4"/>
  <c r="C65" i="4"/>
  <c r="W859" i="3"/>
  <c r="W852" i="3"/>
  <c r="AD1036" i="3"/>
  <c r="AN28" i="25"/>
  <c r="AH28" i="25"/>
  <c r="AB28" i="25"/>
  <c r="V28" i="25"/>
  <c r="P28" i="25"/>
  <c r="J28" i="25" s="1"/>
  <c r="AN27" i="25" a="1"/>
  <c r="AN27" i="25"/>
  <c r="AH27" i="25" a="1"/>
  <c r="AH27" i="25" s="1"/>
  <c r="AB27" i="25" a="1"/>
  <c r="AB27" i="25" s="1"/>
  <c r="V27" i="25" a="1"/>
  <c r="V27" i="25" s="1"/>
  <c r="P27" i="25" a="1"/>
  <c r="P27" i="25"/>
  <c r="AN26" i="25" a="1"/>
  <c r="AN26" i="25" s="1"/>
  <c r="AH26" i="25" a="1"/>
  <c r="AH26" i="25" s="1"/>
  <c r="AB26" i="25" a="1"/>
  <c r="AB26" i="25" s="1"/>
  <c r="V26" i="25" a="1"/>
  <c r="V26" i="25" s="1"/>
  <c r="P26" i="25" a="1"/>
  <c r="P26" i="25" s="1"/>
  <c r="AN25" i="25" a="1"/>
  <c r="AN25" i="25"/>
  <c r="AH25" i="25" a="1"/>
  <c r="AH25" i="25" s="1"/>
  <c r="AB25" i="25" a="1"/>
  <c r="AB25" i="25" s="1"/>
  <c r="V25" i="25" a="1"/>
  <c r="V25" i="25" s="1"/>
  <c r="P25" i="25" a="1"/>
  <c r="P25" i="25" s="1"/>
  <c r="AN24" i="25" a="1"/>
  <c r="AN24" i="25" s="1"/>
  <c r="AH24" i="25" a="1"/>
  <c r="AH24" i="25"/>
  <c r="AB24" i="25" a="1"/>
  <c r="AB24" i="25" s="1"/>
  <c r="V24" i="25" a="1"/>
  <c r="V24" i="25" s="1"/>
  <c r="P24" i="25" a="1"/>
  <c r="P24" i="25" s="1"/>
  <c r="AN23" i="25" a="1"/>
  <c r="AN23" i="25" s="1"/>
  <c r="AH23" i="25" a="1"/>
  <c r="AH23" i="25" s="1"/>
  <c r="AB23" i="25" a="1"/>
  <c r="AB23" i="25"/>
  <c r="V23" i="25" a="1"/>
  <c r="V23" i="25" s="1"/>
  <c r="P23" i="25" a="1"/>
  <c r="P23" i="25" s="1"/>
  <c r="AN22" i="25" a="1"/>
  <c r="AN22" i="25" s="1"/>
  <c r="AH22" i="25" a="1"/>
  <c r="AH22" i="25" s="1"/>
  <c r="AB22" i="25" a="1"/>
  <c r="AB22" i="25" s="1"/>
  <c r="V22" i="25" a="1"/>
  <c r="V22" i="25"/>
  <c r="P22" i="25" a="1"/>
  <c r="P22" i="25" s="1"/>
  <c r="J22" i="25" s="1"/>
  <c r="AN21" i="25" a="1"/>
  <c r="AN21" i="25" s="1"/>
  <c r="AH21" i="25" a="1"/>
  <c r="AH21" i="25" s="1"/>
  <c r="AB21" i="25" a="1"/>
  <c r="AB21" i="25" s="1"/>
  <c r="V21" i="25" a="1"/>
  <c r="V21" i="25" s="1"/>
  <c r="P21" i="25" a="1"/>
  <c r="P21" i="25"/>
  <c r="AN20" i="25" a="1"/>
  <c r="AN20" i="25" s="1"/>
  <c r="AH20" i="25" a="1"/>
  <c r="AH20" i="25" s="1"/>
  <c r="AB20" i="25" a="1"/>
  <c r="AB20" i="25" s="1"/>
  <c r="V20" i="25" a="1"/>
  <c r="V20" i="25" s="1"/>
  <c r="P20" i="25" a="1"/>
  <c r="P20" i="25" s="1"/>
  <c r="AN19" i="25" a="1"/>
  <c r="AN19" i="25" s="1"/>
  <c r="AN29" i="25" s="1"/>
  <c r="AH19" i="25" a="1"/>
  <c r="AH19" i="25" s="1"/>
  <c r="AB19" i="25" a="1"/>
  <c r="AB19" i="25" s="1"/>
  <c r="V19" i="25" a="1"/>
  <c r="V19" i="25" s="1"/>
  <c r="V2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9" i="11" s="1"/>
  <c r="C33" i="11"/>
  <c r="C34" i="11"/>
  <c r="C35" i="11"/>
  <c r="C36" i="11"/>
  <c r="C37" i="11"/>
  <c r="C38" i="11"/>
  <c r="B31" i="11"/>
  <c r="B32" i="11"/>
  <c r="B33" i="11"/>
  <c r="B34" i="11"/>
  <c r="B35" i="11"/>
  <c r="B36" i="11"/>
  <c r="B37" i="11"/>
  <c r="B38" i="11"/>
  <c r="C24" i="11"/>
  <c r="C25" i="11"/>
  <c r="D25" i="11" s="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G57"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c r="K30" i="7" s="1"/>
  <c r="M30" i="7" s="1"/>
  <c r="O30" i="7" s="1"/>
  <c r="Q30" i="7" s="1"/>
  <c r="S30" i="7" s="1"/>
  <c r="U30" i="7" s="1"/>
  <c r="W30" i="7" s="1"/>
  <c r="Y30" i="7" s="1"/>
  <c r="AA30" i="7" s="1"/>
  <c r="AC30" i="7" s="1"/>
  <c r="AE30" i="7" s="1"/>
  <c r="AG30" i="7" s="1"/>
  <c r="E28" i="7"/>
  <c r="E29" i="7"/>
  <c r="G29" i="7" s="1"/>
  <c r="I29" i="7"/>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s="1"/>
  <c r="AF798" i="20" s="1"/>
  <c r="T784" i="20"/>
  <c r="AF784" i="20"/>
  <c r="T785" i="20"/>
  <c r="AF785" i="20"/>
  <c r="AK174" i="20"/>
  <c r="T791" i="20"/>
  <c r="AF791" i="20"/>
  <c r="W860" i="3"/>
  <c r="A3" i="15"/>
  <c r="BA1000" i="3"/>
  <c r="AD64" i="15"/>
  <c r="T11" i="4"/>
  <c r="R10" i="4"/>
  <c r="R91" i="4"/>
  <c r="R84" i="4"/>
  <c r="T25" i="15"/>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D7" i="11" s="1"/>
  <c r="C8" i="11"/>
  <c r="B8" i="11"/>
  <c r="B10" i="11"/>
  <c r="B11" i="11"/>
  <c r="C10" i="11"/>
  <c r="C11" i="11"/>
  <c r="B14" i="11"/>
  <c r="C14" i="11"/>
  <c r="B15" i="11"/>
  <c r="C15" i="11"/>
  <c r="B16" i="11"/>
  <c r="C16" i="11"/>
  <c r="B18" i="11"/>
  <c r="C18" i="11"/>
  <c r="B19" i="11"/>
  <c r="C19" i="11"/>
  <c r="D19" i="11" s="1"/>
  <c r="B20" i="11"/>
  <c r="C20" i="11"/>
  <c r="D20" i="11" s="1"/>
  <c r="B21" i="11"/>
  <c r="C21" i="11"/>
  <c r="B22" i="11"/>
  <c r="C22" i="11"/>
  <c r="B23" i="11"/>
  <c r="C23" i="11"/>
  <c r="D23" i="11" s="1"/>
  <c r="B24" i="11"/>
  <c r="B28" i="11"/>
  <c r="C28" i="11"/>
  <c r="B30" i="11"/>
  <c r="B39" i="11" s="1"/>
  <c r="C30" i="11"/>
  <c r="D33" i="11"/>
  <c r="D34" i="11"/>
  <c r="B41" i="11"/>
  <c r="C41" i="11"/>
  <c r="D41" i="11" s="1"/>
  <c r="C42" i="11"/>
  <c r="B42" i="11"/>
  <c r="B43" i="11" s="1"/>
  <c r="B44" i="11"/>
  <c r="C44" i="11"/>
  <c r="B46" i="11"/>
  <c r="C46" i="11"/>
  <c r="D46" i="11" s="1"/>
  <c r="B47" i="11"/>
  <c r="C47" i="11"/>
  <c r="D47" i="11" s="1"/>
  <c r="B48" i="11"/>
  <c r="B49" i="11"/>
  <c r="D49" i="11" s="1"/>
  <c r="B50" i="11"/>
  <c r="B51" i="11"/>
  <c r="B52" i="11"/>
  <c r="D52" i="11" s="1"/>
  <c r="B53" i="11"/>
  <c r="C48" i="11"/>
  <c r="C49" i="11"/>
  <c r="C50" i="11"/>
  <c r="C51" i="11"/>
  <c r="C52" i="11"/>
  <c r="C53" i="11"/>
  <c r="D53" i="11" s="1"/>
  <c r="B57" i="11"/>
  <c r="C57" i="11"/>
  <c r="D57" i="11" s="1"/>
  <c r="B58" i="11"/>
  <c r="C58" i="11"/>
  <c r="B59" i="11"/>
  <c r="D59" i="11" s="1"/>
  <c r="C59" i="11"/>
  <c r="B60" i="11"/>
  <c r="D60" i="11" s="1"/>
  <c r="C60" i="11"/>
  <c r="B61" i="11"/>
  <c r="D61" i="11" s="1"/>
  <c r="C61" i="11"/>
  <c r="B62" i="11"/>
  <c r="C62" i="11"/>
  <c r="B66" i="11"/>
  <c r="D66" i="11" s="1"/>
  <c r="C66" i="11"/>
  <c r="B73" i="11"/>
  <c r="C73" i="11"/>
  <c r="B74" i="11"/>
  <c r="D74" i="11" s="1"/>
  <c r="C74" i="11"/>
  <c r="B75" i="11"/>
  <c r="C75" i="11"/>
  <c r="B76" i="11"/>
  <c r="C76" i="11"/>
  <c r="B77" i="11"/>
  <c r="C77" i="11"/>
  <c r="C78" i="11" s="1"/>
  <c r="B84" i="11"/>
  <c r="D84" i="11" s="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W845" i="3"/>
  <c r="E14" i="7"/>
  <c r="G14" i="7"/>
  <c r="I14" i="7" s="1"/>
  <c r="K14" i="7" s="1"/>
  <c r="E15" i="7"/>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s="1"/>
  <c r="K18" i="7"/>
  <c r="M18" i="7" s="1"/>
  <c r="O18" i="7"/>
  <c r="Q18" i="7" s="1"/>
  <c r="S18" i="7" s="1"/>
  <c r="U18" i="7" s="1"/>
  <c r="W18" i="7" s="1"/>
  <c r="Y18" i="7" s="1"/>
  <c r="AA18" i="7" s="1"/>
  <c r="AC18" i="7" s="1"/>
  <c r="AE18" i="7" s="1"/>
  <c r="AG18" i="7" s="1"/>
  <c r="W870" i="3"/>
  <c r="E19" i="7"/>
  <c r="G19" i="7"/>
  <c r="I19" i="7" s="1"/>
  <c r="K19" i="7" s="1"/>
  <c r="M19" i="7" s="1"/>
  <c r="O19" i="7" s="1"/>
  <c r="Q19" i="7" s="1"/>
  <c r="S19" i="7" s="1"/>
  <c r="U19" i="7" s="1"/>
  <c r="W19" i="7" s="1"/>
  <c r="Y19" i="7" s="1"/>
  <c r="AA19" i="7" s="1"/>
  <c r="AC19" i="7" s="1"/>
  <c r="AE19" i="7" s="1"/>
  <c r="AG19" i="7" s="1"/>
  <c r="W877" i="3"/>
  <c r="E20" i="7"/>
  <c r="G20" i="7"/>
  <c r="I20" i="7" s="1"/>
  <c r="K20" i="7" s="1"/>
  <c r="M20" i="7" s="1"/>
  <c r="O20" i="7" s="1"/>
  <c r="Q20" i="7" s="1"/>
  <c r="S20" i="7" s="1"/>
  <c r="U20" i="7" s="1"/>
  <c r="W20" i="7" s="1"/>
  <c r="Y20" i="7" s="1"/>
  <c r="AA20" i="7" s="1"/>
  <c r="AC20" i="7" s="1"/>
  <c r="AE20" i="7" s="1"/>
  <c r="AG20" i="7" s="1"/>
  <c r="E25" i="7"/>
  <c r="G25" i="7" s="1"/>
  <c r="I25" i="7"/>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c r="A31" i="7"/>
  <c r="E31" i="7"/>
  <c r="G31" i="7"/>
  <c r="I31" i="7" s="1"/>
  <c r="K31" i="7" s="1"/>
  <c r="M31" i="7" s="1"/>
  <c r="O31" i="7" s="1"/>
  <c r="Q31" i="7" s="1"/>
  <c r="S31" i="7" s="1"/>
  <c r="U31" i="7" s="1"/>
  <c r="W31" i="7" s="1"/>
  <c r="Y31" i="7" s="1"/>
  <c r="AA31" i="7" s="1"/>
  <c r="AC31" i="7" s="1"/>
  <c r="AE31" i="7" s="1"/>
  <c r="AG31" i="7" s="1"/>
  <c r="A32" i="7"/>
  <c r="E32" i="7"/>
  <c r="G32" i="7"/>
  <c r="I32" i="7" s="1"/>
  <c r="K32" i="7"/>
  <c r="M32" i="7" s="1"/>
  <c r="O32" i="7" s="1"/>
  <c r="Q32" i="7" s="1"/>
  <c r="S32" i="7" s="1"/>
  <c r="U32" i="7" s="1"/>
  <c r="W32" i="7" s="1"/>
  <c r="Y32" i="7" s="1"/>
  <c r="AA32" i="7" s="1"/>
  <c r="AC32" i="7" s="1"/>
  <c r="AE32" i="7" s="1"/>
  <c r="AG32" i="7" s="1"/>
  <c r="A39" i="7"/>
  <c r="E39" i="7"/>
  <c r="K39" i="7" s="1"/>
  <c r="K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H42" i="13" s="1"/>
  <c r="T54" i="4"/>
  <c r="H54" i="13" s="1"/>
  <c r="T70" i="4"/>
  <c r="H70" i="13" s="1"/>
  <c r="T96" i="4"/>
  <c r="H96" i="13" s="1"/>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s="1"/>
  <c r="C62" i="4"/>
  <c r="B62" i="13" s="1"/>
  <c r="C77" i="4"/>
  <c r="B77" i="13" s="1"/>
  <c r="C96" i="4"/>
  <c r="B96" i="13" s="1"/>
  <c r="B104" i="13"/>
  <c r="D8" i="4"/>
  <c r="D11" i="4"/>
  <c r="D26" i="4"/>
  <c r="D38" i="4"/>
  <c r="D42" i="4"/>
  <c r="D54" i="4"/>
  <c r="D62" i="4"/>
  <c r="D77" i="4"/>
  <c r="D96" i="4"/>
  <c r="D104" i="4"/>
  <c r="B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A678" i="3"/>
  <c r="AM736" i="3" s="1"/>
  <c r="BA679" i="3"/>
  <c r="AM737"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C733" i="3"/>
  <c r="AC734" i="3"/>
  <c r="AC735" i="3"/>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7" i="25"/>
  <c r="BI711" i="3"/>
  <c r="BI710" i="3"/>
  <c r="AM739" i="3"/>
  <c r="BI714" i="3"/>
  <c r="E6" i="21"/>
  <c r="E92" i="20"/>
  <c r="B77" i="4"/>
  <c r="E93" i="20"/>
  <c r="DC658" i="3"/>
  <c r="DH658" i="3"/>
  <c r="DM658" i="3"/>
  <c r="CS658" i="3"/>
  <c r="DR658" i="3"/>
  <c r="CX658" i="3"/>
  <c r="B27" i="11"/>
  <c r="D50" i="11"/>
  <c r="EH635" i="3"/>
  <c r="EM635" i="3"/>
  <c r="ER635" i="3"/>
  <c r="EW635" i="3"/>
  <c r="DX635" i="3"/>
  <c r="EC635" i="3"/>
  <c r="AM734" i="3"/>
  <c r="I63" i="13"/>
  <c r="I97" i="13"/>
  <c r="I105" i="13"/>
  <c r="I107" i="13"/>
  <c r="B81" i="13"/>
  <c r="D54" i="11"/>
  <c r="J63" i="13"/>
  <c r="J97" i="13"/>
  <c r="J105" i="13"/>
  <c r="J107" i="13"/>
  <c r="L12" i="4"/>
  <c r="R970" i="3"/>
  <c r="R973" i="3"/>
  <c r="R971" i="3"/>
  <c r="AD1035" i="3"/>
  <c r="R972" i="3"/>
  <c r="R969" i="3"/>
  <c r="AM729" i="3"/>
  <c r="BI704" i="3" s="1"/>
  <c r="AG444" i="3"/>
  <c r="AI27" i="15"/>
  <c r="AM732" i="3"/>
  <c r="D93" i="11"/>
  <c r="D70" i="11"/>
  <c r="D80" i="11"/>
  <c r="I12" i="4"/>
  <c r="G12" i="4"/>
  <c r="D6" i="11"/>
  <c r="L63" i="4"/>
  <c r="L97" i="4"/>
  <c r="L105" i="4"/>
  <c r="Q12" i="4"/>
  <c r="B11" i="4"/>
  <c r="O63" i="4"/>
  <c r="O97" i="4"/>
  <c r="O105" i="4"/>
  <c r="R70" i="4"/>
  <c r="B8" i="4"/>
  <c r="N158" i="25"/>
  <c r="D10" i="11"/>
  <c r="D36" i="11"/>
  <c r="G63" i="13"/>
  <c r="G97" i="13" s="1"/>
  <c r="G105" i="13" s="1"/>
  <c r="G107" i="13" s="1"/>
  <c r="D8" i="11"/>
  <c r="D85" i="11"/>
  <c r="D102" i="11"/>
  <c r="D94" i="11"/>
  <c r="K12" i="4"/>
  <c r="C43" i="11"/>
  <c r="D63" i="4"/>
  <c r="D97" i="4"/>
  <c r="D105" i="4"/>
  <c r="F63" i="4"/>
  <c r="F97" i="4" s="1"/>
  <c r="F105" i="4" s="1"/>
  <c r="J12" i="4"/>
  <c r="D22" i="11"/>
  <c r="O12" i="4"/>
  <c r="I63" i="4"/>
  <c r="I97" i="4"/>
  <c r="I105" i="4"/>
  <c r="D95" i="11"/>
  <c r="B82" i="11"/>
  <c r="B11" i="13"/>
  <c r="D12" i="4"/>
  <c r="R77" i="4"/>
  <c r="H12" i="4"/>
  <c r="C82" i="11"/>
  <c r="B9" i="11"/>
  <c r="B13" i="11" s="1"/>
  <c r="D89" i="11"/>
  <c r="D44" i="11"/>
  <c r="D35" i="11"/>
  <c r="D76" i="11"/>
  <c r="D31" i="11"/>
  <c r="D32" i="11"/>
  <c r="D15" i="11"/>
  <c r="D63" i="13"/>
  <c r="D97" i="13" s="1"/>
  <c r="D105" i="13"/>
  <c r="Q63" i="4"/>
  <c r="Q97" i="4"/>
  <c r="Q105" i="4"/>
  <c r="D87" i="11"/>
  <c r="N63" i="4"/>
  <c r="N97" i="4"/>
  <c r="N105" i="4"/>
  <c r="N12" i="4"/>
  <c r="H63" i="4"/>
  <c r="H97" i="4"/>
  <c r="H105" i="4"/>
  <c r="F12" i="4"/>
  <c r="M12" i="4"/>
  <c r="R8" i="4"/>
  <c r="R12" i="4"/>
  <c r="D38" i="11"/>
  <c r="R42" i="4"/>
  <c r="P63" i="4"/>
  <c r="P97" i="4"/>
  <c r="P105" i="4"/>
  <c r="B38" i="4"/>
  <c r="D58" i="11"/>
  <c r="D100" i="11"/>
  <c r="D62" i="11"/>
  <c r="D24" i="11"/>
  <c r="D101" i="11"/>
  <c r="D90" i="11"/>
  <c r="R62" i="4"/>
  <c r="R38" i="4"/>
  <c r="R63" i="4" s="1"/>
  <c r="D92" i="11"/>
  <c r="D75" i="11"/>
  <c r="B71" i="11"/>
  <c r="D28" i="11"/>
  <c r="R54" i="4"/>
  <c r="C55" i="11"/>
  <c r="D88" i="11"/>
  <c r="D16" i="11"/>
  <c r="B12" i="11"/>
  <c r="R26" i="4"/>
  <c r="D86" i="11"/>
  <c r="F63" i="13"/>
  <c r="AM733" i="3"/>
  <c r="BI708" i="3" s="1"/>
  <c r="AB48" i="15"/>
  <c r="AD193" i="20"/>
  <c r="AD194" i="20"/>
  <c r="B42" i="4"/>
  <c r="D77" i="11"/>
  <c r="C71" i="11"/>
  <c r="M63" i="4"/>
  <c r="M97" i="4"/>
  <c r="M105" i="4"/>
  <c r="R104" i="4"/>
  <c r="G63" i="4"/>
  <c r="G97" i="4" s="1"/>
  <c r="G105" i="4" s="1"/>
  <c r="J63" i="4"/>
  <c r="J97" i="4"/>
  <c r="J105" i="4" s="1"/>
  <c r="C12" i="11"/>
  <c r="K63" i="4"/>
  <c r="K97" i="4"/>
  <c r="K105" i="4"/>
  <c r="R96" i="4"/>
  <c r="B105" i="11"/>
  <c r="E42" i="7"/>
  <c r="AD7" i="15"/>
  <c r="C63" i="4"/>
  <c r="C97" i="4" s="1"/>
  <c r="E63" i="4"/>
  <c r="E97" i="4" s="1"/>
  <c r="E105" i="4" s="1"/>
  <c r="O39" i="7"/>
  <c r="O42" i="7" s="1"/>
  <c r="BN644" i="3"/>
  <c r="BR645" i="3"/>
  <c r="CM644" i="3"/>
  <c r="CQ645" i="3"/>
  <c r="CH644" i="3"/>
  <c r="CL645" i="3"/>
  <c r="BS644" i="3"/>
  <c r="BW645" i="3"/>
  <c r="AG39" i="7"/>
  <c r="AG42" i="7" s="1"/>
  <c r="DH635" i="3"/>
  <c r="BX644" i="3"/>
  <c r="CB645" i="3"/>
  <c r="T7" i="15"/>
  <c r="O27" i="7"/>
  <c r="W27" i="7"/>
  <c r="Y27" i="7"/>
  <c r="AG27" i="7"/>
  <c r="M27" i="7"/>
  <c r="G27" i="7"/>
  <c r="Q27" i="7"/>
  <c r="CC635" i="3"/>
  <c r="CM635" i="3"/>
  <c r="BX658" i="3"/>
  <c r="CB659" i="3"/>
  <c r="BX635" i="3"/>
  <c r="I30" i="8"/>
  <c r="Z807" i="3"/>
  <c r="Z816" i="3" s="1"/>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D104" i="11"/>
  <c r="E12" i="4"/>
  <c r="B96" i="4"/>
  <c r="C12" i="4"/>
  <c r="B12" i="13"/>
  <c r="N164" i="25"/>
  <c r="BI709" i="3"/>
  <c r="BI707" i="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D71" i="11"/>
  <c r="D82" i="11"/>
  <c r="B12" i="4"/>
  <c r="D12" i="11"/>
  <c r="D26" i="11"/>
  <c r="CM636" i="3"/>
  <c r="BX663" i="3"/>
  <c r="AB971" i="3"/>
  <c r="Y798" i="3"/>
  <c r="BN663" i="3"/>
  <c r="AB969" i="3"/>
  <c r="AC883" i="3"/>
  <c r="CC663" i="3"/>
  <c r="AB972" i="3"/>
  <c r="BS663" i="3"/>
  <c r="AB970" i="3"/>
  <c r="BH694" i="3"/>
  <c r="BI694" i="3"/>
  <c r="CM663" i="3"/>
  <c r="I1031" i="3"/>
  <c r="BA990" i="3"/>
  <c r="Y799" i="3"/>
  <c r="E4"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CS637" i="3"/>
  <c r="O756" i="3"/>
  <c r="D96" i="11"/>
  <c r="EH663" i="3"/>
  <c r="O118" i="20"/>
  <c r="O121" i="20"/>
  <c r="EC663" i="3"/>
  <c r="J118" i="20"/>
  <c r="J121" i="20"/>
  <c r="EM663" i="3"/>
  <c r="T118" i="20"/>
  <c r="T121" i="20"/>
  <c r="DX663" i="3"/>
  <c r="E118" i="20"/>
  <c r="E121" i="20"/>
  <c r="EW663" i="3"/>
  <c r="AD118" i="20"/>
  <c r="AD121" i="20"/>
  <c r="ER663" i="3"/>
  <c r="Y118" i="20"/>
  <c r="Y121" i="20"/>
  <c r="BH696" i="3"/>
  <c r="AJ970" i="3"/>
  <c r="I12" i="21"/>
  <c r="AJ972" i="3"/>
  <c r="AJ969" i="3"/>
  <c r="AJ971" i="3"/>
  <c r="I13" i="21"/>
  <c r="AB973" i="3"/>
  <c r="G4" i="7"/>
  <c r="I4" i="7" s="1"/>
  <c r="BI671" i="3"/>
  <c r="BI696" i="3"/>
  <c r="AH753" i="3"/>
  <c r="CS663" i="3"/>
  <c r="U588" i="20"/>
  <c r="P420" i="3"/>
  <c r="E91" i="20"/>
  <c r="E81" i="20"/>
  <c r="E82" i="20"/>
  <c r="E83" i="20" s="1"/>
  <c r="AP83" i="20"/>
  <c r="I11" i="21"/>
  <c r="AJ973" i="3"/>
  <c r="AJ975" i="3"/>
  <c r="AB974" i="3"/>
  <c r="AJ1024" i="3"/>
  <c r="AP767" i="20"/>
  <c r="AP769" i="20" s="1"/>
  <c r="AJ1028" i="3"/>
  <c r="AP768" i="20"/>
  <c r="AJ1015" i="3"/>
  <c r="AJ1011" i="3"/>
  <c r="AJ1008" i="3"/>
  <c r="AJ1020" i="3"/>
  <c r="AJ977" i="3"/>
  <c r="AJ986" i="3"/>
  <c r="AJ995" i="3"/>
  <c r="AP765" i="20"/>
  <c r="AJ992" i="3"/>
  <c r="B1039" i="3"/>
  <c r="AZ846" i="3"/>
  <c r="AZ849" i="3"/>
  <c r="AJ1032" i="3"/>
  <c r="T24" i="15"/>
  <c r="AZ854" i="3"/>
  <c r="AP772" i="20"/>
  <c r="R97" i="4" l="1"/>
  <c r="R105" i="4" s="1"/>
  <c r="C63" i="11"/>
  <c r="B62" i="4"/>
  <c r="B63" i="13"/>
  <c r="B54" i="4"/>
  <c r="B97" i="4"/>
  <c r="B97" i="13"/>
  <c r="C105" i="4"/>
  <c r="AM731" i="3"/>
  <c r="BI706" i="3" s="1"/>
  <c r="AM728" i="3"/>
  <c r="BI703" i="3" s="1"/>
  <c r="Q39" i="7"/>
  <c r="Q42" i="7" s="1"/>
  <c r="I39" i="7"/>
  <c r="I42" i="7" s="1"/>
  <c r="M39" i="7"/>
  <c r="M42" i="7" s="1"/>
  <c r="G39" i="7"/>
  <c r="G42" i="7" s="1"/>
  <c r="S39" i="7"/>
  <c r="S42" i="7" s="1"/>
  <c r="U39" i="7"/>
  <c r="U42" i="7" s="1"/>
  <c r="AA39" i="7"/>
  <c r="AA42" i="7" s="1"/>
  <c r="AE39" i="7"/>
  <c r="AE42" i="7" s="1"/>
  <c r="Y39" i="7"/>
  <c r="Y42" i="7" s="1"/>
  <c r="W39" i="7"/>
  <c r="W42" i="7" s="1"/>
  <c r="AC39" i="7"/>
  <c r="AC42" i="7" s="1"/>
  <c r="I53" i="7"/>
  <c r="K53" i="7" s="1"/>
  <c r="M53" i="7" s="1"/>
  <c r="O53" i="7" s="1"/>
  <c r="Q53" i="7" s="1"/>
  <c r="S53" i="7" s="1"/>
  <c r="U53" i="7" s="1"/>
  <c r="W53" i="7" s="1"/>
  <c r="Y53" i="7" s="1"/>
  <c r="AA53" i="7" s="1"/>
  <c r="AC53" i="7" s="1"/>
  <c r="AE53" i="7" s="1"/>
  <c r="AG53" i="7" s="1"/>
  <c r="K52" i="7"/>
  <c r="T63" i="4"/>
  <c r="S63" i="4"/>
  <c r="E63" i="13" s="1"/>
  <c r="I5" i="7"/>
  <c r="K4" i="7"/>
  <c r="E124" i="20"/>
  <c r="BI712" i="3"/>
  <c r="F30" i="8"/>
  <c r="D42" i="11"/>
  <c r="AB29" i="25"/>
  <c r="E16" i="21"/>
  <c r="I14" i="21" s="1"/>
  <c r="BI705" i="3"/>
  <c r="E6" i="7"/>
  <c r="G15" i="7"/>
  <c r="I15" i="7" s="1"/>
  <c r="K15" i="7" s="1"/>
  <c r="M15" i="7" s="1"/>
  <c r="O15" i="7" s="1"/>
  <c r="Q15" i="7" s="1"/>
  <c r="S15" i="7" s="1"/>
  <c r="U15" i="7" s="1"/>
  <c r="W15" i="7" s="1"/>
  <c r="Y15" i="7" s="1"/>
  <c r="AA15" i="7" s="1"/>
  <c r="AC15" i="7" s="1"/>
  <c r="AE15" i="7" s="1"/>
  <c r="AG15" i="7" s="1"/>
  <c r="E21" i="7"/>
  <c r="E34" i="7" s="1"/>
  <c r="D48" i="11"/>
  <c r="AI7" i="15"/>
  <c r="Y7" i="15"/>
  <c r="AW106" i="20"/>
  <c r="O124" i="20" s="1"/>
  <c r="J19" i="25"/>
  <c r="P29" i="25"/>
  <c r="D43" i="11"/>
  <c r="D12" i="13"/>
  <c r="AV110" i="20"/>
  <c r="AW107" i="20" s="1"/>
  <c r="T124" i="20" s="1"/>
  <c r="D39" i="11"/>
  <c r="AH29" i="25"/>
  <c r="AW108" i="20"/>
  <c r="I27" i="7"/>
  <c r="S27" i="7"/>
  <c r="AC27" i="7"/>
  <c r="AA27" i="7"/>
  <c r="K27" i="7"/>
  <c r="U27" i="7"/>
  <c r="E9" i="7"/>
  <c r="G8" i="7"/>
  <c r="B78" i="11"/>
  <c r="D78" i="11" s="1"/>
  <c r="D73" i="11"/>
  <c r="J24" i="25"/>
  <c r="J26" i="25"/>
  <c r="G5" i="7"/>
  <c r="E5" i="7"/>
  <c r="D21" i="11"/>
  <c r="D14" i="11"/>
  <c r="D5" i="11"/>
  <c r="C63" i="13"/>
  <c r="C97" i="13" s="1"/>
  <c r="C105" i="13" s="1"/>
  <c r="C12" i="13"/>
  <c r="J20" i="25"/>
  <c r="B63" i="11"/>
  <c r="D63" i="11" s="1"/>
  <c r="B55" i="11"/>
  <c r="D55" i="11" s="1"/>
  <c r="AP771" i="20"/>
  <c r="AP774" i="20" s="1"/>
  <c r="AF767" i="20" s="1"/>
  <c r="C9" i="11"/>
  <c r="D30" i="11"/>
  <c r="D11" i="11"/>
  <c r="D81" i="11"/>
  <c r="M14" i="7"/>
  <c r="F97" i="13"/>
  <c r="F105" i="13" s="1"/>
  <c r="F107" i="13" s="1"/>
  <c r="D51" i="11"/>
  <c r="J27" i="25"/>
  <c r="AW104" i="20"/>
  <c r="J21" i="25"/>
  <c r="J23" i="25"/>
  <c r="J25" i="25"/>
  <c r="Y124" i="20"/>
  <c r="C27" i="11"/>
  <c r="D18" i="11"/>
  <c r="D27" i="11" s="1"/>
  <c r="D91" i="11"/>
  <c r="C97" i="11"/>
  <c r="D97" i="11" s="1"/>
  <c r="D103" i="11"/>
  <c r="C105" i="11"/>
  <c r="D105" i="11" s="1"/>
  <c r="E94" i="20"/>
  <c r="AP94" i="20" s="1"/>
  <c r="AK97" i="20" s="1"/>
  <c r="T786" i="20" s="1"/>
  <c r="AF786" i="20" s="1"/>
  <c r="B63" i="4" l="1"/>
  <c r="B64" i="11"/>
  <c r="B98" i="11" s="1"/>
  <c r="B106" i="11" s="1"/>
  <c r="B105" i="4"/>
  <c r="AG252" i="20"/>
  <c r="B105" i="13"/>
  <c r="AC454" i="3"/>
  <c r="I57" i="7"/>
  <c r="M52" i="7"/>
  <c r="K57" i="7"/>
  <c r="H63" i="13"/>
  <c r="T97" i="4"/>
  <c r="S97" i="4"/>
  <c r="O14" i="7"/>
  <c r="M21" i="7"/>
  <c r="M34" i="7" s="1"/>
  <c r="E126" i="20"/>
  <c r="E127" i="20" s="1"/>
  <c r="AK131" i="20" s="1"/>
  <c r="T787" i="20" s="1"/>
  <c r="AF787" i="20" s="1"/>
  <c r="J29" i="25"/>
  <c r="AT19" i="25"/>
  <c r="M4" i="7"/>
  <c r="K5" i="7"/>
  <c r="AT20" i="25"/>
  <c r="I21" i="7"/>
  <c r="I34" i="7" s="1"/>
  <c r="AT21" i="25"/>
  <c r="I15" i="21"/>
  <c r="I16" i="21" s="1"/>
  <c r="D9" i="11"/>
  <c r="C64" i="11"/>
  <c r="C13" i="11"/>
  <c r="D13" i="11" s="1"/>
  <c r="I8" i="7"/>
  <c r="G9" i="7"/>
  <c r="AW109" i="20"/>
  <c r="AD124" i="20" s="1"/>
  <c r="AW105" i="20"/>
  <c r="J124" i="20" s="1"/>
  <c r="G6" i="7"/>
  <c r="E7" i="7"/>
  <c r="E10" i="7" s="1"/>
  <c r="E36" i="7" s="1"/>
  <c r="K21" i="7"/>
  <c r="K34" i="7" s="1"/>
  <c r="G21" i="7"/>
  <c r="G34" i="7" s="1"/>
  <c r="BI728" i="3"/>
  <c r="AM753" i="3" s="1"/>
  <c r="AB249" i="20" l="1"/>
  <c r="AG251" i="20" s="1"/>
  <c r="AG253" i="20" s="1"/>
  <c r="AK256" i="20" s="1"/>
  <c r="T792" i="20" s="1"/>
  <c r="AF792" i="20" s="1"/>
  <c r="N154" i="25"/>
  <c r="AB47" i="15"/>
  <c r="AB49" i="15" s="1"/>
  <c r="AB54" i="15" s="1"/>
  <c r="AB55" i="15" s="1"/>
  <c r="AC453" i="3"/>
  <c r="M57" i="7"/>
  <c r="O52" i="7"/>
  <c r="T105" i="4"/>
  <c r="H97" i="13"/>
  <c r="E97" i="13"/>
  <c r="S105" i="4"/>
  <c r="E44" i="7"/>
  <c r="E48" i="7"/>
  <c r="AU36" i="25"/>
  <c r="AU46" i="25"/>
  <c r="AU39" i="25"/>
  <c r="AU47" i="25"/>
  <c r="AT29" i="25"/>
  <c r="AU40" i="25"/>
  <c r="AU37" i="25"/>
  <c r="AU44" i="25"/>
  <c r="AU45" i="25"/>
  <c r="AU41" i="25"/>
  <c r="AU43" i="25"/>
  <c r="AU38" i="25"/>
  <c r="AU42" i="25"/>
  <c r="N155" i="25"/>
  <c r="AT22" i="25"/>
  <c r="AT28" i="25"/>
  <c r="N165" i="25"/>
  <c r="AT23" i="25"/>
  <c r="Q14" i="7"/>
  <c r="O21" i="7"/>
  <c r="O34" i="7" s="1"/>
  <c r="AT25" i="25"/>
  <c r="I9" i="7"/>
  <c r="K8" i="7"/>
  <c r="AT24" i="25"/>
  <c r="D64" i="11"/>
  <c r="C98" i="11"/>
  <c r="AT27" i="25"/>
  <c r="O4" i="7"/>
  <c r="M5" i="7"/>
  <c r="I6" i="7"/>
  <c r="G7" i="7"/>
  <c r="AW110" i="20"/>
  <c r="G10" i="7"/>
  <c r="G36" i="7" s="1"/>
  <c r="AT26" i="25"/>
  <c r="O57" i="7" l="1"/>
  <c r="Q52" i="7"/>
  <c r="H105" i="13"/>
  <c r="T107" i="4"/>
  <c r="H107" i="13" s="1"/>
  <c r="E105" i="13"/>
  <c r="S107" i="4"/>
  <c r="C106" i="11"/>
  <c r="D106" i="11" s="1"/>
  <c r="D98" i="11"/>
  <c r="O5" i="7"/>
  <c r="Q4" i="7"/>
  <c r="G44" i="7"/>
  <c r="G48" i="7"/>
  <c r="K9" i="7"/>
  <c r="M8" i="7"/>
  <c r="E46" i="7"/>
  <c r="E59" i="7"/>
  <c r="E47" i="7"/>
  <c r="K6" i="7"/>
  <c r="I7" i="7"/>
  <c r="I10" i="7"/>
  <c r="I36" i="7" s="1"/>
  <c r="Q21" i="7"/>
  <c r="Q34" i="7" s="1"/>
  <c r="S14" i="7"/>
  <c r="S52" i="7" l="1"/>
  <c r="Q57" i="7"/>
  <c r="AD11" i="15"/>
  <c r="AD23" i="15" s="1"/>
  <c r="AD26" i="15" s="1"/>
  <c r="AD28" i="15" s="1"/>
  <c r="AI11" i="15"/>
  <c r="AI23" i="15" s="1"/>
  <c r="AI26" i="15" s="1"/>
  <c r="AI28" i="15" s="1"/>
  <c r="AF766" i="20"/>
  <c r="AF768" i="20" s="1"/>
  <c r="AK774" i="20" s="1"/>
  <c r="T799" i="20" s="1"/>
  <c r="AF799" i="20" s="1"/>
  <c r="AF801" i="20" s="1"/>
  <c r="AC455" i="3"/>
  <c r="E107" i="13"/>
  <c r="E61" i="7"/>
  <c r="S21" i="7"/>
  <c r="S34" i="7" s="1"/>
  <c r="U14" i="7"/>
  <c r="O8" i="7"/>
  <c r="M9" i="7"/>
  <c r="G59" i="7"/>
  <c r="G46" i="7"/>
  <c r="G47" i="7"/>
  <c r="Q5" i="7"/>
  <c r="S4" i="7"/>
  <c r="I48" i="7"/>
  <c r="I44" i="7"/>
  <c r="K7" i="7"/>
  <c r="M6" i="7"/>
  <c r="K10" i="7"/>
  <c r="K36" i="7" s="1"/>
  <c r="U52" i="7" l="1"/>
  <c r="S57" i="7"/>
  <c r="T11" i="15"/>
  <c r="T23" i="15" s="1"/>
  <c r="Y11" i="15"/>
  <c r="Y23" i="15" s="1"/>
  <c r="Y26" i="15" s="1"/>
  <c r="Y28" i="15" s="1"/>
  <c r="Y64" i="15" s="1"/>
  <c r="Y68" i="15" s="1"/>
  <c r="G61" i="7"/>
  <c r="O9" i="7"/>
  <c r="Q8" i="7"/>
  <c r="K48" i="7"/>
  <c r="K44" i="7"/>
  <c r="E69" i="7"/>
  <c r="E71" i="7" s="1"/>
  <c r="O6" i="7"/>
  <c r="M7" i="7"/>
  <c r="M10" i="7"/>
  <c r="M36" i="7" s="1"/>
  <c r="I46" i="7"/>
  <c r="I59" i="7"/>
  <c r="I47" i="7"/>
  <c r="U21" i="7"/>
  <c r="U34" i="7" s="1"/>
  <c r="W14" i="7"/>
  <c r="U4" i="7"/>
  <c r="S5" i="7"/>
  <c r="W52" i="7" l="1"/>
  <c r="U57" i="7"/>
  <c r="AD38" i="15"/>
  <c r="AD40" i="15" s="1"/>
  <c r="T26" i="15"/>
  <c r="T28" i="15" s="1"/>
  <c r="T29" i="15" s="1"/>
  <c r="Q6" i="7"/>
  <c r="O7" i="7"/>
  <c r="O10" i="7" s="1"/>
  <c r="O36" i="7" s="1"/>
  <c r="K47" i="7"/>
  <c r="K59" i="7"/>
  <c r="K46" i="7"/>
  <c r="S8" i="7"/>
  <c r="Q9" i="7"/>
  <c r="U5" i="7"/>
  <c r="W4" i="7"/>
  <c r="W21" i="7"/>
  <c r="W34" i="7" s="1"/>
  <c r="Y14" i="7"/>
  <c r="M48" i="7"/>
  <c r="M44" i="7"/>
  <c r="I61" i="7"/>
  <c r="G69" i="7"/>
  <c r="G71" i="7" s="1"/>
  <c r="Y52" i="7" l="1"/>
  <c r="W57" i="7"/>
  <c r="I69" i="7"/>
  <c r="I71" i="7" s="1"/>
  <c r="Y38" i="15"/>
  <c r="Y40" i="15" s="1"/>
  <c r="Y41" i="15" s="1"/>
  <c r="AB56" i="15" s="1"/>
  <c r="M26" i="3" s="1"/>
  <c r="P203" i="3" s="1"/>
  <c r="O48" i="7"/>
  <c r="O44" i="7"/>
  <c r="S9" i="7"/>
  <c r="U8" i="7"/>
  <c r="AA14" i="7"/>
  <c r="Y21" i="7"/>
  <c r="Y34" i="7" s="1"/>
  <c r="K61" i="7"/>
  <c r="M46" i="7"/>
  <c r="M59" i="7"/>
  <c r="M47" i="7"/>
  <c r="S6" i="7"/>
  <c r="Q7" i="7"/>
  <c r="Q10" i="7"/>
  <c r="Q36" i="7" s="1"/>
  <c r="Y4" i="7"/>
  <c r="W5" i="7"/>
  <c r="AA52" i="7" l="1"/>
  <c r="Y57" i="7"/>
  <c r="AB57" i="15"/>
  <c r="AB59" i="15" s="1"/>
  <c r="AB76" i="15" s="1"/>
  <c r="AB77" i="15" s="1"/>
  <c r="M27" i="3" s="1"/>
  <c r="P204" i="3" s="1"/>
  <c r="Q44" i="7"/>
  <c r="Q48" i="7"/>
  <c r="AC14" i="7"/>
  <c r="AA21" i="7"/>
  <c r="AA34" i="7" s="1"/>
  <c r="K69" i="7"/>
  <c r="K71" i="7" s="1"/>
  <c r="AA4" i="7"/>
  <c r="Y5" i="7"/>
  <c r="W8" i="7"/>
  <c r="U9" i="7"/>
  <c r="S7" i="7"/>
  <c r="S10" i="7" s="1"/>
  <c r="S36" i="7" s="1"/>
  <c r="U6" i="7"/>
  <c r="O59" i="7"/>
  <c r="O46" i="7"/>
  <c r="O47" i="7"/>
  <c r="M61" i="7"/>
  <c r="AC52" i="7" l="1"/>
  <c r="AA57" i="7"/>
  <c r="AB78" i="15"/>
  <c r="AB80" i="15" s="1"/>
  <c r="J81" i="15" s="1"/>
  <c r="E3" i="21"/>
  <c r="E7" i="21" s="1"/>
  <c r="E18" i="21" s="1"/>
  <c r="S44" i="7"/>
  <c r="S48" i="7"/>
  <c r="Y8" i="7"/>
  <c r="W9" i="7"/>
  <c r="M69" i="7"/>
  <c r="M71" i="7" s="1"/>
  <c r="AE14" i="7"/>
  <c r="AC21" i="7"/>
  <c r="AC34" i="7" s="1"/>
  <c r="Q59" i="7"/>
  <c r="Q46" i="7"/>
  <c r="Q47" i="7"/>
  <c r="AA5" i="7"/>
  <c r="AC4" i="7"/>
  <c r="O61" i="7"/>
  <c r="U7" i="7"/>
  <c r="W6" i="7"/>
  <c r="U10" i="7"/>
  <c r="U36" i="7" s="1"/>
  <c r="AC57" i="7" l="1"/>
  <c r="AE52" i="7"/>
  <c r="W7" i="7"/>
  <c r="Y6" i="7"/>
  <c r="W10" i="7"/>
  <c r="W36" i="7" s="1"/>
  <c r="Q61" i="7"/>
  <c r="AA8" i="7"/>
  <c r="Y9" i="7"/>
  <c r="U44" i="7"/>
  <c r="U48" i="7"/>
  <c r="AE21" i="7"/>
  <c r="AE34" i="7" s="1"/>
  <c r="AG14" i="7"/>
  <c r="AG21" i="7" s="1"/>
  <c r="AG34" i="7" s="1"/>
  <c r="O69" i="7"/>
  <c r="O71" i="7" s="1"/>
  <c r="S47" i="7"/>
  <c r="S46" i="7"/>
  <c r="S59" i="7"/>
  <c r="AC5" i="7"/>
  <c r="AE4" i="7"/>
  <c r="AG52" i="7" l="1"/>
  <c r="AG57" i="7" s="1"/>
  <c r="AE57" i="7"/>
  <c r="Q69" i="7"/>
  <c r="Q71" i="7" s="1"/>
  <c r="U47" i="7"/>
  <c r="U46" i="7"/>
  <c r="U59" i="7"/>
  <c r="AA6" i="7"/>
  <c r="Y7" i="7"/>
  <c r="Y10" i="7"/>
  <c r="Y36" i="7" s="1"/>
  <c r="AG4" i="7"/>
  <c r="AE5" i="7"/>
  <c r="S61" i="7"/>
  <c r="W44" i="7"/>
  <c r="W48" i="7"/>
  <c r="AC8" i="7"/>
  <c r="AA9" i="7"/>
  <c r="AG5" i="7" l="1"/>
  <c r="Y44" i="7"/>
  <c r="Y48" i="7"/>
  <c r="AE8" i="7"/>
  <c r="AC9" i="7"/>
  <c r="AC6" i="7"/>
  <c r="AA7" i="7"/>
  <c r="AA10" i="7"/>
  <c r="AA36" i="7" s="1"/>
  <c r="U61" i="7"/>
  <c r="W46" i="7"/>
  <c r="W59" i="7"/>
  <c r="W47" i="7"/>
  <c r="S69" i="7"/>
  <c r="S71" i="7" s="1"/>
  <c r="AC7" i="7" l="1"/>
  <c r="AE6" i="7"/>
  <c r="AC10" i="7"/>
  <c r="AC36" i="7" s="1"/>
  <c r="AA44" i="7"/>
  <c r="AA48" i="7"/>
  <c r="AG8" i="7"/>
  <c r="AG9" i="7" s="1"/>
  <c r="AE9" i="7"/>
  <c r="W61" i="7"/>
  <c r="Y61" i="7" s="1"/>
  <c r="W69" i="7"/>
  <c r="Y59" i="7"/>
  <c r="Y47" i="7"/>
  <c r="Y46" i="7"/>
  <c r="U69" i="7"/>
  <c r="U71" i="7" s="1"/>
  <c r="Y65" i="7" l="1"/>
  <c r="W71" i="7"/>
  <c r="AC44" i="7"/>
  <c r="AC48" i="7"/>
  <c r="AA47" i="7"/>
  <c r="AA46" i="7"/>
  <c r="AA59" i="7"/>
  <c r="AA65" i="7" s="1"/>
  <c r="AE7" i="7"/>
  <c r="AG6" i="7"/>
  <c r="AE10" i="7"/>
  <c r="AE36" i="7" s="1"/>
  <c r="Y69" i="7"/>
  <c r="Y71" i="7" s="1"/>
  <c r="AG7" i="7" l="1"/>
  <c r="AG10" i="7"/>
  <c r="AG36" i="7" s="1"/>
  <c r="AA69" i="7"/>
  <c r="AA71" i="7" s="1"/>
  <c r="AE48" i="7"/>
  <c r="AE44" i="7"/>
  <c r="AC46" i="7"/>
  <c r="AC59" i="7"/>
  <c r="AC65" i="7" s="1"/>
  <c r="AC47" i="7"/>
  <c r="AE59" i="7" l="1"/>
  <c r="AE65" i="7" s="1"/>
  <c r="AE47" i="7"/>
  <c r="AE46" i="7"/>
  <c r="AG48" i="7"/>
  <c r="AG44" i="7"/>
  <c r="AC69" i="7" l="1"/>
  <c r="AC71" i="7" s="1"/>
  <c r="AG46" i="7"/>
  <c r="AG59" i="7"/>
  <c r="AG65" i="7" s="1"/>
  <c r="AG47" i="7"/>
  <c r="AE69" i="7"/>
  <c r="AE71" i="7" l="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<sst xmlns="http://schemas.openxmlformats.org/spreadsheetml/2006/main" count="5099" uniqueCount="2643">
  <si>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</si>
  <si>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</si>
  <si>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</si>
  <si>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</si>
  <si>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</si>
  <si>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</si>
  <si>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</si>
  <si>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</si>
  <si>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</si>
  <si>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</si>
  <si>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</si>
  <si>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</si>
  <si>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</si>
  <si>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</si>
  <si>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</si>
  <si>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</si>
  <si>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</si>
  <si>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</si>
  <si>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</si>
  <si>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</si>
  <si>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</si>
  <si>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</si>
  <si>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</si>
  <si>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</si>
  <si>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</si>
  <si>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</si>
  <si>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</si>
  <si>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</si>
  <si>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</si>
  <si>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</si>
  <si>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</si>
  <si>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</si>
  <si>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</si>
  <si>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</si>
  <si>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</si>
  <si>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</si>
  <si>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</si>
  <si>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</si>
  <si>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</si>
  <si>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</si>
  <si>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</si>
  <si>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</si>
  <si>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</si>
  <si>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</si>
  <si>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</si>
  <si>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</si>
  <si>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</si>
  <si>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</si>
  <si>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</si>
  <si>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</si>
  <si>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</si>
  <si>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</si>
  <si>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</si>
  <si>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</si>
  <si>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</si>
  <si>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</si>
  <si>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</si>
  <si>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</si>
  <si>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</si>
  <si>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</si>
  <si>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</si>
  <si>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</si>
  <si>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</si>
  <si>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</si>
  <si>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</si>
  <si>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</si>
  <si>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</si>
  <si>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</si>
  <si>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</si>
  <si>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</si>
  <si>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</si>
  <si>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</si>
  <si>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</si>
  <si>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</si>
  <si>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</si>
  <si>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</si>
  <si>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</si>
  <si>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</si>
  <si>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</si>
  <si>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</si>
  <si>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</si>
  <si>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</si>
  <si>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</si>
  <si>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</si>
  <si>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</si>
  <si>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</si>
  <si>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</si>
  <si>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</si>
  <si>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</si>
  <si>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</si>
  <si>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</si>
  <si>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</si>
  <si>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</si>
  <si>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</si>
  <si>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</si>
  <si>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</si>
  <si>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</si>
  <si>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</si>
  <si>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</si>
  <si>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</si>
  <si>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</si>
  <si>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</si>
  <si>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</si>
  <si>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</si>
  <si>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</si>
  <si>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</si>
  <si>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</si>
  <si>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</si>
  <si>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</si>
  <si>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</si>
  <si>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</si>
  <si>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</si>
  <si>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</si>
  <si>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</si>
  <si>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</si>
  <si>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</si>
  <si>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</si>
  <si>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</si>
  <si>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</si>
  <si>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</si>
  <si>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</si>
  <si>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</si>
  <si>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</si>
  <si>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</si>
  <si>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</si>
  <si>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</si>
  <si>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</si>
  <si>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</si>
  <si>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</si>
  <si>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</si>
  <si>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</si>
  <si>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</si>
  <si>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</si>
  <si>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</si>
  <si>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</si>
  <si>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</si>
  <si>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</si>
  <si>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</si>
  <si>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</si>
  <si>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</si>
  <si>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</si>
  <si>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</si>
  <si>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</si>
  <si>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</si>
  <si>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</si>
  <si>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</si>
  <si>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</si>
  <si>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</si>
  <si>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</si>
  <si>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</si>
  <si>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</si>
  <si>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</si>
  <si>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</si>
  <si>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</si>
  <si>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</si>
  <si>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</si>
  <si>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</si>
  <si>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</si>
  <si>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</si>
  <si>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</si>
  <si>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</si>
  <si>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</si>
  <si>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</si>
  <si>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</si>
  <si>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</si>
  <si>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</si>
  <si>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</si>
  <si>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</si>
  <si>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</si>
  <si>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</si>
  <si>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</si>
  <si>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</si>
  <si>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</si>
  <si>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</si>
  <si>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</si>
  <si>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</si>
  <si>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</si>
  <si>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</si>
  <si>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</si>
  <si>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</si>
  <si>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</si>
  <si>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</si>
  <si>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</si>
  <si>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</si>
  <si>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</si>
  <si>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</si>
  <si>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</si>
  <si>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</si>
  <si>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</si>
  <si>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</si>
  <si>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</si>
  <si>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</si>
  <si>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</si>
  <si>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</si>
  <si>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</si>
  <si>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</si>
  <si>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</si>
  <si>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</si>
  <si>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</si>
  <si>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</si>
  <si>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</si>
  <si>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</si>
  <si>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</si>
  <si>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</si>
  <si>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</si>
  <si>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</si>
  <si>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</si>
  <si>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</si>
  <si>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</si>
  <si>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</si>
  <si>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</si>
  <si>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</si>
  <si>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</si>
  <si>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</si>
  <si>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</si>
  <si>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</si>
  <si>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</si>
  <si>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</si>
  <si>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</si>
  <si>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</si>
  <si>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</si>
  <si>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</si>
  <si>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</si>
  <si>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</si>
  <si>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</si>
  <si>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</si>
  <si>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</si>
  <si>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</si>
  <si>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</si>
  <si>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</si>
  <si>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</si>
  <si>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</si>
  <si>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</si>
  <si>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</si>
  <si>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</si>
  <si>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</si>
  <si>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</si>
  <si>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</si>
  <si>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</si>
  <si>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</si>
  <si>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</si>
  <si>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</si>
  <si>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</si>
  <si>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</si>
  <si>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</si>
  <si>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</si>
  <si>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</si>
  <si>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</si>
  <si>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</si>
  <si>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</si>
  <si>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</si>
  <si>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</si>
  <si>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</si>
  <si>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</si>
  <si>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</si>
  <si>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</si>
  <si>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</si>
  <si>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</si>
  <si>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</si>
  <si>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</si>
  <si>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</si>
  <si>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</si>
  <si>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</si>
  <si>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</si>
  <si>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</si>
  <si>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</si>
  <si>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</si>
  <si>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</si>
  <si>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</si>
  <si>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</si>
  <si>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</si>
  <si>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</si>
  <si>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</si>
  <si>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</si>
  <si>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</si>
  <si>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</si>
  <si>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</si>
  <si>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</si>
  <si>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</si>
  <si>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</si>
  <si>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</si>
  <si>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</si>
  <si>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</si>
  <si>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</si>
  <si>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</si>
  <si>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</si>
  <si>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</si>
  <si>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</si>
  <si>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</si>
  <si>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</si>
  <si>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</si>
  <si>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</si>
  <si>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</si>
  <si>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</si>
  <si>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</si>
  <si>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</si>
  <si>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</si>
  <si>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</si>
  <si>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</si>
  <si>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</si>
  <si>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</si>
  <si>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</si>
  <si>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</si>
  <si>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</si>
  <si>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</si>
  <si>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</si>
  <si>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</si>
  <si>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</si>
  <si>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</si>
  <si>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</si>
  <si>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</si>
  <si>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</si>
  <si>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</si>
  <si>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</si>
  <si>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</si>
  <si>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</si>
  <si>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</si>
  <si>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</si>
  <si>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</si>
  <si>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</si>
  <si>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</si>
  <si>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</si>
  <si>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</si>
  <si>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</si>
  <si>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</si>
  <si>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</si>
  <si>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</si>
  <si>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</si>
  <si>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</si>
  <si>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</si>
  <si>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</si>
  <si>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</si>
  <si>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</si>
  <si>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</si>
  <si>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</si>
  <si>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</si>
  <si>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</si>
  <si>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</si>
  <si>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</si>
  <si>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</si>
  <si>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</si>
  <si>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</si>
  <si>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</si>
  <si>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</si>
  <si>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</si>
  <si>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</si>
  <si>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</si>
  <si>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</si>
  <si>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</si>
  <si>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</si>
  <si>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</si>
  <si>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</si>
  <si>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</si>
  <si>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</si>
  <si>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</si>
  <si>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</si>
  <si>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</si>
  <si>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</si>
  <si>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</si>
  <si>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</si>
  <si>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</si>
  <si>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</si>
  <si>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</si>
  <si>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</si>
  <si>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</si>
  <si>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</si>
  <si>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</si>
  <si>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</si>
  <si>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</si>
  <si>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</si>
  <si>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</si>
  <si>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</si>
  <si>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</si>
  <si>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</si>
  <si>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</si>
  <si>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</si>
  <si>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</si>
  <si>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</si>
  <si>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</si>
  <si>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</si>
  <si>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</si>
  <si>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</si>
  <si>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</si>
  <si>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</si>
  <si>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</si>
  <si>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</si>
  <si>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</si>
  <si>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</si>
  <si>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</si>
  <si>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</si>
  <si>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</si>
  <si>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</si>
  <si>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</si>
  <si>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</si>
  <si>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</si>
  <si>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</si>
  <si>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</si>
  <si>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</si>
  <si>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</si>
  <si>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</si>
  <si>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</si>
  <si>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</si>
  <si>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</si>
  <si>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</si>
  <si>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</si>
  <si>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</si>
  <si>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</si>
  <si>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</si>
  <si>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</si>
  <si>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</si>
  <si>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</si>
  <si>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</si>
  <si>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</si>
  <si>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</si>
  <si>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</si>
  <si>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</si>
  <si>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</si>
  <si>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</si>
  <si>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</si>
  <si>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</si>
  <si>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</si>
  <si>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</si>
  <si>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</si>
  <si>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</si>
  <si>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</si>
  <si>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</si>
  <si>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</si>
  <si>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</si>
  <si>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</si>
  <si>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</si>
  <si>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</si>
  <si>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</si>
  <si>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</si>
  <si>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</si>
  <si>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</si>
  <si>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</si>
  <si>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</si>
  <si>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</si>
  <si>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</si>
  <si>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</si>
  <si>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</si>
  <si>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</si>
  <si>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</si>
  <si>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</si>
  <si>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</si>
  <si>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</si>
  <si>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</si>
  <si>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</si>
  <si>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</si>
  <si>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</si>
  <si>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</si>
  <si>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</si>
  <si>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</si>
  <si>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</si>
  <si>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</si>
  <si>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</si>
  <si>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</si>
  <si>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</si>
  <si>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</si>
  <si>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</si>
  <si>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</si>
  <si>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</si>
  <si>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</si>
  <si>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</si>
  <si>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</si>
  <si>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</si>
  <si>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</si>
  <si>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</si>
  <si>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</si>
  <si>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</si>
  <si>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</si>
  <si>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</si>
  <si>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</si>
  <si>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</si>
  <si>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</si>
  <si>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</si>
  <si>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</si>
  <si>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</si>
  <si>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</si>
  <si>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</si>
  <si>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</si>
  <si>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</si>
  <si>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</si>
  <si>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</si>
  <si>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</si>
  <si>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</si>
  <si>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</si>
  <si>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</si>
  <si>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</si>
  <si>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</si>
  <si>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</si>
  <si>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</si>
  <si>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</si>
  <si>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</si>
  <si>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</si>
  <si>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</si>
  <si>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</si>
  <si>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</si>
  <si>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</si>
  <si>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</si>
  <si>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</si>
  <si>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</si>
  <si>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</si>
  <si>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</si>
  <si>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</si>
  <si>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</si>
  <si>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</si>
  <si>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</si>
  <si>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</si>
  <si>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</si>
  <si>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</si>
  <si>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</si>
  <si>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</si>
  <si>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</si>
  <si>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</si>
  <si>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</si>
  <si>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</si>
  <si>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</si>
  <si>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</si>
  <si>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</si>
  <si>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</si>
  <si>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</si>
  <si>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</si>
  <si>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</si>
  <si>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</si>
  <si>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</si>
  <si>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</si>
  <si>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</si>
  <si>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</si>
  <si>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</si>
  <si>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</si>
  <si>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</si>
  <si>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</si>
  <si>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</si>
  <si>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</si>
  <si>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</si>
  <si>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</si>
  <si>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</si>
  <si>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</si>
  <si>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</si>
  <si>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</si>
  <si>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</si>
  <si>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</si>
  <si>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</si>
  <si>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</si>
  <si>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</si>
  <si>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</si>
  <si>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</si>
  <si>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</si>
  <si>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</si>
  <si>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</si>
  <si>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</si>
  <si>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</si>
  <si>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</si>
  <si>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</si>
  <si>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</si>
  <si>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</si>
  <si>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</si>
  <si>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</si>
  <si>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</si>
  <si>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</si>
  <si>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</si>
  <si>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</si>
  <si>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</si>
  <si>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</si>
  <si>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</si>
  <si>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</si>
  <si>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</si>
  <si>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</si>
  <si>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</si>
  <si>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</si>
  <si>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</si>
  <si>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</si>
  <si>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</si>
  <si>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</si>
  <si>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</si>
  <si>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</si>
  <si>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</si>
  <si>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</si>
  <si>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</si>
  <si>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</si>
  <si>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</si>
  <si>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</si>
  <si>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</si>
  <si>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</si>
  <si>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</si>
  <si>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</si>
  <si>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</si>
  <si>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</si>
  <si>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</si>
  <si>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</si>
  <si>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</si>
  <si>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</si>
  <si>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</si>
  <si>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</si>
  <si>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</si>
  <si>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</si>
  <si>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</si>
  <si>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</si>
  <si>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</si>
  <si>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</si>
  <si>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</si>
  <si>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</si>
  <si>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</si>
  <si>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</si>
  <si>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</si>
  <si>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</si>
  <si>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</si>
  <si>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</si>
  <si>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</si>
  <si>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</si>
  <si>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</si>
  <si>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</si>
  <si>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</si>
  <si>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</si>
  <si>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</si>
  <si>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</si>
  <si>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</si>
  <si>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</si>
  <si>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</si>
  <si>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</si>
  <si>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</si>
  <si>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</si>
  <si>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</si>
  <si>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</si>
  <si>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</si>
  <si>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</si>
  <si>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</si>
  <si>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</si>
  <si>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</si>
  <si>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</si>
  <si>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</si>
  <si>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</si>
  <si>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</si>
  <si>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</si>
  <si>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</si>
  <si>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</si>
  <si>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</si>
  <si>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</si>
  <si>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</si>
  <si>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</si>
  <si>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</si>
  <si>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</si>
  <si>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</si>
  <si>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</si>
  <si>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</si>
  <si>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</si>
  <si>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</si>
  <si>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</si>
  <si>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</si>
  <si>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</si>
  <si>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</si>
  <si>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</si>
  <si>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</si>
  <si>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</si>
  <si>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</si>
  <si>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</si>
  <si>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</si>
  <si>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</si>
  <si>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</si>
  <si>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</si>
  <si>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</si>
  <si>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</si>
  <si>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</si>
  <si>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</si>
  <si>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</si>
  <si>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</si>
  <si>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</si>
  <si>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</si>
  <si>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</si>
  <si>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</si>
  <si>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</si>
  <si>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</si>
  <si>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</si>
  <si>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</si>
  <si>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</si>
  <si>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</si>
  <si>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</si>
  <si>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</si>
  <si>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</si>
  <si>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</si>
  <si>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</si>
  <si>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</si>
  <si>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</si>
  <si>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</si>
  <si>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</si>
  <si>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</si>
  <si>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</si>
  <si>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</si>
  <si>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</si>
  <si>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</si>
  <si>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</si>
  <si>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</si>
  <si>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</si>
  <si>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</si>
  <si>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</si>
  <si>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</si>
  <si>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</si>
  <si>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</si>
  <si>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</si>
  <si>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</si>
  <si>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</si>
  <si>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</si>
  <si>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</si>
  <si>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</si>
  <si>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</si>
  <si>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</si>
  <si>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</si>
  <si>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</si>
  <si>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</si>
  <si>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</si>
  <si>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</si>
  <si>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</si>
  <si>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</si>
  <si>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</si>
  <si>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</si>
  <si>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</si>
  <si>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</si>
  <si>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</si>
  <si>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</si>
  <si>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</si>
  <si>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</si>
  <si>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</si>
  <si>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</si>
  <si>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</si>
  <si>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</si>
  <si>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</si>
  <si>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</si>
  <si>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</si>
  <si>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</si>
  <si>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</si>
  <si>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</si>
  <si>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</si>
  <si>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</si>
  <si>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</si>
  <si>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</si>
  <si>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</si>
  <si>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</si>
  <si>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</si>
  <si>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</si>
  <si>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</si>
  <si>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</si>
  <si>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</si>
  <si>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</si>
  <si>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</si>
  <si>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</si>
  <si>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</si>
  <si>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</si>
  <si>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</si>
  <si>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</si>
  <si>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</si>
  <si>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</si>
  <si>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</si>
  <si>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</si>
  <si>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</si>
  <si>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</si>
  <si>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</si>
  <si>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</si>
  <si>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</si>
  <si>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</si>
  <si>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</si>
  <si>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</si>
  <si>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</si>
  <si>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</si>
  <si>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</si>
  <si>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</si>
  <si>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</si>
  <si>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</si>
  <si>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</si>
  <si>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</si>
  <si>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</si>
  <si>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</si>
  <si>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</si>
  <si>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</si>
  <si>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</si>
  <si>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</si>
  <si>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</si>
  <si>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</si>
  <si>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</si>
  <si>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</si>
  <si>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</si>
  <si>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</si>
  <si>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</si>
  <si>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</si>
  <si>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</si>
  <si>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</si>
  <si>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</si>
  <si>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</si>
  <si>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</si>
  <si>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</si>
  <si>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</si>
  <si>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</si>
  <si>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</si>
  <si>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</si>
  <si>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</si>
  <si>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</si>
  <si>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</si>
  <si>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</si>
  <si>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</si>
  <si>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</si>
  <si>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</si>
  <si>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</si>
  <si>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</si>
  <si>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</si>
  <si>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</si>
  <si>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</si>
  <si>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</si>
  <si>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</si>
  <si>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</si>
  <si>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</si>
  <si>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</si>
  <si>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</si>
  <si>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</si>
  <si>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</si>
  <si>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</si>
  <si>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</si>
  <si>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</si>
  <si>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</si>
  <si>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</si>
  <si>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</si>
  <si>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</si>
  <si>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</si>
  <si>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</si>
  <si>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</si>
  <si>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</si>
  <si>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</si>
  <si>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</si>
  <si>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</si>
  <si>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</si>
  <si>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</si>
  <si>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</si>
  <si>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</si>
  <si>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</si>
  <si>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</si>
  <si>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</si>
  <si>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</si>
  <si>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</si>
  <si>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</si>
  <si>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</si>
  <si>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</si>
  <si>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</si>
  <si>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</si>
  <si>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</si>
  <si>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</si>
  <si>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</si>
  <si>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</si>
  <si>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</si>
  <si>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</si>
  <si>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</si>
  <si>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</si>
  <si>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</si>
  <si>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</si>
  <si>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</si>
  <si>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</si>
  <si>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</si>
  <si>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</si>
  <si>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</si>
  <si>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</si>
  <si>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</si>
  <si>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</si>
  <si>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</si>
  <si>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</si>
  <si>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</si>
  <si>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</si>
  <si>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</si>
  <si>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</si>
  <si>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</si>
  <si>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</si>
  <si>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</si>
  <si>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</si>
  <si>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</si>
  <si>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</si>
  <si>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</si>
  <si>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</si>
  <si>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</si>
  <si>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</si>
  <si>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</si>
  <si>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</si>
  <si>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</si>
  <si>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</si>
  <si>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</si>
  <si>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</si>
  <si>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</si>
  <si>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</si>
  <si>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</si>
  <si>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</si>
  <si>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</si>
  <si>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</si>
  <si>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</si>
  <si>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</si>
  <si>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</si>
  <si>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</si>
  <si>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</si>
  <si>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</si>
  <si>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</si>
  <si>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</si>
  <si>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</si>
  <si>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</si>
  <si>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</si>
  <si>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</si>
  <si>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</si>
  <si>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</si>
  <si>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</si>
  <si>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</si>
  <si>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</si>
  <si>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</si>
  <si>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</si>
  <si>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</si>
  <si>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</si>
  <si>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</si>
  <si>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</si>
  <si>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</si>
  <si>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</si>
  <si>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</si>
  <si>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</si>
  <si>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</si>
  <si>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</si>
  <si>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</si>
  <si>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</si>
  <si>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</si>
  <si>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</si>
  <si>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</si>
  <si>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</si>
  <si>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</si>
  <si>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</si>
  <si>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</si>
  <si>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</si>
  <si>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</si>
  <si>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</si>
  <si>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</si>
  <si>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</si>
  <si>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</si>
  <si>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</si>
  <si>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</si>
  <si>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</si>
  <si>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</si>
  <si>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</si>
  <si>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</si>
  <si>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</si>
  <si>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</si>
  <si>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</si>
  <si>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</si>
  <si>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</si>
  <si>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</si>
  <si>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</si>
  <si>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</si>
  <si>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</si>
  <si>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</si>
  <si>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</si>
  <si>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</si>
  <si>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</si>
  <si>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</si>
  <si>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</si>
  <si>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</si>
  <si>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</si>
  <si>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</si>
  <si>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</si>
  <si>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</si>
  <si>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</si>
  <si>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</si>
  <si>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</si>
  <si>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</si>
  <si>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</si>
  <si>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</si>
  <si>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</si>
  <si>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</si>
  <si>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</si>
  <si>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</si>
  <si>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</si>
  <si>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</si>
  <si>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</si>
  <si>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</si>
  <si>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</si>
  <si>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</si>
  <si>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</si>
  <si>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</si>
  <si>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</si>
  <si>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</si>
  <si>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</si>
  <si>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</si>
  <si>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</si>
  <si>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</si>
  <si>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</si>
  <si>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</si>
  <si>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</si>
  <si>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</si>
  <si>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</si>
  <si>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</si>
  <si>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</si>
  <si>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</si>
  <si>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</si>
  <si>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</si>
  <si>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</si>
  <si>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</si>
  <si>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</si>
  <si>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</si>
  <si>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</si>
  <si>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</si>
  <si>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</si>
  <si>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</si>
  <si>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</si>
  <si>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</si>
  <si>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</si>
  <si>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</si>
  <si>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</si>
  <si>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</si>
  <si>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</si>
  <si>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</si>
  <si>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</si>
  <si>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</si>
  <si>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</si>
  <si>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</si>
  <si>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</si>
  <si>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</si>
  <si>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</si>
  <si>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</si>
  <si>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</si>
  <si>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</si>
  <si>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</si>
  <si>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</si>
  <si>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</si>
  <si>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</si>
  <si>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</si>
  <si>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</si>
  <si>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</si>
  <si>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</si>
  <si>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</si>
  <si>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</si>
  <si>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</si>
  <si>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</si>
  <si>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</si>
  <si>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</si>
  <si>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</si>
  <si>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</si>
  <si>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</si>
  <si>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</si>
  <si>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</si>
  <si>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</si>
  <si>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</si>
  <si>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</si>
  <si>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</si>
  <si>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</si>
  <si>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</si>
  <si>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</si>
  <si>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</si>
  <si>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</si>
  <si>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</si>
  <si>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</si>
  <si>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</si>
  <si>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</si>
  <si>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</si>
  <si>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</si>
  <si>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</si>
  <si>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</si>
  <si>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</si>
  <si>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</si>
  <si>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</si>
  <si>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</si>
  <si>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</si>
  <si>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</si>
  <si>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</si>
  <si>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</si>
  <si>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</si>
  <si>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</si>
  <si>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</si>
  <si>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</si>
  <si>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</si>
  <si>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</si>
  <si>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</si>
  <si>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</si>
  <si>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</si>
  <si>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</si>
  <si>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</si>
  <si>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</si>
  <si>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</si>
  <si>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</si>
  <si>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</si>
  <si>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</si>
  <si>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</si>
  <si>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</si>
  <si>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</si>
  <si>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</si>
  <si>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</si>
  <si>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</si>
  <si>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</si>
  <si>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</si>
  <si>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</si>
  <si>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</si>
  <si>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</si>
  <si>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</si>
  <si>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</si>
  <si>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</si>
  <si>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</si>
  <si>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</si>
  <si>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</si>
  <si>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</si>
  <si>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</si>
  <si>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</si>
  <si>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</si>
  <si>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</si>
  <si>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</si>
  <si>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</si>
  <si>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</si>
  <si>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</si>
  <si>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</si>
  <si>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</si>
  <si>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</si>
  <si>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</si>
  <si>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</si>
  <si>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</si>
  <si>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</si>
  <si>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</si>
  <si>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</si>
  <si>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</si>
  <si>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</si>
  <si>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</si>
  <si>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</si>
  <si>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</si>
  <si>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</si>
  <si>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</si>
  <si>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</si>
  <si>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</si>
  <si>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</si>
  <si>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</si>
  <si>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</si>
  <si>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</si>
  <si>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</si>
  <si>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</si>
  <si>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</si>
  <si>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</si>
  <si>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</si>
  <si>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</si>
  <si>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</si>
  <si>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</si>
  <si>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</si>
  <si>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</si>
  <si>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</si>
  <si>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</si>
  <si>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</si>
  <si>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</si>
  <si>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</si>
  <si>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</si>
  <si>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</si>
  <si>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</si>
  <si>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</si>
  <si>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</si>
  <si>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</si>
  <si>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</si>
  <si>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</si>
  <si>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</si>
  <si>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</si>
  <si>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</si>
  <si>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</si>
  <si>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</si>
  <si>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</si>
  <si>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</si>
  <si>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</si>
  <si>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</si>
  <si>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</si>
  <si>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</si>
  <si>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</si>
  <si>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</si>
  <si>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</si>
  <si>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</si>
  <si>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</si>
  <si>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</si>
  <si>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</si>
  <si>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</si>
  <si>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</si>
  <si>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</si>
  <si>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</si>
  <si>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</si>
  <si>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</si>
  <si>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</si>
  <si>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</si>
  <si>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</si>
  <si>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</si>
  <si>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</si>
  <si>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</si>
  <si>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</si>
  <si>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</si>
  <si>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</si>
  <si>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</si>
  <si>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</si>
  <si>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</si>
  <si>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</si>
  <si>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</si>
  <si>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</si>
  <si>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</si>
  <si>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</si>
  <si>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</si>
  <si>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</si>
  <si>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</si>
  <si>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</si>
  <si>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</si>
  <si>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</si>
  <si>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</si>
  <si>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</si>
  <si>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</si>
  <si>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</si>
  <si>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</si>
  <si>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</si>
  <si>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</si>
  <si>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</si>
  <si>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</si>
  <si>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</si>
  <si>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</si>
  <si>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</si>
  <si>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</si>
  <si>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</si>
  <si>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</si>
  <si>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</si>
  <si>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</si>
  <si>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</si>
  <si>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</si>
  <si>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</si>
  <si>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</si>
  <si>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</si>
  <si>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</si>
  <si>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</si>
  <si>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</si>
  <si>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</si>
  <si>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</si>
  <si>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</si>
  <si>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</si>
  <si>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</si>
  <si>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</si>
  <si>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</si>
  <si>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</si>
  <si>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</si>
  <si>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</si>
  <si>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</si>
  <si>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</si>
  <si>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</si>
  <si>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</si>
  <si>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</si>
  <si>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</si>
  <si>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</si>
  <si>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</si>
  <si>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</si>
  <si>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</si>
  <si>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</si>
  <si>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</si>
  <si>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</si>
  <si>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</si>
  <si>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</si>
  <si>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</si>
  <si>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</si>
  <si>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</si>
  <si>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</si>
  <si>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</si>
  <si>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</si>
  <si>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</si>
  <si>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</si>
  <si>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</si>
  <si>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</si>
  <si>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</si>
  <si>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</si>
  <si>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</si>
  <si>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</si>
  <si>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</si>
  <si>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</si>
  <si>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</si>
  <si>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</si>
  <si>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</si>
  <si>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</si>
  <si>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</si>
  <si>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</si>
  <si>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</si>
  <si>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</si>
  <si>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</si>
  <si>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</si>
  <si>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</si>
  <si>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</si>
  <si>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</si>
  <si>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</si>
  <si>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</si>
  <si>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</si>
  <si>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</si>
  <si>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</si>
  <si>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</si>
  <si>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</si>
  <si>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</si>
  <si>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</si>
  <si>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</si>
  <si>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</si>
  <si>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</si>
  <si>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</si>
  <si>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</si>
  <si>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</si>
  <si>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</si>
  <si>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</si>
  <si>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</si>
  <si>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</si>
  <si>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</si>
  <si>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</si>
  <si>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</si>
  <si>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</si>
  <si>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</si>
  <si>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</si>
  <si>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</si>
  <si>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</si>
  <si>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</si>
  <si>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</si>
  <si>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</si>
  <si>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</si>
  <si>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</si>
  <si>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</si>
  <si>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</si>
  <si>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</si>
  <si>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</si>
  <si>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</si>
  <si>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</si>
  <si>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</si>
  <si>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</si>
  <si>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</si>
  <si>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</si>
  <si>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</si>
  <si>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</si>
  <si>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</si>
  <si>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</si>
  <si>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</si>
  <si>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</si>
  <si>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</si>
  <si>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</si>
  <si>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</si>
  <si>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</si>
  <si>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</si>
  <si>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</si>
  <si>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</si>
  <si>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</si>
  <si>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</si>
  <si>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</si>
  <si>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</si>
  <si>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</si>
  <si>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</si>
  <si>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</si>
  <si>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</si>
  <si>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</si>
  <si>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</si>
  <si>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</si>
  <si>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</si>
  <si>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</si>
  <si>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</si>
  <si>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</si>
  <si>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</si>
  <si>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</si>
  <si>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</si>
  <si>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</si>
  <si>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</si>
  <si>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</si>
  <si>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</si>
  <si>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</si>
  <si>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</si>
  <si>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</si>
  <si>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</si>
  <si>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</si>
  <si>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</si>
  <si>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</si>
  <si>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</si>
  <si>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</si>
  <si>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</si>
  <si>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</si>
  <si>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</si>
  <si>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</si>
  <si>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</si>
  <si>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</si>
  <si>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</si>
  <si>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</si>
  <si>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</si>
  <si>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</si>
  <si>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</si>
  <si>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</si>
  <si>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</si>
  <si>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</si>
  <si>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</si>
  <si>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</si>
  <si>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</si>
  <si>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</si>
  <si>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</si>
  <si>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</si>
  <si>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</si>
  <si>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</si>
  <si>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</si>
  <si>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</si>
  <si>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</si>
  <si>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</si>
  <si>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</si>
  <si>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</si>
  <si>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</si>
  <si>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</si>
  <si>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</si>
  <si>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</si>
  <si>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</si>
  <si>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</si>
  <si>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</si>
  <si>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</si>
  <si>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</si>
  <si>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</si>
  <si>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</si>
  <si>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</si>
  <si>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</si>
  <si>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</si>
  <si>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</si>
  <si>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</si>
  <si>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</si>
  <si>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</si>
  <si>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</si>
  <si>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</si>
  <si>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</si>
  <si>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</si>
  <si>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</si>
  <si>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</si>
  <si>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</si>
  <si>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</si>
  <si>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</si>
  <si>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</si>
  <si>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</si>
  <si>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</si>
  <si>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</si>
  <si>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</si>
  <si>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</si>
  <si>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</si>
  <si>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</si>
  <si>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</si>
  <si>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</si>
  <si>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</si>
  <si>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</si>
  <si>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</si>
  <si>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</si>
  <si>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</si>
  <si>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</si>
  <si>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</si>
  <si>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</si>
  <si>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</si>
  <si>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</si>
  <si>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</si>
  <si>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</si>
  <si>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</si>
  <si>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</si>
  <si>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</si>
  <si>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</si>
  <si>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</si>
  <si>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</si>
  <si>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</si>
  <si>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</si>
  <si>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</si>
  <si>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</si>
  <si>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</si>
  <si>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</si>
  <si>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</si>
  <si>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</si>
  <si>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</si>
  <si>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</si>
  <si>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</si>
  <si>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</si>
  <si>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</si>
  <si>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</si>
  <si>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</si>
  <si>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</si>
  <si>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</si>
  <si>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</si>
  <si>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</si>
  <si>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</si>
  <si>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</si>
  <si>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</si>
  <si>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</si>
  <si>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</si>
  <si>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</si>
  <si>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</si>
  <si>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</si>
  <si>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</si>
  <si>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</si>
  <si>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</si>
  <si>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</si>
  <si>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</si>
  <si>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</si>
  <si>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</si>
  <si>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</si>
  <si>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</si>
  <si>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</si>
  <si>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</si>
  <si>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</si>
  <si>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</si>
  <si>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</si>
  <si>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</si>
  <si>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</si>
  <si>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</si>
  <si>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</si>
  <si>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</si>
  <si>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</si>
  <si>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</si>
  <si>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</si>
  <si>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</si>
  <si>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</si>
  <si>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</si>
  <si>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</si>
  <si>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</si>
  <si>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</si>
  <si>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</si>
  <si>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</si>
  <si>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</si>
  <si>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</si>
  <si>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</si>
  <si>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</si>
  <si>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</si>
  <si>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</si>
  <si>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</si>
  <si>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</si>
  <si>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</si>
  <si>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</si>
  <si>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</si>
  <si>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</si>
  <si>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</si>
  <si>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</si>
  <si>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</si>
  <si>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</si>
  <si>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</si>
  <si>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</si>
  <si>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</si>
  <si>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</si>
  <si>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</si>
  <si>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</si>
  <si>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</si>
  <si>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</si>
  <si>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</si>
  <si>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</si>
  <si>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</si>
  <si>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</si>
  <si>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</si>
  <si>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</si>
  <si>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</si>
  <si>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</si>
  <si>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</si>
  <si>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</si>
  <si>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</si>
  <si>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</si>
  <si>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</si>
  <si>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</si>
  <si>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</si>
  <si>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</si>
  <si>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</si>
  <si>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</si>
  <si>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</si>
  <si>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</si>
  <si>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</si>
  <si>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</si>
  <si>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</si>
  <si>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</si>
  <si>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</si>
  <si>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</si>
  <si>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</si>
  <si>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</si>
  <si>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</si>
  <si>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</si>
  <si>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</si>
  <si>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</si>
  <si>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</si>
  <si>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</si>
  <si>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</si>
  <si>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</si>
  <si>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</si>
  <si>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</si>
  <si>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</si>
  <si>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</si>
  <si>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</si>
  <si>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</si>
  <si>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</si>
  <si>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</si>
  <si>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</si>
  <si>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</si>
  <si>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</si>
  <si>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</si>
  <si>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</si>
  <si>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</si>
  <si>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</si>
  <si>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</si>
  <si>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</si>
  <si>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</si>
  <si>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</si>
  <si>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</si>
  <si>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</si>
  <si>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</si>
  <si>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</si>
  <si>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</si>
  <si>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</si>
  <si>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</si>
  <si>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</si>
  <si>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</si>
  <si>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</si>
  <si>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</si>
  <si>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</si>
  <si>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</si>
  <si>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</si>
  <si>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</si>
  <si>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</si>
  <si>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</si>
  <si>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</si>
  <si>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</si>
  <si>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</si>
  <si>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</si>
  <si>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</si>
  <si>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</si>
  <si>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</si>
  <si>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</si>
  <si>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</si>
  <si>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</si>
  <si>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</si>
  <si>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</si>
  <si>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</si>
  <si>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</si>
  <si>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</si>
  <si>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</si>
  <si>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</si>
  <si>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</si>
  <si>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</si>
  <si>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</si>
  <si>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</si>
  <si>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</si>
  <si>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</si>
  <si>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</si>
  <si>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</si>
  <si>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</si>
  <si>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</si>
  <si>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</si>
  <si>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</si>
  <si>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</si>
  <si>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</si>
  <si>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</si>
  <si>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</si>
  <si>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</si>
  <si>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</si>
  <si>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</si>
  <si>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</si>
  <si>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</si>
  <si>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</si>
  <si>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</si>
  <si>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</si>
  <si>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</si>
  <si>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</si>
  <si>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</si>
  <si>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</si>
  <si>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</si>
  <si>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</si>
  <si>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</si>
  <si>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</si>
  <si>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</si>
  <si>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</si>
  <si>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</si>
  <si>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</si>
  <si>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</si>
  <si>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</si>
  <si>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</si>
  <si>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</si>
  <si>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</si>
  <si>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</si>
  <si>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</si>
  <si>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</si>
  <si>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</si>
  <si>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</si>
  <si>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</si>
  <si>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</si>
  <si>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</si>
  <si>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</si>
  <si>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</si>
  <si>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</si>
  <si>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</si>
  <si>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</si>
  <si>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</si>
  <si>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</si>
  <si>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</si>
  <si>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</si>
  <si>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</si>
  <si>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</si>
  <si>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</si>
  <si>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</si>
  <si>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</si>
  <si>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</si>
  <si>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</si>
  <si>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</si>
  <si>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</si>
  <si>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</si>
  <si>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</si>
  <si>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</si>
  <si>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</si>
  <si>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</si>
  <si>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</si>
  <si>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</si>
  <si>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</si>
  <si>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</si>
  <si>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</si>
  <si>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</si>
  <si>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</si>
  <si>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</si>
  <si>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</si>
  <si>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</si>
  <si>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</si>
  <si>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</si>
  <si>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</si>
  <si>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</si>
  <si>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</si>
  <si>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</si>
  <si>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</si>
  <si>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</si>
  <si>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</si>
  <si>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</si>
  <si>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</si>
  <si>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</si>
  <si>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</si>
  <si>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</si>
  <si>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</si>
  <si>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</si>
  <si>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</si>
  <si>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</si>
  <si>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</si>
  <si>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</si>
  <si>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</si>
  <si>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</si>
  <si>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</si>
  <si>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</si>
  <si>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</si>
  <si>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</si>
  <si>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</si>
  <si>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</si>
  <si>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</si>
  <si>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</si>
  <si>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</si>
  <si>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</si>
  <si>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</si>
  <si>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</si>
  <si>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</si>
  <si>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</si>
  <si>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</si>
  <si>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</si>
  <si>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</si>
  <si>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</si>
  <si>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</si>
  <si>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</si>
  <si>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</si>
  <si>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</si>
  <si>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</si>
  <si>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</si>
  <si>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</si>
  <si>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</si>
  <si>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</si>
  <si>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</si>
  <si>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</si>
  <si>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</si>
  <si>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</si>
  <si>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</si>
  <si>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</si>
  <si>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</si>
  <si>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</si>
  <si>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</si>
  <si>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</si>
  <si>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</si>
  <si>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</si>
  <si>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</si>
  <si>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</si>
  <si>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</si>
  <si>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</si>
  <si>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</si>
  <si>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</si>
  <si>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</si>
  <si>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</si>
  <si>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</si>
  <si>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</si>
  <si>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</si>
  <si>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</si>
  <si>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</si>
  <si>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</si>
  <si>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</si>
  <si>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</si>
  <si>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</si>
  <si>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</si>
  <si>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</si>
  <si>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</si>
  <si>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</si>
  <si>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</si>
  <si>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</si>
  <si>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</si>
  <si>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</si>
  <si>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</si>
  <si>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</si>
  <si>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</si>
  <si>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</si>
  <si>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</si>
  <si>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</si>
  <si>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</si>
  <si>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</si>
  <si>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</si>
  <si>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</si>
  <si>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</si>
  <si>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</si>
  <si>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</si>
  <si>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</si>
  <si>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</si>
  <si>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</si>
  <si>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</si>
  <si>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</si>
  <si>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</si>
  <si>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</si>
  <si>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</si>
  <si>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</si>
  <si>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</si>
  <si>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</si>
  <si>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</si>
  <si>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</si>
  <si>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</si>
  <si>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</si>
  <si>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</si>
  <si>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</si>
  <si>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</si>
  <si>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</si>
  <si>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</si>
  <si>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</si>
  <si>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</si>
  <si>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</si>
  <si>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</si>
  <si>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</si>
  <si>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</si>
  <si>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</si>
  <si>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</si>
  <si>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</si>
  <si>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</si>
  <si>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</si>
  <si>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</si>
  <si>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</si>
  <si>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</si>
  <si>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</si>
  <si>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</si>
  <si>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</si>
  <si>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</si>
  <si>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</si>
  <si>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</si>
  <si>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</si>
  <si>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</si>
  <si>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</si>
  <si>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</si>
  <si>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</si>
  <si>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</si>
  <si>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</si>
  <si>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</si>
  <si>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</si>
  <si>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</si>
  <si>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</si>
  <si>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</si>
  <si>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</si>
  <si>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</si>
  <si>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</si>
  <si>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</si>
  <si>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</si>
  <si>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</si>
  <si>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</si>
  <si>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</si>
  <si>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</si>
  <si>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</si>
  <si>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</si>
  <si>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</si>
  <si>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</si>
  <si>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</si>
  <si>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</si>
  <si>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</si>
  <si>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</si>
  <si>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</si>
  <si>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</si>
  <si>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</si>
  <si>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</si>
  <si>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</si>
  <si>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</si>
  <si>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</si>
  <si>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</si>
  <si>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</si>
  <si>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</si>
  <si>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</si>
  <si>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</si>
  <si>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</si>
  <si>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</si>
  <si>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</si>
  <si>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</si>
  <si>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</si>
  <si>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</si>
  <si>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</si>
  <si>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</si>
  <si>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</si>
  <si>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</si>
  <si>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</si>
  <si>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</si>
  <si>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</si>
  <si>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</si>
  <si>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</si>
  <si>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</si>
  <si>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</si>
  <si>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</si>
  <si>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</si>
  <si>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</si>
  <si>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</si>
  <si>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</si>
  <si>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</si>
  <si>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</si>
  <si>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</si>
  <si>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</si>
  <si>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</si>
  <si>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</si>
  <si>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</si>
  <si>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</si>
  <si>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</si>
  <si>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</si>
  <si>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</si>
  <si>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</si>
  <si>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</si>
  <si>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</si>
  <si>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</si>
  <si>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</si>
  <si>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</si>
  <si>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</si>
  <si>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</si>
  <si>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</si>
  <si>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</si>
  <si>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</si>
  <si>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</si>
  <si>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</si>
  <si>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</si>
  <si>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</si>
  <si>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</si>
  <si>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</si>
  <si>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</si>
  <si>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</si>
  <si>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</si>
  <si>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</si>
  <si>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</si>
  <si>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</si>
  <si>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</si>
  <si>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</si>
  <si>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</si>
  <si>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</si>
  <si>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</si>
  <si>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</si>
  <si>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</si>
  <si>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</si>
  <si>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</si>
  <si>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</si>
  <si>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</si>
  <si>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</si>
  <si>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</si>
  <si>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</si>
  <si>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</si>
  <si>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</si>
  <si>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</si>
  <si>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</si>
  <si>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</si>
  <si>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</si>
  <si>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</si>
  <si>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</si>
  <si>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</si>
  <si>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</si>
  <si>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</si>
  <si>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</si>
  <si>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</si>
  <si>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</si>
  <si>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</si>
  <si>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</si>
  <si>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</si>
  <si>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</si>
  <si>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</si>
  <si>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</si>
  <si>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</si>
  <si>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</si>
  <si>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</si>
  <si>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</si>
  <si>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</si>
  <si>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</si>
  <si>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</si>
  <si>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</si>
  <si>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</si>
  <si>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</si>
  <si>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</si>
  <si>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</si>
  <si>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</si>
  <si>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</si>
  <si>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</si>
  <si>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</si>
  <si>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</si>
  <si>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</si>
  <si>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</si>
  <si>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</si>
  <si>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</si>
  <si>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</si>
  <si>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</si>
  <si>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</si>
  <si>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</si>
  <si>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</si>
  <si>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</si>
  <si>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</si>
  <si>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</si>
  <si>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</si>
  <si>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</si>
  <si>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</si>
  <si>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</si>
  <si>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</si>
  <si>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</si>
  <si>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</si>
  <si>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</si>
  <si>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</si>
  <si>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</si>
  <si>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</si>
  <si>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</si>
  <si>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</si>
  <si>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</si>
  <si>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</si>
  <si>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</si>
  <si>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</si>
  <si>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</si>
  <si>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</si>
  <si>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</si>
  <si>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</si>
  <si>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</si>
  <si>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</si>
  <si>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</si>
  <si>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</si>
  <si>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</si>
  <si>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</si>
  <si>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</si>
  <si>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</si>
  <si>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</si>
  <si>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</si>
  <si>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</si>
  <si>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</si>
  <si>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</si>
  <si>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</si>
  <si>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</si>
  <si>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</si>
  <si>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</si>
  <si>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</si>
  <si>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</si>
  <si>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</si>
  <si>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</si>
  <si>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</si>
  <si>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</si>
  <si>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</si>
  <si>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</si>
  <si>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</si>
  <si>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</si>
  <si>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</si>
  <si>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</si>
  <si>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</si>
  <si>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</si>
  <si>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</si>
  <si>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</si>
  <si>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</si>
  <si>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</si>
  <si>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</si>
  <si>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</si>
  <si>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</si>
  <si>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</si>
  <si>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</si>
  <si>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</si>
  <si>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</si>
  <si>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</si>
  <si>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</si>
  <si>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</si>
  <si>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</si>
  <si>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</si>
  <si>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</si>
  <si>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</si>
  <si>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</si>
  <si>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</si>
  <si>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</si>
  <si>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</si>
  <si>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</si>
  <si>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</si>
  <si>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</si>
  <si>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</si>
  <si>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</si>
  <si>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</si>
  <si>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</si>
  <si>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</si>
  <si>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</si>
  <si>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</si>
  <si>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</si>
  <si>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</si>
  <si>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</si>
  <si>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</si>
  <si>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</si>
  <si>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</si>
  <si>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</si>
  <si>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</si>
  <si>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</si>
  <si>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</si>
  <si>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</si>
  <si>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</si>
  <si>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</si>
  <si>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</si>
  <si>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</si>
  <si>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</si>
  <si>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</si>
  <si>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</si>
  <si>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</si>
  <si>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</si>
  <si>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</si>
  <si>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</si>
  <si>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</si>
  <si>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</si>
  <si>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</si>
  <si>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</si>
  <si>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</si>
  <si>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</si>
  <si>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</si>
  <si>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</si>
  <si>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</si>
  <si>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</si>
  <si>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</si>
  <si>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</si>
  <si>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</si>
  <si>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</si>
  <si>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</si>
  <si>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</si>
  <si>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</si>
  <si>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</si>
  <si>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</si>
  <si>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</si>
  <si>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</si>
  <si>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</si>
  <si>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</si>
  <si>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</si>
  <si>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</si>
  <si>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</si>
  <si>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</si>
  <si>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</si>
  <si>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</si>
  <si>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</si>
  <si>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</si>
  <si>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</si>
  <si>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</si>
  <si>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</si>
  <si>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</si>
  <si>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</si>
  <si>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</si>
  <si>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</si>
  <si>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</si>
  <si>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</si>
  <si>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</si>
  <si>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</si>
  <si>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</si>
  <si>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</si>
  <si>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</si>
  <si>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</si>
  <si>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</si>
  <si>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</si>
  <si>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</si>
  <si>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</si>
  <si>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</si>
  <si>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</si>
  <si>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</si>
  <si>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</si>
  <si>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</si>
  <si>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</si>
  <si>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</si>
  <si>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</si>
  <si>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</si>
  <si>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</si>
  <si>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</si>
  <si>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</si>
  <si>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</si>
  <si>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</si>
  <si>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</si>
  <si>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</si>
  <si>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</si>
  <si>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</si>
  <si>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</si>
  <si>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</si>
  <si>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</si>
  <si>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</si>
  <si>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</si>
  <si>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</si>
  <si>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</si>
  <si>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</si>
  <si>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</si>
  <si>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</si>
  <si>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</si>
  <si>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</si>
  <si>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</si>
  <si>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</si>
  <si>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</si>
  <si>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</si>
  <si>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</si>
  <si>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</si>
  <si>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</si>
  <si>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</si>
  <si>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</si>
  <si>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</si>
  <si>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</si>
  <si>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</si>
  <si>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</si>
  <si>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</si>
  <si>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</si>
  <si>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</si>
  <si>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</si>
  <si>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</si>
  <si>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</si>
  <si>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</si>
  <si>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</si>
  <si>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</si>
  <si>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</si>
  <si>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</si>
  <si>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</si>
  <si>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</si>
  <si>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</si>
  <si>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</si>
  <si>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</si>
  <si>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</si>
  <si>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</si>
  <si>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</si>
  <si>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</si>
  <si>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</si>
  <si>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</si>
  <si>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</si>
  <si>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</si>
  <si>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</si>
  <si>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</si>
  <si>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</si>
  <si>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</si>
  <si>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</si>
  <si>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</si>
  <si>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</si>
  <si>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</si>
  <si>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</si>
  <si>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</si>
  <si>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</si>
  <si>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</si>
  <si>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</si>
  <si>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</si>
  <si>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</si>
  <si>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</si>
  <si>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</si>
  <si>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</si>
  <si>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</si>
  <si>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</si>
  <si>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</si>
  <si>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</si>
  <si>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</si>
  <si>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</si>
  <si>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</si>
  <si>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</si>
  <si>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</si>
  <si>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</si>
  <si>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</si>
  <si>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</si>
  <si>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</si>
  <si>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</si>
  <si>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</si>
  <si>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</si>
  <si>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</si>
  <si>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</si>
  <si>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</si>
  <si>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</si>
  <si>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</si>
  <si>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</si>
  <si>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</si>
  <si>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</si>
  <si>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</si>
  <si>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</si>
  <si>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</si>
  <si>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</si>
  <si>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</si>
  <si>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</si>
  <si>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</si>
  <si>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</si>
  <si>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</si>
  <si>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</si>
  <si>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</si>
  <si>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</si>
  <si>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</si>
  <si>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</si>
  <si>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</si>
  <si>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</si>
  <si>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</si>
  <si>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</si>
  <si>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</si>
  <si>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</si>
  <si>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</si>
  <si>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</si>
  <si>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</si>
  <si>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</si>
  <si>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</si>
  <si>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</si>
  <si>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</si>
  <si>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</si>
  <si>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</si>
  <si>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</si>
  <si>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</si>
  <si>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</si>
  <si>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</si>
  <si>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</si>
  <si>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</si>
  <si>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</si>
  <si>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</si>
  <si>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</si>
  <si>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</si>
  <si>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</si>
  <si>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</si>
  <si>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</si>
  <si>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</si>
  <si>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</si>
  <si>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</si>
  <si>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</si>
  <si>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</si>
  <si>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</si>
  <si>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</si>
  <si>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</si>
  <si>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</si>
  <si>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</si>
  <si>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</si>
  <si>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</si>
  <si>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</si>
  <si>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</si>
  <si>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</si>
  <si>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</si>
  <si>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</si>
  <si>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</si>
  <si>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</si>
  <si>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</si>
  <si>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</si>
  <si>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</si>
  <si>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</si>
  <si>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</si>
  <si>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</si>
  <si>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</si>
  <si>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</si>
  <si>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</si>
  <si>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</si>
  <si>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</si>
  <si>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</si>
  <si>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</si>
  <si>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</si>
  <si>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</si>
  <si>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</si>
  <si>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</si>
  <si>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</si>
  <si>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</si>
  <si>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</si>
  <si>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</si>
  <si>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</si>
  <si>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</si>
  <si>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</si>
  <si>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</si>
  <si>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</si>
  <si>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</si>
  <si>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</si>
  <si>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</si>
  <si>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</si>
  <si>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</si>
  <si>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</si>
  <si>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</si>
  <si>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</si>
  <si>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</si>
  <si>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</si>
  <si>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</si>
  <si>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</si>
  <si>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</si>
  <si>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</si>
  <si>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</si>
  <si>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</si>
  <si>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</si>
  <si>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</si>
  <si>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</si>
  <si>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</si>
  <si>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</si>
  <si>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</si>
  <si>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</si>
  <si>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</si>
  <si>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</si>
  <si>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</si>
  <si>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</si>
  <si>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</si>
  <si>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</si>
  <si>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</si>
  <si>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</si>
  <si>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</si>
  <si>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</si>
  <si>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</si>
  <si>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</si>
  <si>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</si>
  <si>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</si>
  <si>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</si>
  <si>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</si>
  <si>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</si>
  <si>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</si>
  <si>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</si>
  <si>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</si>
  <si>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</si>
  <si>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</si>
  <si>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</si>
  <si>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</si>
  <si>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</si>
  <si>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</si>
  <si>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</si>
  <si>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</si>
  <si>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</si>
  <si>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</si>
  <si>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</si>
  <si>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</si>
  <si>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</si>
  <si>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</si>
  <si>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</si>
  <si>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</si>
  <si>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</si>
  <si>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</si>
  <si>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</si>
  <si>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</si>
  <si>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</si>
  <si>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</si>
  <si>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</si>
  <si>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</si>
  <si>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</si>
  <si>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</si>
  <si>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</si>
  <si>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</si>
  <si>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</si>
  <si>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</si>
  <si>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</si>
  <si>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</si>
  <si>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</si>
  <si>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</si>
  <si>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</si>
  <si>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</si>
  <si>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</si>
  <si>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</si>
  <si>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</si>
  <si>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</si>
  <si>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</si>
  <si>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</si>
  <si>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</si>
  <si>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</si>
  <si>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</si>
  <si>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</si>
  <si>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</si>
  <si>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</si>
  <si>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</si>
  <si>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</si>
  <si>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</si>
  <si>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</si>
  <si>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</si>
  <si>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</si>
  <si>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</si>
  <si>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</si>
  <si>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</si>
  <si>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</si>
  <si>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</si>
  <si>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</si>
  <si>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</si>
  <si>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</si>
  <si>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</si>
  <si>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</si>
  <si>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</si>
  <si>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</si>
  <si>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</si>
  <si>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</si>
  <si>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</si>
  <si>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</si>
  <si>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</si>
  <si>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</si>
  <si>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</si>
  <si>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</si>
  <si>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</si>
  <si>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</si>
  <si>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</si>
  <si>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</si>
  <si>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</si>
  <si>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</si>
  <si>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</si>
  <si>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</si>
  <si>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</si>
  <si>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</si>
  <si>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</si>
  <si>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</si>
  <si>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</si>
  <si>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</si>
  <si>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</si>
  <si>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</si>
  <si>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</si>
  <si>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</si>
  <si>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</si>
  <si>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</si>
  <si>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</si>
  <si>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</si>
  <si>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</si>
  <si>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</si>
  <si>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</si>
  <si>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</si>
  <si>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</si>
  <si>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</si>
  <si>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</si>
  <si>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Power Inn Sacramento, L.P.</t>
  </si>
  <si>
    <t>Anton Power Inn</t>
  </si>
  <si>
    <t>Trisha Malone</t>
  </si>
  <si>
    <t>President</t>
  </si>
  <si>
    <t>Sacramento County</t>
  </si>
  <si>
    <t>Leighann Moffitt</t>
  </si>
  <si>
    <t>827 7th St, Room 225</t>
  </si>
  <si>
    <t>916-874-6141</t>
  </si>
  <si>
    <t>moffittl@saccounty.net</t>
  </si>
  <si>
    <t>CDLAC-TCAC Joint Application (submitting concurrently)</t>
  </si>
  <si>
    <t>7243 Power Inn Rd.</t>
  </si>
  <si>
    <t>051-0030-001-0000</t>
  </si>
  <si>
    <t>High Segregation &amp; Poverty</t>
  </si>
  <si>
    <t>$500M</t>
  </si>
  <si>
    <t>40%/60% Average Income</t>
  </si>
  <si>
    <t>1610 R Street, Suite 250</t>
  </si>
  <si>
    <t>CA</t>
  </si>
  <si>
    <t>650-549-1603</t>
  </si>
  <si>
    <t>tmalone@antondev.com</t>
  </si>
  <si>
    <t>See below</t>
  </si>
  <si>
    <t>Anton Power Inn, LLC</t>
  </si>
  <si>
    <t>Administrative GP</t>
  </si>
  <si>
    <t>Anton DevCo, Inc.</t>
  </si>
  <si>
    <t>PacH Anton South Holdings, LLC</t>
  </si>
  <si>
    <t>Managing GP</t>
  </si>
  <si>
    <t>2115 J Street, Suite 201</t>
  </si>
  <si>
    <t>Mark Weise</t>
  </si>
  <si>
    <t>916-638-5200</t>
  </si>
  <si>
    <t>mweise@pacifichousing.org</t>
  </si>
  <si>
    <t>Pacific Housing, Inc.</t>
  </si>
  <si>
    <t>Developer</t>
  </si>
  <si>
    <t>Sacramento, CA 95811</t>
  </si>
  <si>
    <t>Architecture Design Collaborative</t>
  </si>
  <si>
    <t>23231 South Pointe Dr.</t>
  </si>
  <si>
    <t>Laguna Hills, CA 92653</t>
  </si>
  <si>
    <t>Chris Weimholt</t>
  </si>
  <si>
    <t>949-267-1660</t>
  </si>
  <si>
    <t>cweinholt@adcollaborative.com</t>
  </si>
  <si>
    <t>Anton Building Company</t>
  </si>
  <si>
    <t>1676 N. California Blvd, Suite 250</t>
  </si>
  <si>
    <t>Walnut Creek, CA 94596</t>
  </si>
  <si>
    <t>Andy Davidson</t>
  </si>
  <si>
    <t>650-549-1604</t>
  </si>
  <si>
    <t>adavidson@antondev.com</t>
  </si>
  <si>
    <t>Novogradac &amp; Company, LLP</t>
  </si>
  <si>
    <t>2033 North Main St, Suite 400</t>
  </si>
  <si>
    <t>VCA Green</t>
  </si>
  <si>
    <t>1845 W. Orangewood Ave, Suite 220</t>
  </si>
  <si>
    <t>Orange, CA 92868</t>
  </si>
  <si>
    <t>Glen Folland</t>
  </si>
  <si>
    <t>714-363-4700</t>
  </si>
  <si>
    <t>gfolland@vca-green.com</t>
  </si>
  <si>
    <t>Bocarsly Emden Cowan Esmail &amp; Arndt LLP</t>
  </si>
  <si>
    <t>karndt@bocarsly.com</t>
  </si>
  <si>
    <t>213-239-8048</t>
  </si>
  <si>
    <t>Los Angeles, CA 90071</t>
  </si>
  <si>
    <t>633 West 5th St, 64th Floor</t>
  </si>
  <si>
    <t>Kyle Arndt</t>
  </si>
  <si>
    <t>Raymond James</t>
  </si>
  <si>
    <t>Kevin Kilbane</t>
  </si>
  <si>
    <t>5420 La Jolla Blvd, Suite B104</t>
  </si>
  <si>
    <t>La Jolla, CA 92037</t>
  </si>
  <si>
    <t>216-509-1342</t>
  </si>
  <si>
    <t>kevin.kilbane@raymondjames.com</t>
  </si>
  <si>
    <t>M. E. Shay &amp; Co.</t>
  </si>
  <si>
    <t>1724 10th Street, Suite 110</t>
  </si>
  <si>
    <t>Mary Ellen Shay</t>
  </si>
  <si>
    <t>916-444-0288</t>
  </si>
  <si>
    <t>meshay@meshayco.com</t>
  </si>
  <si>
    <t>CalHFA</t>
  </si>
  <si>
    <t>500 Capitol Mall, Suite 400, MS 990</t>
  </si>
  <si>
    <t>Sacramento, CA 95814</t>
  </si>
  <si>
    <t>Kevin Brown</t>
  </si>
  <si>
    <t>916-326-8808</t>
  </si>
  <si>
    <t>kbrown@calhfa.ca.gov</t>
  </si>
  <si>
    <t>Anton Residential, Inc.</t>
  </si>
  <si>
    <t>Wes Carter</t>
  </si>
  <si>
    <t>650-241-1847</t>
  </si>
  <si>
    <t>wcarter@antondev.com</t>
  </si>
  <si>
    <t>Kelly Anne Commercial, LLC; Michael A. Digrazia; Thomas B. Halfaker; M&amp;MH L.P.</t>
  </si>
  <si>
    <t>Susan Halfaker, Michael DiGrazia</t>
  </si>
  <si>
    <t>Managing Member, Trustee</t>
  </si>
  <si>
    <t>Thomas Halfaker, Susan Halfaker</t>
  </si>
  <si>
    <t>Trustee, General Partner</t>
  </si>
  <si>
    <t>937 Piedmont Dr</t>
  </si>
  <si>
    <t>Sacramento, CA 95822</t>
  </si>
  <si>
    <t>Other (Specify below)</t>
  </si>
  <si>
    <t>Three story garden style multifamily</t>
  </si>
  <si>
    <t>Units with communications features</t>
  </si>
  <si>
    <t>Medium Density Residential</t>
  </si>
  <si>
    <t>Special Planning Area: Old Florin Town, Residential 20</t>
  </si>
  <si>
    <t>Special Planning Area: Old Florin Town, Residential 25.7</t>
  </si>
  <si>
    <t>Site will be deed restricted as 100% affordable to tenants earning 70% AMI or less</t>
  </si>
  <si>
    <t>45 feet</t>
  </si>
  <si>
    <t>CalHFA MIP Subsidy Loan</t>
  </si>
  <si>
    <t>Citibank, N.A. - Series A1 Tax-Exempt</t>
  </si>
  <si>
    <t>Citibank, N.A. - Series A2 Taxable</t>
  </si>
  <si>
    <t>Raymond James - Tax Credit Equity</t>
  </si>
  <si>
    <t>Net Cash Flow During Lease-Up</t>
  </si>
  <si>
    <t>Fixed</t>
  </si>
  <si>
    <t>yes</t>
  </si>
  <si>
    <t>Deferred Reserve Funding</t>
  </si>
  <si>
    <t>One Sansome Street, 26th Floor</t>
  </si>
  <si>
    <t>San Francisco, CA 94104</t>
  </si>
  <si>
    <t>Bryan Barker</t>
  </si>
  <si>
    <t>415-627-6484</t>
  </si>
  <si>
    <t>Construction</t>
  </si>
  <si>
    <t>5420 La Jolla Blvd, #B104</t>
  </si>
  <si>
    <t>Tax Credit Equity</t>
  </si>
  <si>
    <t>1610 R St, Suite 250</t>
  </si>
  <si>
    <t>Net cash flow during lease-up</t>
  </si>
  <si>
    <t>Deferred developer fee</t>
  </si>
  <si>
    <t>CalHFA Senior Mortgage Loan</t>
  </si>
  <si>
    <t>CalHFA MIP Subordinate Subsidy Loan</t>
  </si>
  <si>
    <t>Deferred Developer Fee Note</t>
  </si>
  <si>
    <t>AFR</t>
  </si>
  <si>
    <t>Permanent</t>
  </si>
  <si>
    <t>Residual Receipts</t>
  </si>
  <si>
    <t>Cummulative NOI during lease-up</t>
  </si>
  <si>
    <t>Telecom, Late fees, app fees, turnover</t>
  </si>
  <si>
    <t>Air Conditioning</t>
  </si>
  <si>
    <t>General Admin Fees</t>
  </si>
  <si>
    <t>Health/WC/Commissions</t>
  </si>
  <si>
    <t>Turnover</t>
  </si>
  <si>
    <t>Professional Services</t>
  </si>
  <si>
    <t>CalHFA MIP Subsidy</t>
  </si>
  <si>
    <t>The sponsor has previously developed affordable housing within the community in which the QRRP will be located in the past 20 years</t>
  </si>
  <si>
    <t>Other: Washer &amp; Dryers</t>
  </si>
  <si>
    <t>Other: Construction Inspections</t>
  </si>
  <si>
    <t>Other: Audit</t>
  </si>
  <si>
    <t>Other: (Consultants,Legal)</t>
  </si>
  <si>
    <t>4th</t>
  </si>
  <si>
    <t>Annual</t>
  </si>
  <si>
    <t>Resident services and coordination, after school programs</t>
  </si>
  <si>
    <t>Y</t>
  </si>
  <si>
    <t>Contract TBD as we near permits</t>
  </si>
  <si>
    <t>Anton DevCo will use Anton Building Company as our GC. As we get closer to pulling permits we will execute a construction contract. Contractor has already recived pricing estimates on hard costs.</t>
  </si>
  <si>
    <t>Project will be designed to meet LEED and also above Energy Code.</t>
  </si>
  <si>
    <t>Above residual receipts line for cash flow</t>
  </si>
  <si>
    <t>Anton Asset Management Fee</t>
  </si>
  <si>
    <t>MIP Loan</t>
  </si>
  <si>
    <t>, 2022 at</t>
  </si>
  <si>
    <t>N</t>
  </si>
  <si>
    <t>Holding Costs</t>
  </si>
  <si>
    <t>Sponsor Loan</t>
  </si>
  <si>
    <t>Sponsor funded loan</t>
  </si>
  <si>
    <t>8th</t>
  </si>
  <si>
    <t>March</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</si>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</sst>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52">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3" fillId="0" borderId="0" xfId="0" applyFont="1" applyFill="1" applyProtection="1">
      <protection locked="0"/>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20" fillId="0" borderId="0" xfId="570" applyFont="1" applyAlignment="1" applyProtection="1">
      <alignment horizontal="lef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50" fillId="5" borderId="11" xfId="0" applyFont="1" applyFill="1" applyBorder="1" applyAlignment="1" applyProtection="1">
      <alignment horizontal="right" vertical="top" wrapText="1"/>
      <protection locked="0"/>
    </xf>
    <xf numFmtId="0" fontId="13" fillId="0" borderId="0" xfId="0" applyFont="1" applyAlignment="1">
      <alignment horizontal="left" vertical="top" wrapText="1"/>
    </xf>
    <xf numFmtId="0" fontId="14" fillId="0" borderId="0" xfId="244" applyBorder="1" applyAlignment="1" applyProtection="1">
      <alignment horizontal="left" vertical="top" wrapText="1"/>
    </xf>
    <xf numFmtId="0" fontId="13" fillId="0" borderId="0" xfId="0" applyFont="1" applyFill="1" applyAlignment="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70" applyFont="1" applyAlignment="1">
      <alignment horizontal="left"/>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4" fontId="31" fillId="0" borderId="0" xfId="570" applyNumberFormat="1"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70" applyFont="1" applyBorder="1" applyAlignment="1" applyProtection="1">
      <alignment horizontal="left"/>
    </xf>
    <xf numFmtId="0" fontId="20" fillId="0" borderId="4" xfId="570"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3" applyNumberFormat="1" applyFont="1" applyAlignment="1" applyProtection="1">
      <alignment horizontal="left" vertical="top" wrapText="1"/>
    </xf>
    <xf numFmtId="4" fontId="13" fillId="0" borderId="0" xfId="1193"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0" fontId="13" fillId="0" borderId="0" xfId="1193"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0" fontId="13" fillId="0" borderId="0" xfId="1193" applyFont="1" applyFill="1" applyAlignment="1">
      <alignment horizontal="left" vertical="top" wrapText="1"/>
    </xf>
    <xf numFmtId="0" fontId="13" fillId="0" borderId="0" xfId="570" applyFont="1" applyAlignment="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3"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570" applyFont="1" applyAlignment="1" applyProtection="1">
      <alignment horizontal="left" vertical="top" wrapText="1"/>
    </xf>
    <xf numFmtId="0" fontId="13" fillId="0" borderId="0" xfId="570" applyFont="1" applyAlignment="1" applyProtection="1">
      <alignment horizontal="left" vertical="top"/>
    </xf>
    <xf numFmtId="0" fontId="31" fillId="0" borderId="0" xfId="570" applyFont="1" applyAlignment="1">
      <alignment horizontal="left" vertical="top" wrapText="1"/>
    </xf>
    <xf numFmtId="0" fontId="13" fillId="0" borderId="0" xfId="570" applyFont="1" applyAlignment="1" applyProtection="1">
      <alignment horizontal="left"/>
    </xf>
    <xf numFmtId="0" fontId="13" fillId="0" borderId="0" xfId="1193" applyFont="1" applyAlignment="1" applyProtection="1">
      <alignment vertical="top" wrapText="1"/>
    </xf>
    <xf numFmtId="0" fontId="31" fillId="0" borderId="0" xfId="570" applyFont="1" applyFill="1" applyAlignment="1">
      <alignment horizontal="left"/>
    </xf>
    <xf numFmtId="0" fontId="13" fillId="0" borderId="0" xfId="570" applyFont="1" applyBorder="1" applyAlignment="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3" fillId="0" borderId="0" xfId="570"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70" applyFont="1" applyFill="1" applyAlignment="1">
      <alignment horizontal="left"/>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20" fillId="0" borderId="0" xfId="570" applyFont="1" applyAlignment="1">
      <alignment horizontal="left" vertical="top" wrapText="1"/>
    </xf>
    <xf numFmtId="4" fontId="13" fillId="0" borderId="0" xfId="570" applyNumberFormat="1" applyFont="1" applyAlignment="1" applyProtection="1">
      <alignment horizontal="left" vertical="top" wrapText="1"/>
    </xf>
    <xf numFmtId="0" fontId="31" fillId="0" borderId="0" xfId="570" applyFont="1" applyFill="1" applyAlignment="1">
      <alignment horizontal="center"/>
    </xf>
    <xf numFmtId="0" fontId="13" fillId="0" borderId="0" xfId="570" applyFill="1" applyAlignment="1">
      <alignment horizontal="center"/>
    </xf>
    <xf numFmtId="0" fontId="20" fillId="0" borderId="0" xfId="0" applyFont="1" applyAlignment="1">
      <alignment horizontal="left" vertical="top"/>
    </xf>
    <xf numFmtId="0" fontId="31" fillId="0" borderId="0" xfId="570" applyFont="1" applyAlignment="1">
      <alignment horizontal="left" wrapText="1"/>
    </xf>
    <xf numFmtId="0" fontId="20" fillId="0" borderId="0" xfId="570" applyFont="1" applyFill="1" applyAlignment="1" applyProtection="1">
      <alignment horizontal="center"/>
    </xf>
    <xf numFmtId="0" fontId="13" fillId="0" borderId="0" xfId="570" applyFill="1" applyAlignment="1" applyProtection="1"/>
    <xf numFmtId="0" fontId="31" fillId="0" borderId="0" xfId="570" applyFont="1" applyAlignment="1" applyProtection="1">
      <alignment horizontal="left"/>
    </xf>
    <xf numFmtId="0" fontId="20" fillId="0" borderId="0" xfId="0" applyFont="1" applyBorder="1" applyAlignment="1">
      <alignment horizontal="left" vertical="top"/>
    </xf>
    <xf numFmtId="0" fontId="13" fillId="0" borderId="0" xfId="570" applyFont="1" applyFill="1" applyAlignment="1" applyProtection="1"/>
    <xf numFmtId="0" fontId="13" fillId="0" borderId="0" xfId="1193" applyFont="1" applyAlignment="1">
      <alignment horizontal="left"/>
    </xf>
    <xf numFmtId="0" fontId="14" fillId="0" borderId="0" xfId="244" applyNumberFormat="1" applyFill="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13" fillId="0" borderId="0" xfId="0" quotePrefix="1" applyFont="1" applyAlignment="1">
      <alignment horizontal="left" vertical="top" wrapText="1"/>
    </xf>
    <xf numFmtId="0" fontId="31" fillId="0" borderId="0" xfId="0" applyFont="1" applyFill="1" applyAlignment="1">
      <alignment horizontal="left" vertical="top" wrapText="1"/>
    </xf>
    <xf numFmtId="0" fontId="20" fillId="0" borderId="0" xfId="0" applyFont="1" applyFill="1" applyAlignment="1">
      <alignment horizontal="left" vertical="top" wrapText="1"/>
    </xf>
    <xf numFmtId="0" fontId="13" fillId="0" borderId="0" xfId="0" quotePrefix="1" applyFont="1" applyAlignment="1">
      <alignment horizontal="left" vertical="top"/>
    </xf>
    <xf numFmtId="0" fontId="20" fillId="0" borderId="0" xfId="1193" applyFont="1" applyFill="1" applyAlignment="1">
      <alignment horizontal="left" vertical="top" wrapText="1"/>
    </xf>
    <xf numFmtId="49" fontId="20" fillId="0" borderId="0" xfId="0" applyNumberFormat="1" applyFont="1" applyAlignment="1">
      <alignment horizontal="left"/>
    </xf>
    <xf numFmtId="0" fontId="31" fillId="0" borderId="0" xfId="1193" applyFont="1" applyFill="1" applyAlignment="1">
      <alignment horizontal="left" vertical="top" wrapText="1"/>
    </xf>
    <xf numFmtId="49" fontId="20" fillId="0" borderId="0" xfId="0" applyNumberFormat="1" applyFont="1" applyAlignment="1">
      <alignment horizontal="left" vertical="top"/>
    </xf>
    <xf numFmtId="49" fontId="13" fillId="0" borderId="0" xfId="0" applyNumberFormat="1" applyFont="1" applyAlignment="1">
      <alignment horizontal="left" vertical="top" wrapText="1"/>
    </xf>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 fontId="13" fillId="0" borderId="0" xfId="0" applyNumberFormat="1" applyFont="1" applyAlignment="1" applyProtection="1">
      <alignment horizontal="left"/>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0" fontId="13" fillId="5" borderId="4" xfId="570" applyFont="1" applyFill="1" applyBorder="1" applyAlignment="1" applyProtection="1">
      <alignment horizontal="left"/>
      <protection locked="0"/>
    </xf>
    <xf numFmtId="0" fontId="13" fillId="5" borderId="5" xfId="570" applyFont="1" applyFill="1" applyBorder="1" applyAlignment="1" applyProtection="1">
      <alignment horizontal="left"/>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14" fontId="13"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3"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13" fillId="5" borderId="5" xfId="0" applyFont="1" applyFill="1" applyBorder="1" applyAlignment="1" applyProtection="1">
      <alignment horizontal="left"/>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0" xfId="0" applyFont="1" applyAlignment="1" applyProtection="1">
      <alignment horizontal="center"/>
    </xf>
    <xf numFmtId="0" fontId="21" fillId="44" borderId="6" xfId="0" applyFont="1"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13"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168" fontId="22"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3" fillId="0" borderId="6" xfId="543" applyFont="1" applyBorder="1" applyAlignment="1" applyProtection="1">
      <alignment horizontal="left"/>
    </xf>
    <xf numFmtId="0" fontId="13" fillId="5" borderId="3" xfId="0" applyNumberFormat="1" applyFont="1" applyFill="1" applyBorder="1" applyAlignment="1" applyProtection="1">
      <alignment horizontal="right" vertical="top"/>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32" fillId="5" borderId="6" xfId="0" applyFont="1"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168" fontId="13"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13" fillId="5" borderId="3" xfId="0" applyFont="1"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3" fillId="0" borderId="4" xfId="0" applyFont="1" applyBorder="1" applyAlignment="1" applyProtection="1">
      <alignment horizontal="center"/>
    </xf>
    <xf numFmtId="0" fontId="13" fillId="0" borderId="11" xfId="0" applyFont="1" applyBorder="1" applyAlignment="1" applyProtection="1">
      <alignment horizontal="center"/>
    </xf>
    <xf numFmtId="0" fontId="13" fillId="0" borderId="11" xfId="543" applyFont="1" applyFill="1" applyBorder="1" applyAlignment="1" applyProtection="1">
      <alignment horizontal="center"/>
    </xf>
    <xf numFmtId="1" fontId="22" fillId="5" borderId="6"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0" fillId="44" borderId="4" xfId="0" applyFill="1" applyBorder="1" applyAlignment="1" applyProtection="1">
      <alignment horizontal="center"/>
      <protection locked="0"/>
    </xf>
    <xf numFmtId="0" fontId="20" fillId="0" borderId="6" xfId="0" applyFont="1" applyBorder="1" applyAlignment="1" applyProtection="1">
      <alignment horizontal="right"/>
    </xf>
    <xf numFmtId="0" fontId="20"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5" borderId="0" xfId="0" applyFont="1"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13" fillId="0" borderId="6" xfId="0" applyFont="1" applyBorder="1" applyAlignment="1" applyProtection="1">
      <alignment horizontal="center"/>
      <protection locked="0"/>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5" borderId="6" xfId="0" applyFill="1" applyBorder="1" applyProtection="1">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2" fillId="0" borderId="6" xfId="0" applyFont="1" applyBorder="1" applyAlignment="1" applyProtection="1">
      <alignment horizontal="left"/>
    </xf>
    <xf numFmtId="2" fontId="0" fillId="0" borderId="6" xfId="0" applyNumberFormat="1" applyFill="1" applyBorder="1" applyAlignment="1" applyProtection="1">
      <alignment horizontal="center"/>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 fontId="13" fillId="44" borderId="3" xfId="0" applyNumberFormat="1" applyFont="1" applyFill="1" applyBorder="1" applyAlignment="1" applyProtection="1">
      <alignment horizontal="center"/>
      <protection locked="0"/>
    </xf>
    <xf numFmtId="1" fontId="13" fillId="44" borderId="4" xfId="0" applyNumberFormat="1" applyFont="1" applyFill="1" applyBorder="1" applyAlignment="1" applyProtection="1">
      <alignment horizontal="center"/>
      <protection locked="0"/>
    </xf>
    <xf numFmtId="1" fontId="13" fillId="44"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22" fillId="0" borderId="1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3" fillId="0" borderId="0" xfId="543" applyNumberFormat="1" applyFont="1" applyFill="1" applyBorder="1" applyAlignment="1" applyProtection="1">
      <alignment horizontal="center" vertical="center"/>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20"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3" fillId="0" borderId="11" xfId="543" applyNumberFormat="1" applyFont="1" applyFill="1" applyBorder="1" applyAlignment="1" applyProtection="1">
      <alignment horizont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13" fillId="0" borderId="1" xfId="0" applyFont="1" applyFill="1" applyBorder="1" applyAlignment="1" applyProtection="1">
      <alignment horizontal="center" vertical="top" wrapText="1"/>
    </xf>
    <xf numFmtId="0" fontId="22"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4" fontId="21" fillId="5" borderId="3" xfId="0" applyNumberFormat="1" applyFont="1" applyFill="1" applyBorder="1" applyAlignment="1" applyProtection="1">
      <alignment horizontal="left"/>
      <protection locked="0"/>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46" fillId="0" borderId="0" xfId="0" applyFont="1" applyBorder="1" applyAlignment="1" applyProtection="1">
      <alignment horizontal="center"/>
    </xf>
    <xf numFmtId="0" fontId="13"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2" fillId="5" borderId="5" xfId="0"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9" fontId="13" fillId="5" borderId="3" xfId="0" applyNumberFormat="1" applyFont="1" applyFill="1" applyBorder="1" applyAlignment="1" applyProtection="1">
      <alignment horizontal="right"/>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5" borderId="6" xfId="271" applyFont="1" applyFill="1" applyBorder="1" applyAlignment="1" applyProtection="1">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0" fillId="0" borderId="8"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2" fillId="0" borderId="11" xfId="0" applyFont="1" applyBorder="1" applyAlignment="1" applyProtection="1">
      <alignment horizont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0" fontId="149" fillId="44" borderId="68"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3" fillId="45" borderId="68" xfId="8720" applyFill="1" applyBorder="1" applyAlignment="1">
      <alignment horizontal="left"/>
    </xf>
    <xf numFmtId="0" fontId="3" fillId="45" borderId="69" xfId="8720" applyFill="1" applyBorder="1" applyAlignment="1">
      <alignment horizontal="left"/>
    </xf>
    <xf numFmtId="0" fontId="3" fillId="45" borderId="70" xfId="8720" applyFill="1" applyBorder="1" applyAlignment="1">
      <alignment horizontal="left"/>
    </xf>
    <xf numFmtId="0" fontId="3"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51" fillId="46" borderId="66" xfId="8720" applyFont="1" applyFill="1" applyBorder="1" applyAlignment="1">
      <alignment horizontal="center" vertical="center" wrapText="1"/>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1" fontId="3" fillId="44" borderId="11" xfId="8720" applyNumberForma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0" fontId="3" fillId="44" borderId="5" xfId="8720" applyFill="1" applyBorder="1" applyAlignment="1" applyProtection="1">
      <alignment horizontal="center"/>
      <protection locked="0"/>
    </xf>
    <xf numFmtId="0" fontId="3" fillId="44" borderId="11"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3" fillId="44" borderId="82" xfId="8720"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 fillId="44" borderId="5" xfId="8720" applyFont="1" applyFill="1" applyBorder="1" applyAlignment="1" applyProtection="1">
      <alignment horizontal="center"/>
      <protection locked="0"/>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144" fillId="46" borderId="3"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4" fontId="149" fillId="44" borderId="75" xfId="8720"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0" fontId="149" fillId="44" borderId="9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1" fillId="44" borderId="13" xfId="8720" applyFont="1" applyFill="1" applyBorder="1" applyAlignment="1" applyProtection="1">
      <alignment horizontal="center"/>
      <protection locked="0"/>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1" fillId="44" borderId="75" xfId="8720" applyFont="1" applyFill="1" applyBorder="1" applyAlignment="1" applyProtection="1">
      <alignment horizontal="center"/>
      <protection locked="0"/>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44"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93" xfId="8720" applyFont="1" applyFill="1" applyBorder="1" applyAlignment="1">
      <alignment horizontal="center"/>
    </xf>
    <xf numFmtId="0" fontId="99" fillId="44" borderId="97"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104"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99" fillId="44" borderId="95" xfId="8720" applyFont="1"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73"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144" fillId="46" borderId="91"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10"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44" fillId="46" borderId="29" xfId="8720" applyFont="1" applyFill="1" applyBorder="1" applyAlignment="1">
      <alignment horizontal="center"/>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5" xfId="8720" applyFont="1" applyFill="1" applyBorder="1" applyAlignment="1">
      <alignment horizontal="center"/>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1" fillId="44" borderId="82" xfId="8720" applyFont="1"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82"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168" fontId="50" fillId="44" borderId="11" xfId="8721" applyNumberFormat="1" applyFont="1" applyFill="1" applyBorder="1" applyAlignment="1" applyProtection="1">
      <alignment horizontal="center"/>
      <protection locked="0"/>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145" fillId="46" borderId="81" xfId="8720" applyFont="1" applyFill="1" applyBorder="1" applyAlignment="1">
      <alignment horizontal="center"/>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144" fillId="46" borderId="94"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99"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14" fontId="3" fillId="44" borderId="68" xfId="8720" applyNumberFormat="1" applyFill="1" applyBorder="1" applyAlignment="1" applyProtection="1">
      <alignment horizontal="center"/>
      <protection locked="0"/>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3" fillId="44" borderId="68" xfId="8720" applyFill="1" applyBorder="1" applyAlignment="1" applyProtection="1">
      <alignment horizontal="center"/>
      <protection locked="0"/>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0" fontId="13" fillId="46" borderId="11" xfId="4496" applyFont="1" applyFill="1" applyBorder="1" applyAlignment="1" applyProtection="1">
      <alignment horizontal="center"/>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168" fontId="13"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3" fillId="44" borderId="6" xfId="543" applyNumberFormat="1" applyFont="1" applyFill="1" applyBorder="1" applyAlignment="1" applyProtection="1">
      <alignment horizontal="center"/>
      <protection locked="0"/>
    </xf>
    <xf numFmtId="168" fontId="13" fillId="5" borderId="4" xfId="1193" applyNumberFormat="1" applyFont="1" applyFill="1" applyBorder="1" applyAlignment="1" applyProtection="1">
      <alignment horizontal="center"/>
      <protection locked="0"/>
    </xf>
    <xf numFmtId="4" fontId="21" fillId="0" borderId="0" xfId="4496" applyNumberFormat="1" applyFont="1" applyAlignment="1" applyProtection="1">
      <alignment horizontal="center"/>
    </xf>
    <xf numFmtId="4" fontId="21" fillId="0" borderId="6" xfId="4496" applyNumberFormat="1" applyFont="1" applyBorder="1" applyAlignment="1" applyProtection="1">
      <alignment horizontal="center"/>
    </xf>
    <xf numFmtId="1" fontId="13" fillId="5" borderId="2" xfId="1193" applyNumberFormat="1" applyFont="1" applyFill="1" applyBorder="1" applyAlignment="1" applyProtection="1">
      <alignment horizontal="center"/>
      <protection locked="0"/>
    </xf>
    <xf numFmtId="168" fontId="13" fillId="0" borderId="0" xfId="1193" applyNumberFormat="1" applyFont="1" applyAlignment="1" applyProtection="1">
      <alignment horizontal="right"/>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6" xfId="4497" applyNumberFormat="1" applyFont="1" applyFill="1" applyBorder="1" applyAlignment="1" applyProtection="1">
      <alignment horizontal="center"/>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20" fillId="0" borderId="0" xfId="4496" applyFont="1" applyFill="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10" fontId="21" fillId="0" borderId="2" xfId="4496" applyNumberFormat="1" applyFont="1" applyBorder="1" applyAlignment="1" applyProtection="1">
      <alignment horizontal="center"/>
    </xf>
    <xf numFmtId="0" fontId="21" fillId="0" borderId="0" xfId="4496" applyFont="1" applyAlignment="1" applyProtection="1">
      <alignment horizontal="center"/>
    </xf>
    <xf numFmtId="9" fontId="21" fillId="5" borderId="6" xfId="4496" applyNumberFormat="1" applyFont="1" applyFill="1" applyBorder="1" applyAlignment="1" applyProtection="1">
      <alignment horizontal="left"/>
    </xf>
    <xf numFmtId="0" fontId="127" fillId="0" borderId="0" xfId="4496" applyFont="1" applyAlignment="1">
      <alignment horizontal="left" vertical="top" wrapText="1"/>
    </xf>
    <xf numFmtId="0" fontId="29" fillId="43" borderId="2" xfId="4496" applyFont="1" applyFill="1" applyBorder="1" applyAlignment="1">
      <alignment horizontal="center"/>
    </xf>
    <xf numFmtId="0" fontId="29" fillId="43" borderId="6" xfId="4496" applyFont="1" applyFill="1" applyBorder="1" applyAlignment="1">
      <alignment horizontal="center"/>
    </xf>
    <xf numFmtId="0" fontId="20" fillId="0" borderId="11" xfId="4496" applyFont="1" applyBorder="1" applyAlignment="1" applyProtection="1">
      <alignment horizontal="center"/>
    </xf>
    <xf numFmtId="0" fontId="117" fillId="5" borderId="55" xfId="4496" applyFill="1" applyBorder="1" applyAlignment="1" applyProtection="1">
      <alignment horizontal="center"/>
      <protection locked="0"/>
    </xf>
    <xf numFmtId="0" fontId="117" fillId="5" borderId="6"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top" wrapText="1"/>
    </xf>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3" fillId="0" borderId="6" xfId="1193" applyFont="1" applyFill="1" applyBorder="1" applyAlignment="1" applyProtection="1">
      <alignment horizontal="left"/>
    </xf>
    <xf numFmtId="9" fontId="13" fillId="5" borderId="4" xfId="1193" applyNumberFormat="1" applyFont="1" applyFill="1" applyBorder="1" applyAlignment="1" applyProtection="1">
      <alignment horizontal="left"/>
      <protection locked="0"/>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1" fontId="13" fillId="0" borderId="11" xfId="4496" applyNumberFormat="1" applyFont="1" applyFill="1" applyBorder="1" applyAlignment="1" applyProtection="1">
      <alignment horizontal="center"/>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0" fontId="20" fillId="0" borderId="4" xfId="4496" applyFont="1" applyBorder="1"/>
    <xf numFmtId="0" fontId="20" fillId="0" borderId="5" xfId="4496" applyFont="1" applyBorder="1"/>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1" fontId="20" fillId="0" borderId="4" xfId="4496" applyNumberFormat="1" applyFont="1" applyFill="1" applyBorder="1" applyAlignment="1" applyProtection="1">
      <alignment horizontal="center" wrapText="1"/>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20" fillId="0" borderId="0" xfId="4496" applyFont="1" applyFill="1" applyBorder="1" applyAlignment="1" applyProtection="1">
      <alignment horizontal="right"/>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0" borderId="58" xfId="4496" applyFont="1" applyBorder="1" applyAlignment="1">
      <alignment horizontal="left" vertical="top" wrapText="1"/>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127" fillId="0" borderId="0" xfId="4496" applyFont="1" applyAlignment="1">
      <alignment horizontal="left" vertical="center" wrapText="1"/>
    </xf>
    <xf numFmtId="0" fontId="20" fillId="0" borderId="0" xfId="4496" applyFont="1" applyFill="1" applyBorder="1" applyAlignment="1" applyProtection="1">
      <alignment horizontal="center" vertical="top"/>
    </xf>
    <xf numFmtId="0" fontId="20" fillId="0" borderId="0"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3" fillId="5" borderId="6" xfId="4496" applyFont="1" applyFill="1" applyBorder="1" applyAlignment="1" applyProtection="1">
      <alignment horizontal="center"/>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0" borderId="53"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168" fontId="13" fillId="44" borderId="6" xfId="4496" applyNumberFormat="1" applyFont="1" applyFill="1" applyBorder="1" applyAlignment="1" applyProtection="1">
      <alignment horizontal="right"/>
      <protection locked="0"/>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0" fontId="13" fillId="5" borderId="6" xfId="1193" applyFont="1" applyFill="1" applyBorder="1" applyAlignment="1" applyProtection="1">
      <alignment horizontal="left"/>
      <protection locked="0"/>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13" fillId="5" borderId="6" xfId="4496" applyFont="1" applyFill="1" applyBorder="1" applyAlignment="1" applyProtection="1">
      <alignment horizontal="left"/>
      <protection locked="0"/>
    </xf>
    <xf numFmtId="0" fontId="50" fillId="5" borderId="6" xfId="4496" applyFont="1" applyFill="1" applyBorder="1" applyAlignment="1" applyProtection="1">
      <alignment horizontal="left"/>
      <protection locked="0"/>
    </xf>
    <xf numFmtId="0" fontId="13" fillId="0" borderId="11" xfId="4496" applyNumberFormat="1" applyFont="1" applyFill="1" applyBorder="1" applyAlignment="1" applyProtection="1">
      <alignment horizontal="center"/>
    </xf>
    <xf numFmtId="0" fontId="13" fillId="0" borderId="0" xfId="1193" applyFont="1" applyBorder="1" applyAlignment="1" applyProtection="1">
      <alignment horizontal="right"/>
    </xf>
    <xf numFmtId="0" fontId="13" fillId="0" borderId="0" xfId="1193" applyFont="1" applyAlignment="1" applyProtection="1">
      <alignment horizontal="right"/>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1" fontId="13" fillId="5" borderId="4" xfId="1193" applyNumberFormat="1" applyFont="1" applyFill="1" applyBorder="1" applyAlignment="1" applyProtection="1">
      <alignment horizontal="center"/>
      <protection locked="0"/>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0" fontId="20" fillId="0" borderId="0" xfId="4496" applyFont="1" applyAlignment="1" applyProtection="1">
      <alignment horizontal="right"/>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5" borderId="6" xfId="4497" applyFont="1" applyFill="1" applyBorder="1" applyAlignment="1" applyProtection="1">
      <alignment horizontal="center"/>
      <protection locked="0"/>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19" fillId="5" borderId="55" xfId="4497" applyFont="1" applyFill="1" applyBorder="1" applyAlignment="1" applyProtection="1">
      <alignment horizontal="center"/>
      <protection locked="0"/>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0" xfId="4497" applyFont="1" applyAlignment="1">
      <alignment horizontal="left" vertical="center" wrapText="1"/>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ill="1" applyBorder="1" applyAlignment="1">
      <alignment horizontal="center"/>
    </xf>
    <xf numFmtId="168" fontId="13" fillId="0" borderId="11" xfId="570" applyNumberFormat="1" applyFill="1" applyBorder="1" applyAlignment="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79" fontId="20" fillId="0" borderId="0" xfId="570"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70" applyNumberFormat="1" applyFont="1" applyFill="1" applyBorder="1" applyAlignment="1" applyProtection="1">
      <alignment horizontal="center"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50"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0" fontId="20" fillId="0" borderId="11" xfId="570" applyFont="1" applyBorder="1" applyAlignment="1">
      <alignment horizontal="center" wrapText="1"/>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0" borderId="11" xfId="570" applyNumberFormat="1" applyFill="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570" applyFont="1" applyBorder="1" applyAlignment="1">
      <alignment horizontal="left" wrapText="1"/>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1" xfId="570" applyFont="1" applyBorder="1" applyAlignment="1">
      <alignment horizontal="center"/>
    </xf>
    <xf numFmtId="165" fontId="13" fillId="0" borderId="11" xfId="570" applyNumberFormat="1" applyFill="1" applyBorder="1" applyAlignment="1" applyProtection="1">
      <alignment horizontal="center"/>
      <protection locked="0"/>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0" fontId="104" fillId="0" borderId="0" xfId="0" applyFont="1" applyFill="1" applyBorder="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17152">
    <cellStyle name="20% - Accent1" xfId="1" builtinId="30" customBuiltin="1"/>
    <cellStyle name="20% - Accent1 10" xfId="4506" xr:uid="{00000000-0005-0000-0000-000001000000}"/>
    <cellStyle name="20% - Accent1 10 2" xfId="12941" xr:uid="{5BADB52A-1D7E-4B55-9E62-5F7D91E4702B}"/>
    <cellStyle name="20% - Accent1 11" xfId="8723" xr:uid="{9B571587-8F77-40AF-8EA2-A23FCBDA5285}"/>
    <cellStyle name="20% - Accent1 2" xfId="2" xr:uid="{00000000-0005-0000-0000-000002000000}"/>
    <cellStyle name="20% - Accent1 2 10" xfId="8724" xr:uid="{0086E98B-197E-4599-92DF-23F104A5AED6}"/>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33E64C38-F1FF-4615-83FD-95365F4128E3}"/>
    <cellStyle name="20% - Accent1 2 2 2 2 2 3" xfId="11285" xr:uid="{3BD98C6B-36C6-4890-A987-083B23DBCB4A}"/>
    <cellStyle name="20% - Accent1 2 2 2 2 3" xfId="4923" xr:uid="{00000000-0005-0000-0000-000008000000}"/>
    <cellStyle name="20% - Accent1 2 2 2 2 3 2" xfId="13358" xr:uid="{0413C060-0582-48B5-BCF3-515946A5997D}"/>
    <cellStyle name="20% - Accent1 2 2 2 2 4" xfId="9140" xr:uid="{92625B27-CC76-41DF-9C7D-391B8FD5A612}"/>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EF9A354A-C133-45D9-96B9-ABAAF6A8F0DC}"/>
    <cellStyle name="20% - Accent1 2 2 2 3 2 3" xfId="11698" xr:uid="{11F8982F-5D8A-4767-9330-816979D3BFD4}"/>
    <cellStyle name="20% - Accent1 2 2 2 3 3" xfId="5336" xr:uid="{00000000-0005-0000-0000-00000C000000}"/>
    <cellStyle name="20% - Accent1 2 2 2 3 3 2" xfId="13771" xr:uid="{51AD5109-A721-40CD-806C-83775C3C9136}"/>
    <cellStyle name="20% - Accent1 2 2 2 3 4" xfId="9553" xr:uid="{811119A5-130D-47D6-834A-3018294F9448}"/>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C5468899-75A2-4429-BE54-6CE61CA0B695}"/>
    <cellStyle name="20% - Accent1 2 2 2 4 2 3" xfId="12111" xr:uid="{229AA013-E05F-4661-85B4-963BBE891486}"/>
    <cellStyle name="20% - Accent1 2 2 2 4 3" xfId="5749" xr:uid="{00000000-0005-0000-0000-000010000000}"/>
    <cellStyle name="20% - Accent1 2 2 2 4 3 2" xfId="14184" xr:uid="{3ACE33CF-271B-4D95-BE6C-C6D200C0D1C4}"/>
    <cellStyle name="20% - Accent1 2 2 2 4 4" xfId="9966" xr:uid="{12C522C1-751C-4283-A576-EDAD8E6AB541}"/>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050707C6-B819-4199-9108-7213692E544A}"/>
    <cellStyle name="20% - Accent1 2 2 2 5 2 3" xfId="12524" xr:uid="{8D720C25-E0A2-453B-B4EC-ED925FB21F03}"/>
    <cellStyle name="20% - Accent1 2 2 2 5 3" xfId="6162" xr:uid="{00000000-0005-0000-0000-000014000000}"/>
    <cellStyle name="20% - Accent1 2 2 2 5 3 2" xfId="14597" xr:uid="{9F4799E3-B726-4703-8E5A-A96E15356811}"/>
    <cellStyle name="20% - Accent1 2 2 2 5 4" xfId="10379" xr:uid="{5070678E-128E-46B5-8A41-5440E75D39F7}"/>
    <cellStyle name="20% - Accent1 2 2 2 6" xfId="2268" xr:uid="{00000000-0005-0000-0000-000015000000}"/>
    <cellStyle name="20% - Accent1 2 2 2 6 2" xfId="6575" xr:uid="{00000000-0005-0000-0000-000016000000}"/>
    <cellStyle name="20% - Accent1 2 2 2 6 2 2" xfId="15010" xr:uid="{A1544FF9-DBE1-4CDE-AA36-F60EC1AF8E95}"/>
    <cellStyle name="20% - Accent1 2 2 2 6 3" xfId="10792" xr:uid="{682BFD08-44D4-4B2F-AE94-16261A0FE554}"/>
    <cellStyle name="20% - Accent1 2 2 2 7" xfId="4509" xr:uid="{00000000-0005-0000-0000-000017000000}"/>
    <cellStyle name="20% - Accent1 2 2 2 7 2" xfId="12944" xr:uid="{899646E4-650C-4EB9-B198-8DDF25E494CA}"/>
    <cellStyle name="20% - Accent1 2 2 2 8" xfId="8726" xr:uid="{9D7A7019-4DF8-446E-BB7A-05F64FC76BEA}"/>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49028B66-2E0D-4B58-A5C6-921A3290BFE6}"/>
    <cellStyle name="20% - Accent1 2 2 3 2 3" xfId="11284" xr:uid="{34227C97-523F-418C-BB37-F2817F48EF4E}"/>
    <cellStyle name="20% - Accent1 2 2 3 3" xfId="4922" xr:uid="{00000000-0005-0000-0000-00001B000000}"/>
    <cellStyle name="20% - Accent1 2 2 3 3 2" xfId="13357" xr:uid="{2E1A7DA5-3575-413D-BAF4-103A9B361D4A}"/>
    <cellStyle name="20% - Accent1 2 2 3 4" xfId="9139" xr:uid="{21150A91-99C5-450E-95DB-43DD03CB4CB1}"/>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F678BE1B-4DEF-49FD-A525-DC548CCFB5CD}"/>
    <cellStyle name="20% - Accent1 2 2 4 2 3" xfId="11697" xr:uid="{0F88DBF0-3423-45A2-8F09-48336C7240C3}"/>
    <cellStyle name="20% - Accent1 2 2 4 3" xfId="5335" xr:uid="{00000000-0005-0000-0000-00001F000000}"/>
    <cellStyle name="20% - Accent1 2 2 4 3 2" xfId="13770" xr:uid="{71F4C92F-2F0A-4402-87FA-783C00FC7962}"/>
    <cellStyle name="20% - Accent1 2 2 4 4" xfId="9552" xr:uid="{5F0A60D6-29D1-4029-8556-D7DCEF5C984A}"/>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A05B8C02-43C2-47F8-9FB1-BD5C2624550D}"/>
    <cellStyle name="20% - Accent1 2 2 5 2 3" xfId="12110" xr:uid="{5C3FE8B6-C48F-45F3-8F3F-1BA87B16E29F}"/>
    <cellStyle name="20% - Accent1 2 2 5 3" xfId="5748" xr:uid="{00000000-0005-0000-0000-000023000000}"/>
    <cellStyle name="20% - Accent1 2 2 5 3 2" xfId="14183" xr:uid="{17B998A4-CFC8-40CF-9CB3-9D6C2249A187}"/>
    <cellStyle name="20% - Accent1 2 2 5 4" xfId="9965" xr:uid="{D29C0CC5-BBE9-40F4-9DB6-96341FC5736D}"/>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BC2F777A-49DA-49ED-AD6F-6F82341D85C6}"/>
    <cellStyle name="20% - Accent1 2 2 6 2 3" xfId="12523" xr:uid="{E2F1D054-3A88-436E-BD6E-6ECF8364FCE0}"/>
    <cellStyle name="20% - Accent1 2 2 6 3" xfId="6161" xr:uid="{00000000-0005-0000-0000-000027000000}"/>
    <cellStyle name="20% - Accent1 2 2 6 3 2" xfId="14596" xr:uid="{6233A86C-14FE-4A4E-BC43-3B15F88B2F13}"/>
    <cellStyle name="20% - Accent1 2 2 6 4" xfId="10378" xr:uid="{167A53CD-85E8-47EA-B219-2D84A2907795}"/>
    <cellStyle name="20% - Accent1 2 2 7" xfId="2267" xr:uid="{00000000-0005-0000-0000-000028000000}"/>
    <cellStyle name="20% - Accent1 2 2 7 2" xfId="6574" xr:uid="{00000000-0005-0000-0000-000029000000}"/>
    <cellStyle name="20% - Accent1 2 2 7 2 2" xfId="15009" xr:uid="{32C6F8A5-E8EA-4052-86D5-BC9B98A19A35}"/>
    <cellStyle name="20% - Accent1 2 2 7 3" xfId="10791" xr:uid="{9CEA1ADC-1FAD-4574-9F23-1BD5BF46BA20}"/>
    <cellStyle name="20% - Accent1 2 2 8" xfId="4508" xr:uid="{00000000-0005-0000-0000-00002A000000}"/>
    <cellStyle name="20% - Accent1 2 2 8 2" xfId="12943" xr:uid="{4F782F14-A0A7-435F-8F14-1E249EDF2BEE}"/>
    <cellStyle name="20% - Accent1 2 2 9" xfId="8725" xr:uid="{E348BEF2-5AA4-40A6-98AF-7F2DB07CD263}"/>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42B928C5-C182-48EA-9786-412C15750A96}"/>
    <cellStyle name="20% - Accent1 2 3 2 2 3" xfId="11286" xr:uid="{780A2C02-61F6-40CA-9FAF-3F411C5922B9}"/>
    <cellStyle name="20% - Accent1 2 3 2 3" xfId="4924" xr:uid="{00000000-0005-0000-0000-00002F000000}"/>
    <cellStyle name="20% - Accent1 2 3 2 3 2" xfId="13359" xr:uid="{CEF9038D-4BAE-4BDD-B4E2-AB68819379FE}"/>
    <cellStyle name="20% - Accent1 2 3 2 4" xfId="9141" xr:uid="{7A2C055A-87C5-40FB-9586-BA14C6EC3CB6}"/>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3A1E6A92-6066-4AB0-B7E4-DDCC7F472D1A}"/>
    <cellStyle name="20% - Accent1 2 3 3 2 3" xfId="11699" xr:uid="{3422922F-54F8-491C-87B7-80B2E4EAB277}"/>
    <cellStyle name="20% - Accent1 2 3 3 3" xfId="5337" xr:uid="{00000000-0005-0000-0000-000033000000}"/>
    <cellStyle name="20% - Accent1 2 3 3 3 2" xfId="13772" xr:uid="{7F0054A8-45DD-400E-9B4C-35D70E4DAD42}"/>
    <cellStyle name="20% - Accent1 2 3 3 4" xfId="9554" xr:uid="{37721BDA-6D92-4650-8ED4-2767AE144814}"/>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9FF98E69-6176-4FFC-9891-3FD9761683D4}"/>
    <cellStyle name="20% - Accent1 2 3 4 2 3" xfId="12112" xr:uid="{F39CDB69-1FA0-403D-9DA5-EA25DDF61C76}"/>
    <cellStyle name="20% - Accent1 2 3 4 3" xfId="5750" xr:uid="{00000000-0005-0000-0000-000037000000}"/>
    <cellStyle name="20% - Accent1 2 3 4 3 2" xfId="14185" xr:uid="{64921376-22C2-433A-87AF-1070E6A4F3D1}"/>
    <cellStyle name="20% - Accent1 2 3 4 4" xfId="9967" xr:uid="{87AD91A0-4730-42BD-BAE1-509F10B10CDA}"/>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14D8312C-4A9E-47DC-AB01-3DEC7ABCF1B9}"/>
    <cellStyle name="20% - Accent1 2 3 5 2 3" xfId="12525" xr:uid="{5A350A70-6E09-49A0-8322-512D55F1DFBA}"/>
    <cellStyle name="20% - Accent1 2 3 5 3" xfId="6163" xr:uid="{00000000-0005-0000-0000-00003B000000}"/>
    <cellStyle name="20% - Accent1 2 3 5 3 2" xfId="14598" xr:uid="{F6935F45-F267-44A8-A957-1C001BE2D539}"/>
    <cellStyle name="20% - Accent1 2 3 5 4" xfId="10380" xr:uid="{11B3D9A4-539D-4A8D-83A5-DE3054F103E8}"/>
    <cellStyle name="20% - Accent1 2 3 6" xfId="2269" xr:uid="{00000000-0005-0000-0000-00003C000000}"/>
    <cellStyle name="20% - Accent1 2 3 6 2" xfId="6576" xr:uid="{00000000-0005-0000-0000-00003D000000}"/>
    <cellStyle name="20% - Accent1 2 3 6 2 2" xfId="15011" xr:uid="{642513D0-6B8B-4CF8-A9EB-25576CE78ED0}"/>
    <cellStyle name="20% - Accent1 2 3 6 3" xfId="10793" xr:uid="{9E4D860E-25A2-4236-8AA8-549F016936D3}"/>
    <cellStyle name="20% - Accent1 2 3 7" xfId="4510" xr:uid="{00000000-0005-0000-0000-00003E000000}"/>
    <cellStyle name="20% - Accent1 2 3 7 2" xfId="12945" xr:uid="{AD2728FC-42AE-4234-A78D-74F8D611D14A}"/>
    <cellStyle name="20% - Accent1 2 3 8" xfId="8727" xr:uid="{EA8A3481-BA67-4456-BEC5-AD1271415198}"/>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280F3DF5-3720-49C9-84FF-91DF2F0328CC}"/>
    <cellStyle name="20% - Accent1 2 4 2 3" xfId="11283" xr:uid="{B2883FE3-4B25-422C-BC81-CB4197C4DC3B}"/>
    <cellStyle name="20% - Accent1 2 4 3" xfId="4921" xr:uid="{00000000-0005-0000-0000-000042000000}"/>
    <cellStyle name="20% - Accent1 2 4 3 2" xfId="13356" xr:uid="{ACE7A7AB-59F3-4024-80F0-05BB89D498D6}"/>
    <cellStyle name="20% - Accent1 2 4 4" xfId="9138" xr:uid="{E6247C60-DCBF-4DB6-80F7-B51935F94019}"/>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E5878CDA-56AA-4315-B398-1B6DAD4E2903}"/>
    <cellStyle name="20% - Accent1 2 5 2 3" xfId="11696" xr:uid="{D0E67BA1-0B69-435F-BD0A-5053C2A3F09B}"/>
    <cellStyle name="20% - Accent1 2 5 3" xfId="5334" xr:uid="{00000000-0005-0000-0000-000046000000}"/>
    <cellStyle name="20% - Accent1 2 5 3 2" xfId="13769" xr:uid="{C04B1CA7-0BD0-4ED2-8646-D4855C35A16A}"/>
    <cellStyle name="20% - Accent1 2 5 4" xfId="9551" xr:uid="{34F34A30-7861-494F-946B-4A087C669F26}"/>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180260A5-1FCF-4069-92DC-9CCC7417428A}"/>
    <cellStyle name="20% - Accent1 2 6 2 3" xfId="12109" xr:uid="{9E47C312-BDD6-4F09-9FCB-A399C6F79807}"/>
    <cellStyle name="20% - Accent1 2 6 3" xfId="5747" xr:uid="{00000000-0005-0000-0000-00004A000000}"/>
    <cellStyle name="20% - Accent1 2 6 3 2" xfId="14182" xr:uid="{F3C59892-F30F-4C6B-8986-F2C96BC136A7}"/>
    <cellStyle name="20% - Accent1 2 6 4" xfId="9964" xr:uid="{9A9ABAAA-C709-4079-8707-9C56A44B5C50}"/>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267BAD6B-4E5D-40C8-B285-1C00FB01F5E1}"/>
    <cellStyle name="20% - Accent1 2 7 2 3" xfId="12522" xr:uid="{566CCF8F-9B04-443D-83B9-0D9B5490FF61}"/>
    <cellStyle name="20% - Accent1 2 7 3" xfId="6160" xr:uid="{00000000-0005-0000-0000-00004E000000}"/>
    <cellStyle name="20% - Accent1 2 7 3 2" xfId="14595" xr:uid="{382C1F81-4F33-4099-A747-105EC92DA499}"/>
    <cellStyle name="20% - Accent1 2 7 4" xfId="10377" xr:uid="{40E9828B-957B-459E-A20C-CCA9AF4B4019}"/>
    <cellStyle name="20% - Accent1 2 8" xfId="2266" xr:uid="{00000000-0005-0000-0000-00004F000000}"/>
    <cellStyle name="20% - Accent1 2 8 2" xfId="6573" xr:uid="{00000000-0005-0000-0000-000050000000}"/>
    <cellStyle name="20% - Accent1 2 8 2 2" xfId="15008" xr:uid="{EBBD1E9D-9ACD-4F45-9F5C-4F7239D02224}"/>
    <cellStyle name="20% - Accent1 2 8 3" xfId="10790" xr:uid="{6498BC3A-0E3B-4185-A0FD-0159C0AE3305}"/>
    <cellStyle name="20% - Accent1 2 9" xfId="4507" xr:uid="{00000000-0005-0000-0000-000051000000}"/>
    <cellStyle name="20% - Accent1 2 9 2" xfId="12942" xr:uid="{91E7A290-F37C-4349-9682-D1D98F10DA9B}"/>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518C13AD-FD39-44AC-8656-CE2FC188BA22}"/>
    <cellStyle name="20% - Accent1 3 2 2 2 3" xfId="11288" xr:uid="{3FBCACBE-BC58-4524-8934-6E0823746307}"/>
    <cellStyle name="20% - Accent1 3 2 2 3" xfId="4926" xr:uid="{00000000-0005-0000-0000-000057000000}"/>
    <cellStyle name="20% - Accent1 3 2 2 3 2" xfId="13361" xr:uid="{4424B746-60F5-4417-9142-EC7772FE55F6}"/>
    <cellStyle name="20% - Accent1 3 2 2 4" xfId="9143" xr:uid="{E74D3854-C4BA-45ED-B44A-C7F9D49C2801}"/>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463C9765-90F3-4CC4-9992-D3372A9210EA}"/>
    <cellStyle name="20% - Accent1 3 2 3 2 3" xfId="11701" xr:uid="{BAD950B1-86C1-40E0-B60E-2FE7E240CEE6}"/>
    <cellStyle name="20% - Accent1 3 2 3 3" xfId="5339" xr:uid="{00000000-0005-0000-0000-00005B000000}"/>
    <cellStyle name="20% - Accent1 3 2 3 3 2" xfId="13774" xr:uid="{D02B7F47-7F6C-4C6D-90AF-2A6AA5EFBE5E}"/>
    <cellStyle name="20% - Accent1 3 2 3 4" xfId="9556" xr:uid="{8F032B29-6204-49BE-A3DD-0B35C46BF68C}"/>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28FCB6E3-16DF-4B27-8F6C-7840DCAC9C51}"/>
    <cellStyle name="20% - Accent1 3 2 4 2 3" xfId="12114" xr:uid="{F3A8DA43-C0AC-4149-AD19-B7B4EFF6AF21}"/>
    <cellStyle name="20% - Accent1 3 2 4 3" xfId="5752" xr:uid="{00000000-0005-0000-0000-00005F000000}"/>
    <cellStyle name="20% - Accent1 3 2 4 3 2" xfId="14187" xr:uid="{823D7010-DAD9-4D7B-A520-0765FEF27924}"/>
    <cellStyle name="20% - Accent1 3 2 4 4" xfId="9969" xr:uid="{A7726C59-7A8F-48FF-B11A-A64025CB4B1C}"/>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32BECC47-DE62-41A4-8121-C14F929890C6}"/>
    <cellStyle name="20% - Accent1 3 2 5 2 3" xfId="12527" xr:uid="{B3C4E761-85FD-441E-8096-2392FE4DA4DA}"/>
    <cellStyle name="20% - Accent1 3 2 5 3" xfId="6165" xr:uid="{00000000-0005-0000-0000-000063000000}"/>
    <cellStyle name="20% - Accent1 3 2 5 3 2" xfId="14600" xr:uid="{D085B355-2206-4BB9-8D6D-C9CA1FDE4C58}"/>
    <cellStyle name="20% - Accent1 3 2 5 4" xfId="10382" xr:uid="{29C8EC9E-F55D-4950-B24C-EFAD064F6198}"/>
    <cellStyle name="20% - Accent1 3 2 6" xfId="2271" xr:uid="{00000000-0005-0000-0000-000064000000}"/>
    <cellStyle name="20% - Accent1 3 2 6 2" xfId="6578" xr:uid="{00000000-0005-0000-0000-000065000000}"/>
    <cellStyle name="20% - Accent1 3 2 6 2 2" xfId="15013" xr:uid="{65E0EDEA-0652-4CEE-B349-BC7509342940}"/>
    <cellStyle name="20% - Accent1 3 2 6 3" xfId="10795" xr:uid="{B1C86B76-A7EA-4670-A3FE-EFE9DC3650DA}"/>
    <cellStyle name="20% - Accent1 3 2 7" xfId="4512" xr:uid="{00000000-0005-0000-0000-000066000000}"/>
    <cellStyle name="20% - Accent1 3 2 7 2" xfId="12947" xr:uid="{2CD28039-20C1-47E1-862D-36EBC92C2632}"/>
    <cellStyle name="20% - Accent1 3 2 8" xfId="8729" xr:uid="{595373D9-9CB3-4703-AF6E-44257F3FDD4B}"/>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5F71977E-FCCF-48D3-87A4-AA5134364F88}"/>
    <cellStyle name="20% - Accent1 3 3 2 3" xfId="11287" xr:uid="{75E8FBA1-A168-45BB-85C4-A45D5E0691A8}"/>
    <cellStyle name="20% - Accent1 3 3 3" xfId="4925" xr:uid="{00000000-0005-0000-0000-00006A000000}"/>
    <cellStyle name="20% - Accent1 3 3 3 2" xfId="13360" xr:uid="{F6438465-624E-4244-953A-1931C3735D71}"/>
    <cellStyle name="20% - Accent1 3 3 4" xfId="9142" xr:uid="{0083555F-B71B-4B4D-93C0-8700D4850DDA}"/>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011EBA92-34FC-423A-A8B3-9E05557F0B39}"/>
    <cellStyle name="20% - Accent1 3 4 2 3" xfId="11700" xr:uid="{2C8F72E9-3F81-4255-9D17-DA7C38727173}"/>
    <cellStyle name="20% - Accent1 3 4 3" xfId="5338" xr:uid="{00000000-0005-0000-0000-00006E000000}"/>
    <cellStyle name="20% - Accent1 3 4 3 2" xfId="13773" xr:uid="{2EE34AA4-05CE-40B5-935C-FA4360CB6D1A}"/>
    <cellStyle name="20% - Accent1 3 4 4" xfId="9555" xr:uid="{7D61FC98-F0A6-42B8-850D-CF7055EF6E00}"/>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D19D3968-B61E-49C0-9CE8-0FFA312B5A8E}"/>
    <cellStyle name="20% - Accent1 3 5 2 3" xfId="12113" xr:uid="{F5FC44A9-9DCB-4285-BB98-7817C300C5EA}"/>
    <cellStyle name="20% - Accent1 3 5 3" xfId="5751" xr:uid="{00000000-0005-0000-0000-000072000000}"/>
    <cellStyle name="20% - Accent1 3 5 3 2" xfId="14186" xr:uid="{1D93CDA9-4E8C-466C-9AFD-573A823CB211}"/>
    <cellStyle name="20% - Accent1 3 5 4" xfId="9968" xr:uid="{440E3914-5E8A-4E67-8360-8E0D8C61847B}"/>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4F52DE90-ADD4-47E9-8E44-9E4DBA921887}"/>
    <cellStyle name="20% - Accent1 3 6 2 3" xfId="12526" xr:uid="{DE0D8F7F-C509-4DD5-B5AA-7B4D5EE0ACB9}"/>
    <cellStyle name="20% - Accent1 3 6 3" xfId="6164" xr:uid="{00000000-0005-0000-0000-000076000000}"/>
    <cellStyle name="20% - Accent1 3 6 3 2" xfId="14599" xr:uid="{5E19817B-B69B-43B7-998F-961233C8A7EE}"/>
    <cellStyle name="20% - Accent1 3 6 4" xfId="10381" xr:uid="{6D26ED0B-2F55-4D2F-933D-522F7A9CED97}"/>
    <cellStyle name="20% - Accent1 3 7" xfId="2270" xr:uid="{00000000-0005-0000-0000-000077000000}"/>
    <cellStyle name="20% - Accent1 3 7 2" xfId="6577" xr:uid="{00000000-0005-0000-0000-000078000000}"/>
    <cellStyle name="20% - Accent1 3 7 2 2" xfId="15012" xr:uid="{3F41374B-9EBD-4370-BBCF-B44F20CE4BB7}"/>
    <cellStyle name="20% - Accent1 3 7 3" xfId="10794" xr:uid="{1FDCE513-07B2-4782-8D01-FF04EA10A5AB}"/>
    <cellStyle name="20% - Accent1 3 8" xfId="4511" xr:uid="{00000000-0005-0000-0000-000079000000}"/>
    <cellStyle name="20% - Accent1 3 8 2" xfId="12946" xr:uid="{5D55A018-DDF1-456C-80A6-731B7131C7D8}"/>
    <cellStyle name="20% - Accent1 3 9" xfId="8728" xr:uid="{809464FD-090D-4BD5-883E-C8E158769E8C}"/>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D7A325FB-807A-49CB-960A-E5AE3CE04082}"/>
    <cellStyle name="20% - Accent1 4 2 2 3" xfId="11289" xr:uid="{75A37DDC-23B7-449C-B514-5A5A193D6DC5}"/>
    <cellStyle name="20% - Accent1 4 2 3" xfId="4927" xr:uid="{00000000-0005-0000-0000-00007E000000}"/>
    <cellStyle name="20% - Accent1 4 2 3 2" xfId="13362" xr:uid="{AC72B086-3A7D-4F73-A680-57BEF124E7D6}"/>
    <cellStyle name="20% - Accent1 4 2 4" xfId="9144" xr:uid="{A373B88C-D002-4F26-B4D9-01812A4C31E6}"/>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7366A388-A94F-4573-8A6A-F7BFCEF8318C}"/>
    <cellStyle name="20% - Accent1 4 3 2 3" xfId="11702" xr:uid="{B6A798C7-0544-4C57-A409-5401ABE7504E}"/>
    <cellStyle name="20% - Accent1 4 3 3" xfId="5340" xr:uid="{00000000-0005-0000-0000-000082000000}"/>
    <cellStyle name="20% - Accent1 4 3 3 2" xfId="13775" xr:uid="{5A8AEB74-672F-44AF-B146-B238F4047BE9}"/>
    <cellStyle name="20% - Accent1 4 3 4" xfId="9557" xr:uid="{8D4ADCA8-69A1-46BA-A34B-6013C9E76BF9}"/>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85A96183-C7CF-4291-B258-9F17365681AC}"/>
    <cellStyle name="20% - Accent1 4 4 2 3" xfId="12115" xr:uid="{90A794BF-AE95-4FB9-BF92-5EAD318B47E7}"/>
    <cellStyle name="20% - Accent1 4 4 3" xfId="5753" xr:uid="{00000000-0005-0000-0000-000086000000}"/>
    <cellStyle name="20% - Accent1 4 4 3 2" xfId="14188" xr:uid="{1947E88B-9F2F-4EE6-90B5-7CB2F580F45A}"/>
    <cellStyle name="20% - Accent1 4 4 4" xfId="9970" xr:uid="{F8F4D60D-C983-43FA-BF51-AA9A1790EE80}"/>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13751078-073C-428C-A3F6-12A15D09E181}"/>
    <cellStyle name="20% - Accent1 4 5 2 3" xfId="12528" xr:uid="{28BFF51B-D23F-4A04-89D0-16077813FE38}"/>
    <cellStyle name="20% - Accent1 4 5 3" xfId="6166" xr:uid="{00000000-0005-0000-0000-00008A000000}"/>
    <cellStyle name="20% - Accent1 4 5 3 2" xfId="14601" xr:uid="{A7053FEE-FDA8-417E-A3EC-96D5322F50E7}"/>
    <cellStyle name="20% - Accent1 4 5 4" xfId="10383" xr:uid="{638909FC-BB18-4AC9-B579-32E3D61B69D6}"/>
    <cellStyle name="20% - Accent1 4 6" xfId="2272" xr:uid="{00000000-0005-0000-0000-00008B000000}"/>
    <cellStyle name="20% - Accent1 4 6 2" xfId="6579" xr:uid="{00000000-0005-0000-0000-00008C000000}"/>
    <cellStyle name="20% - Accent1 4 6 2 2" xfId="15014" xr:uid="{A82E72CA-8C51-4E9F-BC4C-5287926FDBDE}"/>
    <cellStyle name="20% - Accent1 4 6 3" xfId="10796" xr:uid="{0ED2DADB-04F6-4CD7-9BB0-73678C91CC07}"/>
    <cellStyle name="20% - Accent1 4 7" xfId="4513" xr:uid="{00000000-0005-0000-0000-00008D000000}"/>
    <cellStyle name="20% - Accent1 4 7 2" xfId="12948" xr:uid="{E980FF43-30D3-484E-BE14-4DF29D538D42}"/>
    <cellStyle name="20% - Accent1 4 8" xfId="8730" xr:uid="{A8763DDC-6533-4F3B-8A48-DEB00AB78B10}"/>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7A3A7A13-A8EA-40C2-94C6-E8BCE556F168}"/>
    <cellStyle name="20% - Accent1 5 2 3" xfId="11282" xr:uid="{96DF7330-14A4-45AC-80CD-3B2BFE873050}"/>
    <cellStyle name="20% - Accent1 5 3" xfId="4920" xr:uid="{00000000-0005-0000-0000-000091000000}"/>
    <cellStyle name="20% - Accent1 5 3 2" xfId="13355" xr:uid="{005206F9-9EA0-4462-8CB9-186C9D1E99C4}"/>
    <cellStyle name="20% - Accent1 5 4" xfId="9137" xr:uid="{3531B7BE-6E47-4A36-8AAD-3D01CD507ACE}"/>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6BF9137E-67AC-4A1B-A1C3-EBFF6E95D8A1}"/>
    <cellStyle name="20% - Accent1 6 2 3" xfId="11695" xr:uid="{1084B6B0-DB28-4228-841C-5B6ABA896E77}"/>
    <cellStyle name="20% - Accent1 6 3" xfId="5333" xr:uid="{00000000-0005-0000-0000-000095000000}"/>
    <cellStyle name="20% - Accent1 6 3 2" xfId="13768" xr:uid="{1C939E03-0C45-4018-8F49-FA3F84C1D1A7}"/>
    <cellStyle name="20% - Accent1 6 4" xfId="9550" xr:uid="{2E88089E-EF61-49BA-BA2F-3BEDEF641409}"/>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8434CB6E-0E70-41A6-A5C5-E6ABB47FCD43}"/>
    <cellStyle name="20% - Accent1 7 2 3" xfId="12108" xr:uid="{6483AD86-16F3-4BF1-A7CD-AC813B912092}"/>
    <cellStyle name="20% - Accent1 7 3" xfId="5746" xr:uid="{00000000-0005-0000-0000-000099000000}"/>
    <cellStyle name="20% - Accent1 7 3 2" xfId="14181" xr:uid="{344041C0-8A5B-4317-8C36-CF9C310D1604}"/>
    <cellStyle name="20% - Accent1 7 4" xfId="9963" xr:uid="{0B06AB6E-CA59-48E6-9694-3464ED741909}"/>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2B0839D1-1F15-413A-8430-DCDFE34DE525}"/>
    <cellStyle name="20% - Accent1 8 2 3" xfId="12521" xr:uid="{A01A0402-7732-42A4-8D38-BA14EE6AE0F0}"/>
    <cellStyle name="20% - Accent1 8 3" xfId="6159" xr:uid="{00000000-0005-0000-0000-00009D000000}"/>
    <cellStyle name="20% - Accent1 8 3 2" xfId="14594" xr:uid="{00AFA898-554A-44DF-9B24-D0F37C9EAD87}"/>
    <cellStyle name="20% - Accent1 8 4" xfId="10376" xr:uid="{3428FD19-7EF8-4E3A-9D93-76ADC088E293}"/>
    <cellStyle name="20% - Accent1 9" xfId="2265" xr:uid="{00000000-0005-0000-0000-00009E000000}"/>
    <cellStyle name="20% - Accent1 9 2" xfId="6572" xr:uid="{00000000-0005-0000-0000-00009F000000}"/>
    <cellStyle name="20% - Accent1 9 2 2" xfId="15007" xr:uid="{F4419DAB-3313-436E-9F33-45892CEBE166}"/>
    <cellStyle name="20% - Accent1 9 3" xfId="10789" xr:uid="{FA156A91-50E5-461E-97A6-6C4679D759FD}"/>
    <cellStyle name="20% - Accent2" xfId="9" builtinId="34" customBuiltin="1"/>
    <cellStyle name="20% - Accent2 10" xfId="4514" xr:uid="{00000000-0005-0000-0000-0000A1000000}"/>
    <cellStyle name="20% - Accent2 10 2" xfId="12949" xr:uid="{A98DD51E-64AF-4CA0-A60B-496EB129F909}"/>
    <cellStyle name="20% - Accent2 11" xfId="8731" xr:uid="{5040B230-0160-4136-AA5B-BEACD1C0BC58}"/>
    <cellStyle name="20% - Accent2 2" xfId="10" xr:uid="{00000000-0005-0000-0000-0000A2000000}"/>
    <cellStyle name="20% - Accent2 2 10" xfId="8732" xr:uid="{CEDE5087-F38A-4E84-92C3-5DB9521671A6}"/>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3D16949A-586B-422E-ACDA-E3093E8FC6D0}"/>
    <cellStyle name="20% - Accent2 2 2 2 2 2 3" xfId="11293" xr:uid="{C9573BB9-CF71-4E2E-A54E-5EAE53600E4B}"/>
    <cellStyle name="20% - Accent2 2 2 2 2 3" xfId="4931" xr:uid="{00000000-0005-0000-0000-0000A8000000}"/>
    <cellStyle name="20% - Accent2 2 2 2 2 3 2" xfId="13366" xr:uid="{A198E398-6744-4AFD-97EB-6ADAB2DF6E1A}"/>
    <cellStyle name="20% - Accent2 2 2 2 2 4" xfId="9148" xr:uid="{7D94BC16-5713-4815-A1BC-126171A156A9}"/>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72821414-5B05-4FDD-B133-34334E46B2D4}"/>
    <cellStyle name="20% - Accent2 2 2 2 3 2 3" xfId="11706" xr:uid="{82E12D5C-BCB6-4266-AAF7-0F306E32F58E}"/>
    <cellStyle name="20% - Accent2 2 2 2 3 3" xfId="5344" xr:uid="{00000000-0005-0000-0000-0000AC000000}"/>
    <cellStyle name="20% - Accent2 2 2 2 3 3 2" xfId="13779" xr:uid="{498845E6-0A80-468E-A3DB-813B78E8BC24}"/>
    <cellStyle name="20% - Accent2 2 2 2 3 4" xfId="9561" xr:uid="{8D99336E-0B0A-4BB2-9ADB-E2BB53AED319}"/>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2466DEA9-D189-4B41-B479-83F09B70C030}"/>
    <cellStyle name="20% - Accent2 2 2 2 4 2 3" xfId="12119" xr:uid="{10D8BF3C-1943-4674-AFEC-E9F5A1EFE789}"/>
    <cellStyle name="20% - Accent2 2 2 2 4 3" xfId="5757" xr:uid="{00000000-0005-0000-0000-0000B0000000}"/>
    <cellStyle name="20% - Accent2 2 2 2 4 3 2" xfId="14192" xr:uid="{06A1FBE2-57A6-49AE-9C2D-923583CD623F}"/>
    <cellStyle name="20% - Accent2 2 2 2 4 4" xfId="9974" xr:uid="{5E0C4708-C985-451F-A0B5-F7F2A872E67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D033AB7F-DE9B-495A-8667-452E09D53606}"/>
    <cellStyle name="20% - Accent2 2 2 2 5 2 3" xfId="12532" xr:uid="{705649C8-3A12-4574-8C45-54E027E0E4B5}"/>
    <cellStyle name="20% - Accent2 2 2 2 5 3" xfId="6170" xr:uid="{00000000-0005-0000-0000-0000B4000000}"/>
    <cellStyle name="20% - Accent2 2 2 2 5 3 2" xfId="14605" xr:uid="{C58225AD-1927-45C8-B714-5CA2091296E3}"/>
    <cellStyle name="20% - Accent2 2 2 2 5 4" xfId="10387" xr:uid="{B3688B5F-0BDD-445C-8F26-BB103725F01C}"/>
    <cellStyle name="20% - Accent2 2 2 2 6" xfId="2276" xr:uid="{00000000-0005-0000-0000-0000B5000000}"/>
    <cellStyle name="20% - Accent2 2 2 2 6 2" xfId="6583" xr:uid="{00000000-0005-0000-0000-0000B6000000}"/>
    <cellStyle name="20% - Accent2 2 2 2 6 2 2" xfId="15018" xr:uid="{2DFEA2AF-BF98-4F53-B9AB-9FAB1568E97B}"/>
    <cellStyle name="20% - Accent2 2 2 2 6 3" xfId="10800" xr:uid="{1AEE0EBA-E876-4315-B1C6-D42D56D37D01}"/>
    <cellStyle name="20% - Accent2 2 2 2 7" xfId="4517" xr:uid="{00000000-0005-0000-0000-0000B7000000}"/>
    <cellStyle name="20% - Accent2 2 2 2 7 2" xfId="12952" xr:uid="{97F7FCA6-A476-4831-AD7C-00AC57546325}"/>
    <cellStyle name="20% - Accent2 2 2 2 8" xfId="8734" xr:uid="{87E69475-8323-4313-8308-B5D148F2E78E}"/>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DED2D392-AD85-4939-9DB1-DD7D41F39D9C}"/>
    <cellStyle name="20% - Accent2 2 2 3 2 3" xfId="11292" xr:uid="{999F853E-D9B4-4AD8-A2E4-D85F7027219C}"/>
    <cellStyle name="20% - Accent2 2 2 3 3" xfId="4930" xr:uid="{00000000-0005-0000-0000-0000BB000000}"/>
    <cellStyle name="20% - Accent2 2 2 3 3 2" xfId="13365" xr:uid="{51E7A50D-6B10-4EC5-8809-51F71CF64E23}"/>
    <cellStyle name="20% - Accent2 2 2 3 4" xfId="9147" xr:uid="{15DB976D-C125-4651-999A-A0DAFEFE8DDB}"/>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FFCBFABE-20F5-4667-BB55-A9A88D8550FD}"/>
    <cellStyle name="20% - Accent2 2 2 4 2 3" xfId="11705" xr:uid="{25458FD4-060A-4FC3-AC40-426BC9A1C8BC}"/>
    <cellStyle name="20% - Accent2 2 2 4 3" xfId="5343" xr:uid="{00000000-0005-0000-0000-0000BF000000}"/>
    <cellStyle name="20% - Accent2 2 2 4 3 2" xfId="13778" xr:uid="{6E3BE474-56F5-4D55-8110-6CBAB688D28C}"/>
    <cellStyle name="20% - Accent2 2 2 4 4" xfId="9560" xr:uid="{B462E769-CE83-409F-A72F-0AB338CA6959}"/>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44B54CFE-E544-4802-AA68-DD0715A70A56}"/>
    <cellStyle name="20% - Accent2 2 2 5 2 3" xfId="12118" xr:uid="{CB65C210-0D35-44D4-9ADF-36349FAE2724}"/>
    <cellStyle name="20% - Accent2 2 2 5 3" xfId="5756" xr:uid="{00000000-0005-0000-0000-0000C3000000}"/>
    <cellStyle name="20% - Accent2 2 2 5 3 2" xfId="14191" xr:uid="{9ED97413-1D1D-434E-8E12-AC1832050527}"/>
    <cellStyle name="20% - Accent2 2 2 5 4" xfId="9973" xr:uid="{F8E0F18D-40F0-4B84-A110-650345554F7C}"/>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68415AC1-E9BD-4D1B-A206-FB8D63912BDA}"/>
    <cellStyle name="20% - Accent2 2 2 6 2 3" xfId="12531" xr:uid="{C3C6947F-6F0C-4732-834F-F8939FC781A4}"/>
    <cellStyle name="20% - Accent2 2 2 6 3" xfId="6169" xr:uid="{00000000-0005-0000-0000-0000C7000000}"/>
    <cellStyle name="20% - Accent2 2 2 6 3 2" xfId="14604" xr:uid="{52E712FE-FC6B-41BF-A71D-1F2A099BA359}"/>
    <cellStyle name="20% - Accent2 2 2 6 4" xfId="10386" xr:uid="{93FAC043-6E31-4E30-9740-07EB99319D0C}"/>
    <cellStyle name="20% - Accent2 2 2 7" xfId="2275" xr:uid="{00000000-0005-0000-0000-0000C8000000}"/>
    <cellStyle name="20% - Accent2 2 2 7 2" xfId="6582" xr:uid="{00000000-0005-0000-0000-0000C9000000}"/>
    <cellStyle name="20% - Accent2 2 2 7 2 2" xfId="15017" xr:uid="{78C0CC81-6676-4501-8877-F9826A25A059}"/>
    <cellStyle name="20% - Accent2 2 2 7 3" xfId="10799" xr:uid="{0269E6C7-20A8-4C30-9EA3-7E7558D33ECE}"/>
    <cellStyle name="20% - Accent2 2 2 8" xfId="4516" xr:uid="{00000000-0005-0000-0000-0000CA000000}"/>
    <cellStyle name="20% - Accent2 2 2 8 2" xfId="12951" xr:uid="{036C2EA4-C6A4-40C1-99E7-E2566ECAC004}"/>
    <cellStyle name="20% - Accent2 2 2 9" xfId="8733" xr:uid="{E5A1EE5E-0D1F-4413-B3E2-85546F539D31}"/>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48AAEF71-E5C9-42D4-98FA-9622AEED2719}"/>
    <cellStyle name="20% - Accent2 2 3 2 2 3" xfId="11294" xr:uid="{679F60A4-8198-40DD-9F3E-F3F3F1545C35}"/>
    <cellStyle name="20% - Accent2 2 3 2 3" xfId="4932" xr:uid="{00000000-0005-0000-0000-0000CF000000}"/>
    <cellStyle name="20% - Accent2 2 3 2 3 2" xfId="13367" xr:uid="{4A0BB9D0-DC04-47FD-A145-A5360E8FF8D2}"/>
    <cellStyle name="20% - Accent2 2 3 2 4" xfId="9149" xr:uid="{B1E8E045-756D-4EC7-A1E4-1B53511AF7F5}"/>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EFB839E7-555D-4D5B-9889-6F42E1714EE2}"/>
    <cellStyle name="20% - Accent2 2 3 3 2 3" xfId="11707" xr:uid="{96876CF8-8176-4285-BD41-6E7C14A0D5AC}"/>
    <cellStyle name="20% - Accent2 2 3 3 3" xfId="5345" xr:uid="{00000000-0005-0000-0000-0000D3000000}"/>
    <cellStyle name="20% - Accent2 2 3 3 3 2" xfId="13780" xr:uid="{9839BC6C-C0CE-49F7-9A9C-BE247B8D9834}"/>
    <cellStyle name="20% - Accent2 2 3 3 4" xfId="9562" xr:uid="{FECD49B1-AB36-48F0-B4AA-9E657A799A80}"/>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77418248-738D-468B-8796-4790AB4B2282}"/>
    <cellStyle name="20% - Accent2 2 3 4 2 3" xfId="12120" xr:uid="{6CD65003-740D-4CB1-B74E-EC04E11CEE4A}"/>
    <cellStyle name="20% - Accent2 2 3 4 3" xfId="5758" xr:uid="{00000000-0005-0000-0000-0000D7000000}"/>
    <cellStyle name="20% - Accent2 2 3 4 3 2" xfId="14193" xr:uid="{28938AC2-2177-426F-B08D-CD1DEE6AE1A8}"/>
    <cellStyle name="20% - Accent2 2 3 4 4" xfId="9975" xr:uid="{23675387-05FB-4D40-882B-994C166617A3}"/>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8FD43E57-DABE-4B2E-B35B-149A51DA8458}"/>
    <cellStyle name="20% - Accent2 2 3 5 2 3" xfId="12533" xr:uid="{85542684-1677-414A-A56E-6214E72EF492}"/>
    <cellStyle name="20% - Accent2 2 3 5 3" xfId="6171" xr:uid="{00000000-0005-0000-0000-0000DB000000}"/>
    <cellStyle name="20% - Accent2 2 3 5 3 2" xfId="14606" xr:uid="{AB811E17-B0EA-423C-AD21-AD44475C6805}"/>
    <cellStyle name="20% - Accent2 2 3 5 4" xfId="10388" xr:uid="{1BC5EB52-6DC9-4FC7-A63D-CFA6F5584F86}"/>
    <cellStyle name="20% - Accent2 2 3 6" xfId="2277" xr:uid="{00000000-0005-0000-0000-0000DC000000}"/>
    <cellStyle name="20% - Accent2 2 3 6 2" xfId="6584" xr:uid="{00000000-0005-0000-0000-0000DD000000}"/>
    <cellStyle name="20% - Accent2 2 3 6 2 2" xfId="15019" xr:uid="{2580CF00-1ADD-4F75-A026-CCDF4E2ED7EC}"/>
    <cellStyle name="20% - Accent2 2 3 6 3" xfId="10801" xr:uid="{46FD1394-F0A3-47AB-9F83-38CB0CC27E8A}"/>
    <cellStyle name="20% - Accent2 2 3 7" xfId="4518" xr:uid="{00000000-0005-0000-0000-0000DE000000}"/>
    <cellStyle name="20% - Accent2 2 3 7 2" xfId="12953" xr:uid="{5F50F125-8F0B-4CC7-9042-AF531E6ABF0B}"/>
    <cellStyle name="20% - Accent2 2 3 8" xfId="8735" xr:uid="{E7FB47F4-6775-4B58-82D5-8A9C853F67AF}"/>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F19DAFDA-42E7-4A07-9EE5-B0777E20B260}"/>
    <cellStyle name="20% - Accent2 2 4 2 3" xfId="11291" xr:uid="{24328CE9-1E6B-4733-83AA-7AA6CBF8B386}"/>
    <cellStyle name="20% - Accent2 2 4 3" xfId="4929" xr:uid="{00000000-0005-0000-0000-0000E2000000}"/>
    <cellStyle name="20% - Accent2 2 4 3 2" xfId="13364" xr:uid="{7EF0D32F-B1B8-4B10-B4B4-203CA0FA6632}"/>
    <cellStyle name="20% - Accent2 2 4 4" xfId="9146" xr:uid="{43ED7D76-9C8C-40CC-A8D0-E153566A2B5D}"/>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704D27B2-D386-4DAA-9AE1-1487F7B3E92F}"/>
    <cellStyle name="20% - Accent2 2 5 2 3" xfId="11704" xr:uid="{AEB427C5-A3F7-4968-BCF3-EBB31CE4AC36}"/>
    <cellStyle name="20% - Accent2 2 5 3" xfId="5342" xr:uid="{00000000-0005-0000-0000-0000E6000000}"/>
    <cellStyle name="20% - Accent2 2 5 3 2" xfId="13777" xr:uid="{4FABF3C1-35B6-4AAB-8C20-C02E4720B074}"/>
    <cellStyle name="20% - Accent2 2 5 4" xfId="9559" xr:uid="{D6E6E561-E38A-4578-8FE0-7178C4F2D000}"/>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20533380-0A37-43F1-A8EA-5818976F9293}"/>
    <cellStyle name="20% - Accent2 2 6 2 3" xfId="12117" xr:uid="{3A5F2FD1-3445-49EA-8790-1C1680CD8DF8}"/>
    <cellStyle name="20% - Accent2 2 6 3" xfId="5755" xr:uid="{00000000-0005-0000-0000-0000EA000000}"/>
    <cellStyle name="20% - Accent2 2 6 3 2" xfId="14190" xr:uid="{7AE2EA29-4F56-45E1-903B-ED60940144CD}"/>
    <cellStyle name="20% - Accent2 2 6 4" xfId="9972" xr:uid="{2C29139D-E6C1-4EC6-AC99-F9F596F26711}"/>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37BDDF61-11A8-4FEC-B6B7-04E4A9786A5E}"/>
    <cellStyle name="20% - Accent2 2 7 2 3" xfId="12530" xr:uid="{E3596C44-B040-4BA3-BCD5-21CDD2585725}"/>
    <cellStyle name="20% - Accent2 2 7 3" xfId="6168" xr:uid="{00000000-0005-0000-0000-0000EE000000}"/>
    <cellStyle name="20% - Accent2 2 7 3 2" xfId="14603" xr:uid="{D75B42EC-6784-4F07-A682-F3F17B2BC224}"/>
    <cellStyle name="20% - Accent2 2 7 4" xfId="10385" xr:uid="{2F2B8D5B-C5C4-43CA-8F1D-8E298208BD12}"/>
    <cellStyle name="20% - Accent2 2 8" xfId="2274" xr:uid="{00000000-0005-0000-0000-0000EF000000}"/>
    <cellStyle name="20% - Accent2 2 8 2" xfId="6581" xr:uid="{00000000-0005-0000-0000-0000F0000000}"/>
    <cellStyle name="20% - Accent2 2 8 2 2" xfId="15016" xr:uid="{A69D101F-0FDA-4664-833D-9E9619680981}"/>
    <cellStyle name="20% - Accent2 2 8 3" xfId="10798" xr:uid="{A71869D9-5909-4EC8-838E-D75A1D4C5E7C}"/>
    <cellStyle name="20% - Accent2 2 9" xfId="4515" xr:uid="{00000000-0005-0000-0000-0000F1000000}"/>
    <cellStyle name="20% - Accent2 2 9 2" xfId="12950" xr:uid="{AD805A4D-D214-4994-806D-CF8FAF6ABCF1}"/>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3647B51E-5160-4217-9BEF-B993811079BA}"/>
    <cellStyle name="20% - Accent2 3 2 2 2 3" xfId="11296" xr:uid="{E1A02686-9D13-4DE7-8010-E58F4B73A09A}"/>
    <cellStyle name="20% - Accent2 3 2 2 3" xfId="4934" xr:uid="{00000000-0005-0000-0000-0000F7000000}"/>
    <cellStyle name="20% - Accent2 3 2 2 3 2" xfId="13369" xr:uid="{7B43E3D4-93C9-4C0A-85FA-DFE59D47811D}"/>
    <cellStyle name="20% - Accent2 3 2 2 4" xfId="9151" xr:uid="{7A54AB4D-DC00-4E9B-995B-768CA1D75067}"/>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87999A22-7D17-40BD-BC26-DB0FBF6C1C0F}"/>
    <cellStyle name="20% - Accent2 3 2 3 2 3" xfId="11709" xr:uid="{52AF1200-BAB6-494E-8F8E-CC03F7CBDBE0}"/>
    <cellStyle name="20% - Accent2 3 2 3 3" xfId="5347" xr:uid="{00000000-0005-0000-0000-0000FB000000}"/>
    <cellStyle name="20% - Accent2 3 2 3 3 2" xfId="13782" xr:uid="{F80377F2-013F-4428-92F3-42F05BA3A74C}"/>
    <cellStyle name="20% - Accent2 3 2 3 4" xfId="9564" xr:uid="{7505FD69-0F14-4031-9609-573E304E7013}"/>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1E387168-7681-4B66-B40B-EDD3B817447C}"/>
    <cellStyle name="20% - Accent2 3 2 4 2 3" xfId="12122" xr:uid="{6C2EE4C7-585E-41E1-99FA-220B7DADD5F4}"/>
    <cellStyle name="20% - Accent2 3 2 4 3" xfId="5760" xr:uid="{00000000-0005-0000-0000-0000FF000000}"/>
    <cellStyle name="20% - Accent2 3 2 4 3 2" xfId="14195" xr:uid="{721C260B-8405-47E4-8AB7-5C6E178A87B0}"/>
    <cellStyle name="20% - Accent2 3 2 4 4" xfId="9977" xr:uid="{5882C9AC-41D6-43DE-985B-1D881B5D5A0B}"/>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803CA772-42A5-4661-981A-2D148DD5B95F}"/>
    <cellStyle name="20% - Accent2 3 2 5 2 3" xfId="12535" xr:uid="{D4858F6A-DFB4-4156-A58C-BB990746EDAC}"/>
    <cellStyle name="20% - Accent2 3 2 5 3" xfId="6173" xr:uid="{00000000-0005-0000-0000-000003010000}"/>
    <cellStyle name="20% - Accent2 3 2 5 3 2" xfId="14608" xr:uid="{857E5C25-B618-42F7-828B-A8EB9F8BE569}"/>
    <cellStyle name="20% - Accent2 3 2 5 4" xfId="10390" xr:uid="{6FBC50F1-BB9A-49BB-A9F4-9F25D6C477B5}"/>
    <cellStyle name="20% - Accent2 3 2 6" xfId="2279" xr:uid="{00000000-0005-0000-0000-000004010000}"/>
    <cellStyle name="20% - Accent2 3 2 6 2" xfId="6586" xr:uid="{00000000-0005-0000-0000-000005010000}"/>
    <cellStyle name="20% - Accent2 3 2 6 2 2" xfId="15021" xr:uid="{A5C3E735-9021-4B50-AAF0-79484458B98C}"/>
    <cellStyle name="20% - Accent2 3 2 6 3" xfId="10803" xr:uid="{90943086-8F1E-4FA8-8548-E8C42F5D61B7}"/>
    <cellStyle name="20% - Accent2 3 2 7" xfId="4520" xr:uid="{00000000-0005-0000-0000-000006010000}"/>
    <cellStyle name="20% - Accent2 3 2 7 2" xfId="12955" xr:uid="{A5B44885-B23D-4445-8CFC-49A54EE4D824}"/>
    <cellStyle name="20% - Accent2 3 2 8" xfId="8737" xr:uid="{87238822-6066-45C5-8EB4-1BAE628F27E6}"/>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A1A16E2C-5186-458D-A16D-963B04E8272C}"/>
    <cellStyle name="20% - Accent2 3 3 2 3" xfId="11295" xr:uid="{33A7312E-0AFC-498B-9977-0BC2A28EAAD6}"/>
    <cellStyle name="20% - Accent2 3 3 3" xfId="4933" xr:uid="{00000000-0005-0000-0000-00000A010000}"/>
    <cellStyle name="20% - Accent2 3 3 3 2" xfId="13368" xr:uid="{8CA75F1B-1FC8-4D2D-90F9-3F591DB5FC4D}"/>
    <cellStyle name="20% - Accent2 3 3 4" xfId="9150" xr:uid="{5EDF2A18-CDCA-4F1D-A5EC-9F7FCEAF9BE8}"/>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64A5D395-8FE1-431D-A081-853AE195D284}"/>
    <cellStyle name="20% - Accent2 3 4 2 3" xfId="11708" xr:uid="{988A36BD-F424-44F0-9158-EC08EA844622}"/>
    <cellStyle name="20% - Accent2 3 4 3" xfId="5346" xr:uid="{00000000-0005-0000-0000-00000E010000}"/>
    <cellStyle name="20% - Accent2 3 4 3 2" xfId="13781" xr:uid="{F0D35D2E-8868-4F5E-87D7-814C8F368DDD}"/>
    <cellStyle name="20% - Accent2 3 4 4" xfId="9563" xr:uid="{776024D4-FF83-4716-9FB3-D93FF0A2A477}"/>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1F6011DF-120A-46F6-BF80-38F4AB0CC393}"/>
    <cellStyle name="20% - Accent2 3 5 2 3" xfId="12121" xr:uid="{7FCDE0F2-F65D-4DA0-A494-1405B2536EB4}"/>
    <cellStyle name="20% - Accent2 3 5 3" xfId="5759" xr:uid="{00000000-0005-0000-0000-000012010000}"/>
    <cellStyle name="20% - Accent2 3 5 3 2" xfId="14194" xr:uid="{9111F2FB-DEBC-4421-AAB6-AAA264CA01FA}"/>
    <cellStyle name="20% - Accent2 3 5 4" xfId="9976" xr:uid="{67FFBFE7-E5A2-45C5-80F1-3D79EE50058F}"/>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B30F1EAF-5626-44EA-8B2C-71A4E043CF53}"/>
    <cellStyle name="20% - Accent2 3 6 2 3" xfId="12534" xr:uid="{37B1FB15-19ED-4FE2-BD7B-A4D3E9E88626}"/>
    <cellStyle name="20% - Accent2 3 6 3" xfId="6172" xr:uid="{00000000-0005-0000-0000-000016010000}"/>
    <cellStyle name="20% - Accent2 3 6 3 2" xfId="14607" xr:uid="{D35CF95B-4329-47EE-9D26-E19A1688752F}"/>
    <cellStyle name="20% - Accent2 3 6 4" xfId="10389" xr:uid="{56F7257E-76FF-4056-9B54-95FAD81950A3}"/>
    <cellStyle name="20% - Accent2 3 7" xfId="2278" xr:uid="{00000000-0005-0000-0000-000017010000}"/>
    <cellStyle name="20% - Accent2 3 7 2" xfId="6585" xr:uid="{00000000-0005-0000-0000-000018010000}"/>
    <cellStyle name="20% - Accent2 3 7 2 2" xfId="15020" xr:uid="{630B9267-C057-4177-8763-FBD66C033B47}"/>
    <cellStyle name="20% - Accent2 3 7 3" xfId="10802" xr:uid="{FA7EFE62-DCDC-4E83-97C3-BFE63B2D88A7}"/>
    <cellStyle name="20% - Accent2 3 8" xfId="4519" xr:uid="{00000000-0005-0000-0000-000019010000}"/>
    <cellStyle name="20% - Accent2 3 8 2" xfId="12954" xr:uid="{95DC591B-C635-430E-845B-5219091E113A}"/>
    <cellStyle name="20% - Accent2 3 9" xfId="8736" xr:uid="{B79926E9-1DC4-42D6-B287-F98549CB9A15}"/>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1939528B-4CC2-479A-A49E-6DD733C97790}"/>
    <cellStyle name="20% - Accent2 4 2 2 3" xfId="11297" xr:uid="{2EE8AF3E-CB5A-4BFA-B281-8DDF8DEA8D00}"/>
    <cellStyle name="20% - Accent2 4 2 3" xfId="4935" xr:uid="{00000000-0005-0000-0000-00001E010000}"/>
    <cellStyle name="20% - Accent2 4 2 3 2" xfId="13370" xr:uid="{26F64534-AF1B-4618-8FA4-5DF4590C8C33}"/>
    <cellStyle name="20% - Accent2 4 2 4" xfId="9152" xr:uid="{5CE06A71-BBF0-4968-B4AA-3B5B3FA233DB}"/>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C0BE30BF-41E6-4947-A667-6E23DCD58957}"/>
    <cellStyle name="20% - Accent2 4 3 2 3" xfId="11710" xr:uid="{98BC2799-45A0-4A26-BD94-29A37126C679}"/>
    <cellStyle name="20% - Accent2 4 3 3" xfId="5348" xr:uid="{00000000-0005-0000-0000-000022010000}"/>
    <cellStyle name="20% - Accent2 4 3 3 2" xfId="13783" xr:uid="{BB065FFC-F530-4080-8489-011C1D7B62B6}"/>
    <cellStyle name="20% - Accent2 4 3 4" xfId="9565" xr:uid="{FBC59315-C2FB-4EEE-8946-30090B086F93}"/>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6757E421-F233-4483-9682-C3BA09DA385F}"/>
    <cellStyle name="20% - Accent2 4 4 2 3" xfId="12123" xr:uid="{AB606DCC-41A0-42D5-A241-9A0F802DAA05}"/>
    <cellStyle name="20% - Accent2 4 4 3" xfId="5761" xr:uid="{00000000-0005-0000-0000-000026010000}"/>
    <cellStyle name="20% - Accent2 4 4 3 2" xfId="14196" xr:uid="{1FFE9064-F679-4755-911F-A64F55D10AC7}"/>
    <cellStyle name="20% - Accent2 4 4 4" xfId="9978" xr:uid="{7C3C3E71-E1EF-42F9-B50E-7F2A6C2C198F}"/>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0D4A5DF2-9BD5-47CB-86EA-9B44766048EB}"/>
    <cellStyle name="20% - Accent2 4 5 2 3" xfId="12536" xr:uid="{6AD306DF-B669-4B56-AD30-51AD65B5D9F6}"/>
    <cellStyle name="20% - Accent2 4 5 3" xfId="6174" xr:uid="{00000000-0005-0000-0000-00002A010000}"/>
    <cellStyle name="20% - Accent2 4 5 3 2" xfId="14609" xr:uid="{685DA69B-E15A-4D96-AB84-62CA600632E2}"/>
    <cellStyle name="20% - Accent2 4 5 4" xfId="10391" xr:uid="{80BEE609-B36C-4463-9C39-F405B125F288}"/>
    <cellStyle name="20% - Accent2 4 6" xfId="2280" xr:uid="{00000000-0005-0000-0000-00002B010000}"/>
    <cellStyle name="20% - Accent2 4 6 2" xfId="6587" xr:uid="{00000000-0005-0000-0000-00002C010000}"/>
    <cellStyle name="20% - Accent2 4 6 2 2" xfId="15022" xr:uid="{ADAAEFD3-A517-4E89-AB67-EA3785B96B43}"/>
    <cellStyle name="20% - Accent2 4 6 3" xfId="10804" xr:uid="{C15536E1-3554-44B7-A1C3-A5D083A52F9A}"/>
    <cellStyle name="20% - Accent2 4 7" xfId="4521" xr:uid="{00000000-0005-0000-0000-00002D010000}"/>
    <cellStyle name="20% - Accent2 4 7 2" xfId="12956" xr:uid="{9056243A-858F-498B-B378-075BCEDB4C39}"/>
    <cellStyle name="20% - Accent2 4 8" xfId="8738" xr:uid="{2EFF84AE-2998-4EF7-8FAC-C7469E3EFBAA}"/>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2AEA0583-EACF-40FA-A455-2562EAD1D407}"/>
    <cellStyle name="20% - Accent2 5 2 3" xfId="11290" xr:uid="{EFB697C1-02C5-4AFB-8CD7-E64FD54119FE}"/>
    <cellStyle name="20% - Accent2 5 3" xfId="4928" xr:uid="{00000000-0005-0000-0000-000031010000}"/>
    <cellStyle name="20% - Accent2 5 3 2" xfId="13363" xr:uid="{16B4794E-7E86-49D4-9692-162928AA91E9}"/>
    <cellStyle name="20% - Accent2 5 4" xfId="9145" xr:uid="{16544D02-1367-4A59-B24B-7DDCCF5C45AC}"/>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EFBDEC85-A948-480C-A705-BF6BE65F5211}"/>
    <cellStyle name="20% - Accent2 6 2 3" xfId="11703" xr:uid="{81CEFB72-F608-410C-800A-0D652682CB21}"/>
    <cellStyle name="20% - Accent2 6 3" xfId="5341" xr:uid="{00000000-0005-0000-0000-000035010000}"/>
    <cellStyle name="20% - Accent2 6 3 2" xfId="13776" xr:uid="{31522B3E-029E-4E2C-82DB-A18927D40D87}"/>
    <cellStyle name="20% - Accent2 6 4" xfId="9558" xr:uid="{8DA5992E-0359-4287-9D8D-A625C3697F8D}"/>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C39A4882-F5AD-43D6-9424-CB0BB340B8D5}"/>
    <cellStyle name="20% - Accent2 7 2 3" xfId="12116" xr:uid="{9C1CB413-60CB-4733-910E-2CAFB1B08794}"/>
    <cellStyle name="20% - Accent2 7 3" xfId="5754" xr:uid="{00000000-0005-0000-0000-000039010000}"/>
    <cellStyle name="20% - Accent2 7 3 2" xfId="14189" xr:uid="{7214C410-43C5-4EED-9980-50CC5D04DD00}"/>
    <cellStyle name="20% - Accent2 7 4" xfId="9971" xr:uid="{A3E799FE-FB5E-4B42-AFBE-3FCFC7D97486}"/>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EAB212E2-7F25-4241-8EF9-4EF8BD6F6613}"/>
    <cellStyle name="20% - Accent2 8 2 3" xfId="12529" xr:uid="{F2772BA3-92A3-40D5-B9FF-0C486863CC3A}"/>
    <cellStyle name="20% - Accent2 8 3" xfId="6167" xr:uid="{00000000-0005-0000-0000-00003D010000}"/>
    <cellStyle name="20% - Accent2 8 3 2" xfId="14602" xr:uid="{0A5EED1D-B2E1-4BB0-8FD7-7F1C32912E9E}"/>
    <cellStyle name="20% - Accent2 8 4" xfId="10384" xr:uid="{527430B0-777F-471A-9C23-0672A147E9D1}"/>
    <cellStyle name="20% - Accent2 9" xfId="2273" xr:uid="{00000000-0005-0000-0000-00003E010000}"/>
    <cellStyle name="20% - Accent2 9 2" xfId="6580" xr:uid="{00000000-0005-0000-0000-00003F010000}"/>
    <cellStyle name="20% - Accent2 9 2 2" xfId="15015" xr:uid="{36986A5B-3CB3-4F8A-887F-D09786823768}"/>
    <cellStyle name="20% - Accent2 9 3" xfId="10797" xr:uid="{3F291232-C132-414D-B2E2-B6191C19D965}"/>
    <cellStyle name="20% - Accent3" xfId="17" builtinId="38" customBuiltin="1"/>
    <cellStyle name="20% - Accent3 10" xfId="4522" xr:uid="{00000000-0005-0000-0000-000041010000}"/>
    <cellStyle name="20% - Accent3 10 2" xfId="12957" xr:uid="{CD325911-8DC6-4428-AE35-486AE559A155}"/>
    <cellStyle name="20% - Accent3 11" xfId="8739" xr:uid="{B0DA0C81-D95A-4046-A677-AB2305F8243D}"/>
    <cellStyle name="20% - Accent3 2" xfId="18" xr:uid="{00000000-0005-0000-0000-000042010000}"/>
    <cellStyle name="20% - Accent3 2 10" xfId="8740" xr:uid="{DC2DC415-1D9B-4858-BF2E-75619BE41FA2}"/>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4C97F6F3-B70E-403F-B118-CCD493B39EC8}"/>
    <cellStyle name="20% - Accent3 2 2 2 2 2 3" xfId="11301" xr:uid="{32403EA3-2E81-4A55-86C0-F004F11ADBC3}"/>
    <cellStyle name="20% - Accent3 2 2 2 2 3" xfId="4939" xr:uid="{00000000-0005-0000-0000-000048010000}"/>
    <cellStyle name="20% - Accent3 2 2 2 2 3 2" xfId="13374" xr:uid="{913AC772-420B-49C9-A8C0-681359B3320D}"/>
    <cellStyle name="20% - Accent3 2 2 2 2 4" xfId="9156" xr:uid="{2D17DAE3-E38C-4A3A-97C9-DA36273C58A8}"/>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FFE81152-ECF5-4D86-B1D9-0E6735214099}"/>
    <cellStyle name="20% - Accent3 2 2 2 3 2 3" xfId="11714" xr:uid="{970406B4-6D5B-46EC-A072-07FB3FBA7F3B}"/>
    <cellStyle name="20% - Accent3 2 2 2 3 3" xfId="5352" xr:uid="{00000000-0005-0000-0000-00004C010000}"/>
    <cellStyle name="20% - Accent3 2 2 2 3 3 2" xfId="13787" xr:uid="{DDEBBD65-99F7-476B-AEB3-36CF1BB30B40}"/>
    <cellStyle name="20% - Accent3 2 2 2 3 4" xfId="9569" xr:uid="{246ED9BF-1EC3-452E-B9D1-367430557312}"/>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9885D674-D308-425A-B736-35290610BFEF}"/>
    <cellStyle name="20% - Accent3 2 2 2 4 2 3" xfId="12127" xr:uid="{F868DA19-00F6-48B9-98EF-4F9901134AB2}"/>
    <cellStyle name="20% - Accent3 2 2 2 4 3" xfId="5765" xr:uid="{00000000-0005-0000-0000-000050010000}"/>
    <cellStyle name="20% - Accent3 2 2 2 4 3 2" xfId="14200" xr:uid="{7E011F2B-03CD-4B36-848E-4D30454637E7}"/>
    <cellStyle name="20% - Accent3 2 2 2 4 4" xfId="9982" xr:uid="{7689E206-A03B-4FB5-AB29-7713ED3E24FE}"/>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4F1D9F64-40EA-4811-82AC-82A29876BF04}"/>
    <cellStyle name="20% - Accent3 2 2 2 5 2 3" xfId="12540" xr:uid="{388CE9ED-D592-489E-97F7-7E106986B5AD}"/>
    <cellStyle name="20% - Accent3 2 2 2 5 3" xfId="6178" xr:uid="{00000000-0005-0000-0000-000054010000}"/>
    <cellStyle name="20% - Accent3 2 2 2 5 3 2" xfId="14613" xr:uid="{D66A3A45-75D9-43C1-9F64-650481DCB8C1}"/>
    <cellStyle name="20% - Accent3 2 2 2 5 4" xfId="10395" xr:uid="{1615EFCB-A74E-4531-8125-75AA88A31DF9}"/>
    <cellStyle name="20% - Accent3 2 2 2 6" xfId="2284" xr:uid="{00000000-0005-0000-0000-000055010000}"/>
    <cellStyle name="20% - Accent3 2 2 2 6 2" xfId="6591" xr:uid="{00000000-0005-0000-0000-000056010000}"/>
    <cellStyle name="20% - Accent3 2 2 2 6 2 2" xfId="15026" xr:uid="{772CC1C4-A376-4CBE-AED5-3E7F68F038C5}"/>
    <cellStyle name="20% - Accent3 2 2 2 6 3" xfId="10808" xr:uid="{11A49099-B4CC-4B63-8B23-F2D5EDB7B054}"/>
    <cellStyle name="20% - Accent3 2 2 2 7" xfId="4525" xr:uid="{00000000-0005-0000-0000-000057010000}"/>
    <cellStyle name="20% - Accent3 2 2 2 7 2" xfId="12960" xr:uid="{5DCE2848-2558-4CF5-B05A-4706BE611EF1}"/>
    <cellStyle name="20% - Accent3 2 2 2 8" xfId="8742" xr:uid="{F3171B70-8480-489A-87B0-8278759B2DA4}"/>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3D77CE71-3FED-4964-AD81-FCA1D54C2999}"/>
    <cellStyle name="20% - Accent3 2 2 3 2 3" xfId="11300" xr:uid="{B1E4EA34-182D-4C2B-A835-D6437953BFF6}"/>
    <cellStyle name="20% - Accent3 2 2 3 3" xfId="4938" xr:uid="{00000000-0005-0000-0000-00005B010000}"/>
    <cellStyle name="20% - Accent3 2 2 3 3 2" xfId="13373" xr:uid="{E6C48971-4931-426A-8788-2ACFDB629D12}"/>
    <cellStyle name="20% - Accent3 2 2 3 4" xfId="9155" xr:uid="{21F9E592-96FD-4F1A-831B-4C635CEB43BB}"/>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2E95C53D-A6E4-436D-AA4F-1D350E3D406E}"/>
    <cellStyle name="20% - Accent3 2 2 4 2 3" xfId="11713" xr:uid="{F80C4FB5-79BA-4E25-9319-A9BE41FA2911}"/>
    <cellStyle name="20% - Accent3 2 2 4 3" xfId="5351" xr:uid="{00000000-0005-0000-0000-00005F010000}"/>
    <cellStyle name="20% - Accent3 2 2 4 3 2" xfId="13786" xr:uid="{37175BE4-35AF-41D2-B3AD-189BB6FC6C1D}"/>
    <cellStyle name="20% - Accent3 2 2 4 4" xfId="9568" xr:uid="{6991625C-A370-410C-8C31-97E1A8B2FFCE}"/>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C24DEA1D-AA69-4AFF-9E63-70B26C632A65}"/>
    <cellStyle name="20% - Accent3 2 2 5 2 3" xfId="12126" xr:uid="{89075EA7-D620-45E2-A642-910CCA0B48E0}"/>
    <cellStyle name="20% - Accent3 2 2 5 3" xfId="5764" xr:uid="{00000000-0005-0000-0000-000063010000}"/>
    <cellStyle name="20% - Accent3 2 2 5 3 2" xfId="14199" xr:uid="{BB5CB871-7405-4EA4-B9EB-786B98864C2F}"/>
    <cellStyle name="20% - Accent3 2 2 5 4" xfId="9981" xr:uid="{37814DFE-A97B-49B2-8DA6-CAA192615E35}"/>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8EB77D0D-4CB3-4578-88D3-91A23ED0ACA4}"/>
    <cellStyle name="20% - Accent3 2 2 6 2 3" xfId="12539" xr:uid="{10793194-2EF8-452C-B30E-0CEF49736BB8}"/>
    <cellStyle name="20% - Accent3 2 2 6 3" xfId="6177" xr:uid="{00000000-0005-0000-0000-000067010000}"/>
    <cellStyle name="20% - Accent3 2 2 6 3 2" xfId="14612" xr:uid="{EC850CDF-2561-41F4-A024-F3A8401C9ED1}"/>
    <cellStyle name="20% - Accent3 2 2 6 4" xfId="10394" xr:uid="{553F2F08-227E-41B8-A5BB-EFB169262DE7}"/>
    <cellStyle name="20% - Accent3 2 2 7" xfId="2283" xr:uid="{00000000-0005-0000-0000-000068010000}"/>
    <cellStyle name="20% - Accent3 2 2 7 2" xfId="6590" xr:uid="{00000000-0005-0000-0000-000069010000}"/>
    <cellStyle name="20% - Accent3 2 2 7 2 2" xfId="15025" xr:uid="{91971E99-4C0E-4F8B-82D6-2A2A11296974}"/>
    <cellStyle name="20% - Accent3 2 2 7 3" xfId="10807" xr:uid="{7218B247-4F0F-45AE-B5B9-81C27ABFDED9}"/>
    <cellStyle name="20% - Accent3 2 2 8" xfId="4524" xr:uid="{00000000-0005-0000-0000-00006A010000}"/>
    <cellStyle name="20% - Accent3 2 2 8 2" xfId="12959" xr:uid="{F8D00EDC-B007-45A6-9556-120A5C7099A4}"/>
    <cellStyle name="20% - Accent3 2 2 9" xfId="8741" xr:uid="{4C34D649-055D-41A7-8879-F413660F4DF4}"/>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69BD8762-855F-4E68-93BF-C12A078938FC}"/>
    <cellStyle name="20% - Accent3 2 3 2 2 3" xfId="11302" xr:uid="{4170865C-6693-448C-9FA0-23459D9CE686}"/>
    <cellStyle name="20% - Accent3 2 3 2 3" xfId="4940" xr:uid="{00000000-0005-0000-0000-00006F010000}"/>
    <cellStyle name="20% - Accent3 2 3 2 3 2" xfId="13375" xr:uid="{1F72AF71-FA0D-44DD-A44E-5C93102F3DD5}"/>
    <cellStyle name="20% - Accent3 2 3 2 4" xfId="9157" xr:uid="{42F46D39-CD27-459B-9745-6F3403BE24C1}"/>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912F9245-A94C-47D6-8AA5-26C5BFC7AB21}"/>
    <cellStyle name="20% - Accent3 2 3 3 2 3" xfId="11715" xr:uid="{700552BE-1D64-4A1B-B4EE-2985B5800BCC}"/>
    <cellStyle name="20% - Accent3 2 3 3 3" xfId="5353" xr:uid="{00000000-0005-0000-0000-000073010000}"/>
    <cellStyle name="20% - Accent3 2 3 3 3 2" xfId="13788" xr:uid="{F8D262A9-92E2-45E5-A290-91A76E585AFB}"/>
    <cellStyle name="20% - Accent3 2 3 3 4" xfId="9570" xr:uid="{A1258DED-799A-4A0A-80C3-010C6C9A840C}"/>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AD6BBC16-B9C5-419E-AE68-AB3581491F30}"/>
    <cellStyle name="20% - Accent3 2 3 4 2 3" xfId="12128" xr:uid="{B0B7B33D-B060-4061-B453-2A2F7A5F2796}"/>
    <cellStyle name="20% - Accent3 2 3 4 3" xfId="5766" xr:uid="{00000000-0005-0000-0000-000077010000}"/>
    <cellStyle name="20% - Accent3 2 3 4 3 2" xfId="14201" xr:uid="{D72873BD-4D90-4CFA-8755-02B26C9DD5A6}"/>
    <cellStyle name="20% - Accent3 2 3 4 4" xfId="9983" xr:uid="{388449DF-DAE3-4BC8-BB9B-0631FC49FCEC}"/>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718750F1-2C42-45F2-956A-3F97D29DE218}"/>
    <cellStyle name="20% - Accent3 2 3 5 2 3" xfId="12541" xr:uid="{E4D50949-300D-47E6-B696-3A68F58C187E}"/>
    <cellStyle name="20% - Accent3 2 3 5 3" xfId="6179" xr:uid="{00000000-0005-0000-0000-00007B010000}"/>
    <cellStyle name="20% - Accent3 2 3 5 3 2" xfId="14614" xr:uid="{1E7A0E1A-CD29-4350-AC13-CB45E1D8442C}"/>
    <cellStyle name="20% - Accent3 2 3 5 4" xfId="10396" xr:uid="{9EC3E68C-FDFA-4285-9D48-5440526EC870}"/>
    <cellStyle name="20% - Accent3 2 3 6" xfId="2285" xr:uid="{00000000-0005-0000-0000-00007C010000}"/>
    <cellStyle name="20% - Accent3 2 3 6 2" xfId="6592" xr:uid="{00000000-0005-0000-0000-00007D010000}"/>
    <cellStyle name="20% - Accent3 2 3 6 2 2" xfId="15027" xr:uid="{8EB02418-FAF6-4CEA-B934-945C07C90C0F}"/>
    <cellStyle name="20% - Accent3 2 3 6 3" xfId="10809" xr:uid="{538DC42F-110F-4C39-B5E7-586A849FC2AA}"/>
    <cellStyle name="20% - Accent3 2 3 7" xfId="4526" xr:uid="{00000000-0005-0000-0000-00007E010000}"/>
    <cellStyle name="20% - Accent3 2 3 7 2" xfId="12961" xr:uid="{D1D7F8D1-1172-4EF2-9517-9CD9E83603CF}"/>
    <cellStyle name="20% - Accent3 2 3 8" xfId="8743" xr:uid="{79A2E755-257F-4D7E-8524-514FB3EE929E}"/>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ECDE4C1B-D7C1-4638-8B8D-6BBBBA4527A4}"/>
    <cellStyle name="20% - Accent3 2 4 2 3" xfId="11299" xr:uid="{F5A943B5-5297-49D2-9E7E-A7C68E44DED2}"/>
    <cellStyle name="20% - Accent3 2 4 3" xfId="4937" xr:uid="{00000000-0005-0000-0000-000082010000}"/>
    <cellStyle name="20% - Accent3 2 4 3 2" xfId="13372" xr:uid="{70F371A0-62B0-44A8-BD89-2D8FEA41C820}"/>
    <cellStyle name="20% - Accent3 2 4 4" xfId="9154" xr:uid="{C8EE63F0-AAC3-4EBD-A8A2-7A2219F06368}"/>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3235F912-79F2-4423-ABB7-E852D88E3DD6}"/>
    <cellStyle name="20% - Accent3 2 5 2 3" xfId="11712" xr:uid="{9B7E6ACD-3C7D-46C2-9047-B3C8C253FE22}"/>
    <cellStyle name="20% - Accent3 2 5 3" xfId="5350" xr:uid="{00000000-0005-0000-0000-000086010000}"/>
    <cellStyle name="20% - Accent3 2 5 3 2" xfId="13785" xr:uid="{1003BCAA-EAEB-41AE-B1C2-B025D1B7B46B}"/>
    <cellStyle name="20% - Accent3 2 5 4" xfId="9567" xr:uid="{D1A09CC9-7707-462A-BEB2-194DB252A811}"/>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A988EF18-2236-4169-BAED-438A8C3B6FAD}"/>
    <cellStyle name="20% - Accent3 2 6 2 3" xfId="12125" xr:uid="{CD0304BE-84F8-4BDA-A3EB-B6E3EDC41573}"/>
    <cellStyle name="20% - Accent3 2 6 3" xfId="5763" xr:uid="{00000000-0005-0000-0000-00008A010000}"/>
    <cellStyle name="20% - Accent3 2 6 3 2" xfId="14198" xr:uid="{DF5CB0B3-4E4B-439C-AA07-DF709F5727F2}"/>
    <cellStyle name="20% - Accent3 2 6 4" xfId="9980" xr:uid="{547D997E-335A-44F4-B44C-A4FF6821E31D}"/>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442AEDE8-0937-4A00-85C5-9C56D00CCF90}"/>
    <cellStyle name="20% - Accent3 2 7 2 3" xfId="12538" xr:uid="{B4EF0C69-D176-49F3-B523-A0171F8100EB}"/>
    <cellStyle name="20% - Accent3 2 7 3" xfId="6176" xr:uid="{00000000-0005-0000-0000-00008E010000}"/>
    <cellStyle name="20% - Accent3 2 7 3 2" xfId="14611" xr:uid="{25FD2BB9-BC19-41EE-9FF5-FAF02589BB65}"/>
    <cellStyle name="20% - Accent3 2 7 4" xfId="10393" xr:uid="{5AFD7A6D-36F6-4186-A9C2-3CBEB9E494B7}"/>
    <cellStyle name="20% - Accent3 2 8" xfId="2282" xr:uid="{00000000-0005-0000-0000-00008F010000}"/>
    <cellStyle name="20% - Accent3 2 8 2" xfId="6589" xr:uid="{00000000-0005-0000-0000-000090010000}"/>
    <cellStyle name="20% - Accent3 2 8 2 2" xfId="15024" xr:uid="{EF8D6F24-D4FC-400F-9F39-C54D012E80DA}"/>
    <cellStyle name="20% - Accent3 2 8 3" xfId="10806" xr:uid="{1034EA3A-7507-4EBE-8272-28F65E248F3C}"/>
    <cellStyle name="20% - Accent3 2 9" xfId="4523" xr:uid="{00000000-0005-0000-0000-000091010000}"/>
    <cellStyle name="20% - Accent3 2 9 2" xfId="12958" xr:uid="{55B9F75F-92D4-4BC4-B9E6-384657BDDA9B}"/>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1B53094E-7A5B-4F8E-842B-339856D762F7}"/>
    <cellStyle name="20% - Accent3 3 2 2 2 3" xfId="11304" xr:uid="{4B84F359-2251-457D-9B8B-57AC66ABAF6F}"/>
    <cellStyle name="20% - Accent3 3 2 2 3" xfId="4942" xr:uid="{00000000-0005-0000-0000-000097010000}"/>
    <cellStyle name="20% - Accent3 3 2 2 3 2" xfId="13377" xr:uid="{CF47DE2A-623B-4AC0-9B7B-82B68D745F42}"/>
    <cellStyle name="20% - Accent3 3 2 2 4" xfId="9159" xr:uid="{DF2CDC92-35E5-4B2C-B3C5-48EC04BCA5F1}"/>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5A6D6F3A-BB06-4EAC-B070-AECD1EE077D8}"/>
    <cellStyle name="20% - Accent3 3 2 3 2 3" xfId="11717" xr:uid="{6B251B09-9B2B-43FC-BFE1-FA0635A25787}"/>
    <cellStyle name="20% - Accent3 3 2 3 3" xfId="5355" xr:uid="{00000000-0005-0000-0000-00009B010000}"/>
    <cellStyle name="20% - Accent3 3 2 3 3 2" xfId="13790" xr:uid="{8FA353AC-11BD-42AD-BD9E-49C26497C67E}"/>
    <cellStyle name="20% - Accent3 3 2 3 4" xfId="9572" xr:uid="{E76C085B-2D74-4535-B85C-8E19C287556B}"/>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39E24C74-94C6-487C-9372-CABFAF744702}"/>
    <cellStyle name="20% - Accent3 3 2 4 2 3" xfId="12130" xr:uid="{944857F0-8284-4A5A-9F70-F937A7C147FE}"/>
    <cellStyle name="20% - Accent3 3 2 4 3" xfId="5768" xr:uid="{00000000-0005-0000-0000-00009F010000}"/>
    <cellStyle name="20% - Accent3 3 2 4 3 2" xfId="14203" xr:uid="{0D733501-F51F-4502-A75E-67815C32C5B6}"/>
    <cellStyle name="20% - Accent3 3 2 4 4" xfId="9985" xr:uid="{91E39F55-AD46-4375-B027-D285AAC85DE2}"/>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FA2AD37A-92B8-4A57-9B7A-3C8BB376CA01}"/>
    <cellStyle name="20% - Accent3 3 2 5 2 3" xfId="12543" xr:uid="{7AEDC6C4-7202-40C3-8F21-43904ED7B21D}"/>
    <cellStyle name="20% - Accent3 3 2 5 3" xfId="6181" xr:uid="{00000000-0005-0000-0000-0000A3010000}"/>
    <cellStyle name="20% - Accent3 3 2 5 3 2" xfId="14616" xr:uid="{062ADF1A-BA46-4F57-B57B-C2ED08A23495}"/>
    <cellStyle name="20% - Accent3 3 2 5 4" xfId="10398" xr:uid="{B271D28F-2EB4-4488-9ABC-2DCD75037877}"/>
    <cellStyle name="20% - Accent3 3 2 6" xfId="2287" xr:uid="{00000000-0005-0000-0000-0000A4010000}"/>
    <cellStyle name="20% - Accent3 3 2 6 2" xfId="6594" xr:uid="{00000000-0005-0000-0000-0000A5010000}"/>
    <cellStyle name="20% - Accent3 3 2 6 2 2" xfId="15029" xr:uid="{D6D2A244-A672-4A2E-8E0D-E2E1BC8A8F5C}"/>
    <cellStyle name="20% - Accent3 3 2 6 3" xfId="10811" xr:uid="{E30BBE3F-087E-4905-BBE6-98E1DB35FAA7}"/>
    <cellStyle name="20% - Accent3 3 2 7" xfId="4528" xr:uid="{00000000-0005-0000-0000-0000A6010000}"/>
    <cellStyle name="20% - Accent3 3 2 7 2" xfId="12963" xr:uid="{413B353D-3E32-4DAA-A088-E10F2BEEBF62}"/>
    <cellStyle name="20% - Accent3 3 2 8" xfId="8745" xr:uid="{96AD2CD9-E212-4EA2-A2E8-6C3CEFF07892}"/>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1C37CC11-83E1-4C7F-AFE0-C61AF33CB213}"/>
    <cellStyle name="20% - Accent3 3 3 2 3" xfId="11303" xr:uid="{59161BB7-C520-41FA-B22B-26240D3EE961}"/>
    <cellStyle name="20% - Accent3 3 3 3" xfId="4941" xr:uid="{00000000-0005-0000-0000-0000AA010000}"/>
    <cellStyle name="20% - Accent3 3 3 3 2" xfId="13376" xr:uid="{E3696D72-B963-4F87-BB2E-B4118CE98F98}"/>
    <cellStyle name="20% - Accent3 3 3 4" xfId="9158" xr:uid="{E157643D-D83D-4E36-8740-4E4FAFB36B41}"/>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3A946521-1ED1-4342-883C-8E07831D8202}"/>
    <cellStyle name="20% - Accent3 3 4 2 3" xfId="11716" xr:uid="{5950D47F-FAE8-452E-A63B-B3113ABD1D9F}"/>
    <cellStyle name="20% - Accent3 3 4 3" xfId="5354" xr:uid="{00000000-0005-0000-0000-0000AE010000}"/>
    <cellStyle name="20% - Accent3 3 4 3 2" xfId="13789" xr:uid="{B578BE42-86D0-42D1-B6BD-ADCB12D5CAC3}"/>
    <cellStyle name="20% - Accent3 3 4 4" xfId="9571" xr:uid="{7119270F-4008-43E5-AE9B-90696969E828}"/>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E3573D1C-3F00-44C1-9FCF-070B12293830}"/>
    <cellStyle name="20% - Accent3 3 5 2 3" xfId="12129" xr:uid="{CE93EFB6-F7DA-44D9-9ACF-DD46523DA3FB}"/>
    <cellStyle name="20% - Accent3 3 5 3" xfId="5767" xr:uid="{00000000-0005-0000-0000-0000B2010000}"/>
    <cellStyle name="20% - Accent3 3 5 3 2" xfId="14202" xr:uid="{7BA362F8-67D3-4045-AE85-01D008E82C56}"/>
    <cellStyle name="20% - Accent3 3 5 4" xfId="9984" xr:uid="{6DF657D5-69A7-4DAC-A68A-FCCE75C11996}"/>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E5683800-EADA-4ED2-8A11-408CAC487C1A}"/>
    <cellStyle name="20% - Accent3 3 6 2 3" xfId="12542" xr:uid="{1A1ABE9C-3EAF-432F-B480-007A33313515}"/>
    <cellStyle name="20% - Accent3 3 6 3" xfId="6180" xr:uid="{00000000-0005-0000-0000-0000B6010000}"/>
    <cellStyle name="20% - Accent3 3 6 3 2" xfId="14615" xr:uid="{C86B86C6-C602-485B-AE6A-6B59879864CF}"/>
    <cellStyle name="20% - Accent3 3 6 4" xfId="10397" xr:uid="{45F4C1CE-3438-4FD8-B0A0-2CEAA815D67A}"/>
    <cellStyle name="20% - Accent3 3 7" xfId="2286" xr:uid="{00000000-0005-0000-0000-0000B7010000}"/>
    <cellStyle name="20% - Accent3 3 7 2" xfId="6593" xr:uid="{00000000-0005-0000-0000-0000B8010000}"/>
    <cellStyle name="20% - Accent3 3 7 2 2" xfId="15028" xr:uid="{CBD20E02-4ECC-402E-B85A-77880FA44B6D}"/>
    <cellStyle name="20% - Accent3 3 7 3" xfId="10810" xr:uid="{F8EC3ABC-4026-4506-8867-835317A19E0F}"/>
    <cellStyle name="20% - Accent3 3 8" xfId="4527" xr:uid="{00000000-0005-0000-0000-0000B9010000}"/>
    <cellStyle name="20% - Accent3 3 8 2" xfId="12962" xr:uid="{4D34FD24-68AF-424B-8A54-67ADBBF4CAAF}"/>
    <cellStyle name="20% - Accent3 3 9" xfId="8744" xr:uid="{90E18E50-C171-4A6B-932A-8CDF55D23839}"/>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BA74E4D7-21A0-4659-86EB-9FD2F17954C1}"/>
    <cellStyle name="20% - Accent3 4 2 2 3" xfId="11305" xr:uid="{86B7251A-A2CE-40D3-A77D-BBAEFF6617DF}"/>
    <cellStyle name="20% - Accent3 4 2 3" xfId="4943" xr:uid="{00000000-0005-0000-0000-0000BE010000}"/>
    <cellStyle name="20% - Accent3 4 2 3 2" xfId="13378" xr:uid="{FFF85394-C76A-4B3D-B0DE-EC98FE3BA746}"/>
    <cellStyle name="20% - Accent3 4 2 4" xfId="9160" xr:uid="{DA115861-E5F8-4BA6-8837-81D32DCBCC3F}"/>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315B8783-9CE9-498F-83DA-A4222AF8F62A}"/>
    <cellStyle name="20% - Accent3 4 3 2 3" xfId="11718" xr:uid="{99EEBA0A-5EAD-4520-AE29-552308553292}"/>
    <cellStyle name="20% - Accent3 4 3 3" xfId="5356" xr:uid="{00000000-0005-0000-0000-0000C2010000}"/>
    <cellStyle name="20% - Accent3 4 3 3 2" xfId="13791" xr:uid="{E0DB05BD-1820-48D2-9B00-9F92A8701D0F}"/>
    <cellStyle name="20% - Accent3 4 3 4" xfId="9573" xr:uid="{8FF9F84F-7C39-4548-B50E-928F1312BF26}"/>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B192DDCF-9FC9-4DBE-A570-10D19EAA601E}"/>
    <cellStyle name="20% - Accent3 4 4 2 3" xfId="12131" xr:uid="{DBB78959-BA3B-4E4B-A02B-1B289CFB1184}"/>
    <cellStyle name="20% - Accent3 4 4 3" xfId="5769" xr:uid="{00000000-0005-0000-0000-0000C6010000}"/>
    <cellStyle name="20% - Accent3 4 4 3 2" xfId="14204" xr:uid="{69E66416-76D9-4358-9272-A0169A2B0CE1}"/>
    <cellStyle name="20% - Accent3 4 4 4" xfId="9986" xr:uid="{BBBC21DB-E2CA-4000-A01B-249F60463EAE}"/>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AA335E5C-5358-4251-92A6-5915F51D1571}"/>
    <cellStyle name="20% - Accent3 4 5 2 3" xfId="12544" xr:uid="{6D36722A-4D9D-413F-9AF9-6EADA6E7F065}"/>
    <cellStyle name="20% - Accent3 4 5 3" xfId="6182" xr:uid="{00000000-0005-0000-0000-0000CA010000}"/>
    <cellStyle name="20% - Accent3 4 5 3 2" xfId="14617" xr:uid="{A9AD102D-7C1B-437A-AF70-4431F0401723}"/>
    <cellStyle name="20% - Accent3 4 5 4" xfId="10399" xr:uid="{F119D29A-8323-4C5E-BFDF-BA54EF890BE1}"/>
    <cellStyle name="20% - Accent3 4 6" xfId="2288" xr:uid="{00000000-0005-0000-0000-0000CB010000}"/>
    <cellStyle name="20% - Accent3 4 6 2" xfId="6595" xr:uid="{00000000-0005-0000-0000-0000CC010000}"/>
    <cellStyle name="20% - Accent3 4 6 2 2" xfId="15030" xr:uid="{CE9780FC-6339-4364-8DEA-E6C053037E94}"/>
    <cellStyle name="20% - Accent3 4 6 3" xfId="10812" xr:uid="{707D1335-9726-4041-8EC7-0FB55E2BB457}"/>
    <cellStyle name="20% - Accent3 4 7" xfId="4529" xr:uid="{00000000-0005-0000-0000-0000CD010000}"/>
    <cellStyle name="20% - Accent3 4 7 2" xfId="12964" xr:uid="{05991435-CA6A-43B4-973C-EC8C85AD8AB5}"/>
    <cellStyle name="20% - Accent3 4 8" xfId="8746" xr:uid="{858E1744-014C-441C-B81A-DF1D265F59AE}"/>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28C5357C-69C5-4710-B2A6-1550A76C7D4C}"/>
    <cellStyle name="20% - Accent3 5 2 3" xfId="11298" xr:uid="{E60C585E-DE4B-4748-86C0-E16EF18E241F}"/>
    <cellStyle name="20% - Accent3 5 3" xfId="4936" xr:uid="{00000000-0005-0000-0000-0000D1010000}"/>
    <cellStyle name="20% - Accent3 5 3 2" xfId="13371" xr:uid="{CB5B928C-0711-4007-94C4-E173038338D0}"/>
    <cellStyle name="20% - Accent3 5 4" xfId="9153" xr:uid="{7844F7D0-90FF-42AF-B4A9-6E56A601F222}"/>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4166AF24-5965-492A-85D1-A652D3BBAF7F}"/>
    <cellStyle name="20% - Accent3 6 2 3" xfId="11711" xr:uid="{55A91F5A-2C34-4FDE-A693-F08CCC07FE56}"/>
    <cellStyle name="20% - Accent3 6 3" xfId="5349" xr:uid="{00000000-0005-0000-0000-0000D5010000}"/>
    <cellStyle name="20% - Accent3 6 3 2" xfId="13784" xr:uid="{B2161FA8-1CD8-4A5F-BA94-62D078D2FA43}"/>
    <cellStyle name="20% - Accent3 6 4" xfId="9566" xr:uid="{C9812F6A-47F9-42AF-A6D4-E37D940EC130}"/>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4386690E-6A3B-480E-8FF6-EE24C9B259D6}"/>
    <cellStyle name="20% - Accent3 7 2 3" xfId="12124" xr:uid="{6B35124B-7BDA-4905-BE20-8D19F83BCBA8}"/>
    <cellStyle name="20% - Accent3 7 3" xfId="5762" xr:uid="{00000000-0005-0000-0000-0000D9010000}"/>
    <cellStyle name="20% - Accent3 7 3 2" xfId="14197" xr:uid="{3C674C07-7620-44FF-9F3F-3629A1494BEA}"/>
    <cellStyle name="20% - Accent3 7 4" xfId="9979" xr:uid="{E2F18F4C-D012-4C09-A1D5-D387AE5C35E0}"/>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A332CA79-2297-4A9F-B4E4-22860EE6AA7A}"/>
    <cellStyle name="20% - Accent3 8 2 3" xfId="12537" xr:uid="{30B7EBA3-9D09-42D2-824F-FD1F4EA75B6D}"/>
    <cellStyle name="20% - Accent3 8 3" xfId="6175" xr:uid="{00000000-0005-0000-0000-0000DD010000}"/>
    <cellStyle name="20% - Accent3 8 3 2" xfId="14610" xr:uid="{1C4A387E-13F3-4592-A3E8-52992660EF40}"/>
    <cellStyle name="20% - Accent3 8 4" xfId="10392" xr:uid="{E413F974-D6B5-4194-B6FB-277772025E5A}"/>
    <cellStyle name="20% - Accent3 9" xfId="2281" xr:uid="{00000000-0005-0000-0000-0000DE010000}"/>
    <cellStyle name="20% - Accent3 9 2" xfId="6588" xr:uid="{00000000-0005-0000-0000-0000DF010000}"/>
    <cellStyle name="20% - Accent3 9 2 2" xfId="15023" xr:uid="{A15CB517-1712-48A2-9FAC-E93FAC90351D}"/>
    <cellStyle name="20% - Accent3 9 3" xfId="10805" xr:uid="{AFBDCEC1-B1D6-4D4B-B1D5-9E5D8076126E}"/>
    <cellStyle name="20% - Accent4" xfId="25" builtinId="42" customBuiltin="1"/>
    <cellStyle name="20% - Accent4 10" xfId="4530" xr:uid="{00000000-0005-0000-0000-0000E1010000}"/>
    <cellStyle name="20% - Accent4 10 2" xfId="12965" xr:uid="{762E74A9-B3AC-491D-9687-E865C89A8E4C}"/>
    <cellStyle name="20% - Accent4 11" xfId="8747" xr:uid="{94D8B1C5-09B6-4150-94C9-DD3B43176374}"/>
    <cellStyle name="20% - Accent4 2" xfId="26" xr:uid="{00000000-0005-0000-0000-0000E2010000}"/>
    <cellStyle name="20% - Accent4 2 10" xfId="8748" xr:uid="{B215B939-01A8-4493-A36B-EAB5058DD9EA}"/>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8E3E65A1-4FE6-4980-A0E2-A5B921CE9FB2}"/>
    <cellStyle name="20% - Accent4 2 2 2 2 2 3" xfId="11309" xr:uid="{19671B49-ED20-4697-97C1-96831A6917E2}"/>
    <cellStyle name="20% - Accent4 2 2 2 2 3" xfId="4947" xr:uid="{00000000-0005-0000-0000-0000E8010000}"/>
    <cellStyle name="20% - Accent4 2 2 2 2 3 2" xfId="13382" xr:uid="{2168F443-7C0F-4A42-A808-D3C53B88D2F3}"/>
    <cellStyle name="20% - Accent4 2 2 2 2 4" xfId="9164" xr:uid="{1A04BDD0-9B84-4B89-A203-43A24B3C62CB}"/>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8421066F-A45A-4AD0-9269-A84343B98A71}"/>
    <cellStyle name="20% - Accent4 2 2 2 3 2 3" xfId="11722" xr:uid="{57BAE0D4-EBA0-446A-A78B-7FE9941C279D}"/>
    <cellStyle name="20% - Accent4 2 2 2 3 3" xfId="5360" xr:uid="{00000000-0005-0000-0000-0000EC010000}"/>
    <cellStyle name="20% - Accent4 2 2 2 3 3 2" xfId="13795" xr:uid="{926FDD64-55FB-4F17-9899-28343E1E39E0}"/>
    <cellStyle name="20% - Accent4 2 2 2 3 4" xfId="9577" xr:uid="{8ED5FEED-A0C4-4811-BB20-BFAB7C1A1A74}"/>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169D5F9E-035B-498D-AFD6-DCCBE4F47BC1}"/>
    <cellStyle name="20% - Accent4 2 2 2 4 2 3" xfId="12135" xr:uid="{2A02C62F-7C2C-4FFC-ABAF-879F3C5BBE1D}"/>
    <cellStyle name="20% - Accent4 2 2 2 4 3" xfId="5773" xr:uid="{00000000-0005-0000-0000-0000F0010000}"/>
    <cellStyle name="20% - Accent4 2 2 2 4 3 2" xfId="14208" xr:uid="{6EE46B83-C284-4EF4-8AA7-98F37E29FAE2}"/>
    <cellStyle name="20% - Accent4 2 2 2 4 4" xfId="9990" xr:uid="{E6FD9ADD-BD38-4833-9EA1-D07F8C2A788C}"/>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D83007EE-2CBB-460E-A660-4AAE4D67E978}"/>
    <cellStyle name="20% - Accent4 2 2 2 5 2 3" xfId="12548" xr:uid="{FC342F97-CB6E-48FB-AC2C-128C4034DE62}"/>
    <cellStyle name="20% - Accent4 2 2 2 5 3" xfId="6186" xr:uid="{00000000-0005-0000-0000-0000F4010000}"/>
    <cellStyle name="20% - Accent4 2 2 2 5 3 2" xfId="14621" xr:uid="{F2F81BB7-294A-4090-938A-0838F28C550C}"/>
    <cellStyle name="20% - Accent4 2 2 2 5 4" xfId="10403" xr:uid="{01F68A51-AA6D-4256-81DD-8C8AE59B079E}"/>
    <cellStyle name="20% - Accent4 2 2 2 6" xfId="2292" xr:uid="{00000000-0005-0000-0000-0000F5010000}"/>
    <cellStyle name="20% - Accent4 2 2 2 6 2" xfId="6599" xr:uid="{00000000-0005-0000-0000-0000F6010000}"/>
    <cellStyle name="20% - Accent4 2 2 2 6 2 2" xfId="15034" xr:uid="{4773FF32-DA89-4533-B82F-23C62CAB4AC4}"/>
    <cellStyle name="20% - Accent4 2 2 2 6 3" xfId="10816" xr:uid="{92F21CC7-800A-4A88-B28F-49C6DB19C90C}"/>
    <cellStyle name="20% - Accent4 2 2 2 7" xfId="4533" xr:uid="{00000000-0005-0000-0000-0000F7010000}"/>
    <cellStyle name="20% - Accent4 2 2 2 7 2" xfId="12968" xr:uid="{65DE969C-3D0C-40B5-A6B6-06BEEB884BAE}"/>
    <cellStyle name="20% - Accent4 2 2 2 8" xfId="8750" xr:uid="{EEA55EA0-F899-4C34-B3AF-6C9398AEA885}"/>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0A337F9C-F3FF-4B7E-AFD9-BDEF6D410F6A}"/>
    <cellStyle name="20% - Accent4 2 2 3 2 3" xfId="11308" xr:uid="{A7EF8E2C-4C3B-4CEE-849C-BA3DB7FB5FF8}"/>
    <cellStyle name="20% - Accent4 2 2 3 3" xfId="4946" xr:uid="{00000000-0005-0000-0000-0000FB010000}"/>
    <cellStyle name="20% - Accent4 2 2 3 3 2" xfId="13381" xr:uid="{1CAB2586-5157-4ED6-85EB-3BDC30DD3FBB}"/>
    <cellStyle name="20% - Accent4 2 2 3 4" xfId="9163" xr:uid="{3E1269C0-AAB1-41FA-9933-A07C7ED1FB8E}"/>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C0550F0B-D5C9-40C1-B661-8D4628E09B8C}"/>
    <cellStyle name="20% - Accent4 2 2 4 2 3" xfId="11721" xr:uid="{DBC80EFA-4D67-4ABB-867F-5CCA253919E7}"/>
    <cellStyle name="20% - Accent4 2 2 4 3" xfId="5359" xr:uid="{00000000-0005-0000-0000-0000FF010000}"/>
    <cellStyle name="20% - Accent4 2 2 4 3 2" xfId="13794" xr:uid="{5A4AB0C0-0AA2-4A69-B6DC-09636AAD4A2B}"/>
    <cellStyle name="20% - Accent4 2 2 4 4" xfId="9576" xr:uid="{5EA41250-B8CF-4544-A54E-8DF43B2E9455}"/>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C6653776-0072-4EE9-BE15-59C0415E3FC1}"/>
    <cellStyle name="20% - Accent4 2 2 5 2 3" xfId="12134" xr:uid="{975E8671-9423-4D95-9004-76D7A3305297}"/>
    <cellStyle name="20% - Accent4 2 2 5 3" xfId="5772" xr:uid="{00000000-0005-0000-0000-000003020000}"/>
    <cellStyle name="20% - Accent4 2 2 5 3 2" xfId="14207" xr:uid="{A1B9FD1F-20EC-49B5-90F2-C225DE6312D8}"/>
    <cellStyle name="20% - Accent4 2 2 5 4" xfId="9989" xr:uid="{9074DF4C-384C-4858-97E5-58730AB87E6D}"/>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AEBA0FB4-791E-403D-BE9D-2833EBB78032}"/>
    <cellStyle name="20% - Accent4 2 2 6 2 3" xfId="12547" xr:uid="{BE74EEE3-2944-4AC0-A808-0670648AF673}"/>
    <cellStyle name="20% - Accent4 2 2 6 3" xfId="6185" xr:uid="{00000000-0005-0000-0000-000007020000}"/>
    <cellStyle name="20% - Accent4 2 2 6 3 2" xfId="14620" xr:uid="{2EFF8853-27FD-4E78-9D81-38729C6EAAC2}"/>
    <cellStyle name="20% - Accent4 2 2 6 4" xfId="10402" xr:uid="{38CEC3CD-ACFC-4DE4-B215-E68D31E08FF1}"/>
    <cellStyle name="20% - Accent4 2 2 7" xfId="2291" xr:uid="{00000000-0005-0000-0000-000008020000}"/>
    <cellStyle name="20% - Accent4 2 2 7 2" xfId="6598" xr:uid="{00000000-0005-0000-0000-000009020000}"/>
    <cellStyle name="20% - Accent4 2 2 7 2 2" xfId="15033" xr:uid="{7E1B52DA-12F3-4354-BD6B-8381FDE4DF80}"/>
    <cellStyle name="20% - Accent4 2 2 7 3" xfId="10815" xr:uid="{AC08273F-3E28-4E59-B3D7-EC821FAEB1D7}"/>
    <cellStyle name="20% - Accent4 2 2 8" xfId="4532" xr:uid="{00000000-0005-0000-0000-00000A020000}"/>
    <cellStyle name="20% - Accent4 2 2 8 2" xfId="12967" xr:uid="{50C2E303-FBAD-4593-B12C-0B77DB220A99}"/>
    <cellStyle name="20% - Accent4 2 2 9" xfId="8749" xr:uid="{4A3B5669-7F65-4536-8B1F-6BC2DEAC084C}"/>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375AC8F2-98CD-4569-84E4-C81A57331939}"/>
    <cellStyle name="20% - Accent4 2 3 2 2 3" xfId="11310" xr:uid="{510F6AD8-4155-49B5-B154-A239518F3C3B}"/>
    <cellStyle name="20% - Accent4 2 3 2 3" xfId="4948" xr:uid="{00000000-0005-0000-0000-00000F020000}"/>
    <cellStyle name="20% - Accent4 2 3 2 3 2" xfId="13383" xr:uid="{74967B97-428F-4ED0-B1C6-801DBCD7A07C}"/>
    <cellStyle name="20% - Accent4 2 3 2 4" xfId="9165" xr:uid="{DE8D61A8-6BFD-4CF1-ADAE-C9D728652AB4}"/>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99B83237-6ECA-4373-A395-F6521AB3195F}"/>
    <cellStyle name="20% - Accent4 2 3 3 2 3" xfId="11723" xr:uid="{23BBF864-D6B0-485E-A450-2D46811BA7FD}"/>
    <cellStyle name="20% - Accent4 2 3 3 3" xfId="5361" xr:uid="{00000000-0005-0000-0000-000013020000}"/>
    <cellStyle name="20% - Accent4 2 3 3 3 2" xfId="13796" xr:uid="{F9F9EEA4-5618-404C-803C-8E9DC15E2FEA}"/>
    <cellStyle name="20% - Accent4 2 3 3 4" xfId="9578" xr:uid="{F07CA3D2-D0AF-4736-A87B-A7787370287E}"/>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9FDCA392-437A-4CC9-B810-9FFB7567AE69}"/>
    <cellStyle name="20% - Accent4 2 3 4 2 3" xfId="12136" xr:uid="{BCF8E1AD-C503-44AA-841F-9888EE8946A9}"/>
    <cellStyle name="20% - Accent4 2 3 4 3" xfId="5774" xr:uid="{00000000-0005-0000-0000-000017020000}"/>
    <cellStyle name="20% - Accent4 2 3 4 3 2" xfId="14209" xr:uid="{836B5CCD-058E-4807-8F09-5625997A84EF}"/>
    <cellStyle name="20% - Accent4 2 3 4 4" xfId="9991" xr:uid="{72ACF779-84C2-462E-8499-D67A6B6E3FE1}"/>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545DCC6B-0328-4BA1-8E69-0878A1383F4D}"/>
    <cellStyle name="20% - Accent4 2 3 5 2 3" xfId="12549" xr:uid="{2754AA26-ABAD-4DBD-8DA3-7E02E99EBC3F}"/>
    <cellStyle name="20% - Accent4 2 3 5 3" xfId="6187" xr:uid="{00000000-0005-0000-0000-00001B020000}"/>
    <cellStyle name="20% - Accent4 2 3 5 3 2" xfId="14622" xr:uid="{539D23EB-CD36-4345-954B-B8416CBCBAF9}"/>
    <cellStyle name="20% - Accent4 2 3 5 4" xfId="10404" xr:uid="{C3F650E3-B825-4AF7-9C0B-0C2945DA0E26}"/>
    <cellStyle name="20% - Accent4 2 3 6" xfId="2293" xr:uid="{00000000-0005-0000-0000-00001C020000}"/>
    <cellStyle name="20% - Accent4 2 3 6 2" xfId="6600" xr:uid="{00000000-0005-0000-0000-00001D020000}"/>
    <cellStyle name="20% - Accent4 2 3 6 2 2" xfId="15035" xr:uid="{0D27798F-F941-4AC6-BF8D-2C8EFFEBB45C}"/>
    <cellStyle name="20% - Accent4 2 3 6 3" xfId="10817" xr:uid="{73C4253D-E5D0-4C27-9DE6-32CD7588AEAE}"/>
    <cellStyle name="20% - Accent4 2 3 7" xfId="4534" xr:uid="{00000000-0005-0000-0000-00001E020000}"/>
    <cellStyle name="20% - Accent4 2 3 7 2" xfId="12969" xr:uid="{7B685876-C7BB-46E0-82A8-1B334D084D6F}"/>
    <cellStyle name="20% - Accent4 2 3 8" xfId="8751" xr:uid="{A51C50C9-7611-4F89-93B5-57110E3DDFC3}"/>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20B634EE-AD44-406C-A74F-232AFEC47DDD}"/>
    <cellStyle name="20% - Accent4 2 4 2 3" xfId="11307" xr:uid="{37CBF990-4A9D-4FED-B7F2-0E11AD1B5775}"/>
    <cellStyle name="20% - Accent4 2 4 3" xfId="4945" xr:uid="{00000000-0005-0000-0000-000022020000}"/>
    <cellStyle name="20% - Accent4 2 4 3 2" xfId="13380" xr:uid="{9A0DF91D-0D42-40C4-B0DD-6B4470FB718E}"/>
    <cellStyle name="20% - Accent4 2 4 4" xfId="9162" xr:uid="{43E3A960-3E45-4936-A4BE-E34BF3DF1134}"/>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918E55EB-0883-4116-92CE-AE940238D1E0}"/>
    <cellStyle name="20% - Accent4 2 5 2 3" xfId="11720" xr:uid="{265EAFA6-0CD4-4A4A-9BC2-75FB72366649}"/>
    <cellStyle name="20% - Accent4 2 5 3" xfId="5358" xr:uid="{00000000-0005-0000-0000-000026020000}"/>
    <cellStyle name="20% - Accent4 2 5 3 2" xfId="13793" xr:uid="{F667EA46-CA70-40F0-813C-59492F70807B}"/>
    <cellStyle name="20% - Accent4 2 5 4" xfId="9575" xr:uid="{833D2750-230B-47F4-8A7C-FD7FE357F51E}"/>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F7022C84-0BCC-4F19-B222-2B16AC5CDFF9}"/>
    <cellStyle name="20% - Accent4 2 6 2 3" xfId="12133" xr:uid="{B3EF9240-0DBE-4933-BAB9-2BE9A2A2346E}"/>
    <cellStyle name="20% - Accent4 2 6 3" xfId="5771" xr:uid="{00000000-0005-0000-0000-00002A020000}"/>
    <cellStyle name="20% - Accent4 2 6 3 2" xfId="14206" xr:uid="{5E6AD6A9-90CE-4569-8CF7-E37D95A14312}"/>
    <cellStyle name="20% - Accent4 2 6 4" xfId="9988" xr:uid="{3A64DA59-3430-46DA-9725-A762F2CA7AD4}"/>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76E316C7-6A6B-475B-A699-FC4851168AF0}"/>
    <cellStyle name="20% - Accent4 2 7 2 3" xfId="12546" xr:uid="{46D5FF47-BF82-4C7D-BE63-0098A23E4988}"/>
    <cellStyle name="20% - Accent4 2 7 3" xfId="6184" xr:uid="{00000000-0005-0000-0000-00002E020000}"/>
    <cellStyle name="20% - Accent4 2 7 3 2" xfId="14619" xr:uid="{1F889528-09C7-40DD-9093-ADD09045FABE}"/>
    <cellStyle name="20% - Accent4 2 7 4" xfId="10401" xr:uid="{19FC5928-AF14-4F6A-AC6C-DCA3CB10A504}"/>
    <cellStyle name="20% - Accent4 2 8" xfId="2290" xr:uid="{00000000-0005-0000-0000-00002F020000}"/>
    <cellStyle name="20% - Accent4 2 8 2" xfId="6597" xr:uid="{00000000-0005-0000-0000-000030020000}"/>
    <cellStyle name="20% - Accent4 2 8 2 2" xfId="15032" xr:uid="{A44F2B27-AD2D-46D8-8BA4-70110C084EB9}"/>
    <cellStyle name="20% - Accent4 2 8 3" xfId="10814" xr:uid="{CADAB76E-240F-48E6-9994-55DC4D9DE4F0}"/>
    <cellStyle name="20% - Accent4 2 9" xfId="4531" xr:uid="{00000000-0005-0000-0000-000031020000}"/>
    <cellStyle name="20% - Accent4 2 9 2" xfId="12966" xr:uid="{C1896CD8-75C4-44A3-A174-C865350699FC}"/>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0069E84D-A919-42D2-8F42-2CB63384D58E}"/>
    <cellStyle name="20% - Accent4 3 2 2 2 3" xfId="11312" xr:uid="{D92E590D-CA33-41A2-9ADC-4B53F5567B49}"/>
    <cellStyle name="20% - Accent4 3 2 2 3" xfId="4950" xr:uid="{00000000-0005-0000-0000-000037020000}"/>
    <cellStyle name="20% - Accent4 3 2 2 3 2" xfId="13385" xr:uid="{6D706F82-7EE2-4EF3-B294-9D917F31F793}"/>
    <cellStyle name="20% - Accent4 3 2 2 4" xfId="9167" xr:uid="{03DE176F-589C-4F07-BE08-9B3F313B1AE8}"/>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D8878DE0-186D-495C-8F43-1D1C2C1E189E}"/>
    <cellStyle name="20% - Accent4 3 2 3 2 3" xfId="11725" xr:uid="{1CBA9D81-A870-47B9-834D-AC03347445BA}"/>
    <cellStyle name="20% - Accent4 3 2 3 3" xfId="5363" xr:uid="{00000000-0005-0000-0000-00003B020000}"/>
    <cellStyle name="20% - Accent4 3 2 3 3 2" xfId="13798" xr:uid="{78078D3D-C40C-4877-81EC-EEC948E07668}"/>
    <cellStyle name="20% - Accent4 3 2 3 4" xfId="9580" xr:uid="{714CFC98-5E8D-4ECB-99E1-718A329D6982}"/>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917898A0-6833-4D8C-BCAC-27B71EF174E1}"/>
    <cellStyle name="20% - Accent4 3 2 4 2 3" xfId="12138" xr:uid="{2D904EA0-21A2-4C15-B850-C2B85F1C63B6}"/>
    <cellStyle name="20% - Accent4 3 2 4 3" xfId="5776" xr:uid="{00000000-0005-0000-0000-00003F020000}"/>
    <cellStyle name="20% - Accent4 3 2 4 3 2" xfId="14211" xr:uid="{0BC75234-5DFA-45F4-B23B-C5E9E43E0FC9}"/>
    <cellStyle name="20% - Accent4 3 2 4 4" xfId="9993" xr:uid="{6A458A7B-A2F3-48DB-AC5F-A5121F0BF042}"/>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ED03F351-D921-44C6-A87A-4ADF0051AF33}"/>
    <cellStyle name="20% - Accent4 3 2 5 2 3" xfId="12551" xr:uid="{A61D662B-3CC6-4683-B20D-3A635E0A1065}"/>
    <cellStyle name="20% - Accent4 3 2 5 3" xfId="6189" xr:uid="{00000000-0005-0000-0000-000043020000}"/>
    <cellStyle name="20% - Accent4 3 2 5 3 2" xfId="14624" xr:uid="{30D81892-8BB7-4B2F-8364-A6C9B5F8F5AA}"/>
    <cellStyle name="20% - Accent4 3 2 5 4" xfId="10406" xr:uid="{0D2903D1-1D18-45F0-8ABC-34ED151FF921}"/>
    <cellStyle name="20% - Accent4 3 2 6" xfId="2295" xr:uid="{00000000-0005-0000-0000-000044020000}"/>
    <cellStyle name="20% - Accent4 3 2 6 2" xfId="6602" xr:uid="{00000000-0005-0000-0000-000045020000}"/>
    <cellStyle name="20% - Accent4 3 2 6 2 2" xfId="15037" xr:uid="{4EF47823-A994-4AF2-BBEE-108EF99C87D5}"/>
    <cellStyle name="20% - Accent4 3 2 6 3" xfId="10819" xr:uid="{9504B7F7-C1C1-4EAB-9705-95C6A5AB6197}"/>
    <cellStyle name="20% - Accent4 3 2 7" xfId="4536" xr:uid="{00000000-0005-0000-0000-000046020000}"/>
    <cellStyle name="20% - Accent4 3 2 7 2" xfId="12971" xr:uid="{0217E795-0B23-4719-8649-7F78B376C53C}"/>
    <cellStyle name="20% - Accent4 3 2 8" xfId="8753" xr:uid="{0B5CCF3D-BE4D-4FC7-B636-9D520602F818}"/>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ECFE5C72-C58C-44D3-ABE3-7CCA7671A051}"/>
    <cellStyle name="20% - Accent4 3 3 2 3" xfId="11311" xr:uid="{E1DC254F-D209-4CD6-82DC-A4CAFE94F243}"/>
    <cellStyle name="20% - Accent4 3 3 3" xfId="4949" xr:uid="{00000000-0005-0000-0000-00004A020000}"/>
    <cellStyle name="20% - Accent4 3 3 3 2" xfId="13384" xr:uid="{AF40A115-E6BB-4E38-83C9-72A7E33D7D50}"/>
    <cellStyle name="20% - Accent4 3 3 4" xfId="9166" xr:uid="{0A087052-8256-4550-9F50-966DB3D68E86}"/>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7CCF0028-637D-48EB-8C35-C8999E164874}"/>
    <cellStyle name="20% - Accent4 3 4 2 3" xfId="11724" xr:uid="{75826033-B8C6-4736-8FF5-8F7BB35BB7C8}"/>
    <cellStyle name="20% - Accent4 3 4 3" xfId="5362" xr:uid="{00000000-0005-0000-0000-00004E020000}"/>
    <cellStyle name="20% - Accent4 3 4 3 2" xfId="13797" xr:uid="{25162D91-083D-4206-BFA5-30B82FE637F3}"/>
    <cellStyle name="20% - Accent4 3 4 4" xfId="9579" xr:uid="{717BBEFB-D8C4-48E8-9F65-0641A01C9C0A}"/>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7D0B9395-7844-45FB-AA8C-E36AE2C9CCD3}"/>
    <cellStyle name="20% - Accent4 3 5 2 3" xfId="12137" xr:uid="{AABD510C-78A0-4D48-B2AB-204AA2985A43}"/>
    <cellStyle name="20% - Accent4 3 5 3" xfId="5775" xr:uid="{00000000-0005-0000-0000-000052020000}"/>
    <cellStyle name="20% - Accent4 3 5 3 2" xfId="14210" xr:uid="{18F66AF8-9158-4679-8756-559A8B376E02}"/>
    <cellStyle name="20% - Accent4 3 5 4" xfId="9992" xr:uid="{3C091CA3-0A1D-4E60-909B-1CBB1717F231}"/>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0F28EE2C-0C9B-4D67-8788-0B5A744744BC}"/>
    <cellStyle name="20% - Accent4 3 6 2 3" xfId="12550" xr:uid="{24A8E576-CDEE-4FF5-A578-D28BEB6D7887}"/>
    <cellStyle name="20% - Accent4 3 6 3" xfId="6188" xr:uid="{00000000-0005-0000-0000-000056020000}"/>
    <cellStyle name="20% - Accent4 3 6 3 2" xfId="14623" xr:uid="{35892B7B-FCEB-45D4-A326-ACD71CAB1C82}"/>
    <cellStyle name="20% - Accent4 3 6 4" xfId="10405" xr:uid="{2E3129AA-FFCE-4486-8C98-3B273A567A3A}"/>
    <cellStyle name="20% - Accent4 3 7" xfId="2294" xr:uid="{00000000-0005-0000-0000-000057020000}"/>
    <cellStyle name="20% - Accent4 3 7 2" xfId="6601" xr:uid="{00000000-0005-0000-0000-000058020000}"/>
    <cellStyle name="20% - Accent4 3 7 2 2" xfId="15036" xr:uid="{5468E499-9102-43AD-9C5F-82DC19D5E898}"/>
    <cellStyle name="20% - Accent4 3 7 3" xfId="10818" xr:uid="{D2C36AE5-BA54-412E-9068-E0BF70A733A8}"/>
    <cellStyle name="20% - Accent4 3 8" xfId="4535" xr:uid="{00000000-0005-0000-0000-000059020000}"/>
    <cellStyle name="20% - Accent4 3 8 2" xfId="12970" xr:uid="{4A4A51FF-BAD9-4C43-8975-717BDE6C455E}"/>
    <cellStyle name="20% - Accent4 3 9" xfId="8752" xr:uid="{C65C0C8A-B0C1-4A6D-9453-69060CB8C5C1}"/>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0B6A5C01-A394-449E-B65E-6F36144E3E3C}"/>
    <cellStyle name="20% - Accent4 4 2 2 3" xfId="11313" xr:uid="{0F9AD886-A215-448A-B2DA-4E18B9F2144A}"/>
    <cellStyle name="20% - Accent4 4 2 3" xfId="4951" xr:uid="{00000000-0005-0000-0000-00005E020000}"/>
    <cellStyle name="20% - Accent4 4 2 3 2" xfId="13386" xr:uid="{4514698A-7F9E-47CF-9C86-813DA088B8A6}"/>
    <cellStyle name="20% - Accent4 4 2 4" xfId="9168" xr:uid="{6C613671-CD63-4AAB-848F-35073AE8BB18}"/>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1FFE4439-EAA3-4051-BBE9-AEAC37E89985}"/>
    <cellStyle name="20% - Accent4 4 3 2 3" xfId="11726" xr:uid="{11A34D78-949D-48A7-AFBE-51FA6F07AF21}"/>
    <cellStyle name="20% - Accent4 4 3 3" xfId="5364" xr:uid="{00000000-0005-0000-0000-000062020000}"/>
    <cellStyle name="20% - Accent4 4 3 3 2" xfId="13799" xr:uid="{AFB7074C-C152-40CB-9315-7CA0EBFF47D1}"/>
    <cellStyle name="20% - Accent4 4 3 4" xfId="9581" xr:uid="{8C39D499-EFB9-4169-93C9-64E2A80A7CED}"/>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28B78925-7523-4FAF-B0D8-CD7FA8C13BBC}"/>
    <cellStyle name="20% - Accent4 4 4 2 3" xfId="12139" xr:uid="{B824CC77-6568-4741-987A-D127F3671AD2}"/>
    <cellStyle name="20% - Accent4 4 4 3" xfId="5777" xr:uid="{00000000-0005-0000-0000-000066020000}"/>
    <cellStyle name="20% - Accent4 4 4 3 2" xfId="14212" xr:uid="{5CBA100F-10FC-455F-83BF-45BC85738FB4}"/>
    <cellStyle name="20% - Accent4 4 4 4" xfId="9994" xr:uid="{474003D8-5AC8-4519-ADE4-34F85ECA49C6}"/>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D8B988A1-41A8-425D-9F7E-FB8562893E89}"/>
    <cellStyle name="20% - Accent4 4 5 2 3" xfId="12552" xr:uid="{9887DC80-A008-4074-BE7D-450063A08497}"/>
    <cellStyle name="20% - Accent4 4 5 3" xfId="6190" xr:uid="{00000000-0005-0000-0000-00006A020000}"/>
    <cellStyle name="20% - Accent4 4 5 3 2" xfId="14625" xr:uid="{AA5937CD-EC04-4524-A733-C9AE224AAFBC}"/>
    <cellStyle name="20% - Accent4 4 5 4" xfId="10407" xr:uid="{D4D73AC0-E56D-4AA9-BEBB-D709B8CB06E3}"/>
    <cellStyle name="20% - Accent4 4 6" xfId="2296" xr:uid="{00000000-0005-0000-0000-00006B020000}"/>
    <cellStyle name="20% - Accent4 4 6 2" xfId="6603" xr:uid="{00000000-0005-0000-0000-00006C020000}"/>
    <cellStyle name="20% - Accent4 4 6 2 2" xfId="15038" xr:uid="{BC5E5C81-B6FB-45CE-8A8C-89BD46BB0457}"/>
    <cellStyle name="20% - Accent4 4 6 3" xfId="10820" xr:uid="{A5E2343A-B1CF-40FA-96BE-DD544B8CD75D}"/>
    <cellStyle name="20% - Accent4 4 7" xfId="4537" xr:uid="{00000000-0005-0000-0000-00006D020000}"/>
    <cellStyle name="20% - Accent4 4 7 2" xfId="12972" xr:uid="{9A048ABE-C91D-4051-98E1-8D5FDAB73374}"/>
    <cellStyle name="20% - Accent4 4 8" xfId="8754" xr:uid="{8D6085E7-9441-4FCD-A061-9EB18BAD1CF7}"/>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986AB172-EFA8-489B-AC4F-72A118A963E4}"/>
    <cellStyle name="20% - Accent4 5 2 3" xfId="11306" xr:uid="{60825A85-CBF3-46DD-921A-AD41C1341A35}"/>
    <cellStyle name="20% - Accent4 5 3" xfId="4944" xr:uid="{00000000-0005-0000-0000-000071020000}"/>
    <cellStyle name="20% - Accent4 5 3 2" xfId="13379" xr:uid="{2F3C6284-C84F-409D-8F49-8E2598C7682D}"/>
    <cellStyle name="20% - Accent4 5 4" xfId="9161" xr:uid="{0F311487-A5BF-4505-A628-2B554F37363B}"/>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9110F998-141F-4D12-9354-7AD47B4FBE0D}"/>
    <cellStyle name="20% - Accent4 6 2 3" xfId="11719" xr:uid="{BAA4A8A6-3F15-4C45-9BBC-26D09CDC0CA7}"/>
    <cellStyle name="20% - Accent4 6 3" xfId="5357" xr:uid="{00000000-0005-0000-0000-000075020000}"/>
    <cellStyle name="20% - Accent4 6 3 2" xfId="13792" xr:uid="{E05143F7-2602-47FF-BA6F-1A69B5DD62A3}"/>
    <cellStyle name="20% - Accent4 6 4" xfId="9574" xr:uid="{D9FFB396-FBF2-4A7D-A2EF-0AD645E23AC8}"/>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B78D4079-A590-4124-AB01-9C7D058B40DC}"/>
    <cellStyle name="20% - Accent4 7 2 3" xfId="12132" xr:uid="{EEA967AD-AA49-461B-B0E2-C60F368D93CE}"/>
    <cellStyle name="20% - Accent4 7 3" xfId="5770" xr:uid="{00000000-0005-0000-0000-000079020000}"/>
    <cellStyle name="20% - Accent4 7 3 2" xfId="14205" xr:uid="{CDDDBA33-CF82-46A8-B4FE-F2B1E6B85F15}"/>
    <cellStyle name="20% - Accent4 7 4" xfId="9987" xr:uid="{8A371AA6-84FE-4890-8EFE-3E9BCB3541F3}"/>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6D71C46C-142C-4D1D-9034-8E1BF8A89EFD}"/>
    <cellStyle name="20% - Accent4 8 2 3" xfId="12545" xr:uid="{6C90F91E-2A71-4220-8C56-2C0BEAB15DC8}"/>
    <cellStyle name="20% - Accent4 8 3" xfId="6183" xr:uid="{00000000-0005-0000-0000-00007D020000}"/>
    <cellStyle name="20% - Accent4 8 3 2" xfId="14618" xr:uid="{84B39BBE-E9FC-4883-A973-B1E64E8564AC}"/>
    <cellStyle name="20% - Accent4 8 4" xfId="10400" xr:uid="{EB287B17-29D1-496A-AABC-64191A8526C4}"/>
    <cellStyle name="20% - Accent4 9" xfId="2289" xr:uid="{00000000-0005-0000-0000-00007E020000}"/>
    <cellStyle name="20% - Accent4 9 2" xfId="6596" xr:uid="{00000000-0005-0000-0000-00007F020000}"/>
    <cellStyle name="20% - Accent4 9 2 2" xfId="15031" xr:uid="{23959A84-E6AE-423B-B746-BCB6A71F5A3D}"/>
    <cellStyle name="20% - Accent4 9 3" xfId="10813" xr:uid="{457A65DD-1FA4-40B2-A5BC-C6E8B78C0D07}"/>
    <cellStyle name="20% - Accent5" xfId="33" builtinId="46" customBuiltin="1"/>
    <cellStyle name="20% - Accent5 10" xfId="4538" xr:uid="{00000000-0005-0000-0000-000081020000}"/>
    <cellStyle name="20% - Accent5 10 2" xfId="12973" xr:uid="{DF5F4BE5-7BC7-45BD-AF3F-1C43833B0CFB}"/>
    <cellStyle name="20% - Accent5 11" xfId="8755" xr:uid="{14D0886D-3980-47B6-9389-E8CF8AB4C0E8}"/>
    <cellStyle name="20% - Accent5 2" xfId="34" xr:uid="{00000000-0005-0000-0000-000082020000}"/>
    <cellStyle name="20% - Accent5 2 10" xfId="8756" xr:uid="{D1AC06CF-628E-4A2E-83C2-88D00B772F3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5BE2985C-44F7-417B-9C92-4B9D3E9EB58F}"/>
    <cellStyle name="20% - Accent5 2 2 2 2 2 3" xfId="11317" xr:uid="{9B59F3C8-FB33-4867-89F8-903AF55FF54A}"/>
    <cellStyle name="20% - Accent5 2 2 2 2 3" xfId="4955" xr:uid="{00000000-0005-0000-0000-000088020000}"/>
    <cellStyle name="20% - Accent5 2 2 2 2 3 2" xfId="13390" xr:uid="{5A3928D4-B5EA-46BE-8EFD-0B3A7BC7C8F6}"/>
    <cellStyle name="20% - Accent5 2 2 2 2 4" xfId="9172" xr:uid="{307424DF-2608-4EE2-BC1F-975186164C3B}"/>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BE3EBAD5-9460-478E-97B5-B21626352F4A}"/>
    <cellStyle name="20% - Accent5 2 2 2 3 2 3" xfId="11730" xr:uid="{7A7733DE-D1D1-414C-9446-2C01C54C3461}"/>
    <cellStyle name="20% - Accent5 2 2 2 3 3" xfId="5368" xr:uid="{00000000-0005-0000-0000-00008C020000}"/>
    <cellStyle name="20% - Accent5 2 2 2 3 3 2" xfId="13803" xr:uid="{83C803CB-AB3E-4619-828B-3F88B988317B}"/>
    <cellStyle name="20% - Accent5 2 2 2 3 4" xfId="9585" xr:uid="{FF148EF2-7971-4339-AA66-98F7DD4D8836}"/>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E9AC6236-83B5-4F4B-97DC-A443A2265BBA}"/>
    <cellStyle name="20% - Accent5 2 2 2 4 2 3" xfId="12143" xr:uid="{0A1A5CDC-6FBD-4FC8-A9A8-3A0F6C9C2C0D}"/>
    <cellStyle name="20% - Accent5 2 2 2 4 3" xfId="5781" xr:uid="{00000000-0005-0000-0000-000090020000}"/>
    <cellStyle name="20% - Accent5 2 2 2 4 3 2" xfId="14216" xr:uid="{7AA84905-3023-4BFB-B3F0-204326D0A4E6}"/>
    <cellStyle name="20% - Accent5 2 2 2 4 4" xfId="9998" xr:uid="{2E7CDDE2-AED2-440D-BF95-D4487EA4A526}"/>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4ED3F8BC-7CB0-4EA6-8018-8600C03F16AF}"/>
    <cellStyle name="20% - Accent5 2 2 2 5 2 3" xfId="12556" xr:uid="{147E5521-E557-4896-A8E2-05BE240CAF58}"/>
    <cellStyle name="20% - Accent5 2 2 2 5 3" xfId="6194" xr:uid="{00000000-0005-0000-0000-000094020000}"/>
    <cellStyle name="20% - Accent5 2 2 2 5 3 2" xfId="14629" xr:uid="{4868B42B-06A4-4E70-8317-21B0A197CBE1}"/>
    <cellStyle name="20% - Accent5 2 2 2 5 4" xfId="10411" xr:uid="{C7793C46-295E-403A-9385-AC0DA5438FEB}"/>
    <cellStyle name="20% - Accent5 2 2 2 6" xfId="2300" xr:uid="{00000000-0005-0000-0000-000095020000}"/>
    <cellStyle name="20% - Accent5 2 2 2 6 2" xfId="6607" xr:uid="{00000000-0005-0000-0000-000096020000}"/>
    <cellStyle name="20% - Accent5 2 2 2 6 2 2" xfId="15042" xr:uid="{95A65789-D85B-4814-BB8D-379D03395CD0}"/>
    <cellStyle name="20% - Accent5 2 2 2 6 3" xfId="10824" xr:uid="{1D999B0C-891A-47BC-BEA9-505085AF9185}"/>
    <cellStyle name="20% - Accent5 2 2 2 7" xfId="4541" xr:uid="{00000000-0005-0000-0000-000097020000}"/>
    <cellStyle name="20% - Accent5 2 2 2 7 2" xfId="12976" xr:uid="{3E36AA74-26D6-4D09-A3A1-73752CB87C58}"/>
    <cellStyle name="20% - Accent5 2 2 2 8" xfId="8758" xr:uid="{2564ED37-7790-4C4F-BDDE-DA9C1069FE9C}"/>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6881A00A-CC57-41A6-8B52-B9F38EAD114C}"/>
    <cellStyle name="20% - Accent5 2 2 3 2 3" xfId="11316" xr:uid="{4B2A9DE8-1F49-4F7F-9E9F-3852E7821F0D}"/>
    <cellStyle name="20% - Accent5 2 2 3 3" xfId="4954" xr:uid="{00000000-0005-0000-0000-00009B020000}"/>
    <cellStyle name="20% - Accent5 2 2 3 3 2" xfId="13389" xr:uid="{F51A5BF3-AF1D-46D9-BF99-DB6B13FB15D7}"/>
    <cellStyle name="20% - Accent5 2 2 3 4" xfId="9171" xr:uid="{C7505CD7-8E53-457D-90D5-E2897BAA38C3}"/>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E17F9AFC-E320-4344-A3D4-7B29268F6812}"/>
    <cellStyle name="20% - Accent5 2 2 4 2 3" xfId="11729" xr:uid="{2B865FAE-E844-4FE1-B571-E936500B5CDE}"/>
    <cellStyle name="20% - Accent5 2 2 4 3" xfId="5367" xr:uid="{00000000-0005-0000-0000-00009F020000}"/>
    <cellStyle name="20% - Accent5 2 2 4 3 2" xfId="13802" xr:uid="{63826E1B-D0B2-4D35-9B7D-C6632BD004FC}"/>
    <cellStyle name="20% - Accent5 2 2 4 4" xfId="9584" xr:uid="{8D68F5D8-65A3-4435-9F29-5A1A1E9A7849}"/>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C75F9C54-0D4B-4B0E-84EF-60ED62FAB511}"/>
    <cellStyle name="20% - Accent5 2 2 5 2 3" xfId="12142" xr:uid="{36D129AB-B46F-44FD-A1F4-A476735E4030}"/>
    <cellStyle name="20% - Accent5 2 2 5 3" xfId="5780" xr:uid="{00000000-0005-0000-0000-0000A3020000}"/>
    <cellStyle name="20% - Accent5 2 2 5 3 2" xfId="14215" xr:uid="{46E9865D-8C96-4E9D-B5FA-B1DB7A74E41D}"/>
    <cellStyle name="20% - Accent5 2 2 5 4" xfId="9997" xr:uid="{5F65DB62-4FB0-487E-9938-D56688BF6A4B}"/>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59B0C439-641D-4094-BE97-C34BFEF0309B}"/>
    <cellStyle name="20% - Accent5 2 2 6 2 3" xfId="12555" xr:uid="{0B3C863B-5F71-4F22-B5BE-76EC646BE937}"/>
    <cellStyle name="20% - Accent5 2 2 6 3" xfId="6193" xr:uid="{00000000-0005-0000-0000-0000A7020000}"/>
    <cellStyle name="20% - Accent5 2 2 6 3 2" xfId="14628" xr:uid="{67953251-B7FD-44ED-B54F-D681B5ADA5E6}"/>
    <cellStyle name="20% - Accent5 2 2 6 4" xfId="10410" xr:uid="{5598C76F-D212-411A-ABEE-5A5B0CC32D17}"/>
    <cellStyle name="20% - Accent5 2 2 7" xfId="2299" xr:uid="{00000000-0005-0000-0000-0000A8020000}"/>
    <cellStyle name="20% - Accent5 2 2 7 2" xfId="6606" xr:uid="{00000000-0005-0000-0000-0000A9020000}"/>
    <cellStyle name="20% - Accent5 2 2 7 2 2" xfId="15041" xr:uid="{A94BF584-AB83-4199-BCEB-71A7A98A4987}"/>
    <cellStyle name="20% - Accent5 2 2 7 3" xfId="10823" xr:uid="{97524B94-70EB-42EA-B31A-122D99B7D486}"/>
    <cellStyle name="20% - Accent5 2 2 8" xfId="4540" xr:uid="{00000000-0005-0000-0000-0000AA020000}"/>
    <cellStyle name="20% - Accent5 2 2 8 2" xfId="12975" xr:uid="{6A335041-1D90-42D9-8E52-56B9F10A1BCE}"/>
    <cellStyle name="20% - Accent5 2 2 9" xfId="8757" xr:uid="{CC040DD3-6E6B-4C42-B2E1-089E0DB9E069}"/>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9185FC2C-4F1F-4D9C-A41A-B73614054E1F}"/>
    <cellStyle name="20% - Accent5 2 3 2 2 3" xfId="11318" xr:uid="{6E8FF892-51D3-44BB-8193-91E5E9B0416A}"/>
    <cellStyle name="20% - Accent5 2 3 2 3" xfId="4956" xr:uid="{00000000-0005-0000-0000-0000AF020000}"/>
    <cellStyle name="20% - Accent5 2 3 2 3 2" xfId="13391" xr:uid="{D2FDAE1C-0AE5-4294-96DF-5E185392707B}"/>
    <cellStyle name="20% - Accent5 2 3 2 4" xfId="9173" xr:uid="{B3A97306-A75B-45E6-A717-DEF743EE494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A7534EBF-2E33-4E11-B28E-CD09319D0FC1}"/>
    <cellStyle name="20% - Accent5 2 3 3 2 3" xfId="11731" xr:uid="{BF329F6C-0EAB-4765-BC11-B98686F97F60}"/>
    <cellStyle name="20% - Accent5 2 3 3 3" xfId="5369" xr:uid="{00000000-0005-0000-0000-0000B3020000}"/>
    <cellStyle name="20% - Accent5 2 3 3 3 2" xfId="13804" xr:uid="{21BE4F31-0418-43B7-B446-727B4D4FED0B}"/>
    <cellStyle name="20% - Accent5 2 3 3 4" xfId="9586" xr:uid="{D0360E71-0EB9-4F60-963C-D7781014A21C}"/>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985BCF56-8D15-4203-BF0C-AF164A7E2174}"/>
    <cellStyle name="20% - Accent5 2 3 4 2 3" xfId="12144" xr:uid="{50EC7F9B-A65B-4465-B161-AA25E0C6CD78}"/>
    <cellStyle name="20% - Accent5 2 3 4 3" xfId="5782" xr:uid="{00000000-0005-0000-0000-0000B7020000}"/>
    <cellStyle name="20% - Accent5 2 3 4 3 2" xfId="14217" xr:uid="{AAC79F00-DF3D-4D84-A12F-7894D1139F67}"/>
    <cellStyle name="20% - Accent5 2 3 4 4" xfId="9999" xr:uid="{0FF8A01E-5D76-4596-9B24-FEA54FCDFBA8}"/>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1C18823D-5F6D-424A-B427-0AE80171F7B5}"/>
    <cellStyle name="20% - Accent5 2 3 5 2 3" xfId="12557" xr:uid="{71625E2A-C243-4862-9E05-218030F5DC46}"/>
    <cellStyle name="20% - Accent5 2 3 5 3" xfId="6195" xr:uid="{00000000-0005-0000-0000-0000BB020000}"/>
    <cellStyle name="20% - Accent5 2 3 5 3 2" xfId="14630" xr:uid="{F39684A2-A85B-42E6-8EA7-2ED6AC662414}"/>
    <cellStyle name="20% - Accent5 2 3 5 4" xfId="10412" xr:uid="{5E15206E-A71F-4B04-BDB9-87C98BBDF84B}"/>
    <cellStyle name="20% - Accent5 2 3 6" xfId="2301" xr:uid="{00000000-0005-0000-0000-0000BC020000}"/>
    <cellStyle name="20% - Accent5 2 3 6 2" xfId="6608" xr:uid="{00000000-0005-0000-0000-0000BD020000}"/>
    <cellStyle name="20% - Accent5 2 3 6 2 2" xfId="15043" xr:uid="{00633A5D-0BC6-4FEE-9CC6-D107726BA19E}"/>
    <cellStyle name="20% - Accent5 2 3 6 3" xfId="10825" xr:uid="{61C652B8-D850-4D48-82DE-91217339F956}"/>
    <cellStyle name="20% - Accent5 2 3 7" xfId="4542" xr:uid="{00000000-0005-0000-0000-0000BE020000}"/>
    <cellStyle name="20% - Accent5 2 3 7 2" xfId="12977" xr:uid="{56253D81-A8C5-4A56-9BB5-3F074A12F5A7}"/>
    <cellStyle name="20% - Accent5 2 3 8" xfId="8759" xr:uid="{AB6C67A6-B30F-4384-936B-5CE12A026E81}"/>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BA97F1D8-33EF-4AEB-BF41-EAB837ACEA0F}"/>
    <cellStyle name="20% - Accent5 2 4 2 3" xfId="11315" xr:uid="{5553CE70-DB94-4035-8DB1-E16F569077A9}"/>
    <cellStyle name="20% - Accent5 2 4 3" xfId="4953" xr:uid="{00000000-0005-0000-0000-0000C2020000}"/>
    <cellStyle name="20% - Accent5 2 4 3 2" xfId="13388" xr:uid="{049B35AD-C6BD-4807-B286-D8E740D02807}"/>
    <cellStyle name="20% - Accent5 2 4 4" xfId="9170" xr:uid="{9028730A-F9F0-4B37-AF07-E27C713FD257}"/>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3B79730A-6EA6-44F5-82BB-3EF8EFC04A96}"/>
    <cellStyle name="20% - Accent5 2 5 2 3" xfId="11728" xr:uid="{ED10C5F4-023C-4CE0-B410-5942A729B030}"/>
    <cellStyle name="20% - Accent5 2 5 3" xfId="5366" xr:uid="{00000000-0005-0000-0000-0000C6020000}"/>
    <cellStyle name="20% - Accent5 2 5 3 2" xfId="13801" xr:uid="{2522F207-E0D3-4621-876D-D49FCA1C9204}"/>
    <cellStyle name="20% - Accent5 2 5 4" xfId="9583" xr:uid="{8AC1BF16-59F3-44D1-93CE-9E3FBB300C0D}"/>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6C37EFC2-7BEF-4FD0-9BF3-A66AB49EC460}"/>
    <cellStyle name="20% - Accent5 2 6 2 3" xfId="12141" xr:uid="{DE19B183-E650-4F7C-B3E5-9D5C0FAB8F83}"/>
    <cellStyle name="20% - Accent5 2 6 3" xfId="5779" xr:uid="{00000000-0005-0000-0000-0000CA020000}"/>
    <cellStyle name="20% - Accent5 2 6 3 2" xfId="14214" xr:uid="{205A9234-9BEB-408E-B8EE-2D9F4BB5FC1B}"/>
    <cellStyle name="20% - Accent5 2 6 4" xfId="9996" xr:uid="{E8129195-903C-4F31-9F3E-F707BBAA83C5}"/>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C232CB4B-F701-4348-AC73-E5F9BF66468E}"/>
    <cellStyle name="20% - Accent5 2 7 2 3" xfId="12554" xr:uid="{74D51E9C-0F46-405F-B03C-D0A6CAAFE857}"/>
    <cellStyle name="20% - Accent5 2 7 3" xfId="6192" xr:uid="{00000000-0005-0000-0000-0000CE020000}"/>
    <cellStyle name="20% - Accent5 2 7 3 2" xfId="14627" xr:uid="{B8C220BF-B767-401E-8B7E-558253FB2616}"/>
    <cellStyle name="20% - Accent5 2 7 4" xfId="10409" xr:uid="{365A6ED5-5828-4D9E-9E36-896858924F60}"/>
    <cellStyle name="20% - Accent5 2 8" xfId="2298" xr:uid="{00000000-0005-0000-0000-0000CF020000}"/>
    <cellStyle name="20% - Accent5 2 8 2" xfId="6605" xr:uid="{00000000-0005-0000-0000-0000D0020000}"/>
    <cellStyle name="20% - Accent5 2 8 2 2" xfId="15040" xr:uid="{53A3C34D-664C-408B-9FAB-E38B0875C0C8}"/>
    <cellStyle name="20% - Accent5 2 8 3" xfId="10822" xr:uid="{9C5A3653-C38A-47B8-B41B-DC1F92A3843E}"/>
    <cellStyle name="20% - Accent5 2 9" xfId="4539" xr:uid="{00000000-0005-0000-0000-0000D1020000}"/>
    <cellStyle name="20% - Accent5 2 9 2" xfId="12974" xr:uid="{29167CDA-A67D-435B-B2E8-130CCDF53937}"/>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E5E3A7B4-EAE1-43C2-BB8D-4E067046E762}"/>
    <cellStyle name="20% - Accent5 3 2 2 2 3" xfId="11320" xr:uid="{0283964F-2539-4214-9509-338FEB906502}"/>
    <cellStyle name="20% - Accent5 3 2 2 3" xfId="4958" xr:uid="{00000000-0005-0000-0000-0000D7020000}"/>
    <cellStyle name="20% - Accent5 3 2 2 3 2" xfId="13393" xr:uid="{DD560B5C-7438-4143-9BF9-D04947D76863}"/>
    <cellStyle name="20% - Accent5 3 2 2 4" xfId="9175" xr:uid="{CC04FB9C-B35A-4BA5-952B-FC5135573021}"/>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96FF8592-74DF-468D-816D-B1C14EF94DD6}"/>
    <cellStyle name="20% - Accent5 3 2 3 2 3" xfId="11733" xr:uid="{26CB2613-2D25-45C1-81B9-326AE4A87CF5}"/>
    <cellStyle name="20% - Accent5 3 2 3 3" xfId="5371" xr:uid="{00000000-0005-0000-0000-0000DB020000}"/>
    <cellStyle name="20% - Accent5 3 2 3 3 2" xfId="13806" xr:uid="{0E78882A-C23F-4FAA-88C7-B579EF202CA9}"/>
    <cellStyle name="20% - Accent5 3 2 3 4" xfId="9588" xr:uid="{751968FA-CAFB-45B0-AEF0-C21B680D5BD8}"/>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B4CCE210-744E-4BDB-8D66-028AFC0D1885}"/>
    <cellStyle name="20% - Accent5 3 2 4 2 3" xfId="12146" xr:uid="{170D48E9-DCD0-4487-A7DD-CCCF56979CE6}"/>
    <cellStyle name="20% - Accent5 3 2 4 3" xfId="5784" xr:uid="{00000000-0005-0000-0000-0000DF020000}"/>
    <cellStyle name="20% - Accent5 3 2 4 3 2" xfId="14219" xr:uid="{FB1EA0A8-6B82-40C6-AAC6-2CEA10F4D524}"/>
    <cellStyle name="20% - Accent5 3 2 4 4" xfId="10001" xr:uid="{2D108371-CDD9-47AC-B8DF-2C5CA3DD42C6}"/>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7175EB11-9AC6-4B01-881C-340BB16459CC}"/>
    <cellStyle name="20% - Accent5 3 2 5 2 3" xfId="12559" xr:uid="{AD3BB1ED-7E69-4CFC-A599-FDA4B2078354}"/>
    <cellStyle name="20% - Accent5 3 2 5 3" xfId="6197" xr:uid="{00000000-0005-0000-0000-0000E3020000}"/>
    <cellStyle name="20% - Accent5 3 2 5 3 2" xfId="14632" xr:uid="{FA7766C7-8787-4D25-84CA-C505D9F92A69}"/>
    <cellStyle name="20% - Accent5 3 2 5 4" xfId="10414" xr:uid="{51330623-A686-4015-9B21-C8BBE49C6F5C}"/>
    <cellStyle name="20% - Accent5 3 2 6" xfId="2303" xr:uid="{00000000-0005-0000-0000-0000E4020000}"/>
    <cellStyle name="20% - Accent5 3 2 6 2" xfId="6610" xr:uid="{00000000-0005-0000-0000-0000E5020000}"/>
    <cellStyle name="20% - Accent5 3 2 6 2 2" xfId="15045" xr:uid="{66B80710-9ECB-41C1-A017-9FC5EDE07759}"/>
    <cellStyle name="20% - Accent5 3 2 6 3" xfId="10827" xr:uid="{45D26872-B986-4BC4-994F-8C9FD1896C79}"/>
    <cellStyle name="20% - Accent5 3 2 7" xfId="4544" xr:uid="{00000000-0005-0000-0000-0000E6020000}"/>
    <cellStyle name="20% - Accent5 3 2 7 2" xfId="12979" xr:uid="{8A02DCB7-AD24-4781-8F4E-C3787A0C32D0}"/>
    <cellStyle name="20% - Accent5 3 2 8" xfId="8761" xr:uid="{D0B61B4A-B5A6-4476-8CA3-B6D205D5F003}"/>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B5C3A7DB-BD68-483D-84CC-AD33523C5F1A}"/>
    <cellStyle name="20% - Accent5 3 3 2 3" xfId="11319" xr:uid="{CBC00126-8C83-4D29-9516-3535028FBFEC}"/>
    <cellStyle name="20% - Accent5 3 3 3" xfId="4957" xr:uid="{00000000-0005-0000-0000-0000EA020000}"/>
    <cellStyle name="20% - Accent5 3 3 3 2" xfId="13392" xr:uid="{912AFF03-C56B-4A88-BAF4-2C108E9789D6}"/>
    <cellStyle name="20% - Accent5 3 3 4" xfId="9174" xr:uid="{A13406EE-8488-43A4-8A3A-D793458D24F5}"/>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6467DF7D-2BC2-47D0-9FA5-D6E68F4E51CE}"/>
    <cellStyle name="20% - Accent5 3 4 2 3" xfId="11732" xr:uid="{0A0939F5-F6E3-430A-8FB9-4915BA8BCB62}"/>
    <cellStyle name="20% - Accent5 3 4 3" xfId="5370" xr:uid="{00000000-0005-0000-0000-0000EE020000}"/>
    <cellStyle name="20% - Accent5 3 4 3 2" xfId="13805" xr:uid="{FAB9FE23-E9D1-4687-AF9E-9FD4E8669A31}"/>
    <cellStyle name="20% - Accent5 3 4 4" xfId="9587" xr:uid="{4A6E3004-8320-48E2-8DC3-310E56972B04}"/>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E7181F35-195A-45BD-B132-9EC58DE9CC02}"/>
    <cellStyle name="20% - Accent5 3 5 2 3" xfId="12145" xr:uid="{3CA8528E-C253-4BF9-AFD5-A7C88F90DBCD}"/>
    <cellStyle name="20% - Accent5 3 5 3" xfId="5783" xr:uid="{00000000-0005-0000-0000-0000F2020000}"/>
    <cellStyle name="20% - Accent5 3 5 3 2" xfId="14218" xr:uid="{D42836C6-F078-41D8-AA06-957D80DD4ACA}"/>
    <cellStyle name="20% - Accent5 3 5 4" xfId="10000" xr:uid="{29D4E013-C20D-4F15-991A-6488BE6B5930}"/>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16CF5376-8D3F-4BA2-A4AA-9E8F709D01F0}"/>
    <cellStyle name="20% - Accent5 3 6 2 3" xfId="12558" xr:uid="{142583F1-F8E8-4A0B-8828-818EDD14D654}"/>
    <cellStyle name="20% - Accent5 3 6 3" xfId="6196" xr:uid="{00000000-0005-0000-0000-0000F6020000}"/>
    <cellStyle name="20% - Accent5 3 6 3 2" xfId="14631" xr:uid="{AB799187-ABF9-46F9-AB23-9003D13AAED8}"/>
    <cellStyle name="20% - Accent5 3 6 4" xfId="10413" xr:uid="{76FAA817-0346-4E75-A729-ABFEBB8BF641}"/>
    <cellStyle name="20% - Accent5 3 7" xfId="2302" xr:uid="{00000000-0005-0000-0000-0000F7020000}"/>
    <cellStyle name="20% - Accent5 3 7 2" xfId="6609" xr:uid="{00000000-0005-0000-0000-0000F8020000}"/>
    <cellStyle name="20% - Accent5 3 7 2 2" xfId="15044" xr:uid="{754D1994-ABEB-4E6C-834A-110F7A2444E3}"/>
    <cellStyle name="20% - Accent5 3 7 3" xfId="10826" xr:uid="{65078017-0863-4C01-8927-5A766B2ADA3A}"/>
    <cellStyle name="20% - Accent5 3 8" xfId="4543" xr:uid="{00000000-0005-0000-0000-0000F9020000}"/>
    <cellStyle name="20% - Accent5 3 8 2" xfId="12978" xr:uid="{338F7524-CE98-43DA-A00B-69F0D4FFEA9E}"/>
    <cellStyle name="20% - Accent5 3 9" xfId="8760" xr:uid="{3EF6E9F0-4E9B-47EE-9B68-7BBCAE5C825A}"/>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DBA00BC5-B317-47D0-BBF1-0953C3845455}"/>
    <cellStyle name="20% - Accent5 4 2 2 3" xfId="11321" xr:uid="{B067B5E7-F35A-408F-934F-5B06BE244643}"/>
    <cellStyle name="20% - Accent5 4 2 3" xfId="4959" xr:uid="{00000000-0005-0000-0000-0000FE020000}"/>
    <cellStyle name="20% - Accent5 4 2 3 2" xfId="13394" xr:uid="{3BF99C9C-AA86-4BF1-9D0D-9D61A477D475}"/>
    <cellStyle name="20% - Accent5 4 2 4" xfId="9176" xr:uid="{E17957E5-BC88-44D0-B6EF-C3EC607D4934}"/>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4A960CDD-6EEE-479C-8084-B611D55A9EC2}"/>
    <cellStyle name="20% - Accent5 4 3 2 3" xfId="11734" xr:uid="{A9E7D612-86F9-4EA1-B42A-D0955EE03A63}"/>
    <cellStyle name="20% - Accent5 4 3 3" xfId="5372" xr:uid="{00000000-0005-0000-0000-000002030000}"/>
    <cellStyle name="20% - Accent5 4 3 3 2" xfId="13807" xr:uid="{FA382BA8-EB6B-4D76-9A0F-4B2B4E4328E2}"/>
    <cellStyle name="20% - Accent5 4 3 4" xfId="9589" xr:uid="{C2FD8247-2542-44D3-9B48-248FF0675983}"/>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755F85DA-AFE4-472F-9681-397CE9D073A8}"/>
    <cellStyle name="20% - Accent5 4 4 2 3" xfId="12147" xr:uid="{7B813E2B-094E-4D38-A421-3896C912DD10}"/>
    <cellStyle name="20% - Accent5 4 4 3" xfId="5785" xr:uid="{00000000-0005-0000-0000-000006030000}"/>
    <cellStyle name="20% - Accent5 4 4 3 2" xfId="14220" xr:uid="{89291DDD-4BEB-427F-BFCD-F801543AA791}"/>
    <cellStyle name="20% - Accent5 4 4 4" xfId="10002" xr:uid="{BBD80ADC-C662-469D-889C-3495349C28D2}"/>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486F385A-DC08-48BF-B0FB-1A5B3BCB8B67}"/>
    <cellStyle name="20% - Accent5 4 5 2 3" xfId="12560" xr:uid="{216546B7-8B96-4CB4-B198-9282A22201EA}"/>
    <cellStyle name="20% - Accent5 4 5 3" xfId="6198" xr:uid="{00000000-0005-0000-0000-00000A030000}"/>
    <cellStyle name="20% - Accent5 4 5 3 2" xfId="14633" xr:uid="{5D3BE5AA-0A47-4A23-BD73-F431F877D371}"/>
    <cellStyle name="20% - Accent5 4 5 4" xfId="10415" xr:uid="{A79BCB6F-4CD4-4697-989B-C5F1B32A5D2C}"/>
    <cellStyle name="20% - Accent5 4 6" xfId="2304" xr:uid="{00000000-0005-0000-0000-00000B030000}"/>
    <cellStyle name="20% - Accent5 4 6 2" xfId="6611" xr:uid="{00000000-0005-0000-0000-00000C030000}"/>
    <cellStyle name="20% - Accent5 4 6 2 2" xfId="15046" xr:uid="{2B6278C2-5069-42EC-8BE2-8B48AE7B4788}"/>
    <cellStyle name="20% - Accent5 4 6 3" xfId="10828" xr:uid="{0E57E41A-1F59-42A3-A3B1-B892C9B3FB63}"/>
    <cellStyle name="20% - Accent5 4 7" xfId="4545" xr:uid="{00000000-0005-0000-0000-00000D030000}"/>
    <cellStyle name="20% - Accent5 4 7 2" xfId="12980" xr:uid="{B1F4B885-0FD4-4BAF-A049-319C97F38CD6}"/>
    <cellStyle name="20% - Accent5 4 8" xfId="8762" xr:uid="{D4598230-6EDF-4F01-A8B4-5E0D1BF2D83D}"/>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A3A6671F-17D2-416F-960F-BB3A19DD60A1}"/>
    <cellStyle name="20% - Accent5 5 2 3" xfId="11314" xr:uid="{86A70B3E-E306-42DA-8162-D51DE51A56B7}"/>
    <cellStyle name="20% - Accent5 5 3" xfId="4952" xr:uid="{00000000-0005-0000-0000-000011030000}"/>
    <cellStyle name="20% - Accent5 5 3 2" xfId="13387" xr:uid="{00A47977-562F-41A5-BD09-6F08ED7474F2}"/>
    <cellStyle name="20% - Accent5 5 4" xfId="9169" xr:uid="{5E5740E7-E06B-40B3-A926-7336D9B0147C}"/>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05FA933A-3F9C-4C4B-8F75-0BD7FF40E2DC}"/>
    <cellStyle name="20% - Accent5 6 2 3" xfId="11727" xr:uid="{2F9DAC0D-229A-4A12-B6D1-A1B32BB89BC6}"/>
    <cellStyle name="20% - Accent5 6 3" xfId="5365" xr:uid="{00000000-0005-0000-0000-000015030000}"/>
    <cellStyle name="20% - Accent5 6 3 2" xfId="13800" xr:uid="{5513E895-9AE7-439A-9D23-4015B4A06C2E}"/>
    <cellStyle name="20% - Accent5 6 4" xfId="9582" xr:uid="{CF04B921-F240-48A7-823D-DE2BAF295C9D}"/>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1E9B9311-DACF-4E2F-90C0-007F9626DE62}"/>
    <cellStyle name="20% - Accent5 7 2 3" xfId="12140" xr:uid="{9027E585-598F-4AD2-B122-75A9554C46F6}"/>
    <cellStyle name="20% - Accent5 7 3" xfId="5778" xr:uid="{00000000-0005-0000-0000-000019030000}"/>
    <cellStyle name="20% - Accent5 7 3 2" xfId="14213" xr:uid="{E46AE417-DD08-4B87-A43D-2CF214E0C7BA}"/>
    <cellStyle name="20% - Accent5 7 4" xfId="9995" xr:uid="{BB493705-2E7C-47B5-A285-8E83A316BADC}"/>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64BB432A-6E0B-45A0-A3E2-B27C61BC4561}"/>
    <cellStyle name="20% - Accent5 8 2 3" xfId="12553" xr:uid="{2703F579-D5B6-42E0-B243-E757C8697E7F}"/>
    <cellStyle name="20% - Accent5 8 3" xfId="6191" xr:uid="{00000000-0005-0000-0000-00001D030000}"/>
    <cellStyle name="20% - Accent5 8 3 2" xfId="14626" xr:uid="{2DF287D1-066F-4938-AD47-D2F02F940CAF}"/>
    <cellStyle name="20% - Accent5 8 4" xfId="10408" xr:uid="{FF1EF222-8E93-45AA-BA6A-55C278D8A1CC}"/>
    <cellStyle name="20% - Accent5 9" xfId="2297" xr:uid="{00000000-0005-0000-0000-00001E030000}"/>
    <cellStyle name="20% - Accent5 9 2" xfId="6604" xr:uid="{00000000-0005-0000-0000-00001F030000}"/>
    <cellStyle name="20% - Accent5 9 2 2" xfId="15039" xr:uid="{2CABD2A9-81ED-4F76-A9D5-A8DFF14360B4}"/>
    <cellStyle name="20% - Accent5 9 3" xfId="10821" xr:uid="{CD5C6358-112B-4ABF-8EF3-9392DFC4DE18}"/>
    <cellStyle name="20% - Accent6" xfId="41" builtinId="50" customBuiltin="1"/>
    <cellStyle name="20% - Accent6 10" xfId="4546" xr:uid="{00000000-0005-0000-0000-000021030000}"/>
    <cellStyle name="20% - Accent6 10 2" xfId="12981" xr:uid="{372B7D4C-C0D5-469B-8567-76047ABAFE83}"/>
    <cellStyle name="20% - Accent6 11" xfId="8763" xr:uid="{52348443-90DB-4F4D-AB48-A8F3767210B7}"/>
    <cellStyle name="20% - Accent6 2" xfId="42" xr:uid="{00000000-0005-0000-0000-000022030000}"/>
    <cellStyle name="20% - Accent6 2 10" xfId="8764" xr:uid="{10D05D2B-13C3-40E2-9111-DBECA7B1FFDE}"/>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91BCB51F-71B4-453E-949B-68136218F0F3}"/>
    <cellStyle name="20% - Accent6 2 2 2 2 2 3" xfId="11325" xr:uid="{9B4F9A50-4FA0-407C-9352-E5CA9B93073C}"/>
    <cellStyle name="20% - Accent6 2 2 2 2 3" xfId="4963" xr:uid="{00000000-0005-0000-0000-000028030000}"/>
    <cellStyle name="20% - Accent6 2 2 2 2 3 2" xfId="13398" xr:uid="{A6D371C8-E913-45F3-B878-812D40009877}"/>
    <cellStyle name="20% - Accent6 2 2 2 2 4" xfId="9180" xr:uid="{6B41260F-912B-4A28-835D-85F112E84A97}"/>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EF7F3939-76C4-4389-AA0E-1EA43B88F32E}"/>
    <cellStyle name="20% - Accent6 2 2 2 3 2 3" xfId="11738" xr:uid="{B6B3D6F9-9D4C-421B-A5CC-52E24C101A65}"/>
    <cellStyle name="20% - Accent6 2 2 2 3 3" xfId="5376" xr:uid="{00000000-0005-0000-0000-00002C030000}"/>
    <cellStyle name="20% - Accent6 2 2 2 3 3 2" xfId="13811" xr:uid="{4F8A075C-1205-4125-A826-4163DAF66D6B}"/>
    <cellStyle name="20% - Accent6 2 2 2 3 4" xfId="9593" xr:uid="{E9AE8ACA-AE27-41EF-863F-E9D164AB5887}"/>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FC86BEED-7E51-4B73-B176-F55772C37618}"/>
    <cellStyle name="20% - Accent6 2 2 2 4 2 3" xfId="12151" xr:uid="{7D0A7F74-3A86-4020-9541-D8D55EDD6481}"/>
    <cellStyle name="20% - Accent6 2 2 2 4 3" xfId="5789" xr:uid="{00000000-0005-0000-0000-000030030000}"/>
    <cellStyle name="20% - Accent6 2 2 2 4 3 2" xfId="14224" xr:uid="{A8549D28-7CDF-4C59-850D-DACBA2A56F5A}"/>
    <cellStyle name="20% - Accent6 2 2 2 4 4" xfId="10006" xr:uid="{91ED86F7-F0BD-49EC-97B9-DD262C9BB3B4}"/>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5BBF8C67-DA65-4FC8-9702-CA398B81F408}"/>
    <cellStyle name="20% - Accent6 2 2 2 5 2 3" xfId="12564" xr:uid="{84EA752E-BB85-46EB-ABC3-1D987441F7B4}"/>
    <cellStyle name="20% - Accent6 2 2 2 5 3" xfId="6202" xr:uid="{00000000-0005-0000-0000-000034030000}"/>
    <cellStyle name="20% - Accent6 2 2 2 5 3 2" xfId="14637" xr:uid="{133C616F-3549-4474-94C7-C7C1DFE3596C}"/>
    <cellStyle name="20% - Accent6 2 2 2 5 4" xfId="10419" xr:uid="{8D192DAD-B7B8-4CC2-AEF1-17BD0DB1C00B}"/>
    <cellStyle name="20% - Accent6 2 2 2 6" xfId="2308" xr:uid="{00000000-0005-0000-0000-000035030000}"/>
    <cellStyle name="20% - Accent6 2 2 2 6 2" xfId="6615" xr:uid="{00000000-0005-0000-0000-000036030000}"/>
    <cellStyle name="20% - Accent6 2 2 2 6 2 2" xfId="15050" xr:uid="{EDA213C2-427B-4A54-93AE-501DB4D77A53}"/>
    <cellStyle name="20% - Accent6 2 2 2 6 3" xfId="10832" xr:uid="{91B7AFCE-CEB1-4DE1-8CC7-D92EDCDC5BCB}"/>
    <cellStyle name="20% - Accent6 2 2 2 7" xfId="4549" xr:uid="{00000000-0005-0000-0000-000037030000}"/>
    <cellStyle name="20% - Accent6 2 2 2 7 2" xfId="12984" xr:uid="{921D08BB-5AA6-4E58-B489-3C1B517CC22D}"/>
    <cellStyle name="20% - Accent6 2 2 2 8" xfId="8766" xr:uid="{DD8287EC-2A49-4808-A99E-3E01A29FB97C}"/>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DEBED87C-0B25-4119-A8BE-88386ED1756E}"/>
    <cellStyle name="20% - Accent6 2 2 3 2 3" xfId="11324" xr:uid="{60AB8076-D3DB-4FD5-9765-09FDFAEE7AF1}"/>
    <cellStyle name="20% - Accent6 2 2 3 3" xfId="4962" xr:uid="{00000000-0005-0000-0000-00003B030000}"/>
    <cellStyle name="20% - Accent6 2 2 3 3 2" xfId="13397" xr:uid="{B7A51025-11E9-4174-80A4-482A616DDDE0}"/>
    <cellStyle name="20% - Accent6 2 2 3 4" xfId="9179" xr:uid="{9F0E051A-648D-4E67-9BD4-B794C56FE2C9}"/>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7B9A73FB-D86A-4BCA-98A7-E04FD08CBAB1}"/>
    <cellStyle name="20% - Accent6 2 2 4 2 3" xfId="11737" xr:uid="{EF485A66-0182-41D7-BEB8-598FD652B00B}"/>
    <cellStyle name="20% - Accent6 2 2 4 3" xfId="5375" xr:uid="{00000000-0005-0000-0000-00003F030000}"/>
    <cellStyle name="20% - Accent6 2 2 4 3 2" xfId="13810" xr:uid="{23D8C331-27FB-46EE-A288-3C724B4735AC}"/>
    <cellStyle name="20% - Accent6 2 2 4 4" xfId="9592" xr:uid="{20F9F606-C957-4A58-8ACB-636A12DA7EBC}"/>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3EF2D5D0-640E-4DD6-817A-69A6820ACD23}"/>
    <cellStyle name="20% - Accent6 2 2 5 2 3" xfId="12150" xr:uid="{51CADC71-A6BF-474D-9F63-6E9F85D0C30D}"/>
    <cellStyle name="20% - Accent6 2 2 5 3" xfId="5788" xr:uid="{00000000-0005-0000-0000-000043030000}"/>
    <cellStyle name="20% - Accent6 2 2 5 3 2" xfId="14223" xr:uid="{7F62041A-E6DD-426B-B822-933D49FBD855}"/>
    <cellStyle name="20% - Accent6 2 2 5 4" xfId="10005" xr:uid="{5F408425-294B-4396-B545-79133F6B265E}"/>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A56F8DB9-2BBA-46EB-9C8B-7E02E1761352}"/>
    <cellStyle name="20% - Accent6 2 2 6 2 3" xfId="12563" xr:uid="{5A0D4CDE-A1CD-4A4D-8E9F-4E8FAB0D6831}"/>
    <cellStyle name="20% - Accent6 2 2 6 3" xfId="6201" xr:uid="{00000000-0005-0000-0000-000047030000}"/>
    <cellStyle name="20% - Accent6 2 2 6 3 2" xfId="14636" xr:uid="{A3B1E193-0D22-4014-B072-DC3FC74F5E59}"/>
    <cellStyle name="20% - Accent6 2 2 6 4" xfId="10418" xr:uid="{BCE7FA1C-CEC4-4182-9C2B-9EC9B698E7B5}"/>
    <cellStyle name="20% - Accent6 2 2 7" xfId="2307" xr:uid="{00000000-0005-0000-0000-000048030000}"/>
    <cellStyle name="20% - Accent6 2 2 7 2" xfId="6614" xr:uid="{00000000-0005-0000-0000-000049030000}"/>
    <cellStyle name="20% - Accent6 2 2 7 2 2" xfId="15049" xr:uid="{D39D93C1-4929-4DC2-8BE4-9FB537D57737}"/>
    <cellStyle name="20% - Accent6 2 2 7 3" xfId="10831" xr:uid="{6D052232-2682-4D9D-B8B2-1B334EC399D8}"/>
    <cellStyle name="20% - Accent6 2 2 8" xfId="4548" xr:uid="{00000000-0005-0000-0000-00004A030000}"/>
    <cellStyle name="20% - Accent6 2 2 8 2" xfId="12983" xr:uid="{3CF3F0D8-C985-48C3-A268-EFDDF1E26B78}"/>
    <cellStyle name="20% - Accent6 2 2 9" xfId="8765" xr:uid="{D6982992-51D6-41B1-A086-01ED69D97733}"/>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0CC35899-BB13-4953-B5AF-B77232927646}"/>
    <cellStyle name="20% - Accent6 2 3 2 2 3" xfId="11326" xr:uid="{8495B0CA-D623-4915-B97D-24B78477E24C}"/>
    <cellStyle name="20% - Accent6 2 3 2 3" xfId="4964" xr:uid="{00000000-0005-0000-0000-00004F030000}"/>
    <cellStyle name="20% - Accent6 2 3 2 3 2" xfId="13399" xr:uid="{296F07E3-6A00-4607-90A8-E6BB128BD8D4}"/>
    <cellStyle name="20% - Accent6 2 3 2 4" xfId="9181" xr:uid="{40CDA9D7-4961-4039-91FF-F383813E7270}"/>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2B46772C-90C3-477F-B8A5-3296401EDF0E}"/>
    <cellStyle name="20% - Accent6 2 3 3 2 3" xfId="11739" xr:uid="{06C54787-06F2-4B98-B64A-03182181ACAD}"/>
    <cellStyle name="20% - Accent6 2 3 3 3" xfId="5377" xr:uid="{00000000-0005-0000-0000-000053030000}"/>
    <cellStyle name="20% - Accent6 2 3 3 3 2" xfId="13812" xr:uid="{DC321CEF-F720-415A-AE2C-70C974CE810F}"/>
    <cellStyle name="20% - Accent6 2 3 3 4" xfId="9594" xr:uid="{6D7C2584-CC88-47C6-B6F3-9A4D8F4BAE31}"/>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CB576B99-19B9-4E2F-AD74-14D44971A68D}"/>
    <cellStyle name="20% - Accent6 2 3 4 2 3" xfId="12152" xr:uid="{927236B5-531B-4255-B825-FE677DF9D223}"/>
    <cellStyle name="20% - Accent6 2 3 4 3" xfId="5790" xr:uid="{00000000-0005-0000-0000-000057030000}"/>
    <cellStyle name="20% - Accent6 2 3 4 3 2" xfId="14225" xr:uid="{63A24D6F-AC3E-4FE3-9E23-AF29861BEF24}"/>
    <cellStyle name="20% - Accent6 2 3 4 4" xfId="10007" xr:uid="{82550578-2AEB-483F-AF57-80C69EE9E86C}"/>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B561303F-1C0E-46E1-AAB4-744A15A20933}"/>
    <cellStyle name="20% - Accent6 2 3 5 2 3" xfId="12565" xr:uid="{D5E5B880-5659-4825-9394-FB7AF80EE55B}"/>
    <cellStyle name="20% - Accent6 2 3 5 3" xfId="6203" xr:uid="{00000000-0005-0000-0000-00005B030000}"/>
    <cellStyle name="20% - Accent6 2 3 5 3 2" xfId="14638" xr:uid="{B642149B-0A6A-4BE1-A86B-F29FC14B5278}"/>
    <cellStyle name="20% - Accent6 2 3 5 4" xfId="10420" xr:uid="{9055092E-FFB8-436F-BBF2-0DBE878B9616}"/>
    <cellStyle name="20% - Accent6 2 3 6" xfId="2309" xr:uid="{00000000-0005-0000-0000-00005C030000}"/>
    <cellStyle name="20% - Accent6 2 3 6 2" xfId="6616" xr:uid="{00000000-0005-0000-0000-00005D030000}"/>
    <cellStyle name="20% - Accent6 2 3 6 2 2" xfId="15051" xr:uid="{AFE13E1C-41F1-469A-AEF2-0FBD92071A7C}"/>
    <cellStyle name="20% - Accent6 2 3 6 3" xfId="10833" xr:uid="{34B80A8E-D117-4402-8474-D9FAB953C1E8}"/>
    <cellStyle name="20% - Accent6 2 3 7" xfId="4550" xr:uid="{00000000-0005-0000-0000-00005E030000}"/>
    <cellStyle name="20% - Accent6 2 3 7 2" xfId="12985" xr:uid="{30BCE901-83F3-48C6-9429-EBB4138FBB16}"/>
    <cellStyle name="20% - Accent6 2 3 8" xfId="8767" xr:uid="{50ECEDAE-A9C7-4659-9C7D-8A92FF34392E}"/>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89C4DB1C-6C34-4636-9635-713C105768A0}"/>
    <cellStyle name="20% - Accent6 2 4 2 3" xfId="11323" xr:uid="{6FDE28FF-60B5-4F5B-BCAD-91833B75F50F}"/>
    <cellStyle name="20% - Accent6 2 4 3" xfId="4961" xr:uid="{00000000-0005-0000-0000-000062030000}"/>
    <cellStyle name="20% - Accent6 2 4 3 2" xfId="13396" xr:uid="{A3601055-E0C4-4C94-A936-B9E695B1D34B}"/>
    <cellStyle name="20% - Accent6 2 4 4" xfId="9178" xr:uid="{972893F9-1E3C-4A31-8586-83D4049AAB48}"/>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5B8EB103-0971-4E68-BAAE-ED2567B20F17}"/>
    <cellStyle name="20% - Accent6 2 5 2 3" xfId="11736" xr:uid="{C506D465-5E8B-4D52-A320-4AEA2756C42D}"/>
    <cellStyle name="20% - Accent6 2 5 3" xfId="5374" xr:uid="{00000000-0005-0000-0000-000066030000}"/>
    <cellStyle name="20% - Accent6 2 5 3 2" xfId="13809" xr:uid="{D67BD615-0465-4CB2-9EC5-41A559C6EEAD}"/>
    <cellStyle name="20% - Accent6 2 5 4" xfId="9591" xr:uid="{C25EB072-D01C-49BB-B628-80EC3CAC7D0C}"/>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5C432A3B-684D-4BF0-BF1B-23717C6A70DB}"/>
    <cellStyle name="20% - Accent6 2 6 2 3" xfId="12149" xr:uid="{395BCC91-B089-4873-9B1D-D8B076616E38}"/>
    <cellStyle name="20% - Accent6 2 6 3" xfId="5787" xr:uid="{00000000-0005-0000-0000-00006A030000}"/>
    <cellStyle name="20% - Accent6 2 6 3 2" xfId="14222" xr:uid="{0E56D441-13E4-4792-BCDF-7C837248C86A}"/>
    <cellStyle name="20% - Accent6 2 6 4" xfId="10004" xr:uid="{C197F9A0-E3E8-4042-8586-410874FBFB10}"/>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313955A5-549F-4D96-9E1F-8026A005DB52}"/>
    <cellStyle name="20% - Accent6 2 7 2 3" xfId="12562" xr:uid="{2B7633B0-3258-4CAF-B19D-1264A7BADDC8}"/>
    <cellStyle name="20% - Accent6 2 7 3" xfId="6200" xr:uid="{00000000-0005-0000-0000-00006E030000}"/>
    <cellStyle name="20% - Accent6 2 7 3 2" xfId="14635" xr:uid="{0F9D555E-0E8D-4B13-A20A-18F32C9DDED3}"/>
    <cellStyle name="20% - Accent6 2 7 4" xfId="10417" xr:uid="{E3AB3B98-806B-45DF-9165-8ED75E06051A}"/>
    <cellStyle name="20% - Accent6 2 8" xfId="2306" xr:uid="{00000000-0005-0000-0000-00006F030000}"/>
    <cellStyle name="20% - Accent6 2 8 2" xfId="6613" xr:uid="{00000000-0005-0000-0000-000070030000}"/>
    <cellStyle name="20% - Accent6 2 8 2 2" xfId="15048" xr:uid="{6DCBAEAF-DBA2-493C-AB29-FAE8D520A9E2}"/>
    <cellStyle name="20% - Accent6 2 8 3" xfId="10830" xr:uid="{25B140E0-F06B-49B1-BBFB-549C2D45ED2C}"/>
    <cellStyle name="20% - Accent6 2 9" xfId="4547" xr:uid="{00000000-0005-0000-0000-000071030000}"/>
    <cellStyle name="20% - Accent6 2 9 2" xfId="12982" xr:uid="{A9F20746-701A-445D-9F17-171EBB362394}"/>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249C851C-29C3-4A6E-A2E3-648D69DDA631}"/>
    <cellStyle name="20% - Accent6 3 2 2 2 3" xfId="11328" xr:uid="{1177CED0-F7F2-40D1-8B1D-CE2C583E8A2D}"/>
    <cellStyle name="20% - Accent6 3 2 2 3" xfId="4966" xr:uid="{00000000-0005-0000-0000-000077030000}"/>
    <cellStyle name="20% - Accent6 3 2 2 3 2" xfId="13401" xr:uid="{4022BFB8-35E9-4A3F-944B-8063EC9794BD}"/>
    <cellStyle name="20% - Accent6 3 2 2 4" xfId="9183" xr:uid="{525F3529-0FF4-4B31-A67B-02170640C8D4}"/>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262EF71D-1551-4D77-A166-AA2E39C32A6E}"/>
    <cellStyle name="20% - Accent6 3 2 3 2 3" xfId="11741" xr:uid="{43502A48-0477-401B-ACE1-BC694B0BE723}"/>
    <cellStyle name="20% - Accent6 3 2 3 3" xfId="5379" xr:uid="{00000000-0005-0000-0000-00007B030000}"/>
    <cellStyle name="20% - Accent6 3 2 3 3 2" xfId="13814" xr:uid="{69C6CAF8-0516-4733-8894-7E394E406519}"/>
    <cellStyle name="20% - Accent6 3 2 3 4" xfId="9596" xr:uid="{05D63AFF-8FC9-423F-9689-ABE134B8F893}"/>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070206ED-C713-4979-8243-B6D295F06757}"/>
    <cellStyle name="20% - Accent6 3 2 4 2 3" xfId="12154" xr:uid="{47945C64-6248-45E3-BBFD-3BF2E0C6F010}"/>
    <cellStyle name="20% - Accent6 3 2 4 3" xfId="5792" xr:uid="{00000000-0005-0000-0000-00007F030000}"/>
    <cellStyle name="20% - Accent6 3 2 4 3 2" xfId="14227" xr:uid="{3534ED59-88ED-4C7C-B02B-B5AE8D8C1EE7}"/>
    <cellStyle name="20% - Accent6 3 2 4 4" xfId="10009" xr:uid="{4A69A019-0ED6-4771-8280-F9D3542A3665}"/>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2E0E02DB-1959-486C-941E-6D9660AC954E}"/>
    <cellStyle name="20% - Accent6 3 2 5 2 3" xfId="12567" xr:uid="{A4FFE417-92B7-435D-B629-CCAC57BCE995}"/>
    <cellStyle name="20% - Accent6 3 2 5 3" xfId="6205" xr:uid="{00000000-0005-0000-0000-000083030000}"/>
    <cellStyle name="20% - Accent6 3 2 5 3 2" xfId="14640" xr:uid="{E4C23C30-75FD-41C6-8314-4D29D967083E}"/>
    <cellStyle name="20% - Accent6 3 2 5 4" xfId="10422" xr:uid="{AB24DE46-3054-425B-B54D-66B44E44B941}"/>
    <cellStyle name="20% - Accent6 3 2 6" xfId="2311" xr:uid="{00000000-0005-0000-0000-000084030000}"/>
    <cellStyle name="20% - Accent6 3 2 6 2" xfId="6618" xr:uid="{00000000-0005-0000-0000-000085030000}"/>
    <cellStyle name="20% - Accent6 3 2 6 2 2" xfId="15053" xr:uid="{8AD584EC-1345-458E-84E5-5010B2C251FA}"/>
    <cellStyle name="20% - Accent6 3 2 6 3" xfId="10835" xr:uid="{2F883FE8-CD61-43CB-A99C-D57218419DE3}"/>
    <cellStyle name="20% - Accent6 3 2 7" xfId="4552" xr:uid="{00000000-0005-0000-0000-000086030000}"/>
    <cellStyle name="20% - Accent6 3 2 7 2" xfId="12987" xr:uid="{2E0557D8-74DE-4A7D-A8DA-027ABB3A0D54}"/>
    <cellStyle name="20% - Accent6 3 2 8" xfId="8769" xr:uid="{AA01F8C1-5391-42D5-9438-2688B91867F7}"/>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DDAAAE3C-7E37-4819-9178-14328AF7B811}"/>
    <cellStyle name="20% - Accent6 3 3 2 3" xfId="11327" xr:uid="{F1B24880-D7E3-4347-A10D-1978FE58196A}"/>
    <cellStyle name="20% - Accent6 3 3 3" xfId="4965" xr:uid="{00000000-0005-0000-0000-00008A030000}"/>
    <cellStyle name="20% - Accent6 3 3 3 2" xfId="13400" xr:uid="{4B007B04-03E4-448C-AF7E-857B83E0C201}"/>
    <cellStyle name="20% - Accent6 3 3 4" xfId="9182" xr:uid="{34A6690F-A668-46D2-8789-F71E7867F761}"/>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E7876304-D498-4444-B418-DE9972DC67F1}"/>
    <cellStyle name="20% - Accent6 3 4 2 3" xfId="11740" xr:uid="{B8B429DE-027E-4B0F-875F-F8A708B74F5E}"/>
    <cellStyle name="20% - Accent6 3 4 3" xfId="5378" xr:uid="{00000000-0005-0000-0000-00008E030000}"/>
    <cellStyle name="20% - Accent6 3 4 3 2" xfId="13813" xr:uid="{7C2ACA66-CAD7-47E3-A3A5-A89B4535997F}"/>
    <cellStyle name="20% - Accent6 3 4 4" xfId="9595" xr:uid="{37995383-C39E-438E-8CFC-C81279589144}"/>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E981322F-D3AD-4AC5-83CD-AE04B833C01F}"/>
    <cellStyle name="20% - Accent6 3 5 2 3" xfId="12153" xr:uid="{3086EAB7-2061-431A-8F81-ADA1E1A2607C}"/>
    <cellStyle name="20% - Accent6 3 5 3" xfId="5791" xr:uid="{00000000-0005-0000-0000-000092030000}"/>
    <cellStyle name="20% - Accent6 3 5 3 2" xfId="14226" xr:uid="{E20145BB-8D5C-4185-9D48-88C3CEF67CA4}"/>
    <cellStyle name="20% - Accent6 3 5 4" xfId="10008" xr:uid="{4E5AC131-F6A6-4879-9988-BF700D8458BC}"/>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AE96A41D-6AD5-4B94-BF7D-E8A9B7A42D35}"/>
    <cellStyle name="20% - Accent6 3 6 2 3" xfId="12566" xr:uid="{2CAEA72A-7BC1-4E41-9300-09055E47ACB2}"/>
    <cellStyle name="20% - Accent6 3 6 3" xfId="6204" xr:uid="{00000000-0005-0000-0000-000096030000}"/>
    <cellStyle name="20% - Accent6 3 6 3 2" xfId="14639" xr:uid="{E30D65F6-6F49-49E7-990A-A0CF0DEF8B75}"/>
    <cellStyle name="20% - Accent6 3 6 4" xfId="10421" xr:uid="{DD7EDBEC-E49C-468D-8A8E-2323F83AD198}"/>
    <cellStyle name="20% - Accent6 3 7" xfId="2310" xr:uid="{00000000-0005-0000-0000-000097030000}"/>
    <cellStyle name="20% - Accent6 3 7 2" xfId="6617" xr:uid="{00000000-0005-0000-0000-000098030000}"/>
    <cellStyle name="20% - Accent6 3 7 2 2" xfId="15052" xr:uid="{A06A0CCE-1E70-4965-AA46-0A33701A4170}"/>
    <cellStyle name="20% - Accent6 3 7 3" xfId="10834" xr:uid="{34129A27-0C1D-4E14-848A-BCDA1A11B12E}"/>
    <cellStyle name="20% - Accent6 3 8" xfId="4551" xr:uid="{00000000-0005-0000-0000-000099030000}"/>
    <cellStyle name="20% - Accent6 3 8 2" xfId="12986" xr:uid="{58735997-65CF-4471-87F7-83C73EC29915}"/>
    <cellStyle name="20% - Accent6 3 9" xfId="8768" xr:uid="{AC47747E-2AD5-46A1-81E6-72FCB21ED47C}"/>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CFC96996-F7FF-40FC-A459-E1E8597C2156}"/>
    <cellStyle name="20% - Accent6 4 2 2 3" xfId="11329" xr:uid="{E1052EE6-88EE-4EED-8756-BB6628CACEC7}"/>
    <cellStyle name="20% - Accent6 4 2 3" xfId="4967" xr:uid="{00000000-0005-0000-0000-00009E030000}"/>
    <cellStyle name="20% - Accent6 4 2 3 2" xfId="13402" xr:uid="{95DE6B4B-CC2A-4906-957D-01A1D968179C}"/>
    <cellStyle name="20% - Accent6 4 2 4" xfId="9184" xr:uid="{1064A5A1-DDE1-4D10-9739-D5AC551FE076}"/>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7C2C2E83-B648-4D00-83E1-7ABCF69EB750}"/>
    <cellStyle name="20% - Accent6 4 3 2 3" xfId="11742" xr:uid="{3E399654-FD3F-4726-B620-D54310FDB44A}"/>
    <cellStyle name="20% - Accent6 4 3 3" xfId="5380" xr:uid="{00000000-0005-0000-0000-0000A2030000}"/>
    <cellStyle name="20% - Accent6 4 3 3 2" xfId="13815" xr:uid="{0E2459E9-C3E8-4D00-B89E-47BD4D3C75A0}"/>
    <cellStyle name="20% - Accent6 4 3 4" xfId="9597" xr:uid="{57D52852-9CF9-4771-BCF3-99A6CB8971A2}"/>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47D4F836-C9D1-421F-BEE5-DA3232D6A3F4}"/>
    <cellStyle name="20% - Accent6 4 4 2 3" xfId="12155" xr:uid="{8ABAED79-2827-49A0-A256-F37B5B71873E}"/>
    <cellStyle name="20% - Accent6 4 4 3" xfId="5793" xr:uid="{00000000-0005-0000-0000-0000A6030000}"/>
    <cellStyle name="20% - Accent6 4 4 3 2" xfId="14228" xr:uid="{2DA1CB46-17AF-4B35-B024-A0245FC068EC}"/>
    <cellStyle name="20% - Accent6 4 4 4" xfId="10010" xr:uid="{A3CE35C7-59A5-4256-A7D6-6F3C0FE2BE01}"/>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1AD9C997-216B-42E0-9ECF-9ED7BB158898}"/>
    <cellStyle name="20% - Accent6 4 5 2 3" xfId="12568" xr:uid="{DB0FB71C-4A3D-47AA-BB21-9D3D60D780E3}"/>
    <cellStyle name="20% - Accent6 4 5 3" xfId="6206" xr:uid="{00000000-0005-0000-0000-0000AA030000}"/>
    <cellStyle name="20% - Accent6 4 5 3 2" xfId="14641" xr:uid="{C45417E8-F237-4B27-B8C2-19DB9203E32C}"/>
    <cellStyle name="20% - Accent6 4 5 4" xfId="10423" xr:uid="{F5D1B08F-CC25-40EF-8020-6A3966F0480D}"/>
    <cellStyle name="20% - Accent6 4 6" xfId="2312" xr:uid="{00000000-0005-0000-0000-0000AB030000}"/>
    <cellStyle name="20% - Accent6 4 6 2" xfId="6619" xr:uid="{00000000-0005-0000-0000-0000AC030000}"/>
    <cellStyle name="20% - Accent6 4 6 2 2" xfId="15054" xr:uid="{A0B8B6E8-5803-4554-996D-E79922016AA1}"/>
    <cellStyle name="20% - Accent6 4 6 3" xfId="10836" xr:uid="{211F1FC0-BCE5-4AFF-B4E1-CD747D3041D3}"/>
    <cellStyle name="20% - Accent6 4 7" xfId="4553" xr:uid="{00000000-0005-0000-0000-0000AD030000}"/>
    <cellStyle name="20% - Accent6 4 7 2" xfId="12988" xr:uid="{DFEABFB4-FF64-4B71-AAF3-059B3AB21468}"/>
    <cellStyle name="20% - Accent6 4 8" xfId="8770" xr:uid="{F653CC7A-F24B-4274-AF70-183BA84A97AD}"/>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AB1A478C-30EF-4EF6-BEBC-E39322B967CE}"/>
    <cellStyle name="20% - Accent6 5 2 3" xfId="11322" xr:uid="{13A67F64-A82C-4609-83C0-B17FFE49F232}"/>
    <cellStyle name="20% - Accent6 5 3" xfId="4960" xr:uid="{00000000-0005-0000-0000-0000B1030000}"/>
    <cellStyle name="20% - Accent6 5 3 2" xfId="13395" xr:uid="{85533764-7DDB-4024-ADDF-3208DA0B53C3}"/>
    <cellStyle name="20% - Accent6 5 4" xfId="9177" xr:uid="{35DBB8E8-DAC2-4872-9B37-95E736F1B3DB}"/>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02771346-3F14-4DDF-A750-8243811FEA4F}"/>
    <cellStyle name="20% - Accent6 6 2 3" xfId="11735" xr:uid="{92EFECF1-AE18-4274-94B9-610AD9939E00}"/>
    <cellStyle name="20% - Accent6 6 3" xfId="5373" xr:uid="{00000000-0005-0000-0000-0000B5030000}"/>
    <cellStyle name="20% - Accent6 6 3 2" xfId="13808" xr:uid="{68814FF0-21B5-4066-BE58-BD8E86B89D05}"/>
    <cellStyle name="20% - Accent6 6 4" xfId="9590" xr:uid="{317D4C49-54BF-4048-B6EF-584A83EECAA4}"/>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92C5F74D-3F04-4DFC-9E54-807CDF97CE46}"/>
    <cellStyle name="20% - Accent6 7 2 3" xfId="12148" xr:uid="{F7AEEAE1-4E8D-4B5F-8A1E-6C3A9916D44B}"/>
    <cellStyle name="20% - Accent6 7 3" xfId="5786" xr:uid="{00000000-0005-0000-0000-0000B9030000}"/>
    <cellStyle name="20% - Accent6 7 3 2" xfId="14221" xr:uid="{FEE5BD2B-CFA9-4616-8A4F-DD834B0703B3}"/>
    <cellStyle name="20% - Accent6 7 4" xfId="10003" xr:uid="{A79EEDCF-E6FC-4E35-9E65-B20725384CB2}"/>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ADA370EA-8654-43D6-BB35-D16933127301}"/>
    <cellStyle name="20% - Accent6 8 2 3" xfId="12561" xr:uid="{DC4B9219-BD26-4705-8958-9619914649FD}"/>
    <cellStyle name="20% - Accent6 8 3" xfId="6199" xr:uid="{00000000-0005-0000-0000-0000BD030000}"/>
    <cellStyle name="20% - Accent6 8 3 2" xfId="14634" xr:uid="{1E36DA47-1F52-4D47-B9CC-25F36066A071}"/>
    <cellStyle name="20% - Accent6 8 4" xfId="10416" xr:uid="{CE659AD9-A92E-4F46-BE42-87F2F83769E1}"/>
    <cellStyle name="20% - Accent6 9" xfId="2305" xr:uid="{00000000-0005-0000-0000-0000BE030000}"/>
    <cellStyle name="20% - Accent6 9 2" xfId="6612" xr:uid="{00000000-0005-0000-0000-0000BF030000}"/>
    <cellStyle name="20% - Accent6 9 2 2" xfId="15047" xr:uid="{83E7F047-567B-4876-94B9-E33E9B9FDA80}"/>
    <cellStyle name="20% - Accent6 9 3" xfId="10829" xr:uid="{B7842259-DEC0-45DA-8201-807C32007A2A}"/>
    <cellStyle name="40% - Accent1" xfId="49" builtinId="31" customBuiltin="1"/>
    <cellStyle name="40% - Accent1 10" xfId="4554" xr:uid="{00000000-0005-0000-0000-0000C1030000}"/>
    <cellStyle name="40% - Accent1 10 2" xfId="12989" xr:uid="{DB5B7D1A-9964-483E-9CD9-16CF22817583}"/>
    <cellStyle name="40% - Accent1 11" xfId="8771" xr:uid="{91F78645-EA99-4AF8-B340-EF57480C60F9}"/>
    <cellStyle name="40% - Accent1 2" xfId="50" xr:uid="{00000000-0005-0000-0000-0000C2030000}"/>
    <cellStyle name="40% - Accent1 2 10" xfId="8772" xr:uid="{C897B34C-E50D-483D-A8EE-4F8B9CBA2F13}"/>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E26F3599-5B7A-4B4A-BF7F-5BCBA8738FCB}"/>
    <cellStyle name="40% - Accent1 2 2 2 2 2 3" xfId="11333" xr:uid="{D3551ADF-4FF8-4E51-AED8-230704628692}"/>
    <cellStyle name="40% - Accent1 2 2 2 2 3" xfId="4971" xr:uid="{00000000-0005-0000-0000-0000C8030000}"/>
    <cellStyle name="40% - Accent1 2 2 2 2 3 2" xfId="13406" xr:uid="{F1DB376A-01CA-4433-AE3D-514022B27EA9}"/>
    <cellStyle name="40% - Accent1 2 2 2 2 4" xfId="9188" xr:uid="{D1F3334B-C6C0-4301-A729-D63727DEFD5A}"/>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A4132CB8-3E36-4BDD-8D9A-7CC1B03AE855}"/>
    <cellStyle name="40% - Accent1 2 2 2 3 2 3" xfId="11746" xr:uid="{F0E9D06A-555A-4BD6-9ABD-DCE84DA26AAC}"/>
    <cellStyle name="40% - Accent1 2 2 2 3 3" xfId="5384" xr:uid="{00000000-0005-0000-0000-0000CC030000}"/>
    <cellStyle name="40% - Accent1 2 2 2 3 3 2" xfId="13819" xr:uid="{A4EA7257-37A7-45A4-8B33-7F6457B7C6E5}"/>
    <cellStyle name="40% - Accent1 2 2 2 3 4" xfId="9601" xr:uid="{2B371302-A341-4A9E-8F8B-9771879BE023}"/>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EC6FB2E3-72BB-4A92-A015-46CEFCD1E1D3}"/>
    <cellStyle name="40% - Accent1 2 2 2 4 2 3" xfId="12159" xr:uid="{54E5AB40-AAA1-4F55-B9AF-D4D6B937A98E}"/>
    <cellStyle name="40% - Accent1 2 2 2 4 3" xfId="5797" xr:uid="{00000000-0005-0000-0000-0000D0030000}"/>
    <cellStyle name="40% - Accent1 2 2 2 4 3 2" xfId="14232" xr:uid="{5A1BBAE3-0A5C-4E44-9B2F-6FEEEB4E2A16}"/>
    <cellStyle name="40% - Accent1 2 2 2 4 4" xfId="10014" xr:uid="{6A6ECF8E-5B24-43A9-BA2E-9CFCE0991BDD}"/>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2123CE1B-1CA0-4A00-8170-4ADEB98A328C}"/>
    <cellStyle name="40% - Accent1 2 2 2 5 2 3" xfId="12572" xr:uid="{90514AEB-C98B-4B2E-BF75-C07B79DC2A0B}"/>
    <cellStyle name="40% - Accent1 2 2 2 5 3" xfId="6210" xr:uid="{00000000-0005-0000-0000-0000D4030000}"/>
    <cellStyle name="40% - Accent1 2 2 2 5 3 2" xfId="14645" xr:uid="{81972976-267A-4E9E-8547-F5B1204B5F9A}"/>
    <cellStyle name="40% - Accent1 2 2 2 5 4" xfId="10427" xr:uid="{C9E71FBC-3D0E-45C6-9AEA-386A0A643EC2}"/>
    <cellStyle name="40% - Accent1 2 2 2 6" xfId="2316" xr:uid="{00000000-0005-0000-0000-0000D5030000}"/>
    <cellStyle name="40% - Accent1 2 2 2 6 2" xfId="6623" xr:uid="{00000000-0005-0000-0000-0000D6030000}"/>
    <cellStyle name="40% - Accent1 2 2 2 6 2 2" xfId="15058" xr:uid="{F47207F6-75A9-418F-AD6C-463C667C1606}"/>
    <cellStyle name="40% - Accent1 2 2 2 6 3" xfId="10840" xr:uid="{5D3FFD0E-E3E9-4448-806B-772650F75AC9}"/>
    <cellStyle name="40% - Accent1 2 2 2 7" xfId="4557" xr:uid="{00000000-0005-0000-0000-0000D7030000}"/>
    <cellStyle name="40% - Accent1 2 2 2 7 2" xfId="12992" xr:uid="{39773E9E-A1BE-4630-BA86-A9DB668020F9}"/>
    <cellStyle name="40% - Accent1 2 2 2 8" xfId="8774" xr:uid="{3B6CA0B4-3A36-439B-BE43-719EF344B57C}"/>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3AC233A7-526F-4BC4-AA4B-382A7EBB52D7}"/>
    <cellStyle name="40% - Accent1 2 2 3 2 3" xfId="11332" xr:uid="{F853D15E-AB9B-42A6-A1DA-8A9F712937D1}"/>
    <cellStyle name="40% - Accent1 2 2 3 3" xfId="4970" xr:uid="{00000000-0005-0000-0000-0000DB030000}"/>
    <cellStyle name="40% - Accent1 2 2 3 3 2" xfId="13405" xr:uid="{4D0A7E60-E5DD-445D-AE60-AA7969B5C8AB}"/>
    <cellStyle name="40% - Accent1 2 2 3 4" xfId="9187" xr:uid="{C6D882F4-8A27-4E26-AA87-B20CA350936E}"/>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3270B989-5CF6-414F-B9CB-4A836E5AB387}"/>
    <cellStyle name="40% - Accent1 2 2 4 2 3" xfId="11745" xr:uid="{39F5BA12-90D1-4DB6-89EC-14C632422A70}"/>
    <cellStyle name="40% - Accent1 2 2 4 3" xfId="5383" xr:uid="{00000000-0005-0000-0000-0000DF030000}"/>
    <cellStyle name="40% - Accent1 2 2 4 3 2" xfId="13818" xr:uid="{6A20869D-6A7E-49AA-BBE7-97F87B13D7C3}"/>
    <cellStyle name="40% - Accent1 2 2 4 4" xfId="9600" xr:uid="{7207626D-0862-4F20-8FA2-E8F240C8B5E5}"/>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5E1F0DBA-8C1E-450F-AD6F-6CDB6398D782}"/>
    <cellStyle name="40% - Accent1 2 2 5 2 3" xfId="12158" xr:uid="{EC9DA657-2B7A-44C5-80BC-BDC82A6C86B1}"/>
    <cellStyle name="40% - Accent1 2 2 5 3" xfId="5796" xr:uid="{00000000-0005-0000-0000-0000E3030000}"/>
    <cellStyle name="40% - Accent1 2 2 5 3 2" xfId="14231" xr:uid="{B2BA2710-D040-4BE9-A31E-8A14CDF47784}"/>
    <cellStyle name="40% - Accent1 2 2 5 4" xfId="10013" xr:uid="{02234594-0C90-4A62-85A9-A89DE8F76882}"/>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DBC091DA-75B6-4D1B-83AE-270116C0273F}"/>
    <cellStyle name="40% - Accent1 2 2 6 2 3" xfId="12571" xr:uid="{7338CF79-26C8-4514-9EBD-1E2CF597A60F}"/>
    <cellStyle name="40% - Accent1 2 2 6 3" xfId="6209" xr:uid="{00000000-0005-0000-0000-0000E7030000}"/>
    <cellStyle name="40% - Accent1 2 2 6 3 2" xfId="14644" xr:uid="{50E2E309-BD2E-43A4-B765-995A5993D7FB}"/>
    <cellStyle name="40% - Accent1 2 2 6 4" xfId="10426" xr:uid="{886F7CE8-6B8D-456A-A51B-8FF9B55BA59F}"/>
    <cellStyle name="40% - Accent1 2 2 7" xfId="2315" xr:uid="{00000000-0005-0000-0000-0000E8030000}"/>
    <cellStyle name="40% - Accent1 2 2 7 2" xfId="6622" xr:uid="{00000000-0005-0000-0000-0000E9030000}"/>
    <cellStyle name="40% - Accent1 2 2 7 2 2" xfId="15057" xr:uid="{8E1A3086-9332-4D2C-A4AA-DEB3CD25A0E5}"/>
    <cellStyle name="40% - Accent1 2 2 7 3" xfId="10839" xr:uid="{5A0EC881-2671-49C5-9E06-90419A801006}"/>
    <cellStyle name="40% - Accent1 2 2 8" xfId="4556" xr:uid="{00000000-0005-0000-0000-0000EA030000}"/>
    <cellStyle name="40% - Accent1 2 2 8 2" xfId="12991" xr:uid="{5B3C39B8-4F12-4E6A-AA67-F1ABE416E06A}"/>
    <cellStyle name="40% - Accent1 2 2 9" xfId="8773" xr:uid="{4B711863-3B3B-42DA-A901-1FDE06B0E7DA}"/>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3C7AB000-ADEE-4E24-940D-4F8355E0B83D}"/>
    <cellStyle name="40% - Accent1 2 3 2 2 3" xfId="11334" xr:uid="{B4BF832F-B101-4CC7-9180-B8C2E6916F1B}"/>
    <cellStyle name="40% - Accent1 2 3 2 3" xfId="4972" xr:uid="{00000000-0005-0000-0000-0000EF030000}"/>
    <cellStyle name="40% - Accent1 2 3 2 3 2" xfId="13407" xr:uid="{96961FCB-D38D-4CD2-B4D3-7003BE2C5A77}"/>
    <cellStyle name="40% - Accent1 2 3 2 4" xfId="9189" xr:uid="{0344F776-CF45-4928-82F3-880F239EA7E7}"/>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675E3C0F-E32D-4D3C-8548-6A5EFF641FBC}"/>
    <cellStyle name="40% - Accent1 2 3 3 2 3" xfId="11747" xr:uid="{F2EA04EF-BBEB-4D2E-A123-31B24D81B8FE}"/>
    <cellStyle name="40% - Accent1 2 3 3 3" xfId="5385" xr:uid="{00000000-0005-0000-0000-0000F3030000}"/>
    <cellStyle name="40% - Accent1 2 3 3 3 2" xfId="13820" xr:uid="{626F9F44-B566-41CB-A1C8-F7C4AFD045A2}"/>
    <cellStyle name="40% - Accent1 2 3 3 4" xfId="9602" xr:uid="{FEC3A6F6-C71E-4A38-9496-EB06BDC23CC7}"/>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95DA50F9-B5FB-4846-980B-FB6591888CFA}"/>
    <cellStyle name="40% - Accent1 2 3 4 2 3" xfId="12160" xr:uid="{EE584407-7256-4744-98EC-044F623B536F}"/>
    <cellStyle name="40% - Accent1 2 3 4 3" xfId="5798" xr:uid="{00000000-0005-0000-0000-0000F7030000}"/>
    <cellStyle name="40% - Accent1 2 3 4 3 2" xfId="14233" xr:uid="{4A1E8715-802C-4AEC-8DFE-3609B09AA8D8}"/>
    <cellStyle name="40% - Accent1 2 3 4 4" xfId="10015" xr:uid="{D8086846-1D90-4AB4-A61F-333B3883469A}"/>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77A9ED31-804D-4DF0-AE9F-B0C033E89A84}"/>
    <cellStyle name="40% - Accent1 2 3 5 2 3" xfId="12573" xr:uid="{C28BC148-49D6-4EEC-88AB-0C365C44E41B}"/>
    <cellStyle name="40% - Accent1 2 3 5 3" xfId="6211" xr:uid="{00000000-0005-0000-0000-0000FB030000}"/>
    <cellStyle name="40% - Accent1 2 3 5 3 2" xfId="14646" xr:uid="{03C856B2-65E3-4B0A-9750-F57DD1C84723}"/>
    <cellStyle name="40% - Accent1 2 3 5 4" xfId="10428" xr:uid="{F366C82E-0326-46CF-8D55-3EB73EC56E0B}"/>
    <cellStyle name="40% - Accent1 2 3 6" xfId="2317" xr:uid="{00000000-0005-0000-0000-0000FC030000}"/>
    <cellStyle name="40% - Accent1 2 3 6 2" xfId="6624" xr:uid="{00000000-0005-0000-0000-0000FD030000}"/>
    <cellStyle name="40% - Accent1 2 3 6 2 2" xfId="15059" xr:uid="{D9774FB3-CA92-481F-817B-6E69D29AE91F}"/>
    <cellStyle name="40% - Accent1 2 3 6 3" xfId="10841" xr:uid="{747F8E0B-6D99-49A5-8483-3E18098ACD75}"/>
    <cellStyle name="40% - Accent1 2 3 7" xfId="4558" xr:uid="{00000000-0005-0000-0000-0000FE030000}"/>
    <cellStyle name="40% - Accent1 2 3 7 2" xfId="12993" xr:uid="{6739642B-FE96-4DEF-838E-B7DF5F3EEA91}"/>
    <cellStyle name="40% - Accent1 2 3 8" xfId="8775" xr:uid="{F7CC099E-E350-40EC-93C6-A19670161C02}"/>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E4A8A697-BDE7-4AA1-829B-ECC2FC07C180}"/>
    <cellStyle name="40% - Accent1 2 4 2 3" xfId="11331" xr:uid="{46DE3A75-867E-4949-A0C0-E75A545073D4}"/>
    <cellStyle name="40% - Accent1 2 4 3" xfId="4969" xr:uid="{00000000-0005-0000-0000-000002040000}"/>
    <cellStyle name="40% - Accent1 2 4 3 2" xfId="13404" xr:uid="{663BAE5C-8601-4638-BBA4-9F30CD653250}"/>
    <cellStyle name="40% - Accent1 2 4 4" xfId="9186" xr:uid="{3FE66E42-DFE0-4AC9-9D42-3C9F0DA51DAF}"/>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0BD2DB7C-5715-4B66-860B-A1E30FC9799E}"/>
    <cellStyle name="40% - Accent1 2 5 2 3" xfId="11744" xr:uid="{9AA27B3F-4C81-41DA-AB09-7F51C3530FE3}"/>
    <cellStyle name="40% - Accent1 2 5 3" xfId="5382" xr:uid="{00000000-0005-0000-0000-000006040000}"/>
    <cellStyle name="40% - Accent1 2 5 3 2" xfId="13817" xr:uid="{8C3D6FC7-67C2-4DF9-8A7B-690422E991B7}"/>
    <cellStyle name="40% - Accent1 2 5 4" xfId="9599" xr:uid="{B66360BA-C89F-4364-A8D8-64A42E0F747F}"/>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E69A8579-18CB-4E0D-859D-83E9744D8A6E}"/>
    <cellStyle name="40% - Accent1 2 6 2 3" xfId="12157" xr:uid="{CF84A464-EA2A-4007-A129-F1F76AD00FCE}"/>
    <cellStyle name="40% - Accent1 2 6 3" xfId="5795" xr:uid="{00000000-0005-0000-0000-00000A040000}"/>
    <cellStyle name="40% - Accent1 2 6 3 2" xfId="14230" xr:uid="{BD5A83E7-E437-4AE3-AB06-A42F6EB00D6F}"/>
    <cellStyle name="40% - Accent1 2 6 4" xfId="10012" xr:uid="{3DE00505-E7A6-48D2-B4B1-417222311580}"/>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700AE9EC-8DF1-455C-85A9-80BDC2916439}"/>
    <cellStyle name="40% - Accent1 2 7 2 3" xfId="12570" xr:uid="{8CEB1707-7830-4B74-B0EE-1826ECB9B737}"/>
    <cellStyle name="40% - Accent1 2 7 3" xfId="6208" xr:uid="{00000000-0005-0000-0000-00000E040000}"/>
    <cellStyle name="40% - Accent1 2 7 3 2" xfId="14643" xr:uid="{16FFBD9A-7A18-459B-908C-EDAA842AF8AF}"/>
    <cellStyle name="40% - Accent1 2 7 4" xfId="10425" xr:uid="{892CBB89-A1E1-443E-A62E-7D6134BE9C6A}"/>
    <cellStyle name="40% - Accent1 2 8" xfId="2314" xr:uid="{00000000-0005-0000-0000-00000F040000}"/>
    <cellStyle name="40% - Accent1 2 8 2" xfId="6621" xr:uid="{00000000-0005-0000-0000-000010040000}"/>
    <cellStyle name="40% - Accent1 2 8 2 2" xfId="15056" xr:uid="{D4A85915-5136-4634-B8EF-C34FFEF162A3}"/>
    <cellStyle name="40% - Accent1 2 8 3" xfId="10838" xr:uid="{D7D45CC7-CB3F-417D-9B6D-057E51859825}"/>
    <cellStyle name="40% - Accent1 2 9" xfId="4555" xr:uid="{00000000-0005-0000-0000-000011040000}"/>
    <cellStyle name="40% - Accent1 2 9 2" xfId="12990" xr:uid="{EBA8426D-4B0A-448F-AF72-C4B3FAFCD2CD}"/>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4976AD5A-C643-4559-85AF-CD4792DD4FE9}"/>
    <cellStyle name="40% - Accent1 3 2 2 2 3" xfId="11336" xr:uid="{377C9874-F3F4-41F9-BB60-18DC4C080B0A}"/>
    <cellStyle name="40% - Accent1 3 2 2 3" xfId="4974" xr:uid="{00000000-0005-0000-0000-000017040000}"/>
    <cellStyle name="40% - Accent1 3 2 2 3 2" xfId="13409" xr:uid="{DECA9EB0-78CB-4327-9C62-7E0D5B3234DB}"/>
    <cellStyle name="40% - Accent1 3 2 2 4" xfId="9191" xr:uid="{24882E95-6C1E-4ACA-AED1-D7A1FCB9AD25}"/>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D2D313DA-2B09-4F43-A340-FE9779668E88}"/>
    <cellStyle name="40% - Accent1 3 2 3 2 3" xfId="11749" xr:uid="{7FD3560D-4D3B-4153-A9ED-722FAD73EB89}"/>
    <cellStyle name="40% - Accent1 3 2 3 3" xfId="5387" xr:uid="{00000000-0005-0000-0000-00001B040000}"/>
    <cellStyle name="40% - Accent1 3 2 3 3 2" xfId="13822" xr:uid="{CEE3945E-47E1-45F9-96B7-E0353231FCE8}"/>
    <cellStyle name="40% - Accent1 3 2 3 4" xfId="9604" xr:uid="{D4CCFEDE-E30C-4F67-9841-0AFEB1FBFDE5}"/>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C10BEE15-3886-444E-A024-CAE96BFF3942}"/>
    <cellStyle name="40% - Accent1 3 2 4 2 3" xfId="12162" xr:uid="{BCEAE812-C023-4172-9F11-FCC27352B82A}"/>
    <cellStyle name="40% - Accent1 3 2 4 3" xfId="5800" xr:uid="{00000000-0005-0000-0000-00001F040000}"/>
    <cellStyle name="40% - Accent1 3 2 4 3 2" xfId="14235" xr:uid="{1243D39D-422F-4D6D-A087-5538B02268C3}"/>
    <cellStyle name="40% - Accent1 3 2 4 4" xfId="10017" xr:uid="{1CA85871-64E3-4AC0-95BE-04B6563443C0}"/>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748C234E-9E90-4E54-A18D-CBEB341E9D39}"/>
    <cellStyle name="40% - Accent1 3 2 5 2 3" xfId="12575" xr:uid="{CBA08F53-C1AB-4950-AC93-C90136554576}"/>
    <cellStyle name="40% - Accent1 3 2 5 3" xfId="6213" xr:uid="{00000000-0005-0000-0000-000023040000}"/>
    <cellStyle name="40% - Accent1 3 2 5 3 2" xfId="14648" xr:uid="{DC638AD9-6994-45C1-87D1-6177690CA4EE}"/>
    <cellStyle name="40% - Accent1 3 2 5 4" xfId="10430" xr:uid="{03849066-1015-4EEE-8382-01578E59B3F2}"/>
    <cellStyle name="40% - Accent1 3 2 6" xfId="2319" xr:uid="{00000000-0005-0000-0000-000024040000}"/>
    <cellStyle name="40% - Accent1 3 2 6 2" xfId="6626" xr:uid="{00000000-0005-0000-0000-000025040000}"/>
    <cellStyle name="40% - Accent1 3 2 6 2 2" xfId="15061" xr:uid="{1C8BE0E8-F6B3-4ACD-9414-FF5F44F436D4}"/>
    <cellStyle name="40% - Accent1 3 2 6 3" xfId="10843" xr:uid="{00FBD266-7836-4F38-95E9-BDE8FE99507C}"/>
    <cellStyle name="40% - Accent1 3 2 7" xfId="4560" xr:uid="{00000000-0005-0000-0000-000026040000}"/>
    <cellStyle name="40% - Accent1 3 2 7 2" xfId="12995" xr:uid="{DEDDB572-66CE-4B65-90BA-DD22CBD5607F}"/>
    <cellStyle name="40% - Accent1 3 2 8" xfId="8777" xr:uid="{840F9887-F30B-4756-B04E-C379B94FC94D}"/>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FDCE4AA0-6E01-4244-B85F-93152C4E2DAA}"/>
    <cellStyle name="40% - Accent1 3 3 2 3" xfId="11335" xr:uid="{00AFA6EC-B142-49E6-ABCA-7B90F3E6FAF8}"/>
    <cellStyle name="40% - Accent1 3 3 3" xfId="4973" xr:uid="{00000000-0005-0000-0000-00002A040000}"/>
    <cellStyle name="40% - Accent1 3 3 3 2" xfId="13408" xr:uid="{5C761047-13FE-425B-AE84-94BB9D679AF0}"/>
    <cellStyle name="40% - Accent1 3 3 4" xfId="9190" xr:uid="{D6BEE443-1F62-4297-8677-5042EBF5E9E5}"/>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B94D00E6-41F2-4DDE-B9D9-7D36E0FDB7A8}"/>
    <cellStyle name="40% - Accent1 3 4 2 3" xfId="11748" xr:uid="{3F2C09DC-C8EA-442C-9648-7108DD823E43}"/>
    <cellStyle name="40% - Accent1 3 4 3" xfId="5386" xr:uid="{00000000-0005-0000-0000-00002E040000}"/>
    <cellStyle name="40% - Accent1 3 4 3 2" xfId="13821" xr:uid="{210F1112-B39B-4A7F-B711-85F57C490086}"/>
    <cellStyle name="40% - Accent1 3 4 4" xfId="9603" xr:uid="{387442A6-BFFF-4A86-92A1-94A60B15BC0C}"/>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C91709A0-0037-43A8-9AB7-C1E4C026B4B6}"/>
    <cellStyle name="40% - Accent1 3 5 2 3" xfId="12161" xr:uid="{A655715A-5048-4DAD-B7D3-B37E0F7C87D2}"/>
    <cellStyle name="40% - Accent1 3 5 3" xfId="5799" xr:uid="{00000000-0005-0000-0000-000032040000}"/>
    <cellStyle name="40% - Accent1 3 5 3 2" xfId="14234" xr:uid="{0DD380C7-6281-4E8C-B450-4C030B2D2F05}"/>
    <cellStyle name="40% - Accent1 3 5 4" xfId="10016" xr:uid="{FDAD4B72-CE74-4E9B-9838-6BEF81B68ABD}"/>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A22B5ABA-642D-494D-A022-04742F7F0807}"/>
    <cellStyle name="40% - Accent1 3 6 2 3" xfId="12574" xr:uid="{2EECB7BD-255A-4524-9A3F-08356631BCB6}"/>
    <cellStyle name="40% - Accent1 3 6 3" xfId="6212" xr:uid="{00000000-0005-0000-0000-000036040000}"/>
    <cellStyle name="40% - Accent1 3 6 3 2" xfId="14647" xr:uid="{F522E00F-0B54-4D1C-A169-2939C625BF0F}"/>
    <cellStyle name="40% - Accent1 3 6 4" xfId="10429" xr:uid="{B09EEF60-DE2B-460A-AB84-7D8155C7144F}"/>
    <cellStyle name="40% - Accent1 3 7" xfId="2318" xr:uid="{00000000-0005-0000-0000-000037040000}"/>
    <cellStyle name="40% - Accent1 3 7 2" xfId="6625" xr:uid="{00000000-0005-0000-0000-000038040000}"/>
    <cellStyle name="40% - Accent1 3 7 2 2" xfId="15060" xr:uid="{0FFE08A5-7E98-4E73-A14A-4F2660D00F81}"/>
    <cellStyle name="40% - Accent1 3 7 3" xfId="10842" xr:uid="{744CE3EE-C2F9-4835-B437-C0A917FDCE7F}"/>
    <cellStyle name="40% - Accent1 3 8" xfId="4559" xr:uid="{00000000-0005-0000-0000-000039040000}"/>
    <cellStyle name="40% - Accent1 3 8 2" xfId="12994" xr:uid="{8197E84F-652C-41CD-A439-585810E46AA1}"/>
    <cellStyle name="40% - Accent1 3 9" xfId="8776" xr:uid="{0F5D1151-F27E-4809-A954-9964FDA5D8D2}"/>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4AE34DE0-8C39-4CDE-8CCE-4E2741405B8A}"/>
    <cellStyle name="40% - Accent1 4 2 2 3" xfId="11337" xr:uid="{99918B3E-2454-4824-A2DC-0A75A002BE44}"/>
    <cellStyle name="40% - Accent1 4 2 3" xfId="4975" xr:uid="{00000000-0005-0000-0000-00003E040000}"/>
    <cellStyle name="40% - Accent1 4 2 3 2" xfId="13410" xr:uid="{D81379D4-A445-44B6-B345-41C66D9BDD92}"/>
    <cellStyle name="40% - Accent1 4 2 4" xfId="9192" xr:uid="{C79CAD10-7DD2-4B3C-AF28-479A7A01278C}"/>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22D71641-2597-4FAF-A81A-E5971DC9B263}"/>
    <cellStyle name="40% - Accent1 4 3 2 3" xfId="11750" xr:uid="{496AB383-CC5A-466D-8A7C-D8E87005362B}"/>
    <cellStyle name="40% - Accent1 4 3 3" xfId="5388" xr:uid="{00000000-0005-0000-0000-000042040000}"/>
    <cellStyle name="40% - Accent1 4 3 3 2" xfId="13823" xr:uid="{98B28BDA-986C-485E-90DF-2CF702FFC033}"/>
    <cellStyle name="40% - Accent1 4 3 4" xfId="9605" xr:uid="{13659CED-3F4B-4934-8701-9122B5CA85E2}"/>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479505F8-FB13-4A0B-9FB5-EB3104598019}"/>
    <cellStyle name="40% - Accent1 4 4 2 3" xfId="12163" xr:uid="{16EE7A19-D891-4A14-8823-E72E807A40E8}"/>
    <cellStyle name="40% - Accent1 4 4 3" xfId="5801" xr:uid="{00000000-0005-0000-0000-000046040000}"/>
    <cellStyle name="40% - Accent1 4 4 3 2" xfId="14236" xr:uid="{720075D1-8391-479B-AA7A-D1C43D993720}"/>
    <cellStyle name="40% - Accent1 4 4 4" xfId="10018" xr:uid="{6FBA8F1A-EB9B-4398-8B1F-5CB41D91EC18}"/>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EC5C42C6-CB90-47DC-9E11-B3896CA164BB}"/>
    <cellStyle name="40% - Accent1 4 5 2 3" xfId="12576" xr:uid="{DABFB095-B4F8-460E-AEF2-077C37D1B9F8}"/>
    <cellStyle name="40% - Accent1 4 5 3" xfId="6214" xr:uid="{00000000-0005-0000-0000-00004A040000}"/>
    <cellStyle name="40% - Accent1 4 5 3 2" xfId="14649" xr:uid="{951C5330-6C78-40C0-85D3-2CD43E040127}"/>
    <cellStyle name="40% - Accent1 4 5 4" xfId="10431" xr:uid="{A0041DB3-59DB-4B98-851F-7B378A32F21D}"/>
    <cellStyle name="40% - Accent1 4 6" xfId="2320" xr:uid="{00000000-0005-0000-0000-00004B040000}"/>
    <cellStyle name="40% - Accent1 4 6 2" xfId="6627" xr:uid="{00000000-0005-0000-0000-00004C040000}"/>
    <cellStyle name="40% - Accent1 4 6 2 2" xfId="15062" xr:uid="{052C194E-E41D-46D8-AAE1-614A30DB8D81}"/>
    <cellStyle name="40% - Accent1 4 6 3" xfId="10844" xr:uid="{1224FC1E-A8A4-4D0E-A387-9BC059E584B9}"/>
    <cellStyle name="40% - Accent1 4 7" xfId="4561" xr:uid="{00000000-0005-0000-0000-00004D040000}"/>
    <cellStyle name="40% - Accent1 4 7 2" xfId="12996" xr:uid="{8D59D10E-39D8-4EAA-A8AC-291B9283E9C1}"/>
    <cellStyle name="40% - Accent1 4 8" xfId="8778" xr:uid="{3A8D2D6C-4597-4136-8C84-4A7BC181952F}"/>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2A3D82A1-0CE9-4B87-8941-9A0B116DE85E}"/>
    <cellStyle name="40% - Accent1 5 2 3" xfId="11330" xr:uid="{8E34DB08-01E3-4A3C-B645-3D7015003BA8}"/>
    <cellStyle name="40% - Accent1 5 3" xfId="4968" xr:uid="{00000000-0005-0000-0000-000051040000}"/>
    <cellStyle name="40% - Accent1 5 3 2" xfId="13403" xr:uid="{60AEA6EA-D59A-43E8-8549-F2837EF6E150}"/>
    <cellStyle name="40% - Accent1 5 4" xfId="9185" xr:uid="{2F583DCA-7039-4731-8A18-62A62D598D8E}"/>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3C51C3C9-D494-4842-99B5-D64624EA0F04}"/>
    <cellStyle name="40% - Accent1 6 2 3" xfId="11743" xr:uid="{78DFDA5C-524F-44DB-AFA7-0A425A9D9B2C}"/>
    <cellStyle name="40% - Accent1 6 3" xfId="5381" xr:uid="{00000000-0005-0000-0000-000055040000}"/>
    <cellStyle name="40% - Accent1 6 3 2" xfId="13816" xr:uid="{7BC27421-0133-4443-9486-E6BCF1397571}"/>
    <cellStyle name="40% - Accent1 6 4" xfId="9598" xr:uid="{9C263D31-D935-4BFC-8DDD-79216256994C}"/>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06664B81-689D-41DE-9A5F-2565C953C030}"/>
    <cellStyle name="40% - Accent1 7 2 3" xfId="12156" xr:uid="{A170DFC5-B72B-4656-ADEB-8B7F4A6C11E4}"/>
    <cellStyle name="40% - Accent1 7 3" xfId="5794" xr:uid="{00000000-0005-0000-0000-000059040000}"/>
    <cellStyle name="40% - Accent1 7 3 2" xfId="14229" xr:uid="{630354BD-7E82-4579-B2F9-7A7CBBC0B1E3}"/>
    <cellStyle name="40% - Accent1 7 4" xfId="10011" xr:uid="{C41B846E-4BE7-4143-9C2E-51709D80D84A}"/>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149D9D85-B0F8-4263-A4B8-FE2548B690C2}"/>
    <cellStyle name="40% - Accent1 8 2 3" xfId="12569" xr:uid="{6E59207F-470C-48DE-8DBC-F4B47F71D3FE}"/>
    <cellStyle name="40% - Accent1 8 3" xfId="6207" xr:uid="{00000000-0005-0000-0000-00005D040000}"/>
    <cellStyle name="40% - Accent1 8 3 2" xfId="14642" xr:uid="{43E20000-0A37-4BB7-87AA-53B850A62040}"/>
    <cellStyle name="40% - Accent1 8 4" xfId="10424" xr:uid="{807A4D5E-3C6A-4DAE-89F0-4FD5FB1DC2E8}"/>
    <cellStyle name="40% - Accent1 9" xfId="2313" xr:uid="{00000000-0005-0000-0000-00005E040000}"/>
    <cellStyle name="40% - Accent1 9 2" xfId="6620" xr:uid="{00000000-0005-0000-0000-00005F040000}"/>
    <cellStyle name="40% - Accent1 9 2 2" xfId="15055" xr:uid="{FB3764B6-5F4C-46A9-B7A2-5DBB1DB14636}"/>
    <cellStyle name="40% - Accent1 9 3" xfId="10837" xr:uid="{3335C959-B7E2-46BD-8E55-1A2B73C5498F}"/>
    <cellStyle name="40% - Accent2" xfId="57" builtinId="35" customBuiltin="1"/>
    <cellStyle name="40% - Accent2 10" xfId="4562" xr:uid="{00000000-0005-0000-0000-000061040000}"/>
    <cellStyle name="40% - Accent2 10 2" xfId="12997" xr:uid="{DEA2A545-004E-4EC5-8426-E22924F3D1D1}"/>
    <cellStyle name="40% - Accent2 11" xfId="8779" xr:uid="{9DCA5AD0-6A5E-4B91-8EAD-5541827CE24F}"/>
    <cellStyle name="40% - Accent2 2" xfId="58" xr:uid="{00000000-0005-0000-0000-000062040000}"/>
    <cellStyle name="40% - Accent2 2 10" xfId="8780" xr:uid="{4978D313-B585-41AE-B4AB-99388671878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FC535348-F3DA-4D29-B18F-CCC38967CAA6}"/>
    <cellStyle name="40% - Accent2 2 2 2 2 2 3" xfId="11341" xr:uid="{BF6C068E-37CA-4555-BB38-E1BE2CE32FD0}"/>
    <cellStyle name="40% - Accent2 2 2 2 2 3" xfId="4979" xr:uid="{00000000-0005-0000-0000-000068040000}"/>
    <cellStyle name="40% - Accent2 2 2 2 2 3 2" xfId="13414" xr:uid="{3E603C9F-6D0C-4C47-8491-0A6AF948738E}"/>
    <cellStyle name="40% - Accent2 2 2 2 2 4" xfId="9196" xr:uid="{83D921DB-3169-40B4-903E-13A00641C8CF}"/>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B01154AF-D322-44A6-AF65-011C6FD6A578}"/>
    <cellStyle name="40% - Accent2 2 2 2 3 2 3" xfId="11754" xr:uid="{7173A7DA-4F02-4172-B58F-BCAE3E1D2F13}"/>
    <cellStyle name="40% - Accent2 2 2 2 3 3" xfId="5392" xr:uid="{00000000-0005-0000-0000-00006C040000}"/>
    <cellStyle name="40% - Accent2 2 2 2 3 3 2" xfId="13827" xr:uid="{AE27FD55-6523-4B74-93D1-69E3515046CA}"/>
    <cellStyle name="40% - Accent2 2 2 2 3 4" xfId="9609" xr:uid="{8BBE4473-F9A7-410E-9CEB-BE395AD0439C}"/>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8192582E-9617-496A-9DAD-8F6083FC7312}"/>
    <cellStyle name="40% - Accent2 2 2 2 4 2 3" xfId="12167" xr:uid="{20D7DC2E-2E59-4915-A9E5-B010F1A76AEB}"/>
    <cellStyle name="40% - Accent2 2 2 2 4 3" xfId="5805" xr:uid="{00000000-0005-0000-0000-000070040000}"/>
    <cellStyle name="40% - Accent2 2 2 2 4 3 2" xfId="14240" xr:uid="{F10EA8B7-103C-402A-9A70-744FDC5FEE65}"/>
    <cellStyle name="40% - Accent2 2 2 2 4 4" xfId="10022" xr:uid="{28C22BA8-5046-4F79-B876-0F5105FABC56}"/>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F90DDC17-B1E7-4CE3-BE2F-57BA328DEC76}"/>
    <cellStyle name="40% - Accent2 2 2 2 5 2 3" xfId="12580" xr:uid="{492311BC-ABB8-427F-9B8A-A23D3E3E61D2}"/>
    <cellStyle name="40% - Accent2 2 2 2 5 3" xfId="6218" xr:uid="{00000000-0005-0000-0000-000074040000}"/>
    <cellStyle name="40% - Accent2 2 2 2 5 3 2" xfId="14653" xr:uid="{D14DAA23-B7DB-4392-AF99-335170022646}"/>
    <cellStyle name="40% - Accent2 2 2 2 5 4" xfId="10435" xr:uid="{012B4362-ADEF-48FB-91EE-F2B824C62A8D}"/>
    <cellStyle name="40% - Accent2 2 2 2 6" xfId="2324" xr:uid="{00000000-0005-0000-0000-000075040000}"/>
    <cellStyle name="40% - Accent2 2 2 2 6 2" xfId="6631" xr:uid="{00000000-0005-0000-0000-000076040000}"/>
    <cellStyle name="40% - Accent2 2 2 2 6 2 2" xfId="15066" xr:uid="{3A537E5D-8B97-4668-83BA-12058B209E47}"/>
    <cellStyle name="40% - Accent2 2 2 2 6 3" xfId="10848" xr:uid="{39E50726-4A80-47EF-BA55-DB2B03221C8B}"/>
    <cellStyle name="40% - Accent2 2 2 2 7" xfId="4565" xr:uid="{00000000-0005-0000-0000-000077040000}"/>
    <cellStyle name="40% - Accent2 2 2 2 7 2" xfId="13000" xr:uid="{DEB9C6B7-FE37-4D2F-90B4-0B0027D43B94}"/>
    <cellStyle name="40% - Accent2 2 2 2 8" xfId="8782" xr:uid="{E679D738-2507-42A1-BC1F-A73823FB9D8B}"/>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335A0324-D1F0-4FA1-8C83-2B7A4E7A47E0}"/>
    <cellStyle name="40% - Accent2 2 2 3 2 3" xfId="11340" xr:uid="{9F7F2BCC-9B64-4437-9860-A1F1A326B1C3}"/>
    <cellStyle name="40% - Accent2 2 2 3 3" xfId="4978" xr:uid="{00000000-0005-0000-0000-00007B040000}"/>
    <cellStyle name="40% - Accent2 2 2 3 3 2" xfId="13413" xr:uid="{2125FACA-B9A0-4A3C-B186-128E5320FE6D}"/>
    <cellStyle name="40% - Accent2 2 2 3 4" xfId="9195" xr:uid="{12AA8036-D043-43DE-8729-DA9C2EB085B9}"/>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4DE99F20-EA07-4180-8DC8-4B49BBBFA2FE}"/>
    <cellStyle name="40% - Accent2 2 2 4 2 3" xfId="11753" xr:uid="{3FC9DD6B-0FA3-4B0D-9172-4F89D103250F}"/>
    <cellStyle name="40% - Accent2 2 2 4 3" xfId="5391" xr:uid="{00000000-0005-0000-0000-00007F040000}"/>
    <cellStyle name="40% - Accent2 2 2 4 3 2" xfId="13826" xr:uid="{BA71DE82-A8F5-41B5-93EB-AF325ED1D212}"/>
    <cellStyle name="40% - Accent2 2 2 4 4" xfId="9608" xr:uid="{747C940D-10A0-403E-B576-B5A7719ABF06}"/>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55E25321-6BAA-4168-ABBF-2F0E6255D9B7}"/>
    <cellStyle name="40% - Accent2 2 2 5 2 3" xfId="12166" xr:uid="{A9A6D440-9402-4AC3-B48E-75BBA395E952}"/>
    <cellStyle name="40% - Accent2 2 2 5 3" xfId="5804" xr:uid="{00000000-0005-0000-0000-000083040000}"/>
    <cellStyle name="40% - Accent2 2 2 5 3 2" xfId="14239" xr:uid="{1AE48A33-A229-4B7B-BECE-25231EEFEDE2}"/>
    <cellStyle name="40% - Accent2 2 2 5 4" xfId="10021" xr:uid="{7B8E616A-6997-462C-AC13-30A339D19044}"/>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792F7416-ABD0-41D0-8697-1B2C83C4676D}"/>
    <cellStyle name="40% - Accent2 2 2 6 2 3" xfId="12579" xr:uid="{B7BF8B2B-4565-4580-A8E1-BDBB33CA38E2}"/>
    <cellStyle name="40% - Accent2 2 2 6 3" xfId="6217" xr:uid="{00000000-0005-0000-0000-000087040000}"/>
    <cellStyle name="40% - Accent2 2 2 6 3 2" xfId="14652" xr:uid="{A2C28337-79A4-4E5F-A302-5D520B1E4E8F}"/>
    <cellStyle name="40% - Accent2 2 2 6 4" xfId="10434" xr:uid="{44BEBDB6-3083-4427-8291-A3BD6CB50399}"/>
    <cellStyle name="40% - Accent2 2 2 7" xfId="2323" xr:uid="{00000000-0005-0000-0000-000088040000}"/>
    <cellStyle name="40% - Accent2 2 2 7 2" xfId="6630" xr:uid="{00000000-0005-0000-0000-000089040000}"/>
    <cellStyle name="40% - Accent2 2 2 7 2 2" xfId="15065" xr:uid="{92BB7328-82B1-4E64-B39F-1BD0D8FCB2A8}"/>
    <cellStyle name="40% - Accent2 2 2 7 3" xfId="10847" xr:uid="{FC2E6B0E-170B-4885-B9A6-0312730EF68B}"/>
    <cellStyle name="40% - Accent2 2 2 8" xfId="4564" xr:uid="{00000000-0005-0000-0000-00008A040000}"/>
    <cellStyle name="40% - Accent2 2 2 8 2" xfId="12999" xr:uid="{DFA3582E-E21D-4826-B091-9B3F4C9D28DF}"/>
    <cellStyle name="40% - Accent2 2 2 9" xfId="8781" xr:uid="{F32B02B7-52D9-4C89-AF5D-A541F6DFA80D}"/>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A96A827B-C288-4BA6-A9D2-C08A6A12A14D}"/>
    <cellStyle name="40% - Accent2 2 3 2 2 3" xfId="11342" xr:uid="{EF313147-57B2-4E2A-9543-5D867695E0E1}"/>
    <cellStyle name="40% - Accent2 2 3 2 3" xfId="4980" xr:uid="{00000000-0005-0000-0000-00008F040000}"/>
    <cellStyle name="40% - Accent2 2 3 2 3 2" xfId="13415" xr:uid="{A3D57996-0605-414C-A650-0A439FB3A91C}"/>
    <cellStyle name="40% - Accent2 2 3 2 4" xfId="9197" xr:uid="{C365371F-F82D-472E-ABB5-DC9BF65FA1D3}"/>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B602F1D8-1287-4AE0-B98D-541D6B179CB1}"/>
    <cellStyle name="40% - Accent2 2 3 3 2 3" xfId="11755" xr:uid="{F8998509-CD82-4393-91D5-BC61B96FBDC5}"/>
    <cellStyle name="40% - Accent2 2 3 3 3" xfId="5393" xr:uid="{00000000-0005-0000-0000-000093040000}"/>
    <cellStyle name="40% - Accent2 2 3 3 3 2" xfId="13828" xr:uid="{A98E18C1-3B97-4BE7-B5FC-E728FFDAACE0}"/>
    <cellStyle name="40% - Accent2 2 3 3 4" xfId="9610" xr:uid="{B92754C4-D028-4255-BC7A-609B74CEBFF9}"/>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4A6E5184-F112-445F-9CB9-8818A03B8AE6}"/>
    <cellStyle name="40% - Accent2 2 3 4 2 3" xfId="12168" xr:uid="{F7EA3212-1C5A-4D48-B1FF-03B945B06066}"/>
    <cellStyle name="40% - Accent2 2 3 4 3" xfId="5806" xr:uid="{00000000-0005-0000-0000-000097040000}"/>
    <cellStyle name="40% - Accent2 2 3 4 3 2" xfId="14241" xr:uid="{0C4679E0-C800-446D-B7EA-91B7C55F0572}"/>
    <cellStyle name="40% - Accent2 2 3 4 4" xfId="10023" xr:uid="{812F7D9E-88AB-4BEA-B67C-13B6A47B8185}"/>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BBAAA215-445F-4992-8377-AC97C836DF46}"/>
    <cellStyle name="40% - Accent2 2 3 5 2 3" xfId="12581" xr:uid="{FBA496EE-6BBD-4483-8981-C84EFA7513AC}"/>
    <cellStyle name="40% - Accent2 2 3 5 3" xfId="6219" xr:uid="{00000000-0005-0000-0000-00009B040000}"/>
    <cellStyle name="40% - Accent2 2 3 5 3 2" xfId="14654" xr:uid="{0D661E4F-8B03-4904-AB12-2E47C38B5941}"/>
    <cellStyle name="40% - Accent2 2 3 5 4" xfId="10436" xr:uid="{7EB01009-4C87-4456-B6CD-56C04623D442}"/>
    <cellStyle name="40% - Accent2 2 3 6" xfId="2325" xr:uid="{00000000-0005-0000-0000-00009C040000}"/>
    <cellStyle name="40% - Accent2 2 3 6 2" xfId="6632" xr:uid="{00000000-0005-0000-0000-00009D040000}"/>
    <cellStyle name="40% - Accent2 2 3 6 2 2" xfId="15067" xr:uid="{FC65F2D3-F439-4577-B919-905F57CE877E}"/>
    <cellStyle name="40% - Accent2 2 3 6 3" xfId="10849" xr:uid="{EBBF3B64-62F8-43B4-97B7-B5387B4E5A43}"/>
    <cellStyle name="40% - Accent2 2 3 7" xfId="4566" xr:uid="{00000000-0005-0000-0000-00009E040000}"/>
    <cellStyle name="40% - Accent2 2 3 7 2" xfId="13001" xr:uid="{475E089E-F149-4DEE-B75D-C94D23ABBCEB}"/>
    <cellStyle name="40% - Accent2 2 3 8" xfId="8783" xr:uid="{A2FB359D-E73F-47C7-9409-17CDDA4EA713}"/>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597079AC-A81E-4BEA-BD89-451B774EBE4E}"/>
    <cellStyle name="40% - Accent2 2 4 2 3" xfId="11339" xr:uid="{5F8C5D85-8161-4BED-925E-072E0DBDE1E8}"/>
    <cellStyle name="40% - Accent2 2 4 3" xfId="4977" xr:uid="{00000000-0005-0000-0000-0000A2040000}"/>
    <cellStyle name="40% - Accent2 2 4 3 2" xfId="13412" xr:uid="{C190E1D8-E82A-4729-8F79-02F154A75DE7}"/>
    <cellStyle name="40% - Accent2 2 4 4" xfId="9194" xr:uid="{56DC84FB-4864-4070-A091-0330969B05B5}"/>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28500961-1935-40DF-9217-450DB1B17F60}"/>
    <cellStyle name="40% - Accent2 2 5 2 3" xfId="11752" xr:uid="{4A3F87D3-2162-4FC7-B5E3-C91CD1CF5232}"/>
    <cellStyle name="40% - Accent2 2 5 3" xfId="5390" xr:uid="{00000000-0005-0000-0000-0000A6040000}"/>
    <cellStyle name="40% - Accent2 2 5 3 2" xfId="13825" xr:uid="{0041C480-9FE6-4785-BA0D-94EF4DD0545A}"/>
    <cellStyle name="40% - Accent2 2 5 4" xfId="9607" xr:uid="{4B60B8A5-81CE-492C-BA60-FCEDE1672D15}"/>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91C7FCD6-C721-4496-A66C-5BD81329FE41}"/>
    <cellStyle name="40% - Accent2 2 6 2 3" xfId="12165" xr:uid="{D24B1F8D-D7C6-4EA0-ABD8-725890744813}"/>
    <cellStyle name="40% - Accent2 2 6 3" xfId="5803" xr:uid="{00000000-0005-0000-0000-0000AA040000}"/>
    <cellStyle name="40% - Accent2 2 6 3 2" xfId="14238" xr:uid="{84FEDE1F-56FC-4EFD-A1FE-C1DAC25FC3C1}"/>
    <cellStyle name="40% - Accent2 2 6 4" xfId="10020" xr:uid="{75C38C79-5BAB-4750-8C92-409C862C3AA7}"/>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A94BA148-338C-4C8B-98AA-F2A89B36E720}"/>
    <cellStyle name="40% - Accent2 2 7 2 3" xfId="12578" xr:uid="{E9449BBD-3F4A-4049-B52F-A49FD235E184}"/>
    <cellStyle name="40% - Accent2 2 7 3" xfId="6216" xr:uid="{00000000-0005-0000-0000-0000AE040000}"/>
    <cellStyle name="40% - Accent2 2 7 3 2" xfId="14651" xr:uid="{E7290BCA-59D0-4EE9-9602-5A29854D511F}"/>
    <cellStyle name="40% - Accent2 2 7 4" xfId="10433" xr:uid="{37EA8ACC-6AC9-4CBB-BD18-4F8E5C6434B6}"/>
    <cellStyle name="40% - Accent2 2 8" xfId="2322" xr:uid="{00000000-0005-0000-0000-0000AF040000}"/>
    <cellStyle name="40% - Accent2 2 8 2" xfId="6629" xr:uid="{00000000-0005-0000-0000-0000B0040000}"/>
    <cellStyle name="40% - Accent2 2 8 2 2" xfId="15064" xr:uid="{51038389-C7D4-444A-99B5-3479DC8DD202}"/>
    <cellStyle name="40% - Accent2 2 8 3" xfId="10846" xr:uid="{D4066371-D3E9-4B49-9FEE-06F228E4002F}"/>
    <cellStyle name="40% - Accent2 2 9" xfId="4563" xr:uid="{00000000-0005-0000-0000-0000B1040000}"/>
    <cellStyle name="40% - Accent2 2 9 2" xfId="12998" xr:uid="{3DB2CD61-785D-4303-8C00-C8B64A1CF27D}"/>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8A48A880-78DE-441B-A6E9-D6CFD2A36B9E}"/>
    <cellStyle name="40% - Accent2 3 2 2 2 3" xfId="11344" xr:uid="{90698569-0ABA-459C-AAD6-6BDFDFF69CE9}"/>
    <cellStyle name="40% - Accent2 3 2 2 3" xfId="4982" xr:uid="{00000000-0005-0000-0000-0000B7040000}"/>
    <cellStyle name="40% - Accent2 3 2 2 3 2" xfId="13417" xr:uid="{128DC62F-F623-423E-9F9F-94CE282D7CDD}"/>
    <cellStyle name="40% - Accent2 3 2 2 4" xfId="9199" xr:uid="{B3DB7637-F337-4CB5-926C-5718E9DDD4BA}"/>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2251313B-C371-4CC8-BDAE-3E6BB90927FA}"/>
    <cellStyle name="40% - Accent2 3 2 3 2 3" xfId="11757" xr:uid="{E1B9C260-9FEC-4377-BA1B-1C23D40C034D}"/>
    <cellStyle name="40% - Accent2 3 2 3 3" xfId="5395" xr:uid="{00000000-0005-0000-0000-0000BB040000}"/>
    <cellStyle name="40% - Accent2 3 2 3 3 2" xfId="13830" xr:uid="{61EA725F-CF36-4D03-8CC6-F31027989BCC}"/>
    <cellStyle name="40% - Accent2 3 2 3 4" xfId="9612" xr:uid="{06FB1E16-729E-4878-A3A1-B66F29832E84}"/>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B8957CA3-7846-4FF1-A347-B41E714C80E0}"/>
    <cellStyle name="40% - Accent2 3 2 4 2 3" xfId="12170" xr:uid="{05BB56A8-056D-424B-8F21-9A8D9EC27D39}"/>
    <cellStyle name="40% - Accent2 3 2 4 3" xfId="5808" xr:uid="{00000000-0005-0000-0000-0000BF040000}"/>
    <cellStyle name="40% - Accent2 3 2 4 3 2" xfId="14243" xr:uid="{C3E78C3D-24EA-4D65-B4D9-B286FE513619}"/>
    <cellStyle name="40% - Accent2 3 2 4 4" xfId="10025" xr:uid="{59317BF3-89AB-4EC9-8032-CACB12566A2F}"/>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4F6733B8-8D51-48CD-ABDB-D624790A14D2}"/>
    <cellStyle name="40% - Accent2 3 2 5 2 3" xfId="12583" xr:uid="{93CB125B-E449-4F9C-874E-2BDAE6DE05F8}"/>
    <cellStyle name="40% - Accent2 3 2 5 3" xfId="6221" xr:uid="{00000000-0005-0000-0000-0000C3040000}"/>
    <cellStyle name="40% - Accent2 3 2 5 3 2" xfId="14656" xr:uid="{75EEEF3C-EC94-4D8E-9312-283F0C38B853}"/>
    <cellStyle name="40% - Accent2 3 2 5 4" xfId="10438" xr:uid="{C0586D67-462E-4E16-8629-B297FA8B48D9}"/>
    <cellStyle name="40% - Accent2 3 2 6" xfId="2327" xr:uid="{00000000-0005-0000-0000-0000C4040000}"/>
    <cellStyle name="40% - Accent2 3 2 6 2" xfId="6634" xr:uid="{00000000-0005-0000-0000-0000C5040000}"/>
    <cellStyle name="40% - Accent2 3 2 6 2 2" xfId="15069" xr:uid="{83273813-AA10-4983-8480-6BD57163F969}"/>
    <cellStyle name="40% - Accent2 3 2 6 3" xfId="10851" xr:uid="{F3608C92-C8FB-48C8-8F18-CBE6015DA4E6}"/>
    <cellStyle name="40% - Accent2 3 2 7" xfId="4568" xr:uid="{00000000-0005-0000-0000-0000C6040000}"/>
    <cellStyle name="40% - Accent2 3 2 7 2" xfId="13003" xr:uid="{9105BF6D-FEB1-4F15-8E12-0745881108C7}"/>
    <cellStyle name="40% - Accent2 3 2 8" xfId="8785" xr:uid="{7D58CAE8-225C-4FBC-BB10-B90715F1E29E}"/>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F83CA2EE-CEBD-44CC-BAFB-B9FA4A7184D6}"/>
    <cellStyle name="40% - Accent2 3 3 2 3" xfId="11343" xr:uid="{7079C98A-EA1F-431C-9B08-BF7D69D288B0}"/>
    <cellStyle name="40% - Accent2 3 3 3" xfId="4981" xr:uid="{00000000-0005-0000-0000-0000CA040000}"/>
    <cellStyle name="40% - Accent2 3 3 3 2" xfId="13416" xr:uid="{3D0998E1-B43D-40B1-B147-5FBCCE9D24D2}"/>
    <cellStyle name="40% - Accent2 3 3 4" xfId="9198" xr:uid="{9C8C01D4-D031-4237-BAD9-2F5151F1BCFC}"/>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A6CCB7E9-C39D-46CA-B694-092D8FCBAC04}"/>
    <cellStyle name="40% - Accent2 3 4 2 3" xfId="11756" xr:uid="{D408FD2D-F281-4EBF-BC14-1F80E3C18F6A}"/>
    <cellStyle name="40% - Accent2 3 4 3" xfId="5394" xr:uid="{00000000-0005-0000-0000-0000CE040000}"/>
    <cellStyle name="40% - Accent2 3 4 3 2" xfId="13829" xr:uid="{9C0B1CDF-2E93-4317-98DE-064BBA10FE2A}"/>
    <cellStyle name="40% - Accent2 3 4 4" xfId="9611" xr:uid="{D2D758AE-EE76-478B-850B-E0B354540CCC}"/>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A23C2E0A-88C2-4766-9A50-DCC153CDD294}"/>
    <cellStyle name="40% - Accent2 3 5 2 3" xfId="12169" xr:uid="{CDE50AB5-3185-4EFE-9206-E84748228F59}"/>
    <cellStyle name="40% - Accent2 3 5 3" xfId="5807" xr:uid="{00000000-0005-0000-0000-0000D2040000}"/>
    <cellStyle name="40% - Accent2 3 5 3 2" xfId="14242" xr:uid="{BD5098E4-5413-49EC-A605-1AE9FB724850}"/>
    <cellStyle name="40% - Accent2 3 5 4" xfId="10024" xr:uid="{DCC0C678-9098-450C-A6CB-8138C61828FA}"/>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55F7CA0F-9710-4DBE-9432-4F6552EFA3FA}"/>
    <cellStyle name="40% - Accent2 3 6 2 3" xfId="12582" xr:uid="{A856F379-24A5-4A8E-B000-FA150E7D6361}"/>
    <cellStyle name="40% - Accent2 3 6 3" xfId="6220" xr:uid="{00000000-0005-0000-0000-0000D6040000}"/>
    <cellStyle name="40% - Accent2 3 6 3 2" xfId="14655" xr:uid="{C41772BE-563E-40C0-A940-561E60F06C7B}"/>
    <cellStyle name="40% - Accent2 3 6 4" xfId="10437" xr:uid="{57EE36C3-99B0-448A-9EA4-5F428FE0CB6A}"/>
    <cellStyle name="40% - Accent2 3 7" xfId="2326" xr:uid="{00000000-0005-0000-0000-0000D7040000}"/>
    <cellStyle name="40% - Accent2 3 7 2" xfId="6633" xr:uid="{00000000-0005-0000-0000-0000D8040000}"/>
    <cellStyle name="40% - Accent2 3 7 2 2" xfId="15068" xr:uid="{ED5F113C-B2AB-4EF6-A2F4-9782CCA90092}"/>
    <cellStyle name="40% - Accent2 3 7 3" xfId="10850" xr:uid="{49C8CE01-4366-4252-9711-BD8481E334E0}"/>
    <cellStyle name="40% - Accent2 3 8" xfId="4567" xr:uid="{00000000-0005-0000-0000-0000D9040000}"/>
    <cellStyle name="40% - Accent2 3 8 2" xfId="13002" xr:uid="{64F5B4D4-3461-4B87-8790-1F8D477BFA17}"/>
    <cellStyle name="40% - Accent2 3 9" xfId="8784" xr:uid="{46F4DA55-CA83-43C4-ADA3-87D8C3E9EF7B}"/>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62A22C31-A1FC-4AA5-BF4A-FA48356BC44C}"/>
    <cellStyle name="40% - Accent2 4 2 2 3" xfId="11345" xr:uid="{65EBB245-A612-4C26-9CEF-BEDBCD1BD3DC}"/>
    <cellStyle name="40% - Accent2 4 2 3" xfId="4983" xr:uid="{00000000-0005-0000-0000-0000DE040000}"/>
    <cellStyle name="40% - Accent2 4 2 3 2" xfId="13418" xr:uid="{CA6816C2-5C4C-443E-8716-9EAC7D8FA431}"/>
    <cellStyle name="40% - Accent2 4 2 4" xfId="9200" xr:uid="{62780A2B-4DCB-411D-A95F-F6ACB6F0502A}"/>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217ED77B-857B-4BB1-B83A-B6C0FDC33FC1}"/>
    <cellStyle name="40% - Accent2 4 3 2 3" xfId="11758" xr:uid="{5733874B-D43A-42CD-8283-54C8E2A6B669}"/>
    <cellStyle name="40% - Accent2 4 3 3" xfId="5396" xr:uid="{00000000-0005-0000-0000-0000E2040000}"/>
    <cellStyle name="40% - Accent2 4 3 3 2" xfId="13831" xr:uid="{AE82F82C-EE2F-46FB-8884-25475C0AA0ED}"/>
    <cellStyle name="40% - Accent2 4 3 4" xfId="9613" xr:uid="{7984252C-82B3-4192-9481-B13D15D2EDF1}"/>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6DA7AA8B-C62B-44B8-8AFA-97005B25B4B8}"/>
    <cellStyle name="40% - Accent2 4 4 2 3" xfId="12171" xr:uid="{1BF60FFD-9C6C-49D9-8D12-284FBBCD2038}"/>
    <cellStyle name="40% - Accent2 4 4 3" xfId="5809" xr:uid="{00000000-0005-0000-0000-0000E6040000}"/>
    <cellStyle name="40% - Accent2 4 4 3 2" xfId="14244" xr:uid="{98FDDB7D-5A04-4028-AABD-7D0471B61A19}"/>
    <cellStyle name="40% - Accent2 4 4 4" xfId="10026" xr:uid="{DBE6DA1D-7990-43D9-B2CD-823AC8DD28B4}"/>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2989425F-E0E0-4A19-A67E-6B4B693ABD7A}"/>
    <cellStyle name="40% - Accent2 4 5 2 3" xfId="12584" xr:uid="{8D3BB30A-99E5-4FB0-98BE-3575D6FE94E5}"/>
    <cellStyle name="40% - Accent2 4 5 3" xfId="6222" xr:uid="{00000000-0005-0000-0000-0000EA040000}"/>
    <cellStyle name="40% - Accent2 4 5 3 2" xfId="14657" xr:uid="{539B3A13-3372-4771-AA3A-7FFD0A53ACC1}"/>
    <cellStyle name="40% - Accent2 4 5 4" xfId="10439" xr:uid="{AD655CB7-61DC-45E0-94A0-D6328F323F0C}"/>
    <cellStyle name="40% - Accent2 4 6" xfId="2328" xr:uid="{00000000-0005-0000-0000-0000EB040000}"/>
    <cellStyle name="40% - Accent2 4 6 2" xfId="6635" xr:uid="{00000000-0005-0000-0000-0000EC040000}"/>
    <cellStyle name="40% - Accent2 4 6 2 2" xfId="15070" xr:uid="{F369646C-0A45-46DD-BE1F-03DA8A7D72EC}"/>
    <cellStyle name="40% - Accent2 4 6 3" xfId="10852" xr:uid="{0561D307-F585-465C-B4E3-0BD98926989F}"/>
    <cellStyle name="40% - Accent2 4 7" xfId="4569" xr:uid="{00000000-0005-0000-0000-0000ED040000}"/>
    <cellStyle name="40% - Accent2 4 7 2" xfId="13004" xr:uid="{71E7AA66-D116-4BD1-804F-F7631A0CA34D}"/>
    <cellStyle name="40% - Accent2 4 8" xfId="8786" xr:uid="{69FF13EE-2E26-47BE-87B3-6C04D76FC3BE}"/>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B8EB81C8-342A-4C4A-886E-CC3C16CDAFD5}"/>
    <cellStyle name="40% - Accent2 5 2 3" xfId="11338" xr:uid="{ADF5F71B-FC67-4849-9568-E96F00753F26}"/>
    <cellStyle name="40% - Accent2 5 3" xfId="4976" xr:uid="{00000000-0005-0000-0000-0000F1040000}"/>
    <cellStyle name="40% - Accent2 5 3 2" xfId="13411" xr:uid="{02169A1B-2E2F-4B30-8A14-71E4C322762D}"/>
    <cellStyle name="40% - Accent2 5 4" xfId="9193" xr:uid="{853AD4B3-5FEC-4AE7-95A7-C9637F6D8118}"/>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9A76B225-22CB-4B51-960C-F2DE7048789A}"/>
    <cellStyle name="40% - Accent2 6 2 3" xfId="11751" xr:uid="{0C2E6B63-7698-49A1-96D6-49FBAF379544}"/>
    <cellStyle name="40% - Accent2 6 3" xfId="5389" xr:uid="{00000000-0005-0000-0000-0000F5040000}"/>
    <cellStyle name="40% - Accent2 6 3 2" xfId="13824" xr:uid="{8F6B4F4C-6E55-4427-ACC0-DF0C738F4068}"/>
    <cellStyle name="40% - Accent2 6 4" xfId="9606" xr:uid="{421BB38E-2C66-4599-9483-7BC99A646E5A}"/>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662BCCC5-9573-4D71-9780-E92CAD3898C6}"/>
    <cellStyle name="40% - Accent2 7 2 3" xfId="12164" xr:uid="{36381FEB-E27C-4EF4-9F07-63725F430665}"/>
    <cellStyle name="40% - Accent2 7 3" xfId="5802" xr:uid="{00000000-0005-0000-0000-0000F9040000}"/>
    <cellStyle name="40% - Accent2 7 3 2" xfId="14237" xr:uid="{4EB09CB6-322E-4644-AB26-445945CC79D7}"/>
    <cellStyle name="40% - Accent2 7 4" xfId="10019" xr:uid="{6D618091-2F44-4C74-B65A-A99341EB6E23}"/>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C1F235EE-C832-42A9-BCE8-58D89BEACD4C}"/>
    <cellStyle name="40% - Accent2 8 2 3" xfId="12577" xr:uid="{33DB800E-C5CF-4291-85D8-47009B180E1B}"/>
    <cellStyle name="40% - Accent2 8 3" xfId="6215" xr:uid="{00000000-0005-0000-0000-0000FD040000}"/>
    <cellStyle name="40% - Accent2 8 3 2" xfId="14650" xr:uid="{C669264E-C4FC-4B81-8911-5F256BB4B5CA}"/>
    <cellStyle name="40% - Accent2 8 4" xfId="10432" xr:uid="{1BED5E7A-9DAA-4409-BEC4-18FE3856190E}"/>
    <cellStyle name="40% - Accent2 9" xfId="2321" xr:uid="{00000000-0005-0000-0000-0000FE040000}"/>
    <cellStyle name="40% - Accent2 9 2" xfId="6628" xr:uid="{00000000-0005-0000-0000-0000FF040000}"/>
    <cellStyle name="40% - Accent2 9 2 2" xfId="15063" xr:uid="{D164C0D7-C480-4EBF-BA47-117DEEE500AE}"/>
    <cellStyle name="40% - Accent2 9 3" xfId="10845" xr:uid="{3ABF62BB-A35C-4172-B90F-9762B4014732}"/>
    <cellStyle name="40% - Accent3" xfId="65" builtinId="39" customBuiltin="1"/>
    <cellStyle name="40% - Accent3 10" xfId="4570" xr:uid="{00000000-0005-0000-0000-000001050000}"/>
    <cellStyle name="40% - Accent3 10 2" xfId="13005" xr:uid="{8C853A79-04C0-479B-95A9-FA4665AEB142}"/>
    <cellStyle name="40% - Accent3 11" xfId="8787" xr:uid="{89E931D3-A273-43C6-B736-20FCEABAF0F5}"/>
    <cellStyle name="40% - Accent3 2" xfId="66" xr:uid="{00000000-0005-0000-0000-000002050000}"/>
    <cellStyle name="40% - Accent3 2 10" xfId="8788" xr:uid="{C4B79F0B-4F70-4BD6-AB9C-DE661D533FA1}"/>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41885AA6-2016-4FEF-815A-932B6CAB1EAC}"/>
    <cellStyle name="40% - Accent3 2 2 2 2 2 3" xfId="11349" xr:uid="{2027055E-F0AB-4B81-B8E7-1DD2FBA5F871}"/>
    <cellStyle name="40% - Accent3 2 2 2 2 3" xfId="4987" xr:uid="{00000000-0005-0000-0000-000008050000}"/>
    <cellStyle name="40% - Accent3 2 2 2 2 3 2" xfId="13422" xr:uid="{2A2503B6-530F-435A-8FC5-02F2CE37D3BC}"/>
    <cellStyle name="40% - Accent3 2 2 2 2 4" xfId="9204" xr:uid="{70501CF0-1946-4C43-A2B7-9034BB6C89B8}"/>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5B7C8DF1-13C7-4E46-A3A5-3E2262766204}"/>
    <cellStyle name="40% - Accent3 2 2 2 3 2 3" xfId="11762" xr:uid="{218F1D32-5246-4FD0-AF35-305D07297A4E}"/>
    <cellStyle name="40% - Accent3 2 2 2 3 3" xfId="5400" xr:uid="{00000000-0005-0000-0000-00000C050000}"/>
    <cellStyle name="40% - Accent3 2 2 2 3 3 2" xfId="13835" xr:uid="{4E0946D8-61C7-4463-A9E9-40E2611915C0}"/>
    <cellStyle name="40% - Accent3 2 2 2 3 4" xfId="9617" xr:uid="{64E47267-017A-472A-9913-50C99F4F4422}"/>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DB3E131F-DE1D-483B-A64B-A4815D28BD41}"/>
    <cellStyle name="40% - Accent3 2 2 2 4 2 3" xfId="12175" xr:uid="{FBC9EE0E-AE1E-4414-8B6F-FD765889154E}"/>
    <cellStyle name="40% - Accent3 2 2 2 4 3" xfId="5813" xr:uid="{00000000-0005-0000-0000-000010050000}"/>
    <cellStyle name="40% - Accent3 2 2 2 4 3 2" xfId="14248" xr:uid="{B98D08C0-47C8-4133-8C2B-5A698BCBB988}"/>
    <cellStyle name="40% - Accent3 2 2 2 4 4" xfId="10030" xr:uid="{DFF2E289-378D-4B4F-A537-72D028D2A50F}"/>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88D2C82A-A250-43E9-8234-AF4F1D3A9BE7}"/>
    <cellStyle name="40% - Accent3 2 2 2 5 2 3" xfId="12588" xr:uid="{55359A6B-0A09-4BDB-8644-DD203CD73440}"/>
    <cellStyle name="40% - Accent3 2 2 2 5 3" xfId="6226" xr:uid="{00000000-0005-0000-0000-000014050000}"/>
    <cellStyle name="40% - Accent3 2 2 2 5 3 2" xfId="14661" xr:uid="{987B4FD7-28FA-46CA-BDBF-6B8EDEB09BF2}"/>
    <cellStyle name="40% - Accent3 2 2 2 5 4" xfId="10443" xr:uid="{54E9C51B-D886-473A-A10A-6A4C508C2BEF}"/>
    <cellStyle name="40% - Accent3 2 2 2 6" xfId="2332" xr:uid="{00000000-0005-0000-0000-000015050000}"/>
    <cellStyle name="40% - Accent3 2 2 2 6 2" xfId="6639" xr:uid="{00000000-0005-0000-0000-000016050000}"/>
    <cellStyle name="40% - Accent3 2 2 2 6 2 2" xfId="15074" xr:uid="{9F6141DB-12D3-4B4B-90D8-4045B30C4BBD}"/>
    <cellStyle name="40% - Accent3 2 2 2 6 3" xfId="10856" xr:uid="{C20B47D7-C54E-464A-8FD9-049F4BEED397}"/>
    <cellStyle name="40% - Accent3 2 2 2 7" xfId="4573" xr:uid="{00000000-0005-0000-0000-000017050000}"/>
    <cellStyle name="40% - Accent3 2 2 2 7 2" xfId="13008" xr:uid="{77CDE4BC-6D81-4757-81EE-21A0F9342A8B}"/>
    <cellStyle name="40% - Accent3 2 2 2 8" xfId="8790" xr:uid="{DE5AFA23-6C5B-4516-BF19-6674C63960AB}"/>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348A6802-A806-410C-B93A-728D1BEF485F}"/>
    <cellStyle name="40% - Accent3 2 2 3 2 3" xfId="11348" xr:uid="{FE7147AD-6E1B-443A-AE2A-615A659549A7}"/>
    <cellStyle name="40% - Accent3 2 2 3 3" xfId="4986" xr:uid="{00000000-0005-0000-0000-00001B050000}"/>
    <cellStyle name="40% - Accent3 2 2 3 3 2" xfId="13421" xr:uid="{5C903B15-D30C-4CB2-B20A-60FA5F25750F}"/>
    <cellStyle name="40% - Accent3 2 2 3 4" xfId="9203" xr:uid="{762D87FA-3012-4A66-8261-BA4A8E129888}"/>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01F94B57-BFEC-4314-98CC-F6AB64F775D0}"/>
    <cellStyle name="40% - Accent3 2 2 4 2 3" xfId="11761" xr:uid="{055A01BC-ED62-43C1-862B-C1D88E1BAC7F}"/>
    <cellStyle name="40% - Accent3 2 2 4 3" xfId="5399" xr:uid="{00000000-0005-0000-0000-00001F050000}"/>
    <cellStyle name="40% - Accent3 2 2 4 3 2" xfId="13834" xr:uid="{605C0808-1BF6-4F71-A7A6-49FF026CCDA0}"/>
    <cellStyle name="40% - Accent3 2 2 4 4" xfId="9616" xr:uid="{4B0B51E7-7BE3-4FE0-A3AE-69B29532790B}"/>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DA2797D7-F4D1-4913-A470-9CEFDD7F3ED9}"/>
    <cellStyle name="40% - Accent3 2 2 5 2 3" xfId="12174" xr:uid="{CC5418EC-D6D3-4217-AC62-F660FEF9C542}"/>
    <cellStyle name="40% - Accent3 2 2 5 3" xfId="5812" xr:uid="{00000000-0005-0000-0000-000023050000}"/>
    <cellStyle name="40% - Accent3 2 2 5 3 2" xfId="14247" xr:uid="{457C448D-E30E-42EB-BD49-E6B8C05A4CFB}"/>
    <cellStyle name="40% - Accent3 2 2 5 4" xfId="10029" xr:uid="{41864E1F-1E64-40B3-A96B-B0678FD03F29}"/>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410E7703-7AEA-4EC7-9EDF-DB78C31D802B}"/>
    <cellStyle name="40% - Accent3 2 2 6 2 3" xfId="12587" xr:uid="{E1BE33C4-EBCE-4AE9-9DC4-EA6F5B425690}"/>
    <cellStyle name="40% - Accent3 2 2 6 3" xfId="6225" xr:uid="{00000000-0005-0000-0000-000027050000}"/>
    <cellStyle name="40% - Accent3 2 2 6 3 2" xfId="14660" xr:uid="{8B739850-155B-43FE-9B1A-DB0CE8F1C01A}"/>
    <cellStyle name="40% - Accent3 2 2 6 4" xfId="10442" xr:uid="{5E94BA60-BCB2-4740-9BC8-D86ADEF8C0F7}"/>
    <cellStyle name="40% - Accent3 2 2 7" xfId="2331" xr:uid="{00000000-0005-0000-0000-000028050000}"/>
    <cellStyle name="40% - Accent3 2 2 7 2" xfId="6638" xr:uid="{00000000-0005-0000-0000-000029050000}"/>
    <cellStyle name="40% - Accent3 2 2 7 2 2" xfId="15073" xr:uid="{50CD1FA2-BA62-4C70-95E4-FCF0F016C2BD}"/>
    <cellStyle name="40% - Accent3 2 2 7 3" xfId="10855" xr:uid="{BC88C0D4-1059-446A-BF54-ECC76F71FE1F}"/>
    <cellStyle name="40% - Accent3 2 2 8" xfId="4572" xr:uid="{00000000-0005-0000-0000-00002A050000}"/>
    <cellStyle name="40% - Accent3 2 2 8 2" xfId="13007" xr:uid="{0F35D2E2-3DA4-4CB8-9FAE-530823E6D40A}"/>
    <cellStyle name="40% - Accent3 2 2 9" xfId="8789" xr:uid="{04E1DF8A-7782-4870-BA15-1B0A861272FC}"/>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0691BCB8-7395-44FA-92D6-73417CED5C5A}"/>
    <cellStyle name="40% - Accent3 2 3 2 2 3" xfId="11350" xr:uid="{ED1F4708-6EFD-4D3D-8023-C72B1F5094F8}"/>
    <cellStyle name="40% - Accent3 2 3 2 3" xfId="4988" xr:uid="{00000000-0005-0000-0000-00002F050000}"/>
    <cellStyle name="40% - Accent3 2 3 2 3 2" xfId="13423" xr:uid="{551B5159-8472-438E-8A8E-0B97D7278FAF}"/>
    <cellStyle name="40% - Accent3 2 3 2 4" xfId="9205" xr:uid="{D32B12CD-95A3-4C54-96CB-8C90D9523B17}"/>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7F2EC61C-511A-44AC-BE3E-AC9B2612E79A}"/>
    <cellStyle name="40% - Accent3 2 3 3 2 3" xfId="11763" xr:uid="{C5252FD0-D2C7-4BF3-8607-430CBBC80FD0}"/>
    <cellStyle name="40% - Accent3 2 3 3 3" xfId="5401" xr:uid="{00000000-0005-0000-0000-000033050000}"/>
    <cellStyle name="40% - Accent3 2 3 3 3 2" xfId="13836" xr:uid="{B98A269B-0216-42BC-9866-5F7CF9E7E691}"/>
    <cellStyle name="40% - Accent3 2 3 3 4" xfId="9618" xr:uid="{7F5DF1AE-EFC2-4133-9124-73C66C8AE0F4}"/>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689B61B8-DC31-472C-BE2A-7C33FD85FFD2}"/>
    <cellStyle name="40% - Accent3 2 3 4 2 3" xfId="12176" xr:uid="{509A2D3E-8A33-4626-A51D-C757D21DDF17}"/>
    <cellStyle name="40% - Accent3 2 3 4 3" xfId="5814" xr:uid="{00000000-0005-0000-0000-000037050000}"/>
    <cellStyle name="40% - Accent3 2 3 4 3 2" xfId="14249" xr:uid="{C2966C2B-4550-45FF-82A9-97495EA99191}"/>
    <cellStyle name="40% - Accent3 2 3 4 4" xfId="10031" xr:uid="{9051F5D1-6247-4366-A2F3-1F4DEC90C787}"/>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5AF6AE6E-81A4-44A9-B917-59EB78B998E7}"/>
    <cellStyle name="40% - Accent3 2 3 5 2 3" xfId="12589" xr:uid="{9EA16A11-657D-467C-AB08-68978B0E32B9}"/>
    <cellStyle name="40% - Accent3 2 3 5 3" xfId="6227" xr:uid="{00000000-0005-0000-0000-00003B050000}"/>
    <cellStyle name="40% - Accent3 2 3 5 3 2" xfId="14662" xr:uid="{F415259E-C587-4687-A055-9D531CB229A6}"/>
    <cellStyle name="40% - Accent3 2 3 5 4" xfId="10444" xr:uid="{134B1DC7-C24A-4EFA-B164-9BACA6FF9188}"/>
    <cellStyle name="40% - Accent3 2 3 6" xfId="2333" xr:uid="{00000000-0005-0000-0000-00003C050000}"/>
    <cellStyle name="40% - Accent3 2 3 6 2" xfId="6640" xr:uid="{00000000-0005-0000-0000-00003D050000}"/>
    <cellStyle name="40% - Accent3 2 3 6 2 2" xfId="15075" xr:uid="{CB6950D0-89B0-4625-B2C9-AFE18A9A0B31}"/>
    <cellStyle name="40% - Accent3 2 3 6 3" xfId="10857" xr:uid="{5EFB7E55-51DE-4A93-BBE4-D95B19035E20}"/>
    <cellStyle name="40% - Accent3 2 3 7" xfId="4574" xr:uid="{00000000-0005-0000-0000-00003E050000}"/>
    <cellStyle name="40% - Accent3 2 3 7 2" xfId="13009" xr:uid="{B1725164-08E0-4420-BA22-390AE2123EBA}"/>
    <cellStyle name="40% - Accent3 2 3 8" xfId="8791" xr:uid="{2F950724-835D-4F23-A532-34CE616B89D0}"/>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6859D650-CEA5-4F67-B70E-9631AFD36EC4}"/>
    <cellStyle name="40% - Accent3 2 4 2 3" xfId="11347" xr:uid="{4680DEC4-7324-407B-9309-C7A39C7B9EFB}"/>
    <cellStyle name="40% - Accent3 2 4 3" xfId="4985" xr:uid="{00000000-0005-0000-0000-000042050000}"/>
    <cellStyle name="40% - Accent3 2 4 3 2" xfId="13420" xr:uid="{78C0A443-0AFF-4473-B25B-5F07C8D3D06A}"/>
    <cellStyle name="40% - Accent3 2 4 4" xfId="9202" xr:uid="{0BA9110D-488F-49C2-850A-7CC305F0A3F8}"/>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F52FD0F5-CD42-4A70-A0A7-57A3719F08DE}"/>
    <cellStyle name="40% - Accent3 2 5 2 3" xfId="11760" xr:uid="{B2C1F126-AE09-4B47-8FD7-247269AD4B6D}"/>
    <cellStyle name="40% - Accent3 2 5 3" xfId="5398" xr:uid="{00000000-0005-0000-0000-000046050000}"/>
    <cellStyle name="40% - Accent3 2 5 3 2" xfId="13833" xr:uid="{427CA3E5-F033-487C-A6F6-DA6869126E24}"/>
    <cellStyle name="40% - Accent3 2 5 4" xfId="9615" xr:uid="{25B10F62-0538-4920-A502-6B2E7FAEF9FF}"/>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C3FB94C6-25C6-4CF7-8B3C-8DE0E574206B}"/>
    <cellStyle name="40% - Accent3 2 6 2 3" xfId="12173" xr:uid="{BA952B54-852F-42ED-A1C5-31EDC03A6B10}"/>
    <cellStyle name="40% - Accent3 2 6 3" xfId="5811" xr:uid="{00000000-0005-0000-0000-00004A050000}"/>
    <cellStyle name="40% - Accent3 2 6 3 2" xfId="14246" xr:uid="{B33A6E52-C05C-4692-BAAA-6D0E63425C2A}"/>
    <cellStyle name="40% - Accent3 2 6 4" xfId="10028" xr:uid="{1E6D8AE8-4B64-4246-B3DB-197CD7569ACB}"/>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B2F74C50-B5FA-483D-8269-4FF1C5D3177B}"/>
    <cellStyle name="40% - Accent3 2 7 2 3" xfId="12586" xr:uid="{3822EE00-02BE-4AE8-BF5C-7C11E26381F3}"/>
    <cellStyle name="40% - Accent3 2 7 3" xfId="6224" xr:uid="{00000000-0005-0000-0000-00004E050000}"/>
    <cellStyle name="40% - Accent3 2 7 3 2" xfId="14659" xr:uid="{350D6944-31BC-42A0-B05D-DA0CCB2D354B}"/>
    <cellStyle name="40% - Accent3 2 7 4" xfId="10441" xr:uid="{4846F19F-59C8-47C5-BDC3-5DC892635387}"/>
    <cellStyle name="40% - Accent3 2 8" xfId="2330" xr:uid="{00000000-0005-0000-0000-00004F050000}"/>
    <cellStyle name="40% - Accent3 2 8 2" xfId="6637" xr:uid="{00000000-0005-0000-0000-000050050000}"/>
    <cellStyle name="40% - Accent3 2 8 2 2" xfId="15072" xr:uid="{FAB5CAC9-AE32-4923-808D-37DC47AD0044}"/>
    <cellStyle name="40% - Accent3 2 8 3" xfId="10854" xr:uid="{536DF02B-5DAA-4C27-8D33-E7540214C535}"/>
    <cellStyle name="40% - Accent3 2 9" xfId="4571" xr:uid="{00000000-0005-0000-0000-000051050000}"/>
    <cellStyle name="40% - Accent3 2 9 2" xfId="13006" xr:uid="{8A44BFDB-2E6B-4105-8027-FC69A31D9C7A}"/>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612055EB-E12C-44E5-91A3-03491E00A97F}"/>
    <cellStyle name="40% - Accent3 3 2 2 2 3" xfId="11352" xr:uid="{84E13020-8791-4407-99DA-B2709A02553A}"/>
    <cellStyle name="40% - Accent3 3 2 2 3" xfId="4990" xr:uid="{00000000-0005-0000-0000-000057050000}"/>
    <cellStyle name="40% - Accent3 3 2 2 3 2" xfId="13425" xr:uid="{532B4888-AFBA-4AEE-9170-DF4A0FE53A17}"/>
    <cellStyle name="40% - Accent3 3 2 2 4" xfId="9207" xr:uid="{F1AC9275-9E92-4F9D-8D10-106803AA3C21}"/>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02263824-C95D-4D12-AE11-C2AAC033D849}"/>
    <cellStyle name="40% - Accent3 3 2 3 2 3" xfId="11765" xr:uid="{C3F4AE0B-5E4A-4224-A673-46E5857682DA}"/>
    <cellStyle name="40% - Accent3 3 2 3 3" xfId="5403" xr:uid="{00000000-0005-0000-0000-00005B050000}"/>
    <cellStyle name="40% - Accent3 3 2 3 3 2" xfId="13838" xr:uid="{864F3123-2B3C-4FBD-A192-142188F97A9F}"/>
    <cellStyle name="40% - Accent3 3 2 3 4" xfId="9620" xr:uid="{5618530F-9649-47C7-B6B5-1E1E0C4598DA}"/>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27E33256-AEE8-40AF-88CB-7A4431AD5735}"/>
    <cellStyle name="40% - Accent3 3 2 4 2 3" xfId="12178" xr:uid="{134BE7CF-94AC-4B78-B335-260B612867FC}"/>
    <cellStyle name="40% - Accent3 3 2 4 3" xfId="5816" xr:uid="{00000000-0005-0000-0000-00005F050000}"/>
    <cellStyle name="40% - Accent3 3 2 4 3 2" xfId="14251" xr:uid="{3EECC7DE-6956-49A0-8DFF-874E5146A948}"/>
    <cellStyle name="40% - Accent3 3 2 4 4" xfId="10033" xr:uid="{225C3745-5749-4477-8774-54FD73C479F5}"/>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9A9A3FC6-FC02-4882-9D8B-F652195D815F}"/>
    <cellStyle name="40% - Accent3 3 2 5 2 3" xfId="12591" xr:uid="{C2493866-66DA-42B2-8926-67FF0977CED9}"/>
    <cellStyle name="40% - Accent3 3 2 5 3" xfId="6229" xr:uid="{00000000-0005-0000-0000-000063050000}"/>
    <cellStyle name="40% - Accent3 3 2 5 3 2" xfId="14664" xr:uid="{98805B4E-06D8-4D8C-B993-A1857E57F7A6}"/>
    <cellStyle name="40% - Accent3 3 2 5 4" xfId="10446" xr:uid="{B816D711-FBFF-400D-9B64-09EFC2C5B47B}"/>
    <cellStyle name="40% - Accent3 3 2 6" xfId="2335" xr:uid="{00000000-0005-0000-0000-000064050000}"/>
    <cellStyle name="40% - Accent3 3 2 6 2" xfId="6642" xr:uid="{00000000-0005-0000-0000-000065050000}"/>
    <cellStyle name="40% - Accent3 3 2 6 2 2" xfId="15077" xr:uid="{2D61C406-EEC0-411F-8A3E-D15387E703B8}"/>
    <cellStyle name="40% - Accent3 3 2 6 3" xfId="10859" xr:uid="{07BF95AD-155E-4FB4-AB31-5575DF457D1A}"/>
    <cellStyle name="40% - Accent3 3 2 7" xfId="4576" xr:uid="{00000000-0005-0000-0000-000066050000}"/>
    <cellStyle name="40% - Accent3 3 2 7 2" xfId="13011" xr:uid="{2536D7A3-14DA-4795-8B46-D9BD59CE064A}"/>
    <cellStyle name="40% - Accent3 3 2 8" xfId="8793" xr:uid="{90F30345-21A3-484C-A35F-4CC1CBECC52A}"/>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3EFF682E-F070-4895-9E10-6BDE5C535EE4}"/>
    <cellStyle name="40% - Accent3 3 3 2 3" xfId="11351" xr:uid="{B6EB3115-6FC5-4FC1-AB41-E694C188158C}"/>
    <cellStyle name="40% - Accent3 3 3 3" xfId="4989" xr:uid="{00000000-0005-0000-0000-00006A050000}"/>
    <cellStyle name="40% - Accent3 3 3 3 2" xfId="13424" xr:uid="{8BC7A24D-8201-4F29-A879-B5F1CDDC4110}"/>
    <cellStyle name="40% - Accent3 3 3 4" xfId="9206" xr:uid="{E0D14F30-24DD-4F15-8076-0135BD50C688}"/>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859F5259-ECB5-483F-AB07-AD62EE2F65A3}"/>
    <cellStyle name="40% - Accent3 3 4 2 3" xfId="11764" xr:uid="{63DF04B6-000D-44C9-BF67-61925F7D2455}"/>
    <cellStyle name="40% - Accent3 3 4 3" xfId="5402" xr:uid="{00000000-0005-0000-0000-00006E050000}"/>
    <cellStyle name="40% - Accent3 3 4 3 2" xfId="13837" xr:uid="{344BD0AA-DC4E-4363-A627-9725D6C3C5AF}"/>
    <cellStyle name="40% - Accent3 3 4 4" xfId="9619" xr:uid="{7EAF2516-FD7B-4812-B98C-521534B12ECA}"/>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90BA5539-3B0E-4D4B-9542-50887C69CDE5}"/>
    <cellStyle name="40% - Accent3 3 5 2 3" xfId="12177" xr:uid="{EE17A8C7-9BA7-46D6-ADF1-EBBD8137502D}"/>
    <cellStyle name="40% - Accent3 3 5 3" xfId="5815" xr:uid="{00000000-0005-0000-0000-000072050000}"/>
    <cellStyle name="40% - Accent3 3 5 3 2" xfId="14250" xr:uid="{4418329B-207B-4E29-9EF3-C0BB3890FCFD}"/>
    <cellStyle name="40% - Accent3 3 5 4" xfId="10032" xr:uid="{D085390D-8FB0-4FFF-A5DC-6AEC80974675}"/>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AE6BFC57-8E2C-47A0-B15A-D50CB7BFA361}"/>
    <cellStyle name="40% - Accent3 3 6 2 3" xfId="12590" xr:uid="{35488D82-6F78-4B95-9127-FDB91EBCAF2F}"/>
    <cellStyle name="40% - Accent3 3 6 3" xfId="6228" xr:uid="{00000000-0005-0000-0000-000076050000}"/>
    <cellStyle name="40% - Accent3 3 6 3 2" xfId="14663" xr:uid="{80E22F95-86D4-412D-B179-46BB33E60715}"/>
    <cellStyle name="40% - Accent3 3 6 4" xfId="10445" xr:uid="{42F274CB-7309-422F-B50A-A50A09F158CA}"/>
    <cellStyle name="40% - Accent3 3 7" xfId="2334" xr:uid="{00000000-0005-0000-0000-000077050000}"/>
    <cellStyle name="40% - Accent3 3 7 2" xfId="6641" xr:uid="{00000000-0005-0000-0000-000078050000}"/>
    <cellStyle name="40% - Accent3 3 7 2 2" xfId="15076" xr:uid="{B8AB27D7-3A79-41D8-ADEA-02D25140CDF6}"/>
    <cellStyle name="40% - Accent3 3 7 3" xfId="10858" xr:uid="{DF7E30F0-18C9-4DE6-AC1E-A2A96679314A}"/>
    <cellStyle name="40% - Accent3 3 8" xfId="4575" xr:uid="{00000000-0005-0000-0000-000079050000}"/>
    <cellStyle name="40% - Accent3 3 8 2" xfId="13010" xr:uid="{71D91B21-016A-4CF5-B836-5A1309DF84A0}"/>
    <cellStyle name="40% - Accent3 3 9" xfId="8792" xr:uid="{141B9659-451D-43B9-B502-FE24F4C49FFF}"/>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24AB9EE1-A2AE-4C89-8ED8-D66D5CE2DF86}"/>
    <cellStyle name="40% - Accent3 4 2 2 3" xfId="11353" xr:uid="{42992B06-3296-4DF1-AF58-F85BB6910285}"/>
    <cellStyle name="40% - Accent3 4 2 3" xfId="4991" xr:uid="{00000000-0005-0000-0000-00007E050000}"/>
    <cellStyle name="40% - Accent3 4 2 3 2" xfId="13426" xr:uid="{717127EF-E498-489F-A6E1-AD39F73ABEF7}"/>
    <cellStyle name="40% - Accent3 4 2 4" xfId="9208" xr:uid="{EF498B5C-2CCB-4360-A054-36F204E4F7A2}"/>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44C4CA03-A14C-452F-BEAC-E0D04380D4F3}"/>
    <cellStyle name="40% - Accent3 4 3 2 3" xfId="11766" xr:uid="{64B79461-1F2A-49AD-B51C-7E151A096756}"/>
    <cellStyle name="40% - Accent3 4 3 3" xfId="5404" xr:uid="{00000000-0005-0000-0000-000082050000}"/>
    <cellStyle name="40% - Accent3 4 3 3 2" xfId="13839" xr:uid="{61F57215-FCC5-4D40-A1F2-FBCD999F55F4}"/>
    <cellStyle name="40% - Accent3 4 3 4" xfId="9621" xr:uid="{6F62EFA2-5044-4E5E-935B-4E8847E2DF2C}"/>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5E9DEB23-EB98-403B-862A-2F0119B93390}"/>
    <cellStyle name="40% - Accent3 4 4 2 3" xfId="12179" xr:uid="{596BF173-956D-4390-944F-990589B43765}"/>
    <cellStyle name="40% - Accent3 4 4 3" xfId="5817" xr:uid="{00000000-0005-0000-0000-000086050000}"/>
    <cellStyle name="40% - Accent3 4 4 3 2" xfId="14252" xr:uid="{DB86648E-B1FB-435C-90F6-264B5617F56F}"/>
    <cellStyle name="40% - Accent3 4 4 4" xfId="10034" xr:uid="{A72B06C7-F9FD-4DF5-B9C1-A1EC0D7ADE1A}"/>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BBED70EA-25CE-4767-ADC9-36538D4E6C28}"/>
    <cellStyle name="40% - Accent3 4 5 2 3" xfId="12592" xr:uid="{FC1BD4B3-F322-4FEA-92AE-E4DC10FB77C1}"/>
    <cellStyle name="40% - Accent3 4 5 3" xfId="6230" xr:uid="{00000000-0005-0000-0000-00008A050000}"/>
    <cellStyle name="40% - Accent3 4 5 3 2" xfId="14665" xr:uid="{F7FABBF4-8EDD-46E2-A47D-D3983AD2FA84}"/>
    <cellStyle name="40% - Accent3 4 5 4" xfId="10447" xr:uid="{F2FB9EE0-FF89-4825-94F3-322F077F6D20}"/>
    <cellStyle name="40% - Accent3 4 6" xfId="2336" xr:uid="{00000000-0005-0000-0000-00008B050000}"/>
    <cellStyle name="40% - Accent3 4 6 2" xfId="6643" xr:uid="{00000000-0005-0000-0000-00008C050000}"/>
    <cellStyle name="40% - Accent3 4 6 2 2" xfId="15078" xr:uid="{CEE5246E-BE61-4C6C-B5CB-D065D611EE6D}"/>
    <cellStyle name="40% - Accent3 4 6 3" xfId="10860" xr:uid="{7886261C-5682-4947-9108-2BF4B4BA91C9}"/>
    <cellStyle name="40% - Accent3 4 7" xfId="4577" xr:uid="{00000000-0005-0000-0000-00008D050000}"/>
    <cellStyle name="40% - Accent3 4 7 2" xfId="13012" xr:uid="{3BEFC448-B3BB-4067-BD4C-41BCACDBE4A0}"/>
    <cellStyle name="40% - Accent3 4 8" xfId="8794" xr:uid="{37B72DA1-B4C7-4F69-958D-B8D08033FE22}"/>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399D8225-EC79-40B5-BBD1-041E1AB1025D}"/>
    <cellStyle name="40% - Accent3 5 2 3" xfId="11346" xr:uid="{BCC2F930-390F-4CAF-A155-DC0E435EC832}"/>
    <cellStyle name="40% - Accent3 5 3" xfId="4984" xr:uid="{00000000-0005-0000-0000-000091050000}"/>
    <cellStyle name="40% - Accent3 5 3 2" xfId="13419" xr:uid="{80797F10-3B03-4FB4-8D64-99BF0E051CD7}"/>
    <cellStyle name="40% - Accent3 5 4" xfId="9201" xr:uid="{BBF567FF-5385-4243-8537-6A1E33758CDB}"/>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25BF352A-AD3F-40FE-BF72-8256FC6B62A2}"/>
    <cellStyle name="40% - Accent3 6 2 3" xfId="11759" xr:uid="{76AD49C2-3C48-4331-8462-EF7CD8B28300}"/>
    <cellStyle name="40% - Accent3 6 3" xfId="5397" xr:uid="{00000000-0005-0000-0000-000095050000}"/>
    <cellStyle name="40% - Accent3 6 3 2" xfId="13832" xr:uid="{A0D95BAB-A683-4276-B1F8-35941FCF83E4}"/>
    <cellStyle name="40% - Accent3 6 4" xfId="9614" xr:uid="{B8139EE9-B79D-4A5A-BDE7-39C0253E6CCD}"/>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25E58E94-4C2D-40CA-83D6-2D793BDFB95D}"/>
    <cellStyle name="40% - Accent3 7 2 3" xfId="12172" xr:uid="{CCFBE7C2-B866-47E9-8A56-35127BFED161}"/>
    <cellStyle name="40% - Accent3 7 3" xfId="5810" xr:uid="{00000000-0005-0000-0000-000099050000}"/>
    <cellStyle name="40% - Accent3 7 3 2" xfId="14245" xr:uid="{B4297158-C4A6-4DA6-B982-7EEF09474A6B}"/>
    <cellStyle name="40% - Accent3 7 4" xfId="10027" xr:uid="{A6CDB50B-D643-4CEB-80FB-BC3DD77DB165}"/>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C7CEAD9E-150F-48F1-B7EE-DD5E07EB2F4D}"/>
    <cellStyle name="40% - Accent3 8 2 3" xfId="12585" xr:uid="{A4849A70-CAD8-43C0-AB00-ECC9D71FE3DA}"/>
    <cellStyle name="40% - Accent3 8 3" xfId="6223" xr:uid="{00000000-0005-0000-0000-00009D050000}"/>
    <cellStyle name="40% - Accent3 8 3 2" xfId="14658" xr:uid="{934BCD6E-8642-4602-ACC5-69A6513ABF81}"/>
    <cellStyle name="40% - Accent3 8 4" xfId="10440" xr:uid="{694F8981-5992-4FEA-BEE8-13ABBC0C453D}"/>
    <cellStyle name="40% - Accent3 9" xfId="2329" xr:uid="{00000000-0005-0000-0000-00009E050000}"/>
    <cellStyle name="40% - Accent3 9 2" xfId="6636" xr:uid="{00000000-0005-0000-0000-00009F050000}"/>
    <cellStyle name="40% - Accent3 9 2 2" xfId="15071" xr:uid="{B930B8F8-EF87-4B6E-B699-3D5E501730E4}"/>
    <cellStyle name="40% - Accent3 9 3" xfId="10853" xr:uid="{5A20450A-D8D0-4E09-95BA-BBFFBEB8315D}"/>
    <cellStyle name="40% - Accent4" xfId="73" builtinId="43" customBuiltin="1"/>
    <cellStyle name="40% - Accent4 10" xfId="4578" xr:uid="{00000000-0005-0000-0000-0000A1050000}"/>
    <cellStyle name="40% - Accent4 10 2" xfId="13013" xr:uid="{B86A2E4F-53AF-44BB-83A3-A0BCDC3916B1}"/>
    <cellStyle name="40% - Accent4 11" xfId="8795" xr:uid="{C7BA3644-FC52-4BE4-8E3D-7E7F05AF9F54}"/>
    <cellStyle name="40% - Accent4 2" xfId="74" xr:uid="{00000000-0005-0000-0000-0000A2050000}"/>
    <cellStyle name="40% - Accent4 2 10" xfId="8796" xr:uid="{CFFF33FA-524C-4CF3-95DC-C0ED4A8AFCEB}"/>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066C0F7A-63FA-44BF-968F-D9D8D10AAAC6}"/>
    <cellStyle name="40% - Accent4 2 2 2 2 2 3" xfId="11357" xr:uid="{E0665B24-F33E-48CE-BACF-1EE1DA0F33A9}"/>
    <cellStyle name="40% - Accent4 2 2 2 2 3" xfId="4995" xr:uid="{00000000-0005-0000-0000-0000A8050000}"/>
    <cellStyle name="40% - Accent4 2 2 2 2 3 2" xfId="13430" xr:uid="{9CEA4ECC-7015-4F0E-89EA-002CDECA0614}"/>
    <cellStyle name="40% - Accent4 2 2 2 2 4" xfId="9212" xr:uid="{796B301B-D2F0-428C-ADF1-7337BC72C0C8}"/>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FAAF2D4D-B7F2-4822-A262-B0D31284EE20}"/>
    <cellStyle name="40% - Accent4 2 2 2 3 2 3" xfId="11770" xr:uid="{0C224048-FDAB-45B7-99BB-AA4C4443408E}"/>
    <cellStyle name="40% - Accent4 2 2 2 3 3" xfId="5408" xr:uid="{00000000-0005-0000-0000-0000AC050000}"/>
    <cellStyle name="40% - Accent4 2 2 2 3 3 2" xfId="13843" xr:uid="{558E3A70-C7B0-4D47-8AD3-CAEE48EF5C9D}"/>
    <cellStyle name="40% - Accent4 2 2 2 3 4" xfId="9625" xr:uid="{F4ABFBDE-0FA2-43CB-AF94-3CBDC0FBB8F8}"/>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C63F89A5-A62F-4D64-BB1B-AA2BD3E0C25C}"/>
    <cellStyle name="40% - Accent4 2 2 2 4 2 3" xfId="12183" xr:uid="{B58AC579-5152-4CD4-9248-A2CF02824C7A}"/>
    <cellStyle name="40% - Accent4 2 2 2 4 3" xfId="5821" xr:uid="{00000000-0005-0000-0000-0000B0050000}"/>
    <cellStyle name="40% - Accent4 2 2 2 4 3 2" xfId="14256" xr:uid="{99E21883-3625-4A91-85CA-2572038448E2}"/>
    <cellStyle name="40% - Accent4 2 2 2 4 4" xfId="10038" xr:uid="{446C4484-9F1A-48BA-8C3E-21B405AEF582}"/>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CB906E46-BD77-454F-9269-A7977316DC0E}"/>
    <cellStyle name="40% - Accent4 2 2 2 5 2 3" xfId="12596" xr:uid="{399158EA-D525-406A-A1F5-407804661E28}"/>
    <cellStyle name="40% - Accent4 2 2 2 5 3" xfId="6234" xr:uid="{00000000-0005-0000-0000-0000B4050000}"/>
    <cellStyle name="40% - Accent4 2 2 2 5 3 2" xfId="14669" xr:uid="{0C2E72C7-A476-4783-BD2C-3C150EDCE04F}"/>
    <cellStyle name="40% - Accent4 2 2 2 5 4" xfId="10451" xr:uid="{A9214C98-8CF8-4551-9C34-BFE24748719A}"/>
    <cellStyle name="40% - Accent4 2 2 2 6" xfId="2340" xr:uid="{00000000-0005-0000-0000-0000B5050000}"/>
    <cellStyle name="40% - Accent4 2 2 2 6 2" xfId="6647" xr:uid="{00000000-0005-0000-0000-0000B6050000}"/>
    <cellStyle name="40% - Accent4 2 2 2 6 2 2" xfId="15082" xr:uid="{521898B8-C04B-4CC3-A0FF-1734EC18ED59}"/>
    <cellStyle name="40% - Accent4 2 2 2 6 3" xfId="10864" xr:uid="{3809E193-E0B6-4E8C-91C1-61DAA55242D4}"/>
    <cellStyle name="40% - Accent4 2 2 2 7" xfId="4581" xr:uid="{00000000-0005-0000-0000-0000B7050000}"/>
    <cellStyle name="40% - Accent4 2 2 2 7 2" xfId="13016" xr:uid="{61222043-DBE3-480B-B9ED-AEBBE5980A91}"/>
    <cellStyle name="40% - Accent4 2 2 2 8" xfId="8798" xr:uid="{B528B910-B366-4F53-AE91-96DC4432C900}"/>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78C96CBD-7E64-4DBF-9E15-E745E527729E}"/>
    <cellStyle name="40% - Accent4 2 2 3 2 3" xfId="11356" xr:uid="{CEFAFCB5-E46D-481D-A47A-904E3C977EFE}"/>
    <cellStyle name="40% - Accent4 2 2 3 3" xfId="4994" xr:uid="{00000000-0005-0000-0000-0000BB050000}"/>
    <cellStyle name="40% - Accent4 2 2 3 3 2" xfId="13429" xr:uid="{0690562B-E7A4-40D5-A0D6-CFBB96F8D5D9}"/>
    <cellStyle name="40% - Accent4 2 2 3 4" xfId="9211" xr:uid="{DB259668-F26D-4F00-B93F-C93455D99E1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3BCB6276-0C51-40DA-A0CF-348C96B855E7}"/>
    <cellStyle name="40% - Accent4 2 2 4 2 3" xfId="11769" xr:uid="{A1E7748B-A7D7-4066-9C0D-CA21CC666657}"/>
    <cellStyle name="40% - Accent4 2 2 4 3" xfId="5407" xr:uid="{00000000-0005-0000-0000-0000BF050000}"/>
    <cellStyle name="40% - Accent4 2 2 4 3 2" xfId="13842" xr:uid="{EEC54506-964C-4FCF-9CFC-544004048318}"/>
    <cellStyle name="40% - Accent4 2 2 4 4" xfId="9624" xr:uid="{186CFAB1-7C5A-498C-B07B-D5190E8F50CD}"/>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F7BFF0EC-92BD-4177-A92C-0548DA0B584D}"/>
    <cellStyle name="40% - Accent4 2 2 5 2 3" xfId="12182" xr:uid="{F8914C11-E75B-4D87-86F3-B023D7078C9C}"/>
    <cellStyle name="40% - Accent4 2 2 5 3" xfId="5820" xr:uid="{00000000-0005-0000-0000-0000C3050000}"/>
    <cellStyle name="40% - Accent4 2 2 5 3 2" xfId="14255" xr:uid="{2B95DD56-8842-42B8-8F3E-86D2345C276C}"/>
    <cellStyle name="40% - Accent4 2 2 5 4" xfId="10037" xr:uid="{4C2FB346-A737-4230-9C46-71CD449F0D10}"/>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09BDC69F-7135-4DCA-A8C2-9D8AC2C6772C}"/>
    <cellStyle name="40% - Accent4 2 2 6 2 3" xfId="12595" xr:uid="{224C2485-A0F4-40DA-BD67-B0088BFE440B}"/>
    <cellStyle name="40% - Accent4 2 2 6 3" xfId="6233" xr:uid="{00000000-0005-0000-0000-0000C7050000}"/>
    <cellStyle name="40% - Accent4 2 2 6 3 2" xfId="14668" xr:uid="{FDE42E98-9664-4773-B27E-C09A7E8AFFFE}"/>
    <cellStyle name="40% - Accent4 2 2 6 4" xfId="10450" xr:uid="{E113F61E-E8F8-49E8-BD3F-8C9E6253C404}"/>
    <cellStyle name="40% - Accent4 2 2 7" xfId="2339" xr:uid="{00000000-0005-0000-0000-0000C8050000}"/>
    <cellStyle name="40% - Accent4 2 2 7 2" xfId="6646" xr:uid="{00000000-0005-0000-0000-0000C9050000}"/>
    <cellStyle name="40% - Accent4 2 2 7 2 2" xfId="15081" xr:uid="{0375645E-CCE0-4639-A6B4-5A8A0C4DB249}"/>
    <cellStyle name="40% - Accent4 2 2 7 3" xfId="10863" xr:uid="{81696AAD-9426-4524-A5CC-685077F1B8DE}"/>
    <cellStyle name="40% - Accent4 2 2 8" xfId="4580" xr:uid="{00000000-0005-0000-0000-0000CA050000}"/>
    <cellStyle name="40% - Accent4 2 2 8 2" xfId="13015" xr:uid="{78191F95-0A79-4A7E-A3BA-0A1AB3B6BD47}"/>
    <cellStyle name="40% - Accent4 2 2 9" xfId="8797" xr:uid="{85ACF5C3-9733-4901-96A6-9BB6B7BAB6C5}"/>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42D65147-1A52-4BEA-802D-2C3F0D5D006B}"/>
    <cellStyle name="40% - Accent4 2 3 2 2 3" xfId="11358" xr:uid="{C41502BA-BE0E-499D-9494-9426B151F2DE}"/>
    <cellStyle name="40% - Accent4 2 3 2 3" xfId="4996" xr:uid="{00000000-0005-0000-0000-0000CF050000}"/>
    <cellStyle name="40% - Accent4 2 3 2 3 2" xfId="13431" xr:uid="{4E23107A-0836-4ECF-8EF6-B444C7C4A322}"/>
    <cellStyle name="40% - Accent4 2 3 2 4" xfId="9213" xr:uid="{C194F6ED-7276-474C-B759-500AC1A0EAB8}"/>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6D2CBCF3-6E7A-4168-A208-1677CF92BDBF}"/>
    <cellStyle name="40% - Accent4 2 3 3 2 3" xfId="11771" xr:uid="{BBA9A67C-02B5-4BEE-824F-A18D98B3343A}"/>
    <cellStyle name="40% - Accent4 2 3 3 3" xfId="5409" xr:uid="{00000000-0005-0000-0000-0000D3050000}"/>
    <cellStyle name="40% - Accent4 2 3 3 3 2" xfId="13844" xr:uid="{5322007D-572C-4A98-9126-4C124CC742EE}"/>
    <cellStyle name="40% - Accent4 2 3 3 4" xfId="9626" xr:uid="{E5368BE1-B9C3-4F20-A9FA-F214E3715E04}"/>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122783B0-801F-49AB-B6B2-5274C199F2EC}"/>
    <cellStyle name="40% - Accent4 2 3 4 2 3" xfId="12184" xr:uid="{9F7A734A-33E4-4612-B07F-9929FE604C22}"/>
    <cellStyle name="40% - Accent4 2 3 4 3" xfId="5822" xr:uid="{00000000-0005-0000-0000-0000D7050000}"/>
    <cellStyle name="40% - Accent4 2 3 4 3 2" xfId="14257" xr:uid="{538CC6C4-4174-42B6-8B3B-D6C908738F94}"/>
    <cellStyle name="40% - Accent4 2 3 4 4" xfId="10039" xr:uid="{8D433B97-7F79-447D-815C-2F84C7968753}"/>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4E0B4FB6-B144-48EE-A592-43D1C7E79DE3}"/>
    <cellStyle name="40% - Accent4 2 3 5 2 3" xfId="12597" xr:uid="{2DF857D3-A44E-4F75-92FB-6EFCD0CD24D1}"/>
    <cellStyle name="40% - Accent4 2 3 5 3" xfId="6235" xr:uid="{00000000-0005-0000-0000-0000DB050000}"/>
    <cellStyle name="40% - Accent4 2 3 5 3 2" xfId="14670" xr:uid="{F7F9C6EA-C2D3-439C-A77B-633284EE9EF8}"/>
    <cellStyle name="40% - Accent4 2 3 5 4" xfId="10452" xr:uid="{EE0D02C2-31B6-4067-B830-7BD527BE8C58}"/>
    <cellStyle name="40% - Accent4 2 3 6" xfId="2341" xr:uid="{00000000-0005-0000-0000-0000DC050000}"/>
    <cellStyle name="40% - Accent4 2 3 6 2" xfId="6648" xr:uid="{00000000-0005-0000-0000-0000DD050000}"/>
    <cellStyle name="40% - Accent4 2 3 6 2 2" xfId="15083" xr:uid="{05BEF4D8-44E7-4865-A03D-322A2023D34F}"/>
    <cellStyle name="40% - Accent4 2 3 6 3" xfId="10865" xr:uid="{6C9C7C7A-EA8C-4A25-A5F9-C55FD43FC114}"/>
    <cellStyle name="40% - Accent4 2 3 7" xfId="4582" xr:uid="{00000000-0005-0000-0000-0000DE050000}"/>
    <cellStyle name="40% - Accent4 2 3 7 2" xfId="13017" xr:uid="{64CD7118-437F-49F6-9935-22D466485529}"/>
    <cellStyle name="40% - Accent4 2 3 8" xfId="8799" xr:uid="{D2832F7B-2CEF-4F58-97DE-D79A60291758}"/>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4AA994A2-B8BA-4E45-A2AA-9F8F59479C44}"/>
    <cellStyle name="40% - Accent4 2 4 2 3" xfId="11355" xr:uid="{979476E1-EFE7-4A85-A985-538415C7D6DC}"/>
    <cellStyle name="40% - Accent4 2 4 3" xfId="4993" xr:uid="{00000000-0005-0000-0000-0000E2050000}"/>
    <cellStyle name="40% - Accent4 2 4 3 2" xfId="13428" xr:uid="{758C13CE-9FAA-4F57-B7E8-719CD5BFBC78}"/>
    <cellStyle name="40% - Accent4 2 4 4" xfId="9210" xr:uid="{D2D38E44-294A-4CFD-B9B6-CBE549F17CF1}"/>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B311B018-8456-44F2-8617-F3CFEDF09207}"/>
    <cellStyle name="40% - Accent4 2 5 2 3" xfId="11768" xr:uid="{C7C75814-6545-4661-B857-5DCAFD5AEFEA}"/>
    <cellStyle name="40% - Accent4 2 5 3" xfId="5406" xr:uid="{00000000-0005-0000-0000-0000E6050000}"/>
    <cellStyle name="40% - Accent4 2 5 3 2" xfId="13841" xr:uid="{E868C98B-3120-428D-A38F-3B79A86C0468}"/>
    <cellStyle name="40% - Accent4 2 5 4" xfId="9623" xr:uid="{DB171FB6-9E04-45CC-9750-D057ADC6F98A}"/>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6346AA99-17A2-47C1-9773-F83D5645024C}"/>
    <cellStyle name="40% - Accent4 2 6 2 3" xfId="12181" xr:uid="{B6EE950A-29A6-4D61-B042-D66E2AD6D0AC}"/>
    <cellStyle name="40% - Accent4 2 6 3" xfId="5819" xr:uid="{00000000-0005-0000-0000-0000EA050000}"/>
    <cellStyle name="40% - Accent4 2 6 3 2" xfId="14254" xr:uid="{D8ED5C5A-E164-421F-B061-7E31FF03D22D}"/>
    <cellStyle name="40% - Accent4 2 6 4" xfId="10036" xr:uid="{FEB33D7D-7B6E-40E3-898A-8D78D89EDA7E}"/>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6EAE0FAA-7790-4A89-9A19-C30E803CE856}"/>
    <cellStyle name="40% - Accent4 2 7 2 3" xfId="12594" xr:uid="{B2E86D88-6B25-4CB0-A755-34166683079A}"/>
    <cellStyle name="40% - Accent4 2 7 3" xfId="6232" xr:uid="{00000000-0005-0000-0000-0000EE050000}"/>
    <cellStyle name="40% - Accent4 2 7 3 2" xfId="14667" xr:uid="{4061875A-B4DF-4A95-B5DF-8F12B2F45018}"/>
    <cellStyle name="40% - Accent4 2 7 4" xfId="10449" xr:uid="{6A2DC692-6DC4-4E3E-A30F-8B4D28308421}"/>
    <cellStyle name="40% - Accent4 2 8" xfId="2338" xr:uid="{00000000-0005-0000-0000-0000EF050000}"/>
    <cellStyle name="40% - Accent4 2 8 2" xfId="6645" xr:uid="{00000000-0005-0000-0000-0000F0050000}"/>
    <cellStyle name="40% - Accent4 2 8 2 2" xfId="15080" xr:uid="{5B5BB20D-9E6C-43DC-A9C8-58F75FE64FD5}"/>
    <cellStyle name="40% - Accent4 2 8 3" xfId="10862" xr:uid="{E4B21120-820E-4697-86A3-CFC67819D70C}"/>
    <cellStyle name="40% - Accent4 2 9" xfId="4579" xr:uid="{00000000-0005-0000-0000-0000F1050000}"/>
    <cellStyle name="40% - Accent4 2 9 2" xfId="13014" xr:uid="{1FB5C412-282E-43D9-A532-17FAA43D9D59}"/>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F4166659-AD07-4B51-8051-7E8DEE9D1F3F}"/>
    <cellStyle name="40% - Accent4 3 2 2 2 3" xfId="11360" xr:uid="{919A4E63-68B3-4D17-9E5D-52289217CD84}"/>
    <cellStyle name="40% - Accent4 3 2 2 3" xfId="4998" xr:uid="{00000000-0005-0000-0000-0000F7050000}"/>
    <cellStyle name="40% - Accent4 3 2 2 3 2" xfId="13433" xr:uid="{1B9B1866-5C68-4B53-AF71-CB2C5CD0F40D}"/>
    <cellStyle name="40% - Accent4 3 2 2 4" xfId="9215" xr:uid="{949863A8-8E08-451A-AD43-D580C20C32CC}"/>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CA36C757-D86A-4C44-84A8-E559D537C482}"/>
    <cellStyle name="40% - Accent4 3 2 3 2 3" xfId="11773" xr:uid="{07D171B4-8225-4DAB-8CAF-B8AA85BCDCC1}"/>
    <cellStyle name="40% - Accent4 3 2 3 3" xfId="5411" xr:uid="{00000000-0005-0000-0000-0000FB050000}"/>
    <cellStyle name="40% - Accent4 3 2 3 3 2" xfId="13846" xr:uid="{6813549F-23A7-47A4-A711-3578FA60FAF9}"/>
    <cellStyle name="40% - Accent4 3 2 3 4" xfId="9628" xr:uid="{D9A7FCA2-67F5-407C-BB0B-FE71D329151F}"/>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DDCA7F1E-A97F-4158-A05C-4A8760E4B100}"/>
    <cellStyle name="40% - Accent4 3 2 4 2 3" xfId="12186" xr:uid="{CBF8B2C0-1964-4AED-B08D-C8AFC676C715}"/>
    <cellStyle name="40% - Accent4 3 2 4 3" xfId="5824" xr:uid="{00000000-0005-0000-0000-0000FF050000}"/>
    <cellStyle name="40% - Accent4 3 2 4 3 2" xfId="14259" xr:uid="{D8956068-EADA-4F26-A278-B072CDCC2C50}"/>
    <cellStyle name="40% - Accent4 3 2 4 4" xfId="10041" xr:uid="{25CD91A2-8821-40F9-AC5C-F9BE6B569E11}"/>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A12FA971-78C0-4795-82FE-479AC79DD2B6}"/>
    <cellStyle name="40% - Accent4 3 2 5 2 3" xfId="12599" xr:uid="{7593B6E0-96FE-45DA-9218-A7A7C8561EF0}"/>
    <cellStyle name="40% - Accent4 3 2 5 3" xfId="6237" xr:uid="{00000000-0005-0000-0000-000003060000}"/>
    <cellStyle name="40% - Accent4 3 2 5 3 2" xfId="14672" xr:uid="{4764F5C9-593E-4583-997A-9BFFA829F1A1}"/>
    <cellStyle name="40% - Accent4 3 2 5 4" xfId="10454" xr:uid="{5392EB6C-2187-4E14-95C0-8BDD45E4A6B5}"/>
    <cellStyle name="40% - Accent4 3 2 6" xfId="2343" xr:uid="{00000000-0005-0000-0000-000004060000}"/>
    <cellStyle name="40% - Accent4 3 2 6 2" xfId="6650" xr:uid="{00000000-0005-0000-0000-000005060000}"/>
    <cellStyle name="40% - Accent4 3 2 6 2 2" xfId="15085" xr:uid="{45DBB735-9AC3-40D7-815A-3BA0BC00D2DF}"/>
    <cellStyle name="40% - Accent4 3 2 6 3" xfId="10867" xr:uid="{8BCE00B9-9BE9-4CB6-9589-06CED2024824}"/>
    <cellStyle name="40% - Accent4 3 2 7" xfId="4584" xr:uid="{00000000-0005-0000-0000-000006060000}"/>
    <cellStyle name="40% - Accent4 3 2 7 2" xfId="13019" xr:uid="{128D2221-8060-481F-95C3-F9A598CAEFCF}"/>
    <cellStyle name="40% - Accent4 3 2 8" xfId="8801" xr:uid="{E0EEF543-EA61-42E1-B7D2-F5A773E6AC09}"/>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4F357C44-2E99-4986-A48F-08D6E1B3FC37}"/>
    <cellStyle name="40% - Accent4 3 3 2 3" xfId="11359" xr:uid="{BAB55130-0ABF-4C19-9C1E-9123C9BA4102}"/>
    <cellStyle name="40% - Accent4 3 3 3" xfId="4997" xr:uid="{00000000-0005-0000-0000-00000A060000}"/>
    <cellStyle name="40% - Accent4 3 3 3 2" xfId="13432" xr:uid="{22915DB8-B6C4-46D7-AF5F-FBE981C012FB}"/>
    <cellStyle name="40% - Accent4 3 3 4" xfId="9214" xr:uid="{7EF669AA-09A9-45BE-A1D6-ADACFCEFD236}"/>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6B71383F-20DD-495F-990E-C524DB0B1168}"/>
    <cellStyle name="40% - Accent4 3 4 2 3" xfId="11772" xr:uid="{482CE790-3516-471B-8285-E158BF79D267}"/>
    <cellStyle name="40% - Accent4 3 4 3" xfId="5410" xr:uid="{00000000-0005-0000-0000-00000E060000}"/>
    <cellStyle name="40% - Accent4 3 4 3 2" xfId="13845" xr:uid="{A8A6B3D4-E1F4-4F9F-A1BA-E344E347D781}"/>
    <cellStyle name="40% - Accent4 3 4 4" xfId="9627" xr:uid="{54367A67-E3FF-44A7-A1B8-0EB4C46E716B}"/>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A888D264-8ED5-4BA6-AFC8-6372C9AA5829}"/>
    <cellStyle name="40% - Accent4 3 5 2 3" xfId="12185" xr:uid="{7C7608A0-D6D4-49C9-9A03-9A2BA77ED693}"/>
    <cellStyle name="40% - Accent4 3 5 3" xfId="5823" xr:uid="{00000000-0005-0000-0000-000012060000}"/>
    <cellStyle name="40% - Accent4 3 5 3 2" xfId="14258" xr:uid="{672AC728-7E84-45DB-BA6C-81BD812D4B92}"/>
    <cellStyle name="40% - Accent4 3 5 4" xfId="10040" xr:uid="{C948037C-CFBF-4811-9D07-A0AD8DAA757F}"/>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945B268D-11B3-46AB-AE31-CC6B8B3122FB}"/>
    <cellStyle name="40% - Accent4 3 6 2 3" xfId="12598" xr:uid="{058256EC-335E-45E8-B421-7EF13D78612D}"/>
    <cellStyle name="40% - Accent4 3 6 3" xfId="6236" xr:uid="{00000000-0005-0000-0000-000016060000}"/>
    <cellStyle name="40% - Accent4 3 6 3 2" xfId="14671" xr:uid="{414F01D1-A64F-4AB1-A3FF-A7B612CAB31D}"/>
    <cellStyle name="40% - Accent4 3 6 4" xfId="10453" xr:uid="{79509A0F-9326-40E7-B07E-1B643CF168F4}"/>
    <cellStyle name="40% - Accent4 3 7" xfId="2342" xr:uid="{00000000-0005-0000-0000-000017060000}"/>
    <cellStyle name="40% - Accent4 3 7 2" xfId="6649" xr:uid="{00000000-0005-0000-0000-000018060000}"/>
    <cellStyle name="40% - Accent4 3 7 2 2" xfId="15084" xr:uid="{9FDF1E1A-CCF6-4774-9838-ECA0A759249E}"/>
    <cellStyle name="40% - Accent4 3 7 3" xfId="10866" xr:uid="{2A1BE98E-F4A5-449D-A23E-DBD2F8DF2482}"/>
    <cellStyle name="40% - Accent4 3 8" xfId="4583" xr:uid="{00000000-0005-0000-0000-000019060000}"/>
    <cellStyle name="40% - Accent4 3 8 2" xfId="13018" xr:uid="{A61249E4-1BF6-4F55-8A89-23C4B8020EA3}"/>
    <cellStyle name="40% - Accent4 3 9" xfId="8800" xr:uid="{38A65D2A-13E9-4D7B-AC69-04454994BA33}"/>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455B17B2-AC21-46D8-9CC7-6D80D53CE1A2}"/>
    <cellStyle name="40% - Accent4 4 2 2 3" xfId="11361" xr:uid="{3AEE5D7E-7C0B-4E94-8388-F5379A936B14}"/>
    <cellStyle name="40% - Accent4 4 2 3" xfId="4999" xr:uid="{00000000-0005-0000-0000-00001E060000}"/>
    <cellStyle name="40% - Accent4 4 2 3 2" xfId="13434" xr:uid="{AB1144FC-66AB-4E8E-83A1-9F5BE221B8DE}"/>
    <cellStyle name="40% - Accent4 4 2 4" xfId="9216" xr:uid="{FED9BE1D-6674-47A4-B965-D46660A1D721}"/>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9D983DE4-F1CD-42EC-86C5-4CDEA2AE8793}"/>
    <cellStyle name="40% - Accent4 4 3 2 3" xfId="11774" xr:uid="{F89E68C0-BF4E-472F-B51A-9BA7561C2BFF}"/>
    <cellStyle name="40% - Accent4 4 3 3" xfId="5412" xr:uid="{00000000-0005-0000-0000-000022060000}"/>
    <cellStyle name="40% - Accent4 4 3 3 2" xfId="13847" xr:uid="{7FB04E9A-D4E4-4D04-A624-48F27119413E}"/>
    <cellStyle name="40% - Accent4 4 3 4" xfId="9629" xr:uid="{F97905DF-6E43-4D79-ACCF-896C8D88E580}"/>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8330AA1E-9164-4325-B7D4-166A8CB69928}"/>
    <cellStyle name="40% - Accent4 4 4 2 3" xfId="12187" xr:uid="{B33139B3-010F-4E3A-9681-E535E2C9D2C4}"/>
    <cellStyle name="40% - Accent4 4 4 3" xfId="5825" xr:uid="{00000000-0005-0000-0000-000026060000}"/>
    <cellStyle name="40% - Accent4 4 4 3 2" xfId="14260" xr:uid="{F2CAC058-864F-43D9-9C42-FFBDD8FB9835}"/>
    <cellStyle name="40% - Accent4 4 4 4" xfId="10042" xr:uid="{C4ABC40C-CA8C-4D8A-AA94-54D1061F4367}"/>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3A5AA090-8E68-4516-99C1-A513B5DC05DB}"/>
    <cellStyle name="40% - Accent4 4 5 2 3" xfId="12600" xr:uid="{31D2D6A7-81D7-4028-B999-76D3BF6E767E}"/>
    <cellStyle name="40% - Accent4 4 5 3" xfId="6238" xr:uid="{00000000-0005-0000-0000-00002A060000}"/>
    <cellStyle name="40% - Accent4 4 5 3 2" xfId="14673" xr:uid="{AAC0650E-3F9A-4D77-84D1-648B0541318C}"/>
    <cellStyle name="40% - Accent4 4 5 4" xfId="10455" xr:uid="{99912DAA-22B3-4C8E-BCFB-4EDDCE7FE3EE}"/>
    <cellStyle name="40% - Accent4 4 6" xfId="2344" xr:uid="{00000000-0005-0000-0000-00002B060000}"/>
    <cellStyle name="40% - Accent4 4 6 2" xfId="6651" xr:uid="{00000000-0005-0000-0000-00002C060000}"/>
    <cellStyle name="40% - Accent4 4 6 2 2" xfId="15086" xr:uid="{A7B5AAA4-DC84-438A-90AB-605B39B50F5F}"/>
    <cellStyle name="40% - Accent4 4 6 3" xfId="10868" xr:uid="{DACE1F73-1CA1-4E6C-B05B-9401034ED100}"/>
    <cellStyle name="40% - Accent4 4 7" xfId="4585" xr:uid="{00000000-0005-0000-0000-00002D060000}"/>
    <cellStyle name="40% - Accent4 4 7 2" xfId="13020" xr:uid="{4A30543D-3534-4CF5-8D2A-409D1547F772}"/>
    <cellStyle name="40% - Accent4 4 8" xfId="8802" xr:uid="{EB8573A4-8B29-482B-BE10-926AD955CDCB}"/>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9C6D958B-B0D9-4341-B58A-0A9F44419EC5}"/>
    <cellStyle name="40% - Accent4 5 2 3" xfId="11354" xr:uid="{E09CD4CB-2590-449B-BA7E-C528272F6428}"/>
    <cellStyle name="40% - Accent4 5 3" xfId="4992" xr:uid="{00000000-0005-0000-0000-000031060000}"/>
    <cellStyle name="40% - Accent4 5 3 2" xfId="13427" xr:uid="{78A05D4C-EF48-48CF-BE34-D79E19F87C2B}"/>
    <cellStyle name="40% - Accent4 5 4" xfId="9209" xr:uid="{780675BA-4667-4CCC-891C-55968A1E37B0}"/>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361D00A9-CB3B-4249-9554-EC05E695BE6B}"/>
    <cellStyle name="40% - Accent4 6 2 3" xfId="11767" xr:uid="{BDC0513C-8648-4BD8-977B-8F6B0F3C05A1}"/>
    <cellStyle name="40% - Accent4 6 3" xfId="5405" xr:uid="{00000000-0005-0000-0000-000035060000}"/>
    <cellStyle name="40% - Accent4 6 3 2" xfId="13840" xr:uid="{91A61F02-F2E2-4BB2-BE54-238C319412A9}"/>
    <cellStyle name="40% - Accent4 6 4" xfId="9622" xr:uid="{ACB38A35-85EA-4782-9651-D62556E05062}"/>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A85C0909-EB5E-4D49-B364-B6A33283D401}"/>
    <cellStyle name="40% - Accent4 7 2 3" xfId="12180" xr:uid="{198362FB-BE5E-4F05-A9CA-A852D2B4D8B3}"/>
    <cellStyle name="40% - Accent4 7 3" xfId="5818" xr:uid="{00000000-0005-0000-0000-000039060000}"/>
    <cellStyle name="40% - Accent4 7 3 2" xfId="14253" xr:uid="{C8A86DBD-F3DB-42AF-BBBA-F12E7ED69B49}"/>
    <cellStyle name="40% - Accent4 7 4" xfId="10035" xr:uid="{5A83B107-91BD-42B1-817F-2568E928284E}"/>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A0061DC1-F32F-40DA-8443-128F759D5AFD}"/>
    <cellStyle name="40% - Accent4 8 2 3" xfId="12593" xr:uid="{7CF485C3-60C9-4F5B-8DB5-EEFB983F500D}"/>
    <cellStyle name="40% - Accent4 8 3" xfId="6231" xr:uid="{00000000-0005-0000-0000-00003D060000}"/>
    <cellStyle name="40% - Accent4 8 3 2" xfId="14666" xr:uid="{D13E1FFF-70ED-4215-8841-AF343107CFE3}"/>
    <cellStyle name="40% - Accent4 8 4" xfId="10448" xr:uid="{98ADACED-51AC-4BA5-A5CB-978849F31061}"/>
    <cellStyle name="40% - Accent4 9" xfId="2337" xr:uid="{00000000-0005-0000-0000-00003E060000}"/>
    <cellStyle name="40% - Accent4 9 2" xfId="6644" xr:uid="{00000000-0005-0000-0000-00003F060000}"/>
    <cellStyle name="40% - Accent4 9 2 2" xfId="15079" xr:uid="{512E975F-DC5B-4ED4-9CE1-F8B67ACF45DE}"/>
    <cellStyle name="40% - Accent4 9 3" xfId="10861" xr:uid="{903DB929-D2C7-4540-B051-118D330406B1}"/>
    <cellStyle name="40% - Accent5" xfId="81" builtinId="47" customBuiltin="1"/>
    <cellStyle name="40% - Accent5 10" xfId="4586" xr:uid="{00000000-0005-0000-0000-000041060000}"/>
    <cellStyle name="40% - Accent5 10 2" xfId="13021" xr:uid="{8E5B07F6-D493-4AE6-AA7C-943EB45D26CF}"/>
    <cellStyle name="40% - Accent5 11" xfId="8803" xr:uid="{15D1F6B1-ABB8-4990-A130-70D8B4501BFC}"/>
    <cellStyle name="40% - Accent5 2" xfId="82" xr:uid="{00000000-0005-0000-0000-000042060000}"/>
    <cellStyle name="40% - Accent5 2 10" xfId="8804" xr:uid="{61168D3F-FBC2-4E81-B529-C739E1BCAEF4}"/>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CFDAF5F5-FFB7-4661-837F-FF12A7CBDC86}"/>
    <cellStyle name="40% - Accent5 2 2 2 2 2 3" xfId="11365" xr:uid="{669E2A95-B8DE-4C0E-9DDD-E6FE408F418D}"/>
    <cellStyle name="40% - Accent5 2 2 2 2 3" xfId="5003" xr:uid="{00000000-0005-0000-0000-000048060000}"/>
    <cellStyle name="40% - Accent5 2 2 2 2 3 2" xfId="13438" xr:uid="{06FE0EC4-5935-40A3-BB84-AE6296AE67D8}"/>
    <cellStyle name="40% - Accent5 2 2 2 2 4" xfId="9220" xr:uid="{4867D863-01F7-4058-8D8D-F1D774C9B274}"/>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580C9B80-59A2-40E9-9420-B1BC481FF169}"/>
    <cellStyle name="40% - Accent5 2 2 2 3 2 3" xfId="11778" xr:uid="{16E115DC-2994-4EA2-A349-3D37E2A75A83}"/>
    <cellStyle name="40% - Accent5 2 2 2 3 3" xfId="5416" xr:uid="{00000000-0005-0000-0000-00004C060000}"/>
    <cellStyle name="40% - Accent5 2 2 2 3 3 2" xfId="13851" xr:uid="{CEC4775B-6DBE-47D9-8F1D-2C960215E5F7}"/>
    <cellStyle name="40% - Accent5 2 2 2 3 4" xfId="9633" xr:uid="{FC87BCD6-5271-442D-A54D-DEE4A4DF03E3}"/>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B23130FB-2441-47AC-8C3B-E7B1F8867022}"/>
    <cellStyle name="40% - Accent5 2 2 2 4 2 3" xfId="12191" xr:uid="{52755183-416B-474B-A288-A74661B1DB6F}"/>
    <cellStyle name="40% - Accent5 2 2 2 4 3" xfId="5829" xr:uid="{00000000-0005-0000-0000-000050060000}"/>
    <cellStyle name="40% - Accent5 2 2 2 4 3 2" xfId="14264" xr:uid="{2D18082A-FDF4-4834-B89D-D4506E2ADA03}"/>
    <cellStyle name="40% - Accent5 2 2 2 4 4" xfId="10046" xr:uid="{6C0B8152-FC8C-4C2D-BD44-110B05A7B204}"/>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F64103F0-BE0E-4CCD-944A-6EAACEC956D3}"/>
    <cellStyle name="40% - Accent5 2 2 2 5 2 3" xfId="12604" xr:uid="{AEE412A9-170E-471D-99F7-1D1DADEE4364}"/>
    <cellStyle name="40% - Accent5 2 2 2 5 3" xfId="6242" xr:uid="{00000000-0005-0000-0000-000054060000}"/>
    <cellStyle name="40% - Accent5 2 2 2 5 3 2" xfId="14677" xr:uid="{22EA6764-37BC-4AC6-88DC-B9A5CF159386}"/>
    <cellStyle name="40% - Accent5 2 2 2 5 4" xfId="10459" xr:uid="{CC42692C-45D0-42C0-A1C3-0667E3131FD0}"/>
    <cellStyle name="40% - Accent5 2 2 2 6" xfId="2348" xr:uid="{00000000-0005-0000-0000-000055060000}"/>
    <cellStyle name="40% - Accent5 2 2 2 6 2" xfId="6655" xr:uid="{00000000-0005-0000-0000-000056060000}"/>
    <cellStyle name="40% - Accent5 2 2 2 6 2 2" xfId="15090" xr:uid="{05B3972F-57D3-4F22-BB22-98D3F0B60311}"/>
    <cellStyle name="40% - Accent5 2 2 2 6 3" xfId="10872" xr:uid="{C52009C0-0891-48A9-BCDD-30035AA3E075}"/>
    <cellStyle name="40% - Accent5 2 2 2 7" xfId="4589" xr:uid="{00000000-0005-0000-0000-000057060000}"/>
    <cellStyle name="40% - Accent5 2 2 2 7 2" xfId="13024" xr:uid="{C468AC09-AE57-44A6-A29E-663E97FF636E}"/>
    <cellStyle name="40% - Accent5 2 2 2 8" xfId="8806" xr:uid="{AD13C1F9-D1CC-405A-8D74-C4E929E9B1A3}"/>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9ED42452-2F82-4304-A6BC-C4D254BD9A6A}"/>
    <cellStyle name="40% - Accent5 2 2 3 2 3" xfId="11364" xr:uid="{10AB2B82-7008-4674-A36D-B057F7910C86}"/>
    <cellStyle name="40% - Accent5 2 2 3 3" xfId="5002" xr:uid="{00000000-0005-0000-0000-00005B060000}"/>
    <cellStyle name="40% - Accent5 2 2 3 3 2" xfId="13437" xr:uid="{2EE4CD1B-8D6B-45A1-ACBD-56E3EC23E398}"/>
    <cellStyle name="40% - Accent5 2 2 3 4" xfId="9219" xr:uid="{1A86D6AF-D302-4337-A657-4E0EDA0F2150}"/>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2EBF2ECA-A59F-4DD1-9D70-BABE0035D0FD}"/>
    <cellStyle name="40% - Accent5 2 2 4 2 3" xfId="11777" xr:uid="{F7C250D7-F80F-4137-BF3F-39D2435DEA77}"/>
    <cellStyle name="40% - Accent5 2 2 4 3" xfId="5415" xr:uid="{00000000-0005-0000-0000-00005F060000}"/>
    <cellStyle name="40% - Accent5 2 2 4 3 2" xfId="13850" xr:uid="{36CCAF24-57BB-42F0-A8DC-0DA2B8176637}"/>
    <cellStyle name="40% - Accent5 2 2 4 4" xfId="9632" xr:uid="{0C7C7C48-D1FC-4C11-8FEA-6631173F05DB}"/>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2B75276F-AF0B-47B6-A82E-C90694601489}"/>
    <cellStyle name="40% - Accent5 2 2 5 2 3" xfId="12190" xr:uid="{17DD456C-72EF-4082-BF4D-AF5EB268F358}"/>
    <cellStyle name="40% - Accent5 2 2 5 3" xfId="5828" xr:uid="{00000000-0005-0000-0000-000063060000}"/>
    <cellStyle name="40% - Accent5 2 2 5 3 2" xfId="14263" xr:uid="{7F4A4864-4295-42BE-AEDD-16C116FFAC74}"/>
    <cellStyle name="40% - Accent5 2 2 5 4" xfId="10045" xr:uid="{5A4A4A1D-56C4-48DA-950A-AE5982B2D1B3}"/>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FB82CD36-C484-4C07-9FF0-8D6755885FB2}"/>
    <cellStyle name="40% - Accent5 2 2 6 2 3" xfId="12603" xr:uid="{9263E3BB-DDCB-4494-BA21-BFDA8033568D}"/>
    <cellStyle name="40% - Accent5 2 2 6 3" xfId="6241" xr:uid="{00000000-0005-0000-0000-000067060000}"/>
    <cellStyle name="40% - Accent5 2 2 6 3 2" xfId="14676" xr:uid="{16AD434B-0931-4FCA-B888-2A5498567432}"/>
    <cellStyle name="40% - Accent5 2 2 6 4" xfId="10458" xr:uid="{B3C1E648-7728-42CC-BE92-EEAB8E3DD7F2}"/>
    <cellStyle name="40% - Accent5 2 2 7" xfId="2347" xr:uid="{00000000-0005-0000-0000-000068060000}"/>
    <cellStyle name="40% - Accent5 2 2 7 2" xfId="6654" xr:uid="{00000000-0005-0000-0000-000069060000}"/>
    <cellStyle name="40% - Accent5 2 2 7 2 2" xfId="15089" xr:uid="{840531AD-14CB-479A-84AB-85BD87658FB7}"/>
    <cellStyle name="40% - Accent5 2 2 7 3" xfId="10871" xr:uid="{00C6CEB5-CF17-4F2A-B9CA-29B5F768CBBC}"/>
    <cellStyle name="40% - Accent5 2 2 8" xfId="4588" xr:uid="{00000000-0005-0000-0000-00006A060000}"/>
    <cellStyle name="40% - Accent5 2 2 8 2" xfId="13023" xr:uid="{9C294436-9314-47F7-AC8E-83C7963F9CA2}"/>
    <cellStyle name="40% - Accent5 2 2 9" xfId="8805" xr:uid="{EADC7BD3-FB81-4982-9DC6-B89FBDF71071}"/>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33EB4862-6FBA-45AF-9345-7DC30AC63A71}"/>
    <cellStyle name="40% - Accent5 2 3 2 2 3" xfId="11366" xr:uid="{E48A19CB-6C76-4DD7-9D12-2F1D36E483AD}"/>
    <cellStyle name="40% - Accent5 2 3 2 3" xfId="5004" xr:uid="{00000000-0005-0000-0000-00006F060000}"/>
    <cellStyle name="40% - Accent5 2 3 2 3 2" xfId="13439" xr:uid="{D5CB8CA8-62A4-450F-B1C9-096AADC6A5A5}"/>
    <cellStyle name="40% - Accent5 2 3 2 4" xfId="9221" xr:uid="{A20F8975-9A30-46A8-82F7-6B646056B053}"/>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1CD39CFB-2FD4-438D-B487-79294F7EDDEB}"/>
    <cellStyle name="40% - Accent5 2 3 3 2 3" xfId="11779" xr:uid="{079183A0-3281-4227-989A-554C4600BE18}"/>
    <cellStyle name="40% - Accent5 2 3 3 3" xfId="5417" xr:uid="{00000000-0005-0000-0000-000073060000}"/>
    <cellStyle name="40% - Accent5 2 3 3 3 2" xfId="13852" xr:uid="{CF43A028-D5E8-4E2A-AED7-82757D94423B}"/>
    <cellStyle name="40% - Accent5 2 3 3 4" xfId="9634" xr:uid="{6F263B29-477A-44FA-8BE9-6A4A9AF40A8A}"/>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2E7AC4C0-8802-445D-BD07-7014C9CCC099}"/>
    <cellStyle name="40% - Accent5 2 3 4 2 3" xfId="12192" xr:uid="{954C11FA-25D5-44E4-8218-4D32BA79A5BB}"/>
    <cellStyle name="40% - Accent5 2 3 4 3" xfId="5830" xr:uid="{00000000-0005-0000-0000-000077060000}"/>
    <cellStyle name="40% - Accent5 2 3 4 3 2" xfId="14265" xr:uid="{A3622627-7714-4D23-AD12-239DF7862DFD}"/>
    <cellStyle name="40% - Accent5 2 3 4 4" xfId="10047" xr:uid="{C3A85B01-B0D1-4B5D-8BAB-1E13AF0882A7}"/>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15035935-8789-4ED9-B78E-A714F932E69F}"/>
    <cellStyle name="40% - Accent5 2 3 5 2 3" xfId="12605" xr:uid="{DB9898B4-2D1D-4001-A442-1ACAC70095D7}"/>
    <cellStyle name="40% - Accent5 2 3 5 3" xfId="6243" xr:uid="{00000000-0005-0000-0000-00007B060000}"/>
    <cellStyle name="40% - Accent5 2 3 5 3 2" xfId="14678" xr:uid="{F94EEBC9-BB74-4558-B8CE-DC6A4ADA8C7A}"/>
    <cellStyle name="40% - Accent5 2 3 5 4" xfId="10460" xr:uid="{6299641F-A605-4589-9AFA-4054570A9312}"/>
    <cellStyle name="40% - Accent5 2 3 6" xfId="2349" xr:uid="{00000000-0005-0000-0000-00007C060000}"/>
    <cellStyle name="40% - Accent5 2 3 6 2" xfId="6656" xr:uid="{00000000-0005-0000-0000-00007D060000}"/>
    <cellStyle name="40% - Accent5 2 3 6 2 2" xfId="15091" xr:uid="{7EAC76FA-2399-42CF-A894-D86C4785D8AF}"/>
    <cellStyle name="40% - Accent5 2 3 6 3" xfId="10873" xr:uid="{EC2B4195-84A4-4C17-BD22-8B083E85BE09}"/>
    <cellStyle name="40% - Accent5 2 3 7" xfId="4590" xr:uid="{00000000-0005-0000-0000-00007E060000}"/>
    <cellStyle name="40% - Accent5 2 3 7 2" xfId="13025" xr:uid="{088A36B8-DF0C-409C-BE00-D71C6DE73AB8}"/>
    <cellStyle name="40% - Accent5 2 3 8" xfId="8807" xr:uid="{0573E4A0-2489-44D4-AC0A-C0AC0F9502ED}"/>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FDF0570C-4D45-4B0C-9B88-9A794B71CA87}"/>
    <cellStyle name="40% - Accent5 2 4 2 3" xfId="11363" xr:uid="{3C47CEE8-8C71-485D-A7DA-6D9C2C3CC287}"/>
    <cellStyle name="40% - Accent5 2 4 3" xfId="5001" xr:uid="{00000000-0005-0000-0000-000082060000}"/>
    <cellStyle name="40% - Accent5 2 4 3 2" xfId="13436" xr:uid="{A7662CBA-8D1D-4D23-B61E-0FD70AEAF939}"/>
    <cellStyle name="40% - Accent5 2 4 4" xfId="9218" xr:uid="{94AD61BE-9A0E-4E76-9E1C-47ED02C8C44F}"/>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BCF7D6A7-572C-4648-80D4-1CD158CA36DF}"/>
    <cellStyle name="40% - Accent5 2 5 2 3" xfId="11776" xr:uid="{35AF4DA3-7EDB-4E84-B156-D92F837E7FC9}"/>
    <cellStyle name="40% - Accent5 2 5 3" xfId="5414" xr:uid="{00000000-0005-0000-0000-000086060000}"/>
    <cellStyle name="40% - Accent5 2 5 3 2" xfId="13849" xr:uid="{D704E24E-8D1C-485D-8685-0DF33D45BB6A}"/>
    <cellStyle name="40% - Accent5 2 5 4" xfId="9631" xr:uid="{EBA42BC5-42C4-4708-A65E-DB87F45CA90A}"/>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F822FCE4-8C89-42CD-BF91-FC6B491A9ADD}"/>
    <cellStyle name="40% - Accent5 2 6 2 3" xfId="12189" xr:uid="{C56EDDB2-5ED3-4429-B67C-62B836C5B977}"/>
    <cellStyle name="40% - Accent5 2 6 3" xfId="5827" xr:uid="{00000000-0005-0000-0000-00008A060000}"/>
    <cellStyle name="40% - Accent5 2 6 3 2" xfId="14262" xr:uid="{B91744AC-5772-4438-AE10-FE22B2FAE6B9}"/>
    <cellStyle name="40% - Accent5 2 6 4" xfId="10044" xr:uid="{4171F585-C22B-41B4-8205-DADF7E8BAAA8}"/>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D785B63C-B38C-42F9-AF38-41CD6C8AB448}"/>
    <cellStyle name="40% - Accent5 2 7 2 3" xfId="12602" xr:uid="{0B7ACEC9-E0BD-4065-AB53-EA864428488C}"/>
    <cellStyle name="40% - Accent5 2 7 3" xfId="6240" xr:uid="{00000000-0005-0000-0000-00008E060000}"/>
    <cellStyle name="40% - Accent5 2 7 3 2" xfId="14675" xr:uid="{3C727706-17E6-45A6-9A8C-E531CBB243B5}"/>
    <cellStyle name="40% - Accent5 2 7 4" xfId="10457" xr:uid="{D5CEB35A-B6C6-4F4C-88BF-9C5F6F92AC99}"/>
    <cellStyle name="40% - Accent5 2 8" xfId="2346" xr:uid="{00000000-0005-0000-0000-00008F060000}"/>
    <cellStyle name="40% - Accent5 2 8 2" xfId="6653" xr:uid="{00000000-0005-0000-0000-000090060000}"/>
    <cellStyle name="40% - Accent5 2 8 2 2" xfId="15088" xr:uid="{147E5A9C-2144-41AB-B172-37D906E6DD31}"/>
    <cellStyle name="40% - Accent5 2 8 3" xfId="10870" xr:uid="{F3DC92C0-3F60-4111-9076-22D03A2BE4D8}"/>
    <cellStyle name="40% - Accent5 2 9" xfId="4587" xr:uid="{00000000-0005-0000-0000-000091060000}"/>
    <cellStyle name="40% - Accent5 2 9 2" xfId="13022" xr:uid="{8EB765EA-3DEB-43FF-A7B6-1C03789CC2E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7D5F9992-C5F1-413B-8055-02BBB93766A6}"/>
    <cellStyle name="40% - Accent5 3 2 2 2 3" xfId="11368" xr:uid="{A86ADDC8-4560-4051-99C8-E7E4FD0886E8}"/>
    <cellStyle name="40% - Accent5 3 2 2 3" xfId="5006" xr:uid="{00000000-0005-0000-0000-000097060000}"/>
    <cellStyle name="40% - Accent5 3 2 2 3 2" xfId="13441" xr:uid="{97AA2668-B268-43D5-9A10-FAFA03E1FA26}"/>
    <cellStyle name="40% - Accent5 3 2 2 4" xfId="9223" xr:uid="{3036E25A-B9B1-43A7-84BE-474B78124C44}"/>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90514288-F3EC-43A9-BA6A-8167B48C2DEB}"/>
    <cellStyle name="40% - Accent5 3 2 3 2 3" xfId="11781" xr:uid="{C9E11193-F379-47BB-BFE7-0794CCACD8D9}"/>
    <cellStyle name="40% - Accent5 3 2 3 3" xfId="5419" xr:uid="{00000000-0005-0000-0000-00009B060000}"/>
    <cellStyle name="40% - Accent5 3 2 3 3 2" xfId="13854" xr:uid="{479D68BA-2099-40F4-9555-F668515F0E92}"/>
    <cellStyle name="40% - Accent5 3 2 3 4" xfId="9636" xr:uid="{9FF161FF-FDF9-4A43-A450-EA4CD90E2670}"/>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55ECD65D-E389-416D-BDFE-FCA982B39005}"/>
    <cellStyle name="40% - Accent5 3 2 4 2 3" xfId="12194" xr:uid="{8D00DD24-DBD7-4C7E-AF44-F37760DCF49E}"/>
    <cellStyle name="40% - Accent5 3 2 4 3" xfId="5832" xr:uid="{00000000-0005-0000-0000-00009F060000}"/>
    <cellStyle name="40% - Accent5 3 2 4 3 2" xfId="14267" xr:uid="{BFBEF3B1-5158-4F2C-9F0E-D18A79D35C4A}"/>
    <cellStyle name="40% - Accent5 3 2 4 4" xfId="10049" xr:uid="{F21CD70F-D6B9-4D8E-8137-1520AFB8816C}"/>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325E57DA-9DDF-4BCC-BE69-6B8D973DF766}"/>
    <cellStyle name="40% - Accent5 3 2 5 2 3" xfId="12607" xr:uid="{9963943B-B371-4153-8B7B-88F687D7C298}"/>
    <cellStyle name="40% - Accent5 3 2 5 3" xfId="6245" xr:uid="{00000000-0005-0000-0000-0000A3060000}"/>
    <cellStyle name="40% - Accent5 3 2 5 3 2" xfId="14680" xr:uid="{422E0D81-6B62-4A50-8FC9-857860CC0BA5}"/>
    <cellStyle name="40% - Accent5 3 2 5 4" xfId="10462" xr:uid="{F8CE9FC1-850B-4C90-8A05-C13A46EA6D86}"/>
    <cellStyle name="40% - Accent5 3 2 6" xfId="2351" xr:uid="{00000000-0005-0000-0000-0000A4060000}"/>
    <cellStyle name="40% - Accent5 3 2 6 2" xfId="6658" xr:uid="{00000000-0005-0000-0000-0000A5060000}"/>
    <cellStyle name="40% - Accent5 3 2 6 2 2" xfId="15093" xr:uid="{61185FA5-E518-4828-BB09-CB293824E1C3}"/>
    <cellStyle name="40% - Accent5 3 2 6 3" xfId="10875" xr:uid="{A1E53716-D30E-4649-B363-ABECC530EDA3}"/>
    <cellStyle name="40% - Accent5 3 2 7" xfId="4592" xr:uid="{00000000-0005-0000-0000-0000A6060000}"/>
    <cellStyle name="40% - Accent5 3 2 7 2" xfId="13027" xr:uid="{AF6D8F2D-17EE-4589-9305-8468E4F0DC57}"/>
    <cellStyle name="40% - Accent5 3 2 8" xfId="8809" xr:uid="{98F920DD-B04E-4D27-A1C1-B5DBA05DC191}"/>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3A6CF586-026C-49DB-BE7D-E4A8367D67AC}"/>
    <cellStyle name="40% - Accent5 3 3 2 3" xfId="11367" xr:uid="{A183278A-FF64-4D9B-BD49-78D9843FF03E}"/>
    <cellStyle name="40% - Accent5 3 3 3" xfId="5005" xr:uid="{00000000-0005-0000-0000-0000AA060000}"/>
    <cellStyle name="40% - Accent5 3 3 3 2" xfId="13440" xr:uid="{2B1F77A4-E34B-4216-A6BC-D08006D2A5C0}"/>
    <cellStyle name="40% - Accent5 3 3 4" xfId="9222" xr:uid="{256D80DE-D7C2-4334-868F-FD59F8F95A97}"/>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8E955C0E-921A-47FA-B2C5-44D3C84B1971}"/>
    <cellStyle name="40% - Accent5 3 4 2 3" xfId="11780" xr:uid="{4015E2B3-B903-4E58-8238-60191064BCE6}"/>
    <cellStyle name="40% - Accent5 3 4 3" xfId="5418" xr:uid="{00000000-0005-0000-0000-0000AE060000}"/>
    <cellStyle name="40% - Accent5 3 4 3 2" xfId="13853" xr:uid="{BC8617AA-B010-46E5-B6F3-30F7EB42CBF2}"/>
    <cellStyle name="40% - Accent5 3 4 4" xfId="9635" xr:uid="{D4158351-0DF6-4942-93EF-0A3ECC827C99}"/>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54B060CB-25CF-4EDE-9412-A8A901AE7CD9}"/>
    <cellStyle name="40% - Accent5 3 5 2 3" xfId="12193" xr:uid="{C095733D-C0CA-4987-82D5-A073916F5C95}"/>
    <cellStyle name="40% - Accent5 3 5 3" xfId="5831" xr:uid="{00000000-0005-0000-0000-0000B2060000}"/>
    <cellStyle name="40% - Accent5 3 5 3 2" xfId="14266" xr:uid="{0ED021F1-A0BF-40E6-9E98-FB4BB42B9CB9}"/>
    <cellStyle name="40% - Accent5 3 5 4" xfId="10048" xr:uid="{B1414B12-4F62-4DAC-B413-5294082B19C1}"/>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51CE9122-AAD0-4844-9DE2-C9AA5A074259}"/>
    <cellStyle name="40% - Accent5 3 6 2 3" xfId="12606" xr:uid="{199D0C96-D074-420F-8239-A69979C9C045}"/>
    <cellStyle name="40% - Accent5 3 6 3" xfId="6244" xr:uid="{00000000-0005-0000-0000-0000B6060000}"/>
    <cellStyle name="40% - Accent5 3 6 3 2" xfId="14679" xr:uid="{BD14515C-7183-4358-B94D-863C404050EF}"/>
    <cellStyle name="40% - Accent5 3 6 4" xfId="10461" xr:uid="{90DAAC46-0553-41A8-B8DF-13F5D7527C0B}"/>
    <cellStyle name="40% - Accent5 3 7" xfId="2350" xr:uid="{00000000-0005-0000-0000-0000B7060000}"/>
    <cellStyle name="40% - Accent5 3 7 2" xfId="6657" xr:uid="{00000000-0005-0000-0000-0000B8060000}"/>
    <cellStyle name="40% - Accent5 3 7 2 2" xfId="15092" xr:uid="{BF6B0BC9-3390-49F1-B918-9FC3713D4F08}"/>
    <cellStyle name="40% - Accent5 3 7 3" xfId="10874" xr:uid="{5D7F5E95-1920-4A32-884C-417380957856}"/>
    <cellStyle name="40% - Accent5 3 8" xfId="4591" xr:uid="{00000000-0005-0000-0000-0000B9060000}"/>
    <cellStyle name="40% - Accent5 3 8 2" xfId="13026" xr:uid="{F0602580-086F-4E71-BE79-7B9AFA060C15}"/>
    <cellStyle name="40% - Accent5 3 9" xfId="8808" xr:uid="{FF82B7AD-CCDE-4651-9287-5BD043C5FC87}"/>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940CFE6B-91EB-4CB6-B7E1-4FF1AA69FAC1}"/>
    <cellStyle name="40% - Accent5 4 2 2 3" xfId="11369" xr:uid="{0AC205BF-8528-465C-9AC9-19ADB96C8F98}"/>
    <cellStyle name="40% - Accent5 4 2 3" xfId="5007" xr:uid="{00000000-0005-0000-0000-0000BE060000}"/>
    <cellStyle name="40% - Accent5 4 2 3 2" xfId="13442" xr:uid="{2FE1609D-355D-468A-9BDE-22A800CF2BA4}"/>
    <cellStyle name="40% - Accent5 4 2 4" xfId="9224" xr:uid="{1909FC00-5191-45FD-847C-398564508035}"/>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008264B9-7705-43B4-99FD-ACBA9628D2EC}"/>
    <cellStyle name="40% - Accent5 4 3 2 3" xfId="11782" xr:uid="{DBFFE340-798C-4BE2-9915-2B7DEC6B699B}"/>
    <cellStyle name="40% - Accent5 4 3 3" xfId="5420" xr:uid="{00000000-0005-0000-0000-0000C2060000}"/>
    <cellStyle name="40% - Accent5 4 3 3 2" xfId="13855" xr:uid="{65F75C71-C281-440C-A0BC-17400D41B964}"/>
    <cellStyle name="40% - Accent5 4 3 4" xfId="9637" xr:uid="{8D979B04-44C9-4381-BCDA-5E8D4A6BD9D7}"/>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BBE3EE2E-EE65-4077-9098-D0A66CA2907E}"/>
    <cellStyle name="40% - Accent5 4 4 2 3" xfId="12195" xr:uid="{4D1D8D17-717F-42A9-B9A6-1D69218FCAD3}"/>
    <cellStyle name="40% - Accent5 4 4 3" xfId="5833" xr:uid="{00000000-0005-0000-0000-0000C6060000}"/>
    <cellStyle name="40% - Accent5 4 4 3 2" xfId="14268" xr:uid="{17D67778-36F7-4A34-956B-776AC5994639}"/>
    <cellStyle name="40% - Accent5 4 4 4" xfId="10050" xr:uid="{D46999C8-97D4-4F33-BE4D-7E67483C9C1C}"/>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049AB479-6AD9-4EC6-8B54-BBBFC9389119}"/>
    <cellStyle name="40% - Accent5 4 5 2 3" xfId="12608" xr:uid="{DDB24FD0-20EB-4635-8404-7B2D848F2D54}"/>
    <cellStyle name="40% - Accent5 4 5 3" xfId="6246" xr:uid="{00000000-0005-0000-0000-0000CA060000}"/>
    <cellStyle name="40% - Accent5 4 5 3 2" xfId="14681" xr:uid="{89B2CEED-7BCD-4132-A0A0-CF159A0A724E}"/>
    <cellStyle name="40% - Accent5 4 5 4" xfId="10463" xr:uid="{AFDD3FB3-30D3-423B-9422-239E7A444A13}"/>
    <cellStyle name="40% - Accent5 4 6" xfId="2352" xr:uid="{00000000-0005-0000-0000-0000CB060000}"/>
    <cellStyle name="40% - Accent5 4 6 2" xfId="6659" xr:uid="{00000000-0005-0000-0000-0000CC060000}"/>
    <cellStyle name="40% - Accent5 4 6 2 2" xfId="15094" xr:uid="{D71DB954-2EB8-4CE5-B464-30E970DDB85C}"/>
    <cellStyle name="40% - Accent5 4 6 3" xfId="10876" xr:uid="{C9487B6F-83C9-413B-84D2-D336579E7043}"/>
    <cellStyle name="40% - Accent5 4 7" xfId="4593" xr:uid="{00000000-0005-0000-0000-0000CD060000}"/>
    <cellStyle name="40% - Accent5 4 7 2" xfId="13028" xr:uid="{CB4BA6A2-8D1F-4DF9-BD95-A768B4EBA000}"/>
    <cellStyle name="40% - Accent5 4 8" xfId="8810" xr:uid="{D5FD5006-8BE6-43E6-B282-363D0D905B9A}"/>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BF15C423-6DD9-4916-BEB6-CD2951FC408A}"/>
    <cellStyle name="40% - Accent5 5 2 3" xfId="11362" xr:uid="{51433BB2-E79B-4170-A1E1-0AE04BEF36E9}"/>
    <cellStyle name="40% - Accent5 5 3" xfId="5000" xr:uid="{00000000-0005-0000-0000-0000D1060000}"/>
    <cellStyle name="40% - Accent5 5 3 2" xfId="13435" xr:uid="{9E983522-1642-446D-B358-53BA1934E816}"/>
    <cellStyle name="40% - Accent5 5 4" xfId="9217" xr:uid="{1DB30404-E23A-4780-A961-0D2DA5CA607F}"/>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F1141076-7B9F-4EC3-B9FE-FD28ED520FE9}"/>
    <cellStyle name="40% - Accent5 6 2 3" xfId="11775" xr:uid="{EE5FC879-2202-4193-8066-14407972152B}"/>
    <cellStyle name="40% - Accent5 6 3" xfId="5413" xr:uid="{00000000-0005-0000-0000-0000D5060000}"/>
    <cellStyle name="40% - Accent5 6 3 2" xfId="13848" xr:uid="{F641692A-1372-4823-A6C6-CBC7594F455B}"/>
    <cellStyle name="40% - Accent5 6 4" xfId="9630" xr:uid="{872D8D20-CD2A-49AA-B989-E0D7E30A4B54}"/>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27060B7E-5547-43B8-951B-79087A10D4FB}"/>
    <cellStyle name="40% - Accent5 7 2 3" xfId="12188" xr:uid="{76F47934-4F9C-45C5-BF09-4EA3260CE97E}"/>
    <cellStyle name="40% - Accent5 7 3" xfId="5826" xr:uid="{00000000-0005-0000-0000-0000D9060000}"/>
    <cellStyle name="40% - Accent5 7 3 2" xfId="14261" xr:uid="{BD29C5EF-AC25-42B2-957A-A53F5E5C1598}"/>
    <cellStyle name="40% - Accent5 7 4" xfId="10043" xr:uid="{E6CA3CC2-91BE-4192-AD70-1294B3B57ABB}"/>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27FF214A-E0DE-4432-BE0B-B269919A054A}"/>
    <cellStyle name="40% - Accent5 8 2 3" xfId="12601" xr:uid="{D7380C05-A76C-44B3-8F05-5482707D2E3A}"/>
    <cellStyle name="40% - Accent5 8 3" xfId="6239" xr:uid="{00000000-0005-0000-0000-0000DD060000}"/>
    <cellStyle name="40% - Accent5 8 3 2" xfId="14674" xr:uid="{E9DD30C7-2826-4067-9571-D5324F82BD90}"/>
    <cellStyle name="40% - Accent5 8 4" xfId="10456" xr:uid="{4E64CCC3-4D69-4553-823B-7F988A083059}"/>
    <cellStyle name="40% - Accent5 9" xfId="2345" xr:uid="{00000000-0005-0000-0000-0000DE060000}"/>
    <cellStyle name="40% - Accent5 9 2" xfId="6652" xr:uid="{00000000-0005-0000-0000-0000DF060000}"/>
    <cellStyle name="40% - Accent5 9 2 2" xfId="15087" xr:uid="{7D039D6F-0DAA-4512-A5EB-C69B51E02C77}"/>
    <cellStyle name="40% - Accent5 9 3" xfId="10869" xr:uid="{877D6F62-4CC3-4FF5-8B37-766B6647F049}"/>
    <cellStyle name="40% - Accent6" xfId="89" builtinId="51" customBuiltin="1"/>
    <cellStyle name="40% - Accent6 10" xfId="4594" xr:uid="{00000000-0005-0000-0000-0000E1060000}"/>
    <cellStyle name="40% - Accent6 10 2" xfId="13029" xr:uid="{E3A3597E-EF2C-4BE1-B7DC-62A45C272B5F}"/>
    <cellStyle name="40% - Accent6 11" xfId="8811" xr:uid="{53237D87-41DC-4809-BF76-6D7161546B14}"/>
    <cellStyle name="40% - Accent6 2" xfId="90" xr:uid="{00000000-0005-0000-0000-0000E2060000}"/>
    <cellStyle name="40% - Accent6 2 10" xfId="8812" xr:uid="{43E6E40F-F395-418B-B537-AEDFCEBF56C8}"/>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D772A390-7B8A-486D-97E8-679F05696826}"/>
    <cellStyle name="40% - Accent6 2 2 2 2 2 3" xfId="11373" xr:uid="{C54E0AD8-B310-4708-83B9-5488D03FA60C}"/>
    <cellStyle name="40% - Accent6 2 2 2 2 3" xfId="5011" xr:uid="{00000000-0005-0000-0000-0000E8060000}"/>
    <cellStyle name="40% - Accent6 2 2 2 2 3 2" xfId="13446" xr:uid="{4F01A218-AF7C-47DC-AFF2-93534FDE7A99}"/>
    <cellStyle name="40% - Accent6 2 2 2 2 4" xfId="9228" xr:uid="{6D9FA1C6-4F43-4D96-8F16-3A90CDFD56F1}"/>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4898072F-2D49-446E-AB3D-B0071290AF62}"/>
    <cellStyle name="40% - Accent6 2 2 2 3 2 3" xfId="11786" xr:uid="{13D609D8-D13E-40FF-B988-A3BF0B172937}"/>
    <cellStyle name="40% - Accent6 2 2 2 3 3" xfId="5424" xr:uid="{00000000-0005-0000-0000-0000EC060000}"/>
    <cellStyle name="40% - Accent6 2 2 2 3 3 2" xfId="13859" xr:uid="{9F5AA62C-1C30-4D61-955C-8DC815ABE637}"/>
    <cellStyle name="40% - Accent6 2 2 2 3 4" xfId="9641" xr:uid="{CB68F6E1-14E9-4625-8812-7BE83CD9403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F2ECC724-888A-4DC9-872B-F75186344EE7}"/>
    <cellStyle name="40% - Accent6 2 2 2 4 2 3" xfId="12199" xr:uid="{D0A295A3-518F-473C-96E0-B65E8807856A}"/>
    <cellStyle name="40% - Accent6 2 2 2 4 3" xfId="5837" xr:uid="{00000000-0005-0000-0000-0000F0060000}"/>
    <cellStyle name="40% - Accent6 2 2 2 4 3 2" xfId="14272" xr:uid="{74F660B7-3403-428E-BA21-2B10868AC06A}"/>
    <cellStyle name="40% - Accent6 2 2 2 4 4" xfId="10054" xr:uid="{90DDFCAC-AAB8-47BE-8761-7F31B47DB11D}"/>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91187B64-E922-4720-8775-9B68C3AE7694}"/>
    <cellStyle name="40% - Accent6 2 2 2 5 2 3" xfId="12612" xr:uid="{371E42BD-4E66-4639-B005-DECE49720E73}"/>
    <cellStyle name="40% - Accent6 2 2 2 5 3" xfId="6250" xr:uid="{00000000-0005-0000-0000-0000F4060000}"/>
    <cellStyle name="40% - Accent6 2 2 2 5 3 2" xfId="14685" xr:uid="{3D01471E-ACCA-4073-8AD3-AAE1E4EE7886}"/>
    <cellStyle name="40% - Accent6 2 2 2 5 4" xfId="10467" xr:uid="{F1BD4F62-D0AA-4AB5-AADC-D23351A75D3E}"/>
    <cellStyle name="40% - Accent6 2 2 2 6" xfId="2356" xr:uid="{00000000-0005-0000-0000-0000F5060000}"/>
    <cellStyle name="40% - Accent6 2 2 2 6 2" xfId="6663" xr:uid="{00000000-0005-0000-0000-0000F6060000}"/>
    <cellStyle name="40% - Accent6 2 2 2 6 2 2" xfId="15098" xr:uid="{D1BDE46A-FBF2-4113-B81C-56D2D3489188}"/>
    <cellStyle name="40% - Accent6 2 2 2 6 3" xfId="10880" xr:uid="{8DB74094-06D2-4304-A37D-87BC147551D1}"/>
    <cellStyle name="40% - Accent6 2 2 2 7" xfId="4597" xr:uid="{00000000-0005-0000-0000-0000F7060000}"/>
    <cellStyle name="40% - Accent6 2 2 2 7 2" xfId="13032" xr:uid="{60320DB4-ACFA-4587-82FD-738185272326}"/>
    <cellStyle name="40% - Accent6 2 2 2 8" xfId="8814" xr:uid="{C3E5B31B-B900-441D-8F8F-190B787D7AD0}"/>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53FB586D-C3B4-4FD5-8BD9-F94D45F38C24}"/>
    <cellStyle name="40% - Accent6 2 2 3 2 3" xfId="11372" xr:uid="{719A4E58-E85B-4FA8-B643-9752D78289AC}"/>
    <cellStyle name="40% - Accent6 2 2 3 3" xfId="5010" xr:uid="{00000000-0005-0000-0000-0000FB060000}"/>
    <cellStyle name="40% - Accent6 2 2 3 3 2" xfId="13445" xr:uid="{DA6892BE-5590-43EC-9A44-46D1E2632AE5}"/>
    <cellStyle name="40% - Accent6 2 2 3 4" xfId="9227" xr:uid="{FD7026CE-282D-485D-A691-DBA81E4DB3EC}"/>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46E705A0-9D7F-4B81-A110-BE097CA0AB4D}"/>
    <cellStyle name="40% - Accent6 2 2 4 2 3" xfId="11785" xr:uid="{63ACFAEA-DA94-4A95-981C-09783F7527E6}"/>
    <cellStyle name="40% - Accent6 2 2 4 3" xfId="5423" xr:uid="{00000000-0005-0000-0000-0000FF060000}"/>
    <cellStyle name="40% - Accent6 2 2 4 3 2" xfId="13858" xr:uid="{6D56D4F4-1127-47DE-8398-C63AFC72F013}"/>
    <cellStyle name="40% - Accent6 2 2 4 4" xfId="9640" xr:uid="{02859B14-B24F-421A-9054-8C5C91043680}"/>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F850A5D7-209E-4FA0-945D-28CD1EB0B66C}"/>
    <cellStyle name="40% - Accent6 2 2 5 2 3" xfId="12198" xr:uid="{4EEAF0EE-3B66-458A-8F12-F10C4F00B2B9}"/>
    <cellStyle name="40% - Accent6 2 2 5 3" xfId="5836" xr:uid="{00000000-0005-0000-0000-000003070000}"/>
    <cellStyle name="40% - Accent6 2 2 5 3 2" xfId="14271" xr:uid="{B39888B4-FCD4-465F-B507-9872F540E357}"/>
    <cellStyle name="40% - Accent6 2 2 5 4" xfId="10053" xr:uid="{40F83AF4-7CBE-472F-AB46-2CE962836368}"/>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C86EEDC8-3A47-4AB9-A6E6-D82B3BBEB96C}"/>
    <cellStyle name="40% - Accent6 2 2 6 2 3" xfId="12611" xr:uid="{70C4C6D3-886F-4A3E-80DA-E0460C73C877}"/>
    <cellStyle name="40% - Accent6 2 2 6 3" xfId="6249" xr:uid="{00000000-0005-0000-0000-000007070000}"/>
    <cellStyle name="40% - Accent6 2 2 6 3 2" xfId="14684" xr:uid="{910AAC01-2B85-409E-AF7B-E4D10705DD8E}"/>
    <cellStyle name="40% - Accent6 2 2 6 4" xfId="10466" xr:uid="{C05938D8-79F0-4492-AAEC-E54BE1959A95}"/>
    <cellStyle name="40% - Accent6 2 2 7" xfId="2355" xr:uid="{00000000-0005-0000-0000-000008070000}"/>
    <cellStyle name="40% - Accent6 2 2 7 2" xfId="6662" xr:uid="{00000000-0005-0000-0000-000009070000}"/>
    <cellStyle name="40% - Accent6 2 2 7 2 2" xfId="15097" xr:uid="{61BC1E80-9DFC-4076-8104-403D83912287}"/>
    <cellStyle name="40% - Accent6 2 2 7 3" xfId="10879" xr:uid="{D43CCD10-8548-4AA5-89C5-59585DC0D534}"/>
    <cellStyle name="40% - Accent6 2 2 8" xfId="4596" xr:uid="{00000000-0005-0000-0000-00000A070000}"/>
    <cellStyle name="40% - Accent6 2 2 8 2" xfId="13031" xr:uid="{AD84A23A-F380-4391-ABD1-F0E909DEF7E2}"/>
    <cellStyle name="40% - Accent6 2 2 9" xfId="8813" xr:uid="{CE80110A-FE81-4C6F-9E52-5D8777593997}"/>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F72F4465-C20A-44B5-8ADE-D5DD214C77FF}"/>
    <cellStyle name="40% - Accent6 2 3 2 2 3" xfId="11374" xr:uid="{0D788E10-0D45-4203-9415-3A88D1E904ED}"/>
    <cellStyle name="40% - Accent6 2 3 2 3" xfId="5012" xr:uid="{00000000-0005-0000-0000-00000F070000}"/>
    <cellStyle name="40% - Accent6 2 3 2 3 2" xfId="13447" xr:uid="{C5C77AFF-BDDD-45EE-B9D1-81705B6019A7}"/>
    <cellStyle name="40% - Accent6 2 3 2 4" xfId="9229" xr:uid="{0C61FA63-B760-491F-8D85-7A44B7D9C8B2}"/>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8B152FE4-57F6-49E8-9946-3E560210CB23}"/>
    <cellStyle name="40% - Accent6 2 3 3 2 3" xfId="11787" xr:uid="{5AF02CE4-8C11-4FD1-82DC-9F4485E683F6}"/>
    <cellStyle name="40% - Accent6 2 3 3 3" xfId="5425" xr:uid="{00000000-0005-0000-0000-000013070000}"/>
    <cellStyle name="40% - Accent6 2 3 3 3 2" xfId="13860" xr:uid="{A2987838-12B4-4E25-BB03-8FE08529DF7D}"/>
    <cellStyle name="40% - Accent6 2 3 3 4" xfId="9642" xr:uid="{FE620F01-639E-4915-A37B-B979A7F2CF32}"/>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1A46704D-8D5F-4304-825E-9283E4B3257F}"/>
    <cellStyle name="40% - Accent6 2 3 4 2 3" xfId="12200" xr:uid="{2501A6C2-631A-4FDB-80E7-71C06744D077}"/>
    <cellStyle name="40% - Accent6 2 3 4 3" xfId="5838" xr:uid="{00000000-0005-0000-0000-000017070000}"/>
    <cellStyle name="40% - Accent6 2 3 4 3 2" xfId="14273" xr:uid="{9C556E52-171E-41E1-9F60-58527A1F8BB4}"/>
    <cellStyle name="40% - Accent6 2 3 4 4" xfId="10055" xr:uid="{03C0BC95-3CAC-4779-AD31-5E551D835EBF}"/>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5DD0DE86-225A-48A7-A0B1-D4109B552ED7}"/>
    <cellStyle name="40% - Accent6 2 3 5 2 3" xfId="12613" xr:uid="{1E61F893-0307-4036-810A-E77B698148FB}"/>
    <cellStyle name="40% - Accent6 2 3 5 3" xfId="6251" xr:uid="{00000000-0005-0000-0000-00001B070000}"/>
    <cellStyle name="40% - Accent6 2 3 5 3 2" xfId="14686" xr:uid="{F838D0CD-72B2-40B9-B7BF-6533B636E247}"/>
    <cellStyle name="40% - Accent6 2 3 5 4" xfId="10468" xr:uid="{A3D0373C-59B0-4603-81D3-F44DFC6216B1}"/>
    <cellStyle name="40% - Accent6 2 3 6" xfId="2357" xr:uid="{00000000-0005-0000-0000-00001C070000}"/>
    <cellStyle name="40% - Accent6 2 3 6 2" xfId="6664" xr:uid="{00000000-0005-0000-0000-00001D070000}"/>
    <cellStyle name="40% - Accent6 2 3 6 2 2" xfId="15099" xr:uid="{8EFAB17B-D23F-4726-BF6E-E4152E589A8E}"/>
    <cellStyle name="40% - Accent6 2 3 6 3" xfId="10881" xr:uid="{27CFFC37-C17C-4ED6-868D-95CC2BFD5599}"/>
    <cellStyle name="40% - Accent6 2 3 7" xfId="4598" xr:uid="{00000000-0005-0000-0000-00001E070000}"/>
    <cellStyle name="40% - Accent6 2 3 7 2" xfId="13033" xr:uid="{42231AD5-A605-47BA-B3CB-F6B046F363D3}"/>
    <cellStyle name="40% - Accent6 2 3 8" xfId="8815" xr:uid="{1BEDB62A-75A4-4ABA-99C4-7A56B48FF684}"/>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FEC97DBF-D6E5-451D-9EC1-C88EEFC626D4}"/>
    <cellStyle name="40% - Accent6 2 4 2 3" xfId="11371" xr:uid="{9DCB0010-DD95-4A91-99EF-ADE9C69D35A0}"/>
    <cellStyle name="40% - Accent6 2 4 3" xfId="5009" xr:uid="{00000000-0005-0000-0000-000022070000}"/>
    <cellStyle name="40% - Accent6 2 4 3 2" xfId="13444" xr:uid="{B8A1D10E-B442-47D4-AF2A-13D313121100}"/>
    <cellStyle name="40% - Accent6 2 4 4" xfId="9226" xr:uid="{B950154A-B104-480F-9701-32DAD8AC9A7F}"/>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FC75AB90-448E-4065-85A6-8E92B8D131FB}"/>
    <cellStyle name="40% - Accent6 2 5 2 3" xfId="11784" xr:uid="{582AB1EE-44CF-4820-B0CB-F18050236F28}"/>
    <cellStyle name="40% - Accent6 2 5 3" xfId="5422" xr:uid="{00000000-0005-0000-0000-000026070000}"/>
    <cellStyle name="40% - Accent6 2 5 3 2" xfId="13857" xr:uid="{B3D1975B-892C-4208-AE93-D5C4CCE9D017}"/>
    <cellStyle name="40% - Accent6 2 5 4" xfId="9639" xr:uid="{04B232AB-2CD3-400D-9859-5D22FE9AFE21}"/>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DE190F25-3B76-427E-A0D9-C37114282A7F}"/>
    <cellStyle name="40% - Accent6 2 6 2 3" xfId="12197" xr:uid="{291AE71E-0B9C-4FA3-B245-EACC3E907ED3}"/>
    <cellStyle name="40% - Accent6 2 6 3" xfId="5835" xr:uid="{00000000-0005-0000-0000-00002A070000}"/>
    <cellStyle name="40% - Accent6 2 6 3 2" xfId="14270" xr:uid="{D4536321-A237-4FBC-8C54-9E12EAD77BE1}"/>
    <cellStyle name="40% - Accent6 2 6 4" xfId="10052" xr:uid="{0C423987-1CAB-4A97-9C29-D348A4594298}"/>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C220E494-5F55-4AEA-96C9-B757BD3AA3EB}"/>
    <cellStyle name="40% - Accent6 2 7 2 3" xfId="12610" xr:uid="{56FE84B9-7DA2-4F88-9DD6-EAC213030BC9}"/>
    <cellStyle name="40% - Accent6 2 7 3" xfId="6248" xr:uid="{00000000-0005-0000-0000-00002E070000}"/>
    <cellStyle name="40% - Accent6 2 7 3 2" xfId="14683" xr:uid="{BA084CFE-A77F-48DC-8284-C811B1274180}"/>
    <cellStyle name="40% - Accent6 2 7 4" xfId="10465" xr:uid="{18837B3D-74A6-4F19-999E-8B02DC95C92A}"/>
    <cellStyle name="40% - Accent6 2 8" xfId="2354" xr:uid="{00000000-0005-0000-0000-00002F070000}"/>
    <cellStyle name="40% - Accent6 2 8 2" xfId="6661" xr:uid="{00000000-0005-0000-0000-000030070000}"/>
    <cellStyle name="40% - Accent6 2 8 2 2" xfId="15096" xr:uid="{7FE25DCC-701A-4DC9-B1BE-F5318354B88D}"/>
    <cellStyle name="40% - Accent6 2 8 3" xfId="10878" xr:uid="{44797063-7A23-4480-A36C-6033537B09D9}"/>
    <cellStyle name="40% - Accent6 2 9" xfId="4595" xr:uid="{00000000-0005-0000-0000-000031070000}"/>
    <cellStyle name="40% - Accent6 2 9 2" xfId="13030" xr:uid="{2B4A95A5-DE55-437E-B79F-1D64E924DC6F}"/>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C23E86DD-2EFB-4308-91EA-9C03667E7BD6}"/>
    <cellStyle name="40% - Accent6 3 2 2 2 3" xfId="11376" xr:uid="{F11F9C9F-BCF5-43C6-8BD3-E0DE5DBB67F1}"/>
    <cellStyle name="40% - Accent6 3 2 2 3" xfId="5014" xr:uid="{00000000-0005-0000-0000-000037070000}"/>
    <cellStyle name="40% - Accent6 3 2 2 3 2" xfId="13449" xr:uid="{36E6C7B9-3817-4740-B019-796A3AF38739}"/>
    <cellStyle name="40% - Accent6 3 2 2 4" xfId="9231" xr:uid="{D08A12E1-5D2B-4DC1-9913-01C961F85122}"/>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F12FC3ED-258D-408E-8ADC-7496ECA39E7C}"/>
    <cellStyle name="40% - Accent6 3 2 3 2 3" xfId="11789" xr:uid="{061A5AFE-9AF9-410B-8C5A-FD86C7FF824A}"/>
    <cellStyle name="40% - Accent6 3 2 3 3" xfId="5427" xr:uid="{00000000-0005-0000-0000-00003B070000}"/>
    <cellStyle name="40% - Accent6 3 2 3 3 2" xfId="13862" xr:uid="{32C8B9CE-B1B2-46A7-A40B-EE4C4BF47441}"/>
    <cellStyle name="40% - Accent6 3 2 3 4" xfId="9644" xr:uid="{50E634D6-D474-4220-A4B3-97647AB306B7}"/>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DCA0A9D4-2673-46BA-B5CD-70DCAFF4E342}"/>
    <cellStyle name="40% - Accent6 3 2 4 2 3" xfId="12202" xr:uid="{496E0B80-3D5F-478D-BA22-8BC47EA98C29}"/>
    <cellStyle name="40% - Accent6 3 2 4 3" xfId="5840" xr:uid="{00000000-0005-0000-0000-00003F070000}"/>
    <cellStyle name="40% - Accent6 3 2 4 3 2" xfId="14275" xr:uid="{328D9922-C400-4BC6-B4AB-225686F04A3B}"/>
    <cellStyle name="40% - Accent6 3 2 4 4" xfId="10057" xr:uid="{F6B1D9BC-AAD2-484F-8F63-772118612BC4}"/>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9701CF18-DBA5-4709-B1C1-15F940D72A02}"/>
    <cellStyle name="40% - Accent6 3 2 5 2 3" xfId="12615" xr:uid="{CFC54E5F-DB0E-4430-8EE8-09A0BBC39DB4}"/>
    <cellStyle name="40% - Accent6 3 2 5 3" xfId="6253" xr:uid="{00000000-0005-0000-0000-000043070000}"/>
    <cellStyle name="40% - Accent6 3 2 5 3 2" xfId="14688" xr:uid="{5BAACF3A-5DEC-40FA-B954-FF180A4F192D}"/>
    <cellStyle name="40% - Accent6 3 2 5 4" xfId="10470" xr:uid="{0207017B-C1FE-4206-AF78-285F790A4E93}"/>
    <cellStyle name="40% - Accent6 3 2 6" xfId="2359" xr:uid="{00000000-0005-0000-0000-000044070000}"/>
    <cellStyle name="40% - Accent6 3 2 6 2" xfId="6666" xr:uid="{00000000-0005-0000-0000-000045070000}"/>
    <cellStyle name="40% - Accent6 3 2 6 2 2" xfId="15101" xr:uid="{417D5528-7A97-4549-9E88-EFAC4042A161}"/>
    <cellStyle name="40% - Accent6 3 2 6 3" xfId="10883" xr:uid="{99F0F84B-B0A7-4167-BAAF-ABABACB9236A}"/>
    <cellStyle name="40% - Accent6 3 2 7" xfId="4600" xr:uid="{00000000-0005-0000-0000-000046070000}"/>
    <cellStyle name="40% - Accent6 3 2 7 2" xfId="13035" xr:uid="{82BE2DFC-ACB2-4D12-AE60-92C22803D551}"/>
    <cellStyle name="40% - Accent6 3 2 8" xfId="8817" xr:uid="{983C2635-D677-4485-A46B-14DFB5C35F40}"/>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CC526E90-16CE-4E00-AD15-85C049263FE6}"/>
    <cellStyle name="40% - Accent6 3 3 2 3" xfId="11375" xr:uid="{E50D337C-C537-49CD-B553-9DE1C2D07402}"/>
    <cellStyle name="40% - Accent6 3 3 3" xfId="5013" xr:uid="{00000000-0005-0000-0000-00004A070000}"/>
    <cellStyle name="40% - Accent6 3 3 3 2" xfId="13448" xr:uid="{183C905B-C7BB-4407-8499-7FE832340466}"/>
    <cellStyle name="40% - Accent6 3 3 4" xfId="9230" xr:uid="{DA39D19A-CCAC-421A-80DE-466272577B54}"/>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A2F439A6-51D9-4C3E-9B33-DBB3662F40FB}"/>
    <cellStyle name="40% - Accent6 3 4 2 3" xfId="11788" xr:uid="{DBD56BE6-6840-49A2-9B96-6192E04D9D07}"/>
    <cellStyle name="40% - Accent6 3 4 3" xfId="5426" xr:uid="{00000000-0005-0000-0000-00004E070000}"/>
    <cellStyle name="40% - Accent6 3 4 3 2" xfId="13861" xr:uid="{67FA6E48-1D84-4399-AEC7-B8006B48ECC5}"/>
    <cellStyle name="40% - Accent6 3 4 4" xfId="9643" xr:uid="{A0BE02C3-9E72-4E00-92E1-18E7E388E52B}"/>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1E34B73F-3383-44FB-A618-36525B6EB2BE}"/>
    <cellStyle name="40% - Accent6 3 5 2 3" xfId="12201" xr:uid="{A7F3C32A-E026-4FF0-BB91-B7AE1526E998}"/>
    <cellStyle name="40% - Accent6 3 5 3" xfId="5839" xr:uid="{00000000-0005-0000-0000-000052070000}"/>
    <cellStyle name="40% - Accent6 3 5 3 2" xfId="14274" xr:uid="{2CABF2A8-A93B-4B31-B5A2-25B2651644EB}"/>
    <cellStyle name="40% - Accent6 3 5 4" xfId="10056" xr:uid="{E5A6346D-C0B4-4294-9453-556516A6159B}"/>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C7482BD7-5DCF-4C92-89FF-4ED05AE8A69B}"/>
    <cellStyle name="40% - Accent6 3 6 2 3" xfId="12614" xr:uid="{E15AD94C-D5FE-41F0-8D52-CC09E34355F6}"/>
    <cellStyle name="40% - Accent6 3 6 3" xfId="6252" xr:uid="{00000000-0005-0000-0000-000056070000}"/>
    <cellStyle name="40% - Accent6 3 6 3 2" xfId="14687" xr:uid="{D1B8F6F1-23E4-409D-9131-A1D98E184345}"/>
    <cellStyle name="40% - Accent6 3 6 4" xfId="10469" xr:uid="{215AB4EB-1E2B-411B-BB17-B15F07A1E7EC}"/>
    <cellStyle name="40% - Accent6 3 7" xfId="2358" xr:uid="{00000000-0005-0000-0000-000057070000}"/>
    <cellStyle name="40% - Accent6 3 7 2" xfId="6665" xr:uid="{00000000-0005-0000-0000-000058070000}"/>
    <cellStyle name="40% - Accent6 3 7 2 2" xfId="15100" xr:uid="{2AB4FC65-58D0-431D-983C-EB945E499EBA}"/>
    <cellStyle name="40% - Accent6 3 7 3" xfId="10882" xr:uid="{DF2666CD-67F9-4EFC-B935-DF2F46C4E4D7}"/>
    <cellStyle name="40% - Accent6 3 8" xfId="4599" xr:uid="{00000000-0005-0000-0000-000059070000}"/>
    <cellStyle name="40% - Accent6 3 8 2" xfId="13034" xr:uid="{76EB35C9-7362-497B-9FB1-D9852280AEEB}"/>
    <cellStyle name="40% - Accent6 3 9" xfId="8816" xr:uid="{AE15EB6C-C970-4D4B-82CD-CA330F940C77}"/>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9991B1DF-FEED-404D-940D-E6FD9B2E8F7E}"/>
    <cellStyle name="40% - Accent6 4 2 2 3" xfId="11377" xr:uid="{2DF0E765-A24D-42BD-BB35-95FC04B82317}"/>
    <cellStyle name="40% - Accent6 4 2 3" xfId="5015" xr:uid="{00000000-0005-0000-0000-00005E070000}"/>
    <cellStyle name="40% - Accent6 4 2 3 2" xfId="13450" xr:uid="{03E85E62-414D-4399-8C12-C5520B90B4E3}"/>
    <cellStyle name="40% - Accent6 4 2 4" xfId="9232" xr:uid="{3146F845-5094-4E8C-A2C1-F456F63C9862}"/>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9871A4BA-3B5C-4E66-A998-6382661FE992}"/>
    <cellStyle name="40% - Accent6 4 3 2 3" xfId="11790" xr:uid="{02B08306-C108-4604-B85E-2DB12A38BCE2}"/>
    <cellStyle name="40% - Accent6 4 3 3" xfId="5428" xr:uid="{00000000-0005-0000-0000-000062070000}"/>
    <cellStyle name="40% - Accent6 4 3 3 2" xfId="13863" xr:uid="{93571F69-BDB0-4D97-84A8-3E677507F0DF}"/>
    <cellStyle name="40% - Accent6 4 3 4" xfId="9645" xr:uid="{461E2C17-235B-4CE4-B912-135A9E8788E8}"/>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8B218C39-895C-4F3F-836D-CFA5F14A74F3}"/>
    <cellStyle name="40% - Accent6 4 4 2 3" xfId="12203" xr:uid="{01EA6E5A-EB7D-4290-875F-FB09F69F898F}"/>
    <cellStyle name="40% - Accent6 4 4 3" xfId="5841" xr:uid="{00000000-0005-0000-0000-000066070000}"/>
    <cellStyle name="40% - Accent6 4 4 3 2" xfId="14276" xr:uid="{1BAEE134-7EEE-4134-8D86-75D3A0E915BB}"/>
    <cellStyle name="40% - Accent6 4 4 4" xfId="10058" xr:uid="{5FAB8917-45F2-4543-9EB2-A00ADB867587}"/>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79B819AC-528A-437E-856C-647976EDB782}"/>
    <cellStyle name="40% - Accent6 4 5 2 3" xfId="12616" xr:uid="{09F18F24-72AC-47FE-B84A-AFDC219659BB}"/>
    <cellStyle name="40% - Accent6 4 5 3" xfId="6254" xr:uid="{00000000-0005-0000-0000-00006A070000}"/>
    <cellStyle name="40% - Accent6 4 5 3 2" xfId="14689" xr:uid="{3B847A79-DF94-4282-AFF3-709BCE5FDFBF}"/>
    <cellStyle name="40% - Accent6 4 5 4" xfId="10471" xr:uid="{8A19799E-F909-4345-BA86-0952EDADDEE3}"/>
    <cellStyle name="40% - Accent6 4 6" xfId="2360" xr:uid="{00000000-0005-0000-0000-00006B070000}"/>
    <cellStyle name="40% - Accent6 4 6 2" xfId="6667" xr:uid="{00000000-0005-0000-0000-00006C070000}"/>
    <cellStyle name="40% - Accent6 4 6 2 2" xfId="15102" xr:uid="{4265B5D8-B94C-4168-A1BF-1E4507739C0B}"/>
    <cellStyle name="40% - Accent6 4 6 3" xfId="10884" xr:uid="{8E472CFE-4C84-4C0E-A582-1A1287B2EC1E}"/>
    <cellStyle name="40% - Accent6 4 7" xfId="4601" xr:uid="{00000000-0005-0000-0000-00006D070000}"/>
    <cellStyle name="40% - Accent6 4 7 2" xfId="13036" xr:uid="{5EEB73D8-2084-423B-BAFB-4CE964BBD0AF}"/>
    <cellStyle name="40% - Accent6 4 8" xfId="8818" xr:uid="{F960BA57-94DE-416D-94FF-076DC6FD5BF2}"/>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14CBCA38-5C51-464D-BFAF-B18A9F2FB6CB}"/>
    <cellStyle name="40% - Accent6 5 2 3" xfId="11370" xr:uid="{92A5CED8-984A-4124-B25B-F0E701F2AA0F}"/>
    <cellStyle name="40% - Accent6 5 3" xfId="5008" xr:uid="{00000000-0005-0000-0000-000071070000}"/>
    <cellStyle name="40% - Accent6 5 3 2" xfId="13443" xr:uid="{B5C53A99-89D1-4192-BFDF-8A85868BED94}"/>
    <cellStyle name="40% - Accent6 5 4" xfId="9225" xr:uid="{70FCF971-62F4-4A71-92B4-A742C9D119D3}"/>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FBCEFB22-C6AC-4FDB-B031-F0E4F7CF0130}"/>
    <cellStyle name="40% - Accent6 6 2 3" xfId="11783" xr:uid="{4AD35441-9BBF-4318-9477-B4EF15BCABD1}"/>
    <cellStyle name="40% - Accent6 6 3" xfId="5421" xr:uid="{00000000-0005-0000-0000-000075070000}"/>
    <cellStyle name="40% - Accent6 6 3 2" xfId="13856" xr:uid="{603B36F4-257E-42F2-BEF3-A0A31693A3FC}"/>
    <cellStyle name="40% - Accent6 6 4" xfId="9638" xr:uid="{5CB4D877-D7A2-4772-8502-2D4B694A11E6}"/>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ECA77F27-046C-462E-8BC5-345F6F9495AE}"/>
    <cellStyle name="40% - Accent6 7 2 3" xfId="12196" xr:uid="{FC4320EE-E03D-4F7D-834F-7C6CF109592D}"/>
    <cellStyle name="40% - Accent6 7 3" xfId="5834" xr:uid="{00000000-0005-0000-0000-000079070000}"/>
    <cellStyle name="40% - Accent6 7 3 2" xfId="14269" xr:uid="{CCBCD0B0-A565-45D3-A39D-CF2C5F42DF5F}"/>
    <cellStyle name="40% - Accent6 7 4" xfId="10051" xr:uid="{71333411-C879-450A-973A-8FCABFAE3798}"/>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3501502E-1172-4BC1-AE98-E1D73D24E86B}"/>
    <cellStyle name="40% - Accent6 8 2 3" xfId="12609" xr:uid="{1D298B02-5FDD-43C3-B849-7B9AB100BA6B}"/>
    <cellStyle name="40% - Accent6 8 3" xfId="6247" xr:uid="{00000000-0005-0000-0000-00007D070000}"/>
    <cellStyle name="40% - Accent6 8 3 2" xfId="14682" xr:uid="{C63987EC-BDE9-4778-8C61-B2C9FB61B083}"/>
    <cellStyle name="40% - Accent6 8 4" xfId="10464" xr:uid="{8ED765A7-A6E1-451B-90D7-171C9D57D8FF}"/>
    <cellStyle name="40% - Accent6 9" xfId="2353" xr:uid="{00000000-0005-0000-0000-00007E070000}"/>
    <cellStyle name="40% - Accent6 9 2" xfId="6660" xr:uid="{00000000-0005-0000-0000-00007F070000}"/>
    <cellStyle name="40% - Accent6 9 2 2" xfId="15095" xr:uid="{6280B719-7175-43BC-81A3-76FF19C70295}"/>
    <cellStyle name="40% - Accent6 9 3" xfId="10877" xr:uid="{96054677-9D8E-4944-80CA-9191DE1AE31F}"/>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F8733C2B-F11E-4EF8-997D-552F92C4E826}"/>
    <cellStyle name="Comma 4 2 2 2 10 3" xfId="11202" xr:uid="{71A97E4D-1117-4E78-B622-C70D2B2AF3CD}"/>
    <cellStyle name="Comma 4 2 2 2 11" xfId="4602" xr:uid="{00000000-0005-0000-0000-0000A3070000}"/>
    <cellStyle name="Comma 4 2 2 2 11 2" xfId="13037" xr:uid="{49D944C1-ED59-431F-9B53-F182A767D31F}"/>
    <cellStyle name="Comma 4 2 2 2 12" xfId="8819" xr:uid="{04489151-1D1F-4977-975C-0785DBB5410D}"/>
    <cellStyle name="Comma 4 2 2 2 2" xfId="129" xr:uid="{00000000-0005-0000-0000-0000A4070000}"/>
    <cellStyle name="Comma 4 2 2 2 2 10" xfId="4603" xr:uid="{00000000-0005-0000-0000-0000A5070000}"/>
    <cellStyle name="Comma 4 2 2 2 2 10 2" xfId="13038" xr:uid="{BF956B00-7B7A-4BCB-AFC6-AD36620CCA20}"/>
    <cellStyle name="Comma 4 2 2 2 2 11" xfId="8820" xr:uid="{E5FAF59E-CBD9-4874-AE10-C2464B7254CF}"/>
    <cellStyle name="Comma 4 2 2 2 2 2" xfId="130" xr:uid="{00000000-0005-0000-0000-0000A6070000}"/>
    <cellStyle name="Comma 4 2 2 2 2 2 10" xfId="8821" xr:uid="{95FF2C5F-0184-46F5-9E68-956C97774731}"/>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DEC79F2C-41F9-4BBC-8AC3-F24D43C5317B}"/>
    <cellStyle name="Comma 4 2 2 2 2 2 2 2 3" xfId="11380" xr:uid="{2AC96A9B-1F04-4EC4-AF15-CEB977C32292}"/>
    <cellStyle name="Comma 4 2 2 2 2 2 2 3" xfId="5018" xr:uid="{00000000-0005-0000-0000-0000AA070000}"/>
    <cellStyle name="Comma 4 2 2 2 2 2 2 3 2" xfId="13453" xr:uid="{E54EF950-E83B-457E-B10C-118BC82F0662}"/>
    <cellStyle name="Comma 4 2 2 2 2 2 2 4" xfId="9235" xr:uid="{0819845D-C482-4745-B42F-A2910979FB07}"/>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ADA823BF-8337-45A0-ADB6-6038665AC359}"/>
    <cellStyle name="Comma 4 2 2 2 2 2 3 2 3" xfId="11793" xr:uid="{366BF9CC-7BCC-4395-AAE2-628E21F39E07}"/>
    <cellStyle name="Comma 4 2 2 2 2 2 3 3" xfId="5431" xr:uid="{00000000-0005-0000-0000-0000AE070000}"/>
    <cellStyle name="Comma 4 2 2 2 2 2 3 3 2" xfId="13866" xr:uid="{E6C2F070-F0D1-4810-88EE-2551A690F7F3}"/>
    <cellStyle name="Comma 4 2 2 2 2 2 3 4" xfId="9648" xr:uid="{9C8FB099-404A-422A-9805-83B0A4FF41A5}"/>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CEFF9667-9362-4954-A605-0C6A717826AD}"/>
    <cellStyle name="Comma 4 2 2 2 2 2 4 2 3" xfId="12206" xr:uid="{7DBE948E-724D-404C-A2E7-D4C2F6F23A3D}"/>
    <cellStyle name="Comma 4 2 2 2 2 2 4 3" xfId="5844" xr:uid="{00000000-0005-0000-0000-0000B2070000}"/>
    <cellStyle name="Comma 4 2 2 2 2 2 4 3 2" xfId="14279" xr:uid="{398E3759-1566-487F-ABCA-37CC6C783028}"/>
    <cellStyle name="Comma 4 2 2 2 2 2 4 4" xfId="10061" xr:uid="{551EF25C-ABCA-4924-9B24-C1503F10C828}"/>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50CE7C74-7B82-43E4-8096-521430BA2C13}"/>
    <cellStyle name="Comma 4 2 2 2 2 2 5 2 3" xfId="12619" xr:uid="{721D34F7-17A6-4148-93BF-DEE42F4932C8}"/>
    <cellStyle name="Comma 4 2 2 2 2 2 5 3" xfId="6257" xr:uid="{00000000-0005-0000-0000-0000B6070000}"/>
    <cellStyle name="Comma 4 2 2 2 2 2 5 3 2" xfId="14692" xr:uid="{61102B38-F161-4511-81D2-EFA98F6DF32F}"/>
    <cellStyle name="Comma 4 2 2 2 2 2 5 4" xfId="10474" xr:uid="{24B40FBD-7687-4BDB-93CD-3CEC942C596E}"/>
    <cellStyle name="Comma 4 2 2 2 2 2 6" xfId="2385" xr:uid="{00000000-0005-0000-0000-0000B7070000}"/>
    <cellStyle name="Comma 4 2 2 2 2 2 6 2" xfId="6670" xr:uid="{00000000-0005-0000-0000-0000B8070000}"/>
    <cellStyle name="Comma 4 2 2 2 2 2 6 2 2" xfId="15105" xr:uid="{51CE9A17-B3EC-4F8F-95C9-5BF336E28E99}"/>
    <cellStyle name="Comma 4 2 2 2 2 2 6 3" xfId="10887" xr:uid="{3F50D515-B9F0-4792-AADD-98F86082CD1A}"/>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242C0B38-AB07-42C8-BB47-01106DCE0936}"/>
    <cellStyle name="Comma 4 2 2 2 2 2 8 3" xfId="11204" xr:uid="{B4E96BB1-FF04-43C1-B6C5-726665A0E666}"/>
    <cellStyle name="Comma 4 2 2 2 2 2 9" xfId="4604" xr:uid="{00000000-0005-0000-0000-0000BC070000}"/>
    <cellStyle name="Comma 4 2 2 2 2 2 9 2" xfId="13039" xr:uid="{C0ACB812-C340-4C11-8C85-39A5F013AB0C}"/>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A1AC9764-98F6-4080-9E53-DDAFB40C47B0}"/>
    <cellStyle name="Comma 4 2 2 2 2 3 2 3" xfId="11379" xr:uid="{0BFE0E93-F145-4873-AAE5-ED32BCBB89E7}"/>
    <cellStyle name="Comma 4 2 2 2 2 3 3" xfId="5017" xr:uid="{00000000-0005-0000-0000-0000C0070000}"/>
    <cellStyle name="Comma 4 2 2 2 2 3 3 2" xfId="13452" xr:uid="{615CA297-158E-467A-A590-C33D050CA058}"/>
    <cellStyle name="Comma 4 2 2 2 2 3 4" xfId="9234" xr:uid="{96FFA87F-8C7F-4D15-8EFC-C1AD6204607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74D48D57-5966-470C-81ED-2E8421499ECC}"/>
    <cellStyle name="Comma 4 2 2 2 2 4 2 3" xfId="11792" xr:uid="{1D4C921D-6AD9-4294-BF8D-6533459DA735}"/>
    <cellStyle name="Comma 4 2 2 2 2 4 3" xfId="5430" xr:uid="{00000000-0005-0000-0000-0000C4070000}"/>
    <cellStyle name="Comma 4 2 2 2 2 4 3 2" xfId="13865" xr:uid="{3DE15076-0FF0-4466-B097-945F6BB9D9EC}"/>
    <cellStyle name="Comma 4 2 2 2 2 4 4" xfId="9647" xr:uid="{60A9AD04-C8A8-4511-9143-E53E9617C318}"/>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2FA9BA58-B713-4EA7-82C9-879ED885F76B}"/>
    <cellStyle name="Comma 4 2 2 2 2 5 2 3" xfId="12205" xr:uid="{2FFE9FD5-C930-4846-B60A-CE1D0FB68474}"/>
    <cellStyle name="Comma 4 2 2 2 2 5 3" xfId="5843" xr:uid="{00000000-0005-0000-0000-0000C8070000}"/>
    <cellStyle name="Comma 4 2 2 2 2 5 3 2" xfId="14278" xr:uid="{9DA1BB96-B77D-4E2B-8D8C-A1B88FA56AB7}"/>
    <cellStyle name="Comma 4 2 2 2 2 5 4" xfId="10060" xr:uid="{BF486B9F-F766-4417-A283-802BCD4678D0}"/>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FCD7FB38-4C3D-4200-8514-5A89E1282DC9}"/>
    <cellStyle name="Comma 4 2 2 2 2 6 2 3" xfId="12618" xr:uid="{F2516C09-C95E-4140-88B9-1706D2DE213A}"/>
    <cellStyle name="Comma 4 2 2 2 2 6 3" xfId="6256" xr:uid="{00000000-0005-0000-0000-0000CC070000}"/>
    <cellStyle name="Comma 4 2 2 2 2 6 3 2" xfId="14691" xr:uid="{B2D37400-3B2A-4EBA-B890-E2A7B4E7E3A2}"/>
    <cellStyle name="Comma 4 2 2 2 2 6 4" xfId="10473" xr:uid="{EE1A2B53-15C6-498E-8483-2AB2AB3A942A}"/>
    <cellStyle name="Comma 4 2 2 2 2 7" xfId="2384" xr:uid="{00000000-0005-0000-0000-0000CD070000}"/>
    <cellStyle name="Comma 4 2 2 2 2 7 2" xfId="6669" xr:uid="{00000000-0005-0000-0000-0000CE070000}"/>
    <cellStyle name="Comma 4 2 2 2 2 7 2 2" xfId="15104" xr:uid="{F5A2E97A-DD68-4DB8-B08D-5B5B97A39943}"/>
    <cellStyle name="Comma 4 2 2 2 2 7 3" xfId="10886" xr:uid="{C1771853-830D-4C3B-88ED-90DA0A8DC5E3}"/>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C1FFB6C9-177C-4F6E-918F-C022D0B755C3}"/>
    <cellStyle name="Comma 4 2 2 2 2 9 3" xfId="11203" xr:uid="{6BE70D45-864E-4D12-BE84-A1C61C84A99D}"/>
    <cellStyle name="Comma 4 2 2 2 3" xfId="131" xr:uid="{00000000-0005-0000-0000-0000D2070000}"/>
    <cellStyle name="Comma 4 2 2 2 3 10" xfId="8822" xr:uid="{341A3DB6-751A-4220-832F-345322E548D1}"/>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4400CD38-70BE-47B8-9FB3-705E257FD5E4}"/>
    <cellStyle name="Comma 4 2 2 2 3 2 2 3" xfId="11381" xr:uid="{20DCDAE7-F341-4E3C-B40F-C90FA0CFEB36}"/>
    <cellStyle name="Comma 4 2 2 2 3 2 3" xfId="5019" xr:uid="{00000000-0005-0000-0000-0000D6070000}"/>
    <cellStyle name="Comma 4 2 2 2 3 2 3 2" xfId="13454" xr:uid="{CAC08F0E-DA3E-4B6C-8850-9BACCD089CD1}"/>
    <cellStyle name="Comma 4 2 2 2 3 2 4" xfId="9236" xr:uid="{58D40D1F-5D04-43AB-8ED6-63E54D4E3F99}"/>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E6DF9931-8844-49C1-AE19-2C2F4F29775E}"/>
    <cellStyle name="Comma 4 2 2 2 3 3 2 3" xfId="11794" xr:uid="{9D975B33-55E5-4606-B3C2-C88C85F26D88}"/>
    <cellStyle name="Comma 4 2 2 2 3 3 3" xfId="5432" xr:uid="{00000000-0005-0000-0000-0000DA070000}"/>
    <cellStyle name="Comma 4 2 2 2 3 3 3 2" xfId="13867" xr:uid="{D2551EAB-A076-44D0-9517-F0177A51914C}"/>
    <cellStyle name="Comma 4 2 2 2 3 3 4" xfId="9649" xr:uid="{1BC327BB-3210-4CE8-B3F4-1B8D599B9CA8}"/>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7E4C0EE3-93EB-4FEA-9A8A-7E53385CFE6C}"/>
    <cellStyle name="Comma 4 2 2 2 3 4 2 3" xfId="12207" xr:uid="{D77853D2-F6C1-4833-84D8-9238BE38A5C6}"/>
    <cellStyle name="Comma 4 2 2 2 3 4 3" xfId="5845" xr:uid="{00000000-0005-0000-0000-0000DE070000}"/>
    <cellStyle name="Comma 4 2 2 2 3 4 3 2" xfId="14280" xr:uid="{16466F49-D88D-4BB2-B7AB-FC97A032DC48}"/>
    <cellStyle name="Comma 4 2 2 2 3 4 4" xfId="10062" xr:uid="{5563C348-5B61-4551-B06D-416F372BF9BC}"/>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B30B9F2F-57F4-4062-BC13-6A92E43ACEA3}"/>
    <cellStyle name="Comma 4 2 2 2 3 5 2 3" xfId="12620" xr:uid="{E29A935B-B32A-40E8-9BB1-DB83A2892AC5}"/>
    <cellStyle name="Comma 4 2 2 2 3 5 3" xfId="6258" xr:uid="{00000000-0005-0000-0000-0000E2070000}"/>
    <cellStyle name="Comma 4 2 2 2 3 5 3 2" xfId="14693" xr:uid="{677F6955-31EB-41BD-BC2A-A13B983FF242}"/>
    <cellStyle name="Comma 4 2 2 2 3 5 4" xfId="10475" xr:uid="{7B984A5D-D208-4F3F-8B92-208CAC0C136C}"/>
    <cellStyle name="Comma 4 2 2 2 3 6" xfId="2386" xr:uid="{00000000-0005-0000-0000-0000E3070000}"/>
    <cellStyle name="Comma 4 2 2 2 3 6 2" xfId="6671" xr:uid="{00000000-0005-0000-0000-0000E4070000}"/>
    <cellStyle name="Comma 4 2 2 2 3 6 2 2" xfId="15106" xr:uid="{B3C9F26C-627C-4AD2-963B-513BCB290B6E}"/>
    <cellStyle name="Comma 4 2 2 2 3 6 3" xfId="10888" xr:uid="{7E53A18A-AD7E-43ED-9EA0-EA12B6B54192}"/>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7BD5B817-D0A5-4854-B66D-BBC80A315648}"/>
    <cellStyle name="Comma 4 2 2 2 3 8 3" xfId="11205" xr:uid="{EC1B47C2-9CFE-4928-A0A6-7D4FA70A12C1}"/>
    <cellStyle name="Comma 4 2 2 2 3 9" xfId="4605" xr:uid="{00000000-0005-0000-0000-0000E8070000}"/>
    <cellStyle name="Comma 4 2 2 2 3 9 2" xfId="13040" xr:uid="{39401D9B-32A3-4D6B-8D2C-90974959E2CB}"/>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FA09F70C-8DC9-45B1-9FA7-36D198D75084}"/>
    <cellStyle name="Comma 4 2 2 2 4 2 3" xfId="11378" xr:uid="{85A2F521-E9DF-48E3-881A-F69F4C348968}"/>
    <cellStyle name="Comma 4 2 2 2 4 3" xfId="5016" xr:uid="{00000000-0005-0000-0000-0000EC070000}"/>
    <cellStyle name="Comma 4 2 2 2 4 3 2" xfId="13451" xr:uid="{1C8173DE-F729-4848-A1E1-055C957807F5}"/>
    <cellStyle name="Comma 4 2 2 2 4 4" xfId="9233" xr:uid="{FE244495-D9FD-48B0-B073-D672DDE4DE70}"/>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4068A395-73D8-43E4-81B2-AD8FB58B7CAA}"/>
    <cellStyle name="Comma 4 2 2 2 5 2 3" xfId="11791" xr:uid="{C2195FAB-C6CC-4B92-9D06-DFBFA631C26B}"/>
    <cellStyle name="Comma 4 2 2 2 5 3" xfId="5429" xr:uid="{00000000-0005-0000-0000-0000F0070000}"/>
    <cellStyle name="Comma 4 2 2 2 5 3 2" xfId="13864" xr:uid="{6E2A38DB-564E-4994-B008-38A7BEE13F59}"/>
    <cellStyle name="Comma 4 2 2 2 5 4" xfId="9646" xr:uid="{2C2A2602-3204-4A47-BB0F-B5E7EB88B2E2}"/>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28F91A62-D09F-4F0B-83B8-1F065589F666}"/>
    <cellStyle name="Comma 4 2 2 2 6 2 3" xfId="12204" xr:uid="{12DB1F45-6962-4107-90CA-9AC97242A146}"/>
    <cellStyle name="Comma 4 2 2 2 6 3" xfId="5842" xr:uid="{00000000-0005-0000-0000-0000F4070000}"/>
    <cellStyle name="Comma 4 2 2 2 6 3 2" xfId="14277" xr:uid="{73C4DCC0-39CA-4BA3-881E-6404A181ECEA}"/>
    <cellStyle name="Comma 4 2 2 2 6 4" xfId="10059" xr:uid="{CBAEC601-6AC8-4E14-B9BC-44111E76E7F7}"/>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E34A9E7F-719F-472B-B1CE-4D3A821A61CD}"/>
    <cellStyle name="Comma 4 2 2 2 7 2 3" xfId="12617" xr:uid="{40CB96FE-C571-43F5-A4B8-C6EE0AEC7D2D}"/>
    <cellStyle name="Comma 4 2 2 2 7 3" xfId="6255" xr:uid="{00000000-0005-0000-0000-0000F8070000}"/>
    <cellStyle name="Comma 4 2 2 2 7 3 2" xfId="14690" xr:uid="{9D47F457-D00A-4FC1-8881-CB6D6EF9C65B}"/>
    <cellStyle name="Comma 4 2 2 2 7 4" xfId="10472" xr:uid="{348A108C-0B76-4927-A560-ED25DEF9D75A}"/>
    <cellStyle name="Comma 4 2 2 2 8" xfId="2383" xr:uid="{00000000-0005-0000-0000-0000F9070000}"/>
    <cellStyle name="Comma 4 2 2 2 8 2" xfId="6668" xr:uid="{00000000-0005-0000-0000-0000FA070000}"/>
    <cellStyle name="Comma 4 2 2 2 8 2 2" xfId="15103" xr:uid="{216EEE53-A55F-41FC-A84B-7F13033093BE}"/>
    <cellStyle name="Comma 4 2 2 2 8 3" xfId="10885" xr:uid="{08647CA9-7E80-4E20-BBA5-2556374FDCFF}"/>
    <cellStyle name="Comma 4 2 2 2 9" xfId="2382" xr:uid="{00000000-0005-0000-0000-0000FB070000}"/>
    <cellStyle name="Comma 4 2 2 3" xfId="132" xr:uid="{00000000-0005-0000-0000-0000FC070000}"/>
    <cellStyle name="Comma 4 2 2 3 10" xfId="4606" xr:uid="{00000000-0005-0000-0000-0000FD070000}"/>
    <cellStyle name="Comma 4 2 2 3 10 2" xfId="13041" xr:uid="{D2623D14-E22F-499F-AFAF-8C05B39AA6E7}"/>
    <cellStyle name="Comma 4 2 2 3 11" xfId="8823" xr:uid="{F08B7141-7D46-416A-A5C6-63C7E9030555}"/>
    <cellStyle name="Comma 4 2 2 3 2" xfId="133" xr:uid="{00000000-0005-0000-0000-0000FE070000}"/>
    <cellStyle name="Comma 4 2 2 3 2 10" xfId="8824" xr:uid="{20FF0D36-1AA6-42C1-AA65-9404130FD27D}"/>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B8F39158-19D1-4602-A21C-FA2574AEEEEF}"/>
    <cellStyle name="Comma 4 2 2 3 2 2 2 3" xfId="11383" xr:uid="{92981FA8-5FF5-4C53-B8E3-E8E78855114C}"/>
    <cellStyle name="Comma 4 2 2 3 2 2 3" xfId="5021" xr:uid="{00000000-0005-0000-0000-000002080000}"/>
    <cellStyle name="Comma 4 2 2 3 2 2 3 2" xfId="13456" xr:uid="{1A964589-9A53-425F-8533-B1A0C6F7E867}"/>
    <cellStyle name="Comma 4 2 2 3 2 2 4" xfId="9238" xr:uid="{504A29E8-C5E4-48CC-9E95-27433DD3E13A}"/>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72B3C88E-B60E-405B-8207-5F0C9FC2A7B3}"/>
    <cellStyle name="Comma 4 2 2 3 2 3 2 3" xfId="11796" xr:uid="{CEB06A23-06D8-42F3-A6C2-7EBFE022C75A}"/>
    <cellStyle name="Comma 4 2 2 3 2 3 3" xfId="5434" xr:uid="{00000000-0005-0000-0000-000006080000}"/>
    <cellStyle name="Comma 4 2 2 3 2 3 3 2" xfId="13869" xr:uid="{1C424038-5718-419C-BC6C-C0AE2414E086}"/>
    <cellStyle name="Comma 4 2 2 3 2 3 4" xfId="9651" xr:uid="{6BE9F35C-7D2D-4F1B-8BE5-79684F18D969}"/>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8E5FE455-3C29-4681-8012-3158222309BF}"/>
    <cellStyle name="Comma 4 2 2 3 2 4 2 3" xfId="12209" xr:uid="{A1584C0A-3BDE-406C-8AC0-3BC268CE20B2}"/>
    <cellStyle name="Comma 4 2 2 3 2 4 3" xfId="5847" xr:uid="{00000000-0005-0000-0000-00000A080000}"/>
    <cellStyle name="Comma 4 2 2 3 2 4 3 2" xfId="14282" xr:uid="{6E2488A7-4512-4A66-8569-08AA5F613E56}"/>
    <cellStyle name="Comma 4 2 2 3 2 4 4" xfId="10064" xr:uid="{843338A8-72C3-44ED-8A08-53B784C4D096}"/>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0D729AD5-9C9B-4BA0-AE8D-DC9559E6F99E}"/>
    <cellStyle name="Comma 4 2 2 3 2 5 2 3" xfId="12622" xr:uid="{593BF849-B62F-4AB2-BCDF-B8AFA95ABCA8}"/>
    <cellStyle name="Comma 4 2 2 3 2 5 3" xfId="6260" xr:uid="{00000000-0005-0000-0000-00000E080000}"/>
    <cellStyle name="Comma 4 2 2 3 2 5 3 2" xfId="14695" xr:uid="{0DFA8F78-7E29-4573-83A4-FAD8C7C03F89}"/>
    <cellStyle name="Comma 4 2 2 3 2 5 4" xfId="10477" xr:uid="{924D5A70-755F-4247-B87A-DC2D953D4B3F}"/>
    <cellStyle name="Comma 4 2 2 3 2 6" xfId="2388" xr:uid="{00000000-0005-0000-0000-00000F080000}"/>
    <cellStyle name="Comma 4 2 2 3 2 6 2" xfId="6673" xr:uid="{00000000-0005-0000-0000-000010080000}"/>
    <cellStyle name="Comma 4 2 2 3 2 6 2 2" xfId="15108" xr:uid="{879BDFB0-57D0-4C78-8E65-C15277F052C0}"/>
    <cellStyle name="Comma 4 2 2 3 2 6 3" xfId="10890" xr:uid="{626C03F9-D3E0-41B7-A77A-DBD291431B27}"/>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022C40A9-3D6A-4B4B-86EC-DDB67D0F76AA}"/>
    <cellStyle name="Comma 4 2 2 3 2 8 3" xfId="11207" xr:uid="{F177AE88-6B8A-44FB-867B-D351585B5C6C}"/>
    <cellStyle name="Comma 4 2 2 3 2 9" xfId="4607" xr:uid="{00000000-0005-0000-0000-000014080000}"/>
    <cellStyle name="Comma 4 2 2 3 2 9 2" xfId="13042" xr:uid="{2FE7EEFC-3D7D-408E-AC59-7E1F131DBADD}"/>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B0803617-9F0F-42D0-A746-E84172B4640F}"/>
    <cellStyle name="Comma 4 2 2 3 3 2 3" xfId="11382" xr:uid="{ED5C1816-DE4C-41DF-ADBF-D8777FC95FB3}"/>
    <cellStyle name="Comma 4 2 2 3 3 3" xfId="5020" xr:uid="{00000000-0005-0000-0000-000018080000}"/>
    <cellStyle name="Comma 4 2 2 3 3 3 2" xfId="13455" xr:uid="{47816CE8-791F-46AA-8E30-EA5C06712D8E}"/>
    <cellStyle name="Comma 4 2 2 3 3 4" xfId="9237" xr:uid="{E5BF7625-2FF7-463E-B811-DE5D53739DBF}"/>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D9A57BE2-7632-4B58-BFE8-FA1B6482BF2D}"/>
    <cellStyle name="Comma 4 2 2 3 4 2 3" xfId="11795" xr:uid="{B9DC4362-C92B-4478-8515-E03C349E8999}"/>
    <cellStyle name="Comma 4 2 2 3 4 3" xfId="5433" xr:uid="{00000000-0005-0000-0000-00001C080000}"/>
    <cellStyle name="Comma 4 2 2 3 4 3 2" xfId="13868" xr:uid="{DDF335FB-EEFA-4613-A7E9-EBA434CE0237}"/>
    <cellStyle name="Comma 4 2 2 3 4 4" xfId="9650" xr:uid="{1C7C8BD3-1342-4C45-9952-763112992188}"/>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0B7A06BF-8B1D-4AE5-AF70-0BF6C945EE3C}"/>
    <cellStyle name="Comma 4 2 2 3 5 2 3" xfId="12208" xr:uid="{9C94CF4F-E789-4457-89A4-1D77AB2CF143}"/>
    <cellStyle name="Comma 4 2 2 3 5 3" xfId="5846" xr:uid="{00000000-0005-0000-0000-000020080000}"/>
    <cellStyle name="Comma 4 2 2 3 5 3 2" xfId="14281" xr:uid="{70CE5C08-0485-450A-A8AA-46F0AE559E9A}"/>
    <cellStyle name="Comma 4 2 2 3 5 4" xfId="10063" xr:uid="{F9E22BFE-A2D1-4AE9-9295-94A4CCB07E94}"/>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11D25915-11F1-4505-96EF-2D6DD3093B67}"/>
    <cellStyle name="Comma 4 2 2 3 6 2 3" xfId="12621" xr:uid="{B8661E0A-94DA-4CA2-85D2-8C098757DC45}"/>
    <cellStyle name="Comma 4 2 2 3 6 3" xfId="6259" xr:uid="{00000000-0005-0000-0000-000024080000}"/>
    <cellStyle name="Comma 4 2 2 3 6 3 2" xfId="14694" xr:uid="{1EE90A05-49AC-41D1-A579-DE3DF6728DBF}"/>
    <cellStyle name="Comma 4 2 2 3 6 4" xfId="10476" xr:uid="{C7C19FA8-C6EA-4E45-9DAE-CA70C3E005E8}"/>
    <cellStyle name="Comma 4 2 2 3 7" xfId="2387" xr:uid="{00000000-0005-0000-0000-000025080000}"/>
    <cellStyle name="Comma 4 2 2 3 7 2" xfId="6672" xr:uid="{00000000-0005-0000-0000-000026080000}"/>
    <cellStyle name="Comma 4 2 2 3 7 2 2" xfId="15107" xr:uid="{814032B8-AF23-4AE7-93FF-6074761AC7E2}"/>
    <cellStyle name="Comma 4 2 2 3 7 3" xfId="10889" xr:uid="{349B4232-132D-4B8D-AA71-0FEC571BC232}"/>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A3A02AFE-873B-4941-AA03-E8ECF9635137}"/>
    <cellStyle name="Comma 4 2 2 3 9 3" xfId="11206" xr:uid="{6BEDC782-0641-4634-B802-CB103A6E7BE2}"/>
    <cellStyle name="Comma 4 2 2 4" xfId="134" xr:uid="{00000000-0005-0000-0000-00002A080000}"/>
    <cellStyle name="Comma 4 2 2 4 10" xfId="8825" xr:uid="{09FC8EE4-7E96-4C1B-B20F-7BCE59B4BD3C}"/>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84340094-AC28-4F01-A999-0731A2D23DC2}"/>
    <cellStyle name="Comma 4 2 2 4 2 2 3" xfId="11384" xr:uid="{C08895F8-C7C0-4591-A3F7-D3E8E4A468DC}"/>
    <cellStyle name="Comma 4 2 2 4 2 3" xfId="5022" xr:uid="{00000000-0005-0000-0000-00002E080000}"/>
    <cellStyle name="Comma 4 2 2 4 2 3 2" xfId="13457" xr:uid="{058F07FA-1C9F-4134-A8A3-641FE4571852}"/>
    <cellStyle name="Comma 4 2 2 4 2 4" xfId="9239" xr:uid="{5A6301BC-8EBD-4195-988E-8C6B0646453D}"/>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11D1BA3A-CC7E-4E59-A5F4-A2D904B944D5}"/>
    <cellStyle name="Comma 4 2 2 4 3 2 3" xfId="11797" xr:uid="{CA384CB3-859C-4081-A36B-D0C04653267F}"/>
    <cellStyle name="Comma 4 2 2 4 3 3" xfId="5435" xr:uid="{00000000-0005-0000-0000-000032080000}"/>
    <cellStyle name="Comma 4 2 2 4 3 3 2" xfId="13870" xr:uid="{BA6BA9FD-75D7-47A8-8F10-6D723F483A12}"/>
    <cellStyle name="Comma 4 2 2 4 3 4" xfId="9652" xr:uid="{AF7215B1-D6E7-4DF2-8CC8-F2B057850231}"/>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280B9B9E-DC4E-4B00-8FA0-F072CA4EB063}"/>
    <cellStyle name="Comma 4 2 2 4 4 2 3" xfId="12210" xr:uid="{29A4CC48-F406-4E8B-94A8-8951D7C0246B}"/>
    <cellStyle name="Comma 4 2 2 4 4 3" xfId="5848" xr:uid="{00000000-0005-0000-0000-000036080000}"/>
    <cellStyle name="Comma 4 2 2 4 4 3 2" xfId="14283" xr:uid="{260259BB-9420-4977-AFF2-4E74922EBF58}"/>
    <cellStyle name="Comma 4 2 2 4 4 4" xfId="10065" xr:uid="{0087C247-3F0C-4C3A-9D73-ECFA3B37E954}"/>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319FEADD-B2D8-4D63-B460-A75DF333BA6C}"/>
    <cellStyle name="Comma 4 2 2 4 5 2 3" xfId="12623" xr:uid="{93C84AF6-139F-4A5D-AB0E-AB737F8D8F22}"/>
    <cellStyle name="Comma 4 2 2 4 5 3" xfId="6261" xr:uid="{00000000-0005-0000-0000-00003A080000}"/>
    <cellStyle name="Comma 4 2 2 4 5 3 2" xfId="14696" xr:uid="{326D7BE3-5EF8-433E-98C5-869FDA8D14AB}"/>
    <cellStyle name="Comma 4 2 2 4 5 4" xfId="10478" xr:uid="{D5F9991C-3899-4D9E-B1CA-67264C3DD2A5}"/>
    <cellStyle name="Comma 4 2 2 4 6" xfId="2389" xr:uid="{00000000-0005-0000-0000-00003B080000}"/>
    <cellStyle name="Comma 4 2 2 4 6 2" xfId="6674" xr:uid="{00000000-0005-0000-0000-00003C080000}"/>
    <cellStyle name="Comma 4 2 2 4 6 2 2" xfId="15109" xr:uid="{F90CFFA9-C467-4A5D-9DA7-A1C850D13578}"/>
    <cellStyle name="Comma 4 2 2 4 6 3" xfId="10891" xr:uid="{86C68E8A-0038-42DE-AB32-A1C0F88D7B2E}"/>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FAB25403-A1EA-4DF4-853D-C18C0D9489AD}"/>
    <cellStyle name="Comma 4 2 2 4 8 3" xfId="11208" xr:uid="{24FEBD33-DD50-4607-9CCD-EC213F58EB32}"/>
    <cellStyle name="Comma 4 2 2 4 9" xfId="4608" xr:uid="{00000000-0005-0000-0000-000040080000}"/>
    <cellStyle name="Comma 4 2 2 4 9 2" xfId="13043" xr:uid="{610338C8-A07B-44B5-A376-574E3FE4F7C0}"/>
    <cellStyle name="Comma 4 2 2 5" xfId="135" xr:uid="{00000000-0005-0000-0000-000041080000}"/>
    <cellStyle name="Comma 4 2 2 5 10" xfId="8826" xr:uid="{1754B0AD-7627-4805-826D-634269C831F4}"/>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173B63B1-97D3-4D7A-85DE-59F6BE2EC7DE}"/>
    <cellStyle name="Comma 4 2 2 5 2 2 3" xfId="11385" xr:uid="{9FCE6281-7961-4988-B52E-9A9276DEF62B}"/>
    <cellStyle name="Comma 4 2 2 5 2 3" xfId="5023" xr:uid="{00000000-0005-0000-0000-000045080000}"/>
    <cellStyle name="Comma 4 2 2 5 2 3 2" xfId="13458" xr:uid="{476A4262-9836-44E6-ACEF-FF0D1B0BFBB3}"/>
    <cellStyle name="Comma 4 2 2 5 2 4" xfId="9240" xr:uid="{185C3727-FA5E-4492-942B-D1A7378B8FEB}"/>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02962682-DDDD-427A-A1E1-FBE9FBD160E5}"/>
    <cellStyle name="Comma 4 2 2 5 3 2 3" xfId="11798" xr:uid="{71B5209E-8B8D-4AFF-AC0B-3CB3E839C701}"/>
    <cellStyle name="Comma 4 2 2 5 3 3" xfId="5436" xr:uid="{00000000-0005-0000-0000-000049080000}"/>
    <cellStyle name="Comma 4 2 2 5 3 3 2" xfId="13871" xr:uid="{DB4D1935-22E0-4023-BCFC-D832F6B1D7F0}"/>
    <cellStyle name="Comma 4 2 2 5 3 4" xfId="9653" xr:uid="{534A423B-3FA0-4ECA-91E6-D935B42B35D4}"/>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4DEACE6B-5D0B-41AE-A061-3A8168031D60}"/>
    <cellStyle name="Comma 4 2 2 5 4 2 3" xfId="12211" xr:uid="{52121E5B-577A-4E0B-8CF0-091BC41B6241}"/>
    <cellStyle name="Comma 4 2 2 5 4 3" xfId="5849" xr:uid="{00000000-0005-0000-0000-00004D080000}"/>
    <cellStyle name="Comma 4 2 2 5 4 3 2" xfId="14284" xr:uid="{8B73E6A8-2F03-48B0-9C16-A7843E393E19}"/>
    <cellStyle name="Comma 4 2 2 5 4 4" xfId="10066" xr:uid="{5FBE0866-F1EC-4A1D-B363-F409EBA1F587}"/>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E7550870-862A-4478-9667-278B09866682}"/>
    <cellStyle name="Comma 4 2 2 5 5 2 3" xfId="12624" xr:uid="{40F981F5-6E04-4757-BDF9-09A68F0E62AB}"/>
    <cellStyle name="Comma 4 2 2 5 5 3" xfId="6262" xr:uid="{00000000-0005-0000-0000-000051080000}"/>
    <cellStyle name="Comma 4 2 2 5 5 3 2" xfId="14697" xr:uid="{A6ACF42F-85EF-43F9-9B89-C2F507DEA5E6}"/>
    <cellStyle name="Comma 4 2 2 5 5 4" xfId="10479" xr:uid="{B6AA3899-734E-427F-B065-796FE96564D5}"/>
    <cellStyle name="Comma 4 2 2 5 6" xfId="2390" xr:uid="{00000000-0005-0000-0000-000052080000}"/>
    <cellStyle name="Comma 4 2 2 5 6 2" xfId="6675" xr:uid="{00000000-0005-0000-0000-000053080000}"/>
    <cellStyle name="Comma 4 2 2 5 6 2 2" xfId="15110" xr:uid="{B093EC00-CF4B-4B6D-8C37-4C70C3C1B2CE}"/>
    <cellStyle name="Comma 4 2 2 5 6 3" xfId="10892" xr:uid="{76922E1C-C6F3-4870-9ACD-275348E77622}"/>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4970FD1E-8E41-431E-AD12-5FA35BB7C6BD}"/>
    <cellStyle name="Comma 4 2 2 5 8 3" xfId="11209" xr:uid="{0F39DF21-EC0A-4498-8DB0-4AD42675158A}"/>
    <cellStyle name="Comma 4 2 2 5 9" xfId="4609" xr:uid="{00000000-0005-0000-0000-000057080000}"/>
    <cellStyle name="Comma 4 2 2 5 9 2" xfId="13044" xr:uid="{D07FCCB6-9344-4FAA-AFD1-F83157D1DC67}"/>
    <cellStyle name="Comma 4 2 3" xfId="136" xr:uid="{00000000-0005-0000-0000-000058080000}"/>
    <cellStyle name="Comma 4 2 3 10" xfId="2769" xr:uid="{00000000-0005-0000-0000-000059080000}"/>
    <cellStyle name="Comma 4 2 3 10 2" xfId="6993" xr:uid="{00000000-0005-0000-0000-00005A080000}"/>
    <cellStyle name="Comma 4 2 3 10 2 2" xfId="15428" xr:uid="{A7F5E44E-1E56-4421-9FAF-CDDFC54D8499}"/>
    <cellStyle name="Comma 4 2 3 10 3" xfId="11210" xr:uid="{53949A02-B8E9-4127-9450-B3643C1E13F0}"/>
    <cellStyle name="Comma 4 2 3 11" xfId="4610" xr:uid="{00000000-0005-0000-0000-00005B080000}"/>
    <cellStyle name="Comma 4 2 3 11 2" xfId="13045" xr:uid="{39D942D3-3685-4905-92CD-4CB74897B62D}"/>
    <cellStyle name="Comma 4 2 3 12" xfId="8827" xr:uid="{0A819CDB-4C97-427E-A525-92D04E1961B0}"/>
    <cellStyle name="Comma 4 2 3 2" xfId="137" xr:uid="{00000000-0005-0000-0000-00005C080000}"/>
    <cellStyle name="Comma 4 2 3 2 10" xfId="4611" xr:uid="{00000000-0005-0000-0000-00005D080000}"/>
    <cellStyle name="Comma 4 2 3 2 10 2" xfId="13046" xr:uid="{CFA79279-06D6-4476-A14A-C999565F1D84}"/>
    <cellStyle name="Comma 4 2 3 2 11" xfId="8828" xr:uid="{E1358D48-2917-4935-BB58-6E656E777021}"/>
    <cellStyle name="Comma 4 2 3 2 2" xfId="138" xr:uid="{00000000-0005-0000-0000-00005E080000}"/>
    <cellStyle name="Comma 4 2 3 2 2 10" xfId="8829" xr:uid="{0408DA4A-69D8-4A65-B91A-895BD02135DA}"/>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59CD5AED-BA7A-4E64-B0D4-8761ECAB17F6}"/>
    <cellStyle name="Comma 4 2 3 2 2 2 2 3" xfId="11388" xr:uid="{DD696244-98FB-4057-BEB2-CB08C7977BCB}"/>
    <cellStyle name="Comma 4 2 3 2 2 2 3" xfId="5026" xr:uid="{00000000-0005-0000-0000-000062080000}"/>
    <cellStyle name="Comma 4 2 3 2 2 2 3 2" xfId="13461" xr:uid="{ADCA6BAA-782E-4BF2-A376-0F793F2B2007}"/>
    <cellStyle name="Comma 4 2 3 2 2 2 4" xfId="9243" xr:uid="{0B54483E-1BFF-4976-8501-E88A5301A021}"/>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D139B2D6-DC95-46CF-A659-D8333E7F325C}"/>
    <cellStyle name="Comma 4 2 3 2 2 3 2 3" xfId="11801" xr:uid="{4C15B1DA-53EE-463D-AE19-597F52C8E3A3}"/>
    <cellStyle name="Comma 4 2 3 2 2 3 3" xfId="5439" xr:uid="{00000000-0005-0000-0000-000066080000}"/>
    <cellStyle name="Comma 4 2 3 2 2 3 3 2" xfId="13874" xr:uid="{38D6BB07-7728-444C-AF17-C90B1D7B2414}"/>
    <cellStyle name="Comma 4 2 3 2 2 3 4" xfId="9656" xr:uid="{8155CB01-87DF-48C4-BE1A-DC33020D223C}"/>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8A45FFD7-0421-41B6-93D3-56BFF4E3ED7C}"/>
    <cellStyle name="Comma 4 2 3 2 2 4 2 3" xfId="12214" xr:uid="{D938984F-2AD6-4149-8469-5F2B9819EDFA}"/>
    <cellStyle name="Comma 4 2 3 2 2 4 3" xfId="5852" xr:uid="{00000000-0005-0000-0000-00006A080000}"/>
    <cellStyle name="Comma 4 2 3 2 2 4 3 2" xfId="14287" xr:uid="{7C49450E-5F74-4254-AF33-6B59DEAAF424}"/>
    <cellStyle name="Comma 4 2 3 2 2 4 4" xfId="10069" xr:uid="{79D7A445-3F82-408F-A035-514B18B999CE}"/>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E7109F54-6755-46BA-9FF6-B648A71282D1}"/>
    <cellStyle name="Comma 4 2 3 2 2 5 2 3" xfId="12627" xr:uid="{405C7AEF-B54F-4E76-A11B-6FDFB1034953}"/>
    <cellStyle name="Comma 4 2 3 2 2 5 3" xfId="6265" xr:uid="{00000000-0005-0000-0000-00006E080000}"/>
    <cellStyle name="Comma 4 2 3 2 2 5 3 2" xfId="14700" xr:uid="{988FF665-03F6-46CB-B4E6-788806D4FD14}"/>
    <cellStyle name="Comma 4 2 3 2 2 5 4" xfId="10482" xr:uid="{4BB29EBF-4022-4EB8-8DB4-9E6CA3DC4772}"/>
    <cellStyle name="Comma 4 2 3 2 2 6" xfId="2393" xr:uid="{00000000-0005-0000-0000-00006F080000}"/>
    <cellStyle name="Comma 4 2 3 2 2 6 2" xfId="6678" xr:uid="{00000000-0005-0000-0000-000070080000}"/>
    <cellStyle name="Comma 4 2 3 2 2 6 2 2" xfId="15113" xr:uid="{FAAF80BA-DF65-4C06-865C-9D4939E6C4CF}"/>
    <cellStyle name="Comma 4 2 3 2 2 6 3" xfId="10895" xr:uid="{8A8FF200-3D90-4E72-9179-0557477565A6}"/>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D03A4FE5-559F-419C-A224-F8D88D8F4B64}"/>
    <cellStyle name="Comma 4 2 3 2 2 8 3" xfId="11212" xr:uid="{3A376CA1-AB01-4078-9901-8E18289BE35B}"/>
    <cellStyle name="Comma 4 2 3 2 2 9" xfId="4612" xr:uid="{00000000-0005-0000-0000-000074080000}"/>
    <cellStyle name="Comma 4 2 3 2 2 9 2" xfId="13047" xr:uid="{0CF86D00-0860-486D-9176-E5EFDCD4240D}"/>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6022B331-2025-4D3C-BB70-59E15FE3868E}"/>
    <cellStyle name="Comma 4 2 3 2 3 2 3" xfId="11387" xr:uid="{867A71C2-769F-44A4-896E-C521FD760DDA}"/>
    <cellStyle name="Comma 4 2 3 2 3 3" xfId="5025" xr:uid="{00000000-0005-0000-0000-000078080000}"/>
    <cellStyle name="Comma 4 2 3 2 3 3 2" xfId="13460" xr:uid="{673F7959-DA59-406C-A5CF-9375025C1ADE}"/>
    <cellStyle name="Comma 4 2 3 2 3 4" xfId="9242" xr:uid="{C0055378-20EF-4A5E-AF10-A58406C9D16B}"/>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5E3C230D-F37E-4691-A495-F2662BF32CBB}"/>
    <cellStyle name="Comma 4 2 3 2 4 2 3" xfId="11800" xr:uid="{77BB5863-8AAA-4CF4-B630-EBC6235372E7}"/>
    <cellStyle name="Comma 4 2 3 2 4 3" xfId="5438" xr:uid="{00000000-0005-0000-0000-00007C080000}"/>
    <cellStyle name="Comma 4 2 3 2 4 3 2" xfId="13873" xr:uid="{D6844DF5-9F1C-4FFA-B83A-001EE0B1D1FA}"/>
    <cellStyle name="Comma 4 2 3 2 4 4" xfId="9655" xr:uid="{6DAB7A98-B4D5-44A8-A448-AF7D02053645}"/>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9F4DB3C5-1518-4D98-9555-C6A18172FBBF}"/>
    <cellStyle name="Comma 4 2 3 2 5 2 3" xfId="12213" xr:uid="{25FEFC2F-CFD2-470B-A026-FF28218C7B10}"/>
    <cellStyle name="Comma 4 2 3 2 5 3" xfId="5851" xr:uid="{00000000-0005-0000-0000-000080080000}"/>
    <cellStyle name="Comma 4 2 3 2 5 3 2" xfId="14286" xr:uid="{7B4ED7F7-D5C6-418C-8486-D2D9D9434761}"/>
    <cellStyle name="Comma 4 2 3 2 5 4" xfId="10068" xr:uid="{EF65E96D-8750-41E8-BF40-8F9D6A139691}"/>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322E00A7-603D-426E-86AC-DAF980FCB22B}"/>
    <cellStyle name="Comma 4 2 3 2 6 2 3" xfId="12626" xr:uid="{49511D52-55D7-480A-99E8-4FA915760BC9}"/>
    <cellStyle name="Comma 4 2 3 2 6 3" xfId="6264" xr:uid="{00000000-0005-0000-0000-000084080000}"/>
    <cellStyle name="Comma 4 2 3 2 6 3 2" xfId="14699" xr:uid="{76BB530F-46E2-47D9-BB90-51BD2233B8F8}"/>
    <cellStyle name="Comma 4 2 3 2 6 4" xfId="10481" xr:uid="{86FC18B7-281A-4A97-80CD-CADA8F8E7ECB}"/>
    <cellStyle name="Comma 4 2 3 2 7" xfId="2392" xr:uid="{00000000-0005-0000-0000-000085080000}"/>
    <cellStyle name="Comma 4 2 3 2 7 2" xfId="6677" xr:uid="{00000000-0005-0000-0000-000086080000}"/>
    <cellStyle name="Comma 4 2 3 2 7 2 2" xfId="15112" xr:uid="{55E5CEBB-2ADF-40DE-8B3D-9BDE0D035213}"/>
    <cellStyle name="Comma 4 2 3 2 7 3" xfId="10894" xr:uid="{648EA768-4FA7-4DE1-A7A4-67C12B9E024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AC7647F2-61B5-4C5F-9BD2-36808865D366}"/>
    <cellStyle name="Comma 4 2 3 2 9 3" xfId="11211" xr:uid="{DF7183A7-76BF-4632-8165-673AFC5E6A69}"/>
    <cellStyle name="Comma 4 2 3 3" xfId="139" xr:uid="{00000000-0005-0000-0000-00008A080000}"/>
    <cellStyle name="Comma 4 2 3 3 10" xfId="8830" xr:uid="{9B8DFBED-A01A-4877-9A05-B0FBBC8C4BB2}"/>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5DFA696E-F512-444B-BB87-084FE7E70540}"/>
    <cellStyle name="Comma 4 2 3 3 2 2 3" xfId="11389" xr:uid="{B9498979-03CE-4330-8830-8F0DBA99350D}"/>
    <cellStyle name="Comma 4 2 3 3 2 3" xfId="5027" xr:uid="{00000000-0005-0000-0000-00008E080000}"/>
    <cellStyle name="Comma 4 2 3 3 2 3 2" xfId="13462" xr:uid="{17A36FF7-3DAD-476F-A1D5-C0FFD86F5FB8}"/>
    <cellStyle name="Comma 4 2 3 3 2 4" xfId="9244" xr:uid="{525FB736-96E6-4203-9049-E617771036B4}"/>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1ADACBAF-BA77-4A82-857B-7E85283B140F}"/>
    <cellStyle name="Comma 4 2 3 3 3 2 3" xfId="11802" xr:uid="{45B65AAF-7322-4827-ADD4-2A60C6778B03}"/>
    <cellStyle name="Comma 4 2 3 3 3 3" xfId="5440" xr:uid="{00000000-0005-0000-0000-000092080000}"/>
    <cellStyle name="Comma 4 2 3 3 3 3 2" xfId="13875" xr:uid="{947929B2-B4B9-4B97-B977-889D460C3FE0}"/>
    <cellStyle name="Comma 4 2 3 3 3 4" xfId="9657" xr:uid="{BEBDEDFA-655D-45C5-86CC-DAEEAFD63F26}"/>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C302ECDE-6143-4330-8728-FEDA372A031C}"/>
    <cellStyle name="Comma 4 2 3 3 4 2 3" xfId="12215" xr:uid="{40ECBE90-7C7F-413A-AC8D-F0712F22AF6D}"/>
    <cellStyle name="Comma 4 2 3 3 4 3" xfId="5853" xr:uid="{00000000-0005-0000-0000-000096080000}"/>
    <cellStyle name="Comma 4 2 3 3 4 3 2" xfId="14288" xr:uid="{F570CFAF-CFCA-4149-97F2-89196B7A530E}"/>
    <cellStyle name="Comma 4 2 3 3 4 4" xfId="10070" xr:uid="{C3C06ED4-89EF-4851-BF17-5449CC1FA31C}"/>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C44F5F0C-4EA7-4C65-A784-83CB13235926}"/>
    <cellStyle name="Comma 4 2 3 3 5 2 3" xfId="12628" xr:uid="{C21AE89F-B33C-4044-B5A3-D28667A99F1D}"/>
    <cellStyle name="Comma 4 2 3 3 5 3" xfId="6266" xr:uid="{00000000-0005-0000-0000-00009A080000}"/>
    <cellStyle name="Comma 4 2 3 3 5 3 2" xfId="14701" xr:uid="{200AFCA4-6F10-414A-90B0-9CAFCAE9FC04}"/>
    <cellStyle name="Comma 4 2 3 3 5 4" xfId="10483" xr:uid="{D77E4831-5571-4FAA-A63E-D0F8EDDCAFE6}"/>
    <cellStyle name="Comma 4 2 3 3 6" xfId="2394" xr:uid="{00000000-0005-0000-0000-00009B080000}"/>
    <cellStyle name="Comma 4 2 3 3 6 2" xfId="6679" xr:uid="{00000000-0005-0000-0000-00009C080000}"/>
    <cellStyle name="Comma 4 2 3 3 6 2 2" xfId="15114" xr:uid="{B7FC4109-72C6-454F-9A39-15037020D18D}"/>
    <cellStyle name="Comma 4 2 3 3 6 3" xfId="10896" xr:uid="{4161AE2F-EDE3-40D2-A1B1-01E08B4BD096}"/>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631DD2D1-DBD4-4180-BE39-B094340AEC2A}"/>
    <cellStyle name="Comma 4 2 3 3 8 3" xfId="11213" xr:uid="{F4388366-B9EA-43AF-98E2-B38AFDCA29A0}"/>
    <cellStyle name="Comma 4 2 3 3 9" xfId="4613" xr:uid="{00000000-0005-0000-0000-0000A0080000}"/>
    <cellStyle name="Comma 4 2 3 3 9 2" xfId="13048" xr:uid="{22D33CC9-C5E8-4A5E-A3FB-39E0E63821A6}"/>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80F9FE04-CEC6-4DFD-9F5B-8D904BA1B1BF}"/>
    <cellStyle name="Comma 4 2 3 4 2 3" xfId="11386" xr:uid="{6F07A982-A800-41E2-B6CD-FBE53AA26663}"/>
    <cellStyle name="Comma 4 2 3 4 3" xfId="5024" xr:uid="{00000000-0005-0000-0000-0000A4080000}"/>
    <cellStyle name="Comma 4 2 3 4 3 2" xfId="13459" xr:uid="{A6F61091-C13C-4380-827E-B1C6C82A8972}"/>
    <cellStyle name="Comma 4 2 3 4 4" xfId="9241" xr:uid="{D9300D3A-0BAC-4B7C-9BA8-DA0408E14CD7}"/>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CB1E92AA-D557-4044-957B-04072DC4D485}"/>
    <cellStyle name="Comma 4 2 3 5 2 3" xfId="11799" xr:uid="{47C72B63-DDC2-4852-8AA6-6D3BD0FE3CFD}"/>
    <cellStyle name="Comma 4 2 3 5 3" xfId="5437" xr:uid="{00000000-0005-0000-0000-0000A8080000}"/>
    <cellStyle name="Comma 4 2 3 5 3 2" xfId="13872" xr:uid="{49EEB76A-2375-4ECC-B1E8-FCB234E76548}"/>
    <cellStyle name="Comma 4 2 3 5 4" xfId="9654" xr:uid="{97BDCE20-BAA9-4BA2-9BB4-0581D7DF404F}"/>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FF3A9D25-BAEB-4B81-AF1A-47F80D54B5EA}"/>
    <cellStyle name="Comma 4 2 3 6 2 3" xfId="12212" xr:uid="{F0445C9E-7994-4F05-85E4-3639E6297CA0}"/>
    <cellStyle name="Comma 4 2 3 6 3" xfId="5850" xr:uid="{00000000-0005-0000-0000-0000AC080000}"/>
    <cellStyle name="Comma 4 2 3 6 3 2" xfId="14285" xr:uid="{D235233C-0159-4D2E-90BA-890DE667F0D5}"/>
    <cellStyle name="Comma 4 2 3 6 4" xfId="10067" xr:uid="{C9A41EDF-B8C1-4284-B256-48D269C93E34}"/>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6F9C6000-2299-493F-89D3-C2492CA716C6}"/>
    <cellStyle name="Comma 4 2 3 7 2 3" xfId="12625" xr:uid="{66ECA7D4-4714-493C-987F-0AD2C31CD7CA}"/>
    <cellStyle name="Comma 4 2 3 7 3" xfId="6263" xr:uid="{00000000-0005-0000-0000-0000B0080000}"/>
    <cellStyle name="Comma 4 2 3 7 3 2" xfId="14698" xr:uid="{941E95E0-C587-429F-9F28-44C00101A490}"/>
    <cellStyle name="Comma 4 2 3 7 4" xfId="10480" xr:uid="{3A4E36F8-2177-4E5A-BB5E-6F2839FB06F5}"/>
    <cellStyle name="Comma 4 2 3 8" xfId="2391" xr:uid="{00000000-0005-0000-0000-0000B1080000}"/>
    <cellStyle name="Comma 4 2 3 8 2" xfId="6676" xr:uid="{00000000-0005-0000-0000-0000B2080000}"/>
    <cellStyle name="Comma 4 2 3 8 2 2" xfId="15111" xr:uid="{7350CA61-A2A3-43A5-A391-655F2140C1B3}"/>
    <cellStyle name="Comma 4 2 3 8 3" xfId="10893" xr:uid="{60B486D9-D8F4-442A-A7F5-ABD6A35356F8}"/>
    <cellStyle name="Comma 4 2 3 9" xfId="2374" xr:uid="{00000000-0005-0000-0000-0000B3080000}"/>
    <cellStyle name="Comma 4 2 4" xfId="140" xr:uid="{00000000-0005-0000-0000-0000B4080000}"/>
    <cellStyle name="Comma 4 2 4 10" xfId="4614" xr:uid="{00000000-0005-0000-0000-0000B5080000}"/>
    <cellStyle name="Comma 4 2 4 10 2" xfId="13049" xr:uid="{57118DEE-D56A-4AEF-87FD-F8E972F132EC}"/>
    <cellStyle name="Comma 4 2 4 11" xfId="8831" xr:uid="{214B8614-BAAA-4D58-A427-B6CBC0AB4A52}"/>
    <cellStyle name="Comma 4 2 4 2" xfId="141" xr:uid="{00000000-0005-0000-0000-0000B6080000}"/>
    <cellStyle name="Comma 4 2 4 2 10" xfId="8832" xr:uid="{1970F2C3-4256-4883-8CAE-05B630936F92}"/>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A1785E24-DBF7-46DD-ADD9-B1789B4067BC}"/>
    <cellStyle name="Comma 4 2 4 2 2 2 3" xfId="11391" xr:uid="{44AE3CF5-FBCD-4987-B3FA-4801F93589FE}"/>
    <cellStyle name="Comma 4 2 4 2 2 3" xfId="5029" xr:uid="{00000000-0005-0000-0000-0000BA080000}"/>
    <cellStyle name="Comma 4 2 4 2 2 3 2" xfId="13464" xr:uid="{2ED15DC1-A92E-4CB0-ABCE-DFA93550A762}"/>
    <cellStyle name="Comma 4 2 4 2 2 4" xfId="9246" xr:uid="{8B66F9CE-ECF9-4509-AE85-DD5C2BB469A9}"/>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4ACE4C5B-326A-412B-A7BE-AFFF534EF871}"/>
    <cellStyle name="Comma 4 2 4 2 3 2 3" xfId="11804" xr:uid="{A811C982-2DFA-4524-82CE-CB5BF287EAF1}"/>
    <cellStyle name="Comma 4 2 4 2 3 3" xfId="5442" xr:uid="{00000000-0005-0000-0000-0000BE080000}"/>
    <cellStyle name="Comma 4 2 4 2 3 3 2" xfId="13877" xr:uid="{9F449C65-8E39-4554-8D3A-C452B93342BA}"/>
    <cellStyle name="Comma 4 2 4 2 3 4" xfId="9659" xr:uid="{8A233311-0D3D-49B4-8A33-025FF143684B}"/>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41556743-22A4-4AF3-B43A-FDE25BAD6040}"/>
    <cellStyle name="Comma 4 2 4 2 4 2 3" xfId="12217" xr:uid="{1151255B-922D-44DB-9E88-CB49F4C1F914}"/>
    <cellStyle name="Comma 4 2 4 2 4 3" xfId="5855" xr:uid="{00000000-0005-0000-0000-0000C2080000}"/>
    <cellStyle name="Comma 4 2 4 2 4 3 2" xfId="14290" xr:uid="{458F1DDA-9ABC-4E66-9D5A-1965016C4636}"/>
    <cellStyle name="Comma 4 2 4 2 4 4" xfId="10072" xr:uid="{A8D5F65C-9ECC-41D2-8F0B-98EC0AE634E6}"/>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55EECC00-361D-4361-80C9-267185021481}"/>
    <cellStyle name="Comma 4 2 4 2 5 2 3" xfId="12630" xr:uid="{993EC118-61C6-46F0-9639-86DE47721517}"/>
    <cellStyle name="Comma 4 2 4 2 5 3" xfId="6268" xr:uid="{00000000-0005-0000-0000-0000C6080000}"/>
    <cellStyle name="Comma 4 2 4 2 5 3 2" xfId="14703" xr:uid="{245B2463-835A-425E-897E-141B4938A896}"/>
    <cellStyle name="Comma 4 2 4 2 5 4" xfId="10485" xr:uid="{281DB7C2-A1AD-48BE-B093-4A4D4F99321D}"/>
    <cellStyle name="Comma 4 2 4 2 6" xfId="2396" xr:uid="{00000000-0005-0000-0000-0000C7080000}"/>
    <cellStyle name="Comma 4 2 4 2 6 2" xfId="6681" xr:uid="{00000000-0005-0000-0000-0000C8080000}"/>
    <cellStyle name="Comma 4 2 4 2 6 2 2" xfId="15116" xr:uid="{D24E49DC-987A-4A38-9EC1-88E800778A76}"/>
    <cellStyle name="Comma 4 2 4 2 6 3" xfId="10898" xr:uid="{85B99066-5408-45AA-A937-3A4C38559523}"/>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E3E96B5C-3CD9-4B37-BB6D-50B9DD206DBA}"/>
    <cellStyle name="Comma 4 2 4 2 8 3" xfId="11215" xr:uid="{75EAEB8A-F3EB-47B3-8A49-4A534A46EA4F}"/>
    <cellStyle name="Comma 4 2 4 2 9" xfId="4615" xr:uid="{00000000-0005-0000-0000-0000CC080000}"/>
    <cellStyle name="Comma 4 2 4 2 9 2" xfId="13050" xr:uid="{28D84116-92BC-4CDC-90EB-E14417A99924}"/>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31526890-1A99-45A4-85EB-B5761E4574E8}"/>
    <cellStyle name="Comma 4 2 4 3 2 3" xfId="11390" xr:uid="{6DDE4B92-21F0-4A39-B5D3-E99B8AAD078A}"/>
    <cellStyle name="Comma 4 2 4 3 3" xfId="5028" xr:uid="{00000000-0005-0000-0000-0000D0080000}"/>
    <cellStyle name="Comma 4 2 4 3 3 2" xfId="13463" xr:uid="{CA2496A4-56B1-434F-A452-6E65C8408ACB}"/>
    <cellStyle name="Comma 4 2 4 3 4" xfId="9245" xr:uid="{1B2D9C76-8B37-4E76-8D80-D49001443D43}"/>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BAD00A42-398C-488B-A2ED-DD0DC16136CA}"/>
    <cellStyle name="Comma 4 2 4 4 2 3" xfId="11803" xr:uid="{4D393447-6BF1-4A0E-B583-941FCD8901D1}"/>
    <cellStyle name="Comma 4 2 4 4 3" xfId="5441" xr:uid="{00000000-0005-0000-0000-0000D4080000}"/>
    <cellStyle name="Comma 4 2 4 4 3 2" xfId="13876" xr:uid="{E81836DA-9100-46D0-9BA4-F249FD96AD3C}"/>
    <cellStyle name="Comma 4 2 4 4 4" xfId="9658" xr:uid="{39561E0F-C3A1-4BE9-A244-9D3B70FD4DEF}"/>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B213BAB0-CF9A-497D-98F3-D6157410E12B}"/>
    <cellStyle name="Comma 4 2 4 5 2 3" xfId="12216" xr:uid="{FD1511F9-ACF9-46FD-8850-1408EEA2FC1B}"/>
    <cellStyle name="Comma 4 2 4 5 3" xfId="5854" xr:uid="{00000000-0005-0000-0000-0000D8080000}"/>
    <cellStyle name="Comma 4 2 4 5 3 2" xfId="14289" xr:uid="{585FA97D-09DF-4F8B-A3B0-3AFCFFCA87AD}"/>
    <cellStyle name="Comma 4 2 4 5 4" xfId="10071" xr:uid="{AA2D87F1-A8D7-49CB-ADC1-03F84B797C88}"/>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32AE882F-056C-493F-A730-0FB216B56698}"/>
    <cellStyle name="Comma 4 2 4 6 2 3" xfId="12629" xr:uid="{F02F9249-F093-4C20-B137-34154948089E}"/>
    <cellStyle name="Comma 4 2 4 6 3" xfId="6267" xr:uid="{00000000-0005-0000-0000-0000DC080000}"/>
    <cellStyle name="Comma 4 2 4 6 3 2" xfId="14702" xr:uid="{9A2B902D-48DC-4DAD-8F32-D4AB5A4B298C}"/>
    <cellStyle name="Comma 4 2 4 6 4" xfId="10484" xr:uid="{7925C8EE-2DB5-4EDB-AB07-5662C2C10F7C}"/>
    <cellStyle name="Comma 4 2 4 7" xfId="2395" xr:uid="{00000000-0005-0000-0000-0000DD080000}"/>
    <cellStyle name="Comma 4 2 4 7 2" xfId="6680" xr:uid="{00000000-0005-0000-0000-0000DE080000}"/>
    <cellStyle name="Comma 4 2 4 7 2 2" xfId="15115" xr:uid="{38C2A600-CC82-4F56-B9F6-84CE2E98B3D5}"/>
    <cellStyle name="Comma 4 2 4 7 3" xfId="10897" xr:uid="{4220F222-0269-4FD8-96B6-AF15A033DEE7}"/>
    <cellStyle name="Comma 4 2 4 8" xfId="2370" xr:uid="{00000000-0005-0000-0000-0000DF080000}"/>
    <cellStyle name="Comma 4 2 4 9" xfId="2773" xr:uid="{00000000-0005-0000-0000-0000E0080000}"/>
    <cellStyle name="Comma 4 2 4 9 2" xfId="6997" xr:uid="{00000000-0005-0000-0000-0000E1080000}"/>
    <cellStyle name="Comma 4 2 4 9 2 2" xfId="15432" xr:uid="{C8C243F6-B3E4-4364-94CA-5281FD97560E}"/>
    <cellStyle name="Comma 4 2 4 9 3" xfId="11214" xr:uid="{E1CC79B8-B4B8-44AB-9983-F0CE193A44B6}"/>
    <cellStyle name="Comma 4 2 5" xfId="142" xr:uid="{00000000-0005-0000-0000-0000E2080000}"/>
    <cellStyle name="Comma 4 2 5 10" xfId="8833" xr:uid="{7903DB35-1F20-4523-96C5-409A3B66DFC6}"/>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7777BDDE-601D-485E-B39A-9DC16393855A}"/>
    <cellStyle name="Comma 4 2 5 2 2 3" xfId="11392" xr:uid="{B7EA881A-E245-4506-91A5-3FF6035BFE99}"/>
    <cellStyle name="Comma 4 2 5 2 3" xfId="5030" xr:uid="{00000000-0005-0000-0000-0000E6080000}"/>
    <cellStyle name="Comma 4 2 5 2 3 2" xfId="13465" xr:uid="{7B70214F-1F7B-44C2-8965-214DA216CA5B}"/>
    <cellStyle name="Comma 4 2 5 2 4" xfId="9247" xr:uid="{308837CF-EF1E-4BC5-A4D9-CE6A92F721D4}"/>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32715814-8CBE-4221-9CAD-74B6A2ACB94C}"/>
    <cellStyle name="Comma 4 2 5 3 2 3" xfId="11805" xr:uid="{98AE3A66-FAF0-4D74-8226-5F48EE469BBD}"/>
    <cellStyle name="Comma 4 2 5 3 3" xfId="5443" xr:uid="{00000000-0005-0000-0000-0000EA080000}"/>
    <cellStyle name="Comma 4 2 5 3 3 2" xfId="13878" xr:uid="{2B5675CC-77F3-46AF-82CC-A22CDF4A5777}"/>
    <cellStyle name="Comma 4 2 5 3 4" xfId="9660" xr:uid="{DF9423C4-7ED8-4D2F-828D-00DCE9CCB10C}"/>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F9DE424F-198C-413C-80B7-D6E87FED5549}"/>
    <cellStyle name="Comma 4 2 5 4 2 3" xfId="12218" xr:uid="{727D1F29-B3B4-4207-9279-4E8D34F08D4B}"/>
    <cellStyle name="Comma 4 2 5 4 3" xfId="5856" xr:uid="{00000000-0005-0000-0000-0000EE080000}"/>
    <cellStyle name="Comma 4 2 5 4 3 2" xfId="14291" xr:uid="{EDCE00BF-5676-4680-AA2E-192F36D78853}"/>
    <cellStyle name="Comma 4 2 5 4 4" xfId="10073" xr:uid="{86D42742-0AAE-4922-81EA-823BCCF5FDA2}"/>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66950D37-F560-479F-8508-DB7FE8B34C8B}"/>
    <cellStyle name="Comma 4 2 5 5 2 3" xfId="12631" xr:uid="{CB1ABF8B-6551-4FC4-B4EB-1F8C7817D6C0}"/>
    <cellStyle name="Comma 4 2 5 5 3" xfId="6269" xr:uid="{00000000-0005-0000-0000-0000F2080000}"/>
    <cellStyle name="Comma 4 2 5 5 3 2" xfId="14704" xr:uid="{39065946-916B-4B3A-944B-A3ABA7FA3C8E}"/>
    <cellStyle name="Comma 4 2 5 5 4" xfId="10486" xr:uid="{36C8D472-EE63-48E8-81C8-D70F0DAFE7FA}"/>
    <cellStyle name="Comma 4 2 5 6" xfId="2397" xr:uid="{00000000-0005-0000-0000-0000F3080000}"/>
    <cellStyle name="Comma 4 2 5 6 2" xfId="6682" xr:uid="{00000000-0005-0000-0000-0000F4080000}"/>
    <cellStyle name="Comma 4 2 5 6 2 2" xfId="15117" xr:uid="{55C93080-0CDD-429B-9521-E011C6E100DE}"/>
    <cellStyle name="Comma 4 2 5 6 3" xfId="10899" xr:uid="{3B5210FE-F502-4D2C-A4E7-1B41A805E6AC}"/>
    <cellStyle name="Comma 4 2 5 7" xfId="2368" xr:uid="{00000000-0005-0000-0000-0000F5080000}"/>
    <cellStyle name="Comma 4 2 5 8" xfId="2775" xr:uid="{00000000-0005-0000-0000-0000F6080000}"/>
    <cellStyle name="Comma 4 2 5 8 2" xfId="6999" xr:uid="{00000000-0005-0000-0000-0000F7080000}"/>
    <cellStyle name="Comma 4 2 5 8 2 2" xfId="15434" xr:uid="{A3A70E80-8F2F-437C-8843-81359286B9FF}"/>
    <cellStyle name="Comma 4 2 5 8 3" xfId="11216" xr:uid="{53514A7C-5948-4CBF-9257-F1E01FEDC873}"/>
    <cellStyle name="Comma 4 2 5 9" xfId="4616" xr:uid="{00000000-0005-0000-0000-0000F8080000}"/>
    <cellStyle name="Comma 4 2 5 9 2" xfId="13051" xr:uid="{EC2F0ED6-7E4C-40E2-AC45-32EED6DF4BD2}"/>
    <cellStyle name="Comma 4 2 6" xfId="143" xr:uid="{00000000-0005-0000-0000-0000F9080000}"/>
    <cellStyle name="Comma 4 2 6 10" xfId="8834" xr:uid="{F6E5C64B-3841-41A0-A9A1-52786C910779}"/>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481D8523-8500-462C-A203-17AAD5A6B436}"/>
    <cellStyle name="Comma 4 2 6 2 2 3" xfId="11393" xr:uid="{284470D8-9475-46BD-BE84-D5C229783D47}"/>
    <cellStyle name="Comma 4 2 6 2 3" xfId="5031" xr:uid="{00000000-0005-0000-0000-0000FD080000}"/>
    <cellStyle name="Comma 4 2 6 2 3 2" xfId="13466" xr:uid="{08170E9D-D117-4BFD-9102-4055356E97FB}"/>
    <cellStyle name="Comma 4 2 6 2 4" xfId="9248" xr:uid="{276CDCC1-2C9A-4EDE-BB4E-3354F3538DA5}"/>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FC234D99-AB0C-46BC-8728-CA955434FA92}"/>
    <cellStyle name="Comma 4 2 6 3 2 3" xfId="11806" xr:uid="{CE087063-02A6-4C2D-BF36-0A65F95006A0}"/>
    <cellStyle name="Comma 4 2 6 3 3" xfId="5444" xr:uid="{00000000-0005-0000-0000-000001090000}"/>
    <cellStyle name="Comma 4 2 6 3 3 2" xfId="13879" xr:uid="{F7BA7E51-8635-4629-9BA3-D2C9FFFE0DFC}"/>
    <cellStyle name="Comma 4 2 6 3 4" xfId="9661" xr:uid="{B3A93251-1265-4E98-BB35-8F47DEFC053D}"/>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FA3FC9C5-1F7F-4042-850B-8597AFB7C451}"/>
    <cellStyle name="Comma 4 2 6 4 2 3" xfId="12219" xr:uid="{C87199A5-1A0D-4F66-A119-0346FD14D6CF}"/>
    <cellStyle name="Comma 4 2 6 4 3" xfId="5857" xr:uid="{00000000-0005-0000-0000-000005090000}"/>
    <cellStyle name="Comma 4 2 6 4 3 2" xfId="14292" xr:uid="{AC1B43C2-C0CB-4EAA-8B20-FA3013C18E15}"/>
    <cellStyle name="Comma 4 2 6 4 4" xfId="10074" xr:uid="{3270B0BD-8DA7-459B-A738-DB55471CD105}"/>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4741DF75-1E50-4BED-9F76-6B86FC573F93}"/>
    <cellStyle name="Comma 4 2 6 5 2 3" xfId="12632" xr:uid="{A9F03BCA-8726-4683-8A73-C5BED3D5F031}"/>
    <cellStyle name="Comma 4 2 6 5 3" xfId="6270" xr:uid="{00000000-0005-0000-0000-000009090000}"/>
    <cellStyle name="Comma 4 2 6 5 3 2" xfId="14705" xr:uid="{3C2669E4-6A19-4DBB-9802-3D7A682A7DED}"/>
    <cellStyle name="Comma 4 2 6 5 4" xfId="10487" xr:uid="{7E960207-D5C5-4C1E-99D0-568170AAE3B1}"/>
    <cellStyle name="Comma 4 2 6 6" xfId="2398" xr:uid="{00000000-0005-0000-0000-00000A090000}"/>
    <cellStyle name="Comma 4 2 6 6 2" xfId="6683" xr:uid="{00000000-0005-0000-0000-00000B090000}"/>
    <cellStyle name="Comma 4 2 6 6 2 2" xfId="15118" xr:uid="{EEB37B22-70E7-4270-B052-A82035953CDD}"/>
    <cellStyle name="Comma 4 2 6 6 3" xfId="10900" xr:uid="{ABF04CDC-6B25-467C-925F-F031348B0219}"/>
    <cellStyle name="Comma 4 2 6 7" xfId="2367" xr:uid="{00000000-0005-0000-0000-00000C090000}"/>
    <cellStyle name="Comma 4 2 6 8" xfId="2776" xr:uid="{00000000-0005-0000-0000-00000D090000}"/>
    <cellStyle name="Comma 4 2 6 8 2" xfId="7000" xr:uid="{00000000-0005-0000-0000-00000E090000}"/>
    <cellStyle name="Comma 4 2 6 8 2 2" xfId="15435" xr:uid="{F07F723A-3CF7-4707-9601-7611F286D870}"/>
    <cellStyle name="Comma 4 2 6 8 3" xfId="11217" xr:uid="{A4A027FE-A861-490F-BD27-3648C48AB6FD}"/>
    <cellStyle name="Comma 4 2 6 9" xfId="4617" xr:uid="{00000000-0005-0000-0000-00000F090000}"/>
    <cellStyle name="Comma 4 2 6 9 2" xfId="13052" xr:uid="{1EA34357-8EB9-4170-8E9D-1886B855B5D7}"/>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9F635BEE-C420-4CD4-83F3-FF20B1A96DFF}"/>
    <cellStyle name="Comma 4 3 2 10 3" xfId="11218" xr:uid="{A31CA9DF-8BCB-4306-B4F7-99C9761AC911}"/>
    <cellStyle name="Comma 4 3 2 11" xfId="4618" xr:uid="{00000000-0005-0000-0000-000014090000}"/>
    <cellStyle name="Comma 4 3 2 11 2" xfId="13053" xr:uid="{8D24193A-25BB-4D85-B411-CE284348F99D}"/>
    <cellStyle name="Comma 4 3 2 12" xfId="8835" xr:uid="{C9B7C177-266B-4C24-8906-EF5FE96ACB3E}"/>
    <cellStyle name="Comma 4 3 2 2" xfId="146" xr:uid="{00000000-0005-0000-0000-000015090000}"/>
    <cellStyle name="Comma 4 3 2 2 10" xfId="4619" xr:uid="{00000000-0005-0000-0000-000016090000}"/>
    <cellStyle name="Comma 4 3 2 2 10 2" xfId="13054" xr:uid="{3E145328-C4D8-4BCA-B9BE-7CBE31652E92}"/>
    <cellStyle name="Comma 4 3 2 2 11" xfId="8836" xr:uid="{85FB0B15-87A4-4934-A10C-28A0088263D1}"/>
    <cellStyle name="Comma 4 3 2 2 2" xfId="147" xr:uid="{00000000-0005-0000-0000-000017090000}"/>
    <cellStyle name="Comma 4 3 2 2 2 10" xfId="8837" xr:uid="{1A53FE2E-29D6-42CE-BCD2-6C0B4066EAA4}"/>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FF15F478-FF08-4B23-B04F-4023067C72BD}"/>
    <cellStyle name="Comma 4 3 2 2 2 2 2 3" xfId="11396" xr:uid="{549FEE8C-E0E7-4286-96EB-61E9576C6413}"/>
    <cellStyle name="Comma 4 3 2 2 2 2 3" xfId="5034" xr:uid="{00000000-0005-0000-0000-00001B090000}"/>
    <cellStyle name="Comma 4 3 2 2 2 2 3 2" xfId="13469" xr:uid="{60E5F50F-2B98-4D9D-A8CD-0FC6F8BE331C}"/>
    <cellStyle name="Comma 4 3 2 2 2 2 4" xfId="9251" xr:uid="{C5937AE1-2988-4F5C-BA3A-46C6EC612CC0}"/>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8D744378-D9B2-4FE7-950D-F21F52EE0E80}"/>
    <cellStyle name="Comma 4 3 2 2 2 3 2 3" xfId="11809" xr:uid="{48CD0686-847C-41F2-9BB7-9CB26A8C7154}"/>
    <cellStyle name="Comma 4 3 2 2 2 3 3" xfId="5447" xr:uid="{00000000-0005-0000-0000-00001F090000}"/>
    <cellStyle name="Comma 4 3 2 2 2 3 3 2" xfId="13882" xr:uid="{E249B9FA-5548-467F-9506-3A75BECC706A}"/>
    <cellStyle name="Comma 4 3 2 2 2 3 4" xfId="9664" xr:uid="{D8D11102-8F96-4B2D-AC89-E8271AC4C0F8}"/>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1DF50989-D836-4B6C-8059-9E46584C2262}"/>
    <cellStyle name="Comma 4 3 2 2 2 4 2 3" xfId="12222" xr:uid="{159CE8D7-016A-4E46-8561-E1A07576D072}"/>
    <cellStyle name="Comma 4 3 2 2 2 4 3" xfId="5860" xr:uid="{00000000-0005-0000-0000-000023090000}"/>
    <cellStyle name="Comma 4 3 2 2 2 4 3 2" xfId="14295" xr:uid="{1A5C125B-C69A-4492-B0D7-851DDB8C2423}"/>
    <cellStyle name="Comma 4 3 2 2 2 4 4" xfId="10077" xr:uid="{55DF3825-95D6-4448-919C-B3918A73FAF1}"/>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883C156D-B420-4853-B52D-DE4E52D2AE70}"/>
    <cellStyle name="Comma 4 3 2 2 2 5 2 3" xfId="12635" xr:uid="{F1E873CC-71AD-42C3-BC38-F5B93047A3CC}"/>
    <cellStyle name="Comma 4 3 2 2 2 5 3" xfId="6273" xr:uid="{00000000-0005-0000-0000-000027090000}"/>
    <cellStyle name="Comma 4 3 2 2 2 5 3 2" xfId="14708" xr:uid="{7D82C3D9-F52C-4657-ABD9-EB0F28094318}"/>
    <cellStyle name="Comma 4 3 2 2 2 5 4" xfId="10490" xr:uid="{19EC0AC0-9CEA-41C3-BECB-E07A63F7A9EA}"/>
    <cellStyle name="Comma 4 3 2 2 2 6" xfId="2401" xr:uid="{00000000-0005-0000-0000-000028090000}"/>
    <cellStyle name="Comma 4 3 2 2 2 6 2" xfId="6686" xr:uid="{00000000-0005-0000-0000-000029090000}"/>
    <cellStyle name="Comma 4 3 2 2 2 6 2 2" xfId="15121" xr:uid="{C7401423-AC41-48CB-8329-12379F1B56C8}"/>
    <cellStyle name="Comma 4 3 2 2 2 6 3" xfId="10903" xr:uid="{2EAB7FC0-D05D-4AED-BA75-D90A117B46F2}"/>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F9F8775F-4B8B-4F4F-9C00-C95895304648}"/>
    <cellStyle name="Comma 4 3 2 2 2 8 3" xfId="11220" xr:uid="{A615008C-819C-4E25-8FAC-49796B113973}"/>
    <cellStyle name="Comma 4 3 2 2 2 9" xfId="4620" xr:uid="{00000000-0005-0000-0000-00002D090000}"/>
    <cellStyle name="Comma 4 3 2 2 2 9 2" xfId="13055" xr:uid="{C5D08B24-A5F2-4104-929C-EED818ACAA11}"/>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495B7B02-E86D-4EE3-9AC5-B9E6FF071DB2}"/>
    <cellStyle name="Comma 4 3 2 2 3 2 3" xfId="11395" xr:uid="{B88F1D18-10E1-4C72-A35A-F2D78C8D1697}"/>
    <cellStyle name="Comma 4 3 2 2 3 3" xfId="5033" xr:uid="{00000000-0005-0000-0000-000031090000}"/>
    <cellStyle name="Comma 4 3 2 2 3 3 2" xfId="13468" xr:uid="{05469CF3-C1D5-475F-874D-DFEC572806B2}"/>
    <cellStyle name="Comma 4 3 2 2 3 4" xfId="9250" xr:uid="{488EF8F4-A20C-4E19-A730-DD4F0E7CBA86}"/>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97910373-8D80-42E6-B30B-ABA3F3270128}"/>
    <cellStyle name="Comma 4 3 2 2 4 2 3" xfId="11808" xr:uid="{5B047D4D-9575-4544-8562-CE41E3263F55}"/>
    <cellStyle name="Comma 4 3 2 2 4 3" xfId="5446" xr:uid="{00000000-0005-0000-0000-000035090000}"/>
    <cellStyle name="Comma 4 3 2 2 4 3 2" xfId="13881" xr:uid="{84A99D4A-3CE5-4339-B930-7C661D815652}"/>
    <cellStyle name="Comma 4 3 2 2 4 4" xfId="9663" xr:uid="{86791144-5034-493C-848F-08F8D790649D}"/>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26805148-CE6E-4F9B-B5AE-EC583865DCED}"/>
    <cellStyle name="Comma 4 3 2 2 5 2 3" xfId="12221" xr:uid="{4E314138-7937-4B39-9F81-8EC38B2F89E1}"/>
    <cellStyle name="Comma 4 3 2 2 5 3" xfId="5859" xr:uid="{00000000-0005-0000-0000-000039090000}"/>
    <cellStyle name="Comma 4 3 2 2 5 3 2" xfId="14294" xr:uid="{394098DE-4503-47C1-94DA-1B3AF8EED4F6}"/>
    <cellStyle name="Comma 4 3 2 2 5 4" xfId="10076" xr:uid="{746E0E5D-689C-4C25-AC4B-D924C0F50CD3}"/>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FF822CA9-3D6B-4A71-B88C-0262A48B04FA}"/>
    <cellStyle name="Comma 4 3 2 2 6 2 3" xfId="12634" xr:uid="{EF56997B-3EE2-4041-A6DC-84C95C45B56F}"/>
    <cellStyle name="Comma 4 3 2 2 6 3" xfId="6272" xr:uid="{00000000-0005-0000-0000-00003D090000}"/>
    <cellStyle name="Comma 4 3 2 2 6 3 2" xfId="14707" xr:uid="{E396875C-616A-4E08-9BCF-F7E838A520C1}"/>
    <cellStyle name="Comma 4 3 2 2 6 4" xfId="10489" xr:uid="{A3652C1D-1BA2-4742-B574-DA9797BEAE0B}"/>
    <cellStyle name="Comma 4 3 2 2 7" xfId="2400" xr:uid="{00000000-0005-0000-0000-00003E090000}"/>
    <cellStyle name="Comma 4 3 2 2 7 2" xfId="6685" xr:uid="{00000000-0005-0000-0000-00003F090000}"/>
    <cellStyle name="Comma 4 3 2 2 7 2 2" xfId="15120" xr:uid="{60B156B5-FB4A-407D-879A-F1A42A68B977}"/>
    <cellStyle name="Comma 4 3 2 2 7 3" xfId="10902" xr:uid="{6C7FF06D-74D5-4B98-AAAC-BD7C81D9354F}"/>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7B4F2969-E359-44C6-903A-536D50EC16F2}"/>
    <cellStyle name="Comma 4 3 2 2 9 3" xfId="11219" xr:uid="{E4FC0D3F-21D6-4F04-B357-DF7A36435E2C}"/>
    <cellStyle name="Comma 4 3 2 3" xfId="148" xr:uid="{00000000-0005-0000-0000-000043090000}"/>
    <cellStyle name="Comma 4 3 2 3 10" xfId="8838" xr:uid="{0477B67A-FCB3-462B-8710-A404E740090B}"/>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1C077961-DFDE-40DF-92A8-A11C1C8F73D5}"/>
    <cellStyle name="Comma 4 3 2 3 2 2 3" xfId="11397" xr:uid="{79AC7F3D-BDA6-4F3F-9944-53181B36A569}"/>
    <cellStyle name="Comma 4 3 2 3 2 3" xfId="5035" xr:uid="{00000000-0005-0000-0000-000047090000}"/>
    <cellStyle name="Comma 4 3 2 3 2 3 2" xfId="13470" xr:uid="{D3B38513-EE0A-4CDA-B46A-1AF275001621}"/>
    <cellStyle name="Comma 4 3 2 3 2 4" xfId="9252" xr:uid="{C12D1F92-F0FD-4BEF-A686-770A44789347}"/>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9CF18C3C-97AD-40A5-9552-24E85F499A6A}"/>
    <cellStyle name="Comma 4 3 2 3 3 2 3" xfId="11810" xr:uid="{005BE270-4741-4D4A-8890-FE2383866A40}"/>
    <cellStyle name="Comma 4 3 2 3 3 3" xfId="5448" xr:uid="{00000000-0005-0000-0000-00004B090000}"/>
    <cellStyle name="Comma 4 3 2 3 3 3 2" xfId="13883" xr:uid="{1EE086CC-1BB5-4A6A-A53F-650222372494}"/>
    <cellStyle name="Comma 4 3 2 3 3 4" xfId="9665" xr:uid="{DB8C5E46-5AC9-4B8B-AAAE-736F7669B545}"/>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93F433B7-8DFE-49DD-87D6-3985FEB2E9DC}"/>
    <cellStyle name="Comma 4 3 2 3 4 2 3" xfId="12223" xr:uid="{C035AB97-ABF5-4564-9E49-11C6DF1360D7}"/>
    <cellStyle name="Comma 4 3 2 3 4 3" xfId="5861" xr:uid="{00000000-0005-0000-0000-00004F090000}"/>
    <cellStyle name="Comma 4 3 2 3 4 3 2" xfId="14296" xr:uid="{586CFD11-D8C7-4C1D-8E1E-5FCD205FFB50}"/>
    <cellStyle name="Comma 4 3 2 3 4 4" xfId="10078" xr:uid="{B95BA0E9-D268-475B-9504-471131136F31}"/>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68C128E9-3309-40FD-A7CD-A330C46D206B}"/>
    <cellStyle name="Comma 4 3 2 3 5 2 3" xfId="12636" xr:uid="{DA9DA5DA-6AC1-41B2-B769-57120EAF6A27}"/>
    <cellStyle name="Comma 4 3 2 3 5 3" xfId="6274" xr:uid="{00000000-0005-0000-0000-000053090000}"/>
    <cellStyle name="Comma 4 3 2 3 5 3 2" xfId="14709" xr:uid="{B30E6F02-2B1A-4A57-B2CD-8ED08FFEE657}"/>
    <cellStyle name="Comma 4 3 2 3 5 4" xfId="10491" xr:uid="{1951FC5B-2CA8-4554-BB70-D617249C3419}"/>
    <cellStyle name="Comma 4 3 2 3 6" xfId="2402" xr:uid="{00000000-0005-0000-0000-000054090000}"/>
    <cellStyle name="Comma 4 3 2 3 6 2" xfId="6687" xr:uid="{00000000-0005-0000-0000-000055090000}"/>
    <cellStyle name="Comma 4 3 2 3 6 2 2" xfId="15122" xr:uid="{94388EAC-77DC-4968-A299-CDC1517E9BC3}"/>
    <cellStyle name="Comma 4 3 2 3 6 3" xfId="10904" xr:uid="{B1A4D76A-5F64-4BF8-A444-269084FC75A2}"/>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E11AA24F-EA46-4268-B674-F16E67027BEA}"/>
    <cellStyle name="Comma 4 3 2 3 8 3" xfId="11221" xr:uid="{EB47ADF7-FEAA-41CD-BC9B-21652E904F83}"/>
    <cellStyle name="Comma 4 3 2 3 9" xfId="4621" xr:uid="{00000000-0005-0000-0000-000059090000}"/>
    <cellStyle name="Comma 4 3 2 3 9 2" xfId="13056" xr:uid="{1ECEFC85-5A7F-4354-86C1-EE15DDA2C4DA}"/>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06DF3601-3476-41AA-A407-1799C989B164}"/>
    <cellStyle name="Comma 4 3 2 4 2 3" xfId="11394" xr:uid="{58182CC8-BB40-428E-9096-0D4F4D1E2050}"/>
    <cellStyle name="Comma 4 3 2 4 3" xfId="5032" xr:uid="{00000000-0005-0000-0000-00005D090000}"/>
    <cellStyle name="Comma 4 3 2 4 3 2" xfId="13467" xr:uid="{4CFA61EB-0711-4E05-9AD5-EA11BC875A19}"/>
    <cellStyle name="Comma 4 3 2 4 4" xfId="9249" xr:uid="{E4E23184-E3E8-4FCF-A5EC-4D492243B244}"/>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7EE0C235-A3AA-4CA8-B6ED-43B282B28C2E}"/>
    <cellStyle name="Comma 4 3 2 5 2 3" xfId="11807" xr:uid="{843745AD-08EF-4E04-A8C4-DE59EB37E688}"/>
    <cellStyle name="Comma 4 3 2 5 3" xfId="5445" xr:uid="{00000000-0005-0000-0000-000061090000}"/>
    <cellStyle name="Comma 4 3 2 5 3 2" xfId="13880" xr:uid="{4198948B-7F3D-47B3-BCB4-F9276EEE50F8}"/>
    <cellStyle name="Comma 4 3 2 5 4" xfId="9662" xr:uid="{50D2CB4B-C60A-493A-8D76-BC8E50D4FAB9}"/>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8D106A92-0BC2-4FAA-BA2B-4A5523305BFE}"/>
    <cellStyle name="Comma 4 3 2 6 2 3" xfId="12220" xr:uid="{ED6EB497-AE04-45B8-981E-E89F3DC08374}"/>
    <cellStyle name="Comma 4 3 2 6 3" xfId="5858" xr:uid="{00000000-0005-0000-0000-000065090000}"/>
    <cellStyle name="Comma 4 3 2 6 3 2" xfId="14293" xr:uid="{2AAA082C-D660-490A-88DB-5EC531EB29FD}"/>
    <cellStyle name="Comma 4 3 2 6 4" xfId="10075" xr:uid="{14D64204-2E28-4E0A-A033-93A74BBD644D}"/>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44E3D230-B2F5-4EE1-BE69-24F5C4AF62AE}"/>
    <cellStyle name="Comma 4 3 2 7 2 3" xfId="12633" xr:uid="{92FAEA55-9E57-45E3-B264-DFCAECEBD9F5}"/>
    <cellStyle name="Comma 4 3 2 7 3" xfId="6271" xr:uid="{00000000-0005-0000-0000-000069090000}"/>
    <cellStyle name="Comma 4 3 2 7 3 2" xfId="14706" xr:uid="{99FA27DA-1A35-457B-80AA-7E24EADE64F5}"/>
    <cellStyle name="Comma 4 3 2 7 4" xfId="10488" xr:uid="{DCFF0781-3C67-4D0E-B220-3308F9DDBA02}"/>
    <cellStyle name="Comma 4 3 2 8" xfId="2399" xr:uid="{00000000-0005-0000-0000-00006A090000}"/>
    <cellStyle name="Comma 4 3 2 8 2" xfId="6684" xr:uid="{00000000-0005-0000-0000-00006B090000}"/>
    <cellStyle name="Comma 4 3 2 8 2 2" xfId="15119" xr:uid="{AE2092D2-FD82-48C0-8D18-B5F8A546CD32}"/>
    <cellStyle name="Comma 4 3 2 8 3" xfId="10901" xr:uid="{61E390C8-5414-4BAE-B3A7-2DA9AAAA96AF}"/>
    <cellStyle name="Comma 4 3 2 9" xfId="2366" xr:uid="{00000000-0005-0000-0000-00006C090000}"/>
    <cellStyle name="Comma 4 3 3" xfId="149" xr:uid="{00000000-0005-0000-0000-00006D090000}"/>
    <cellStyle name="Comma 4 3 3 10" xfId="4622" xr:uid="{00000000-0005-0000-0000-00006E090000}"/>
    <cellStyle name="Comma 4 3 3 10 2" xfId="13057" xr:uid="{9CB57812-AAD7-40A3-96A1-79ED4F1D4348}"/>
    <cellStyle name="Comma 4 3 3 11" xfId="8839" xr:uid="{000DD9A5-4B57-4419-B1B0-1458325013E5}"/>
    <cellStyle name="Comma 4 3 3 2" xfId="150" xr:uid="{00000000-0005-0000-0000-00006F090000}"/>
    <cellStyle name="Comma 4 3 3 2 10" xfId="8840" xr:uid="{6013F0A6-7B74-462F-BFA7-30A7DE7A81D0}"/>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A9381457-42A9-4884-A937-82C8E99D3EC4}"/>
    <cellStyle name="Comma 4 3 3 2 2 2 3" xfId="11399" xr:uid="{EA0B9A5B-5EA0-44FB-A92E-B294637CEFEA}"/>
    <cellStyle name="Comma 4 3 3 2 2 3" xfId="5037" xr:uid="{00000000-0005-0000-0000-000073090000}"/>
    <cellStyle name="Comma 4 3 3 2 2 3 2" xfId="13472" xr:uid="{01E3F171-F82A-43EB-96CF-FAF29F8C2FD3}"/>
    <cellStyle name="Comma 4 3 3 2 2 4" xfId="9254" xr:uid="{EA761C38-8A7D-4FE8-B0F0-CDCF460A7C51}"/>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DE76669E-42E5-46FB-A48B-732E71162B21}"/>
    <cellStyle name="Comma 4 3 3 2 3 2 3" xfId="11812" xr:uid="{4054A2B2-DC58-4AE6-B86D-A125F3A76E9D}"/>
    <cellStyle name="Comma 4 3 3 2 3 3" xfId="5450" xr:uid="{00000000-0005-0000-0000-000077090000}"/>
    <cellStyle name="Comma 4 3 3 2 3 3 2" xfId="13885" xr:uid="{DD0A8D72-2DD3-4A74-BD87-5403FB53A839}"/>
    <cellStyle name="Comma 4 3 3 2 3 4" xfId="9667" xr:uid="{A7DBCDD2-6ECF-4502-A5FB-DFA2989C6BF4}"/>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74B7EF7E-A3B8-40D8-88CF-05A4AD15617B}"/>
    <cellStyle name="Comma 4 3 3 2 4 2 3" xfId="12225" xr:uid="{3E53DEE8-7C8A-433E-9A69-02E1BAB12BE6}"/>
    <cellStyle name="Comma 4 3 3 2 4 3" xfId="5863" xr:uid="{00000000-0005-0000-0000-00007B090000}"/>
    <cellStyle name="Comma 4 3 3 2 4 3 2" xfId="14298" xr:uid="{0E66C94E-1A01-4739-A6C0-08411CDF4FF9}"/>
    <cellStyle name="Comma 4 3 3 2 4 4" xfId="10080" xr:uid="{EEB375E3-4E2F-4F43-A01F-3B52AC8CBE7D}"/>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7C315ECC-D1C9-4E29-B093-6F3169FF6CBF}"/>
    <cellStyle name="Comma 4 3 3 2 5 2 3" xfId="12638" xr:uid="{8B1B85B2-D4FC-4E60-A8CA-8DF581636C95}"/>
    <cellStyle name="Comma 4 3 3 2 5 3" xfId="6276" xr:uid="{00000000-0005-0000-0000-00007F090000}"/>
    <cellStyle name="Comma 4 3 3 2 5 3 2" xfId="14711" xr:uid="{7E4A077D-020A-4AB0-97A4-D134D35547D7}"/>
    <cellStyle name="Comma 4 3 3 2 5 4" xfId="10493" xr:uid="{E0840878-2ACD-4425-8DD5-E8BFFDA0FE07}"/>
    <cellStyle name="Comma 4 3 3 2 6" xfId="2404" xr:uid="{00000000-0005-0000-0000-000080090000}"/>
    <cellStyle name="Comma 4 3 3 2 6 2" xfId="6689" xr:uid="{00000000-0005-0000-0000-000081090000}"/>
    <cellStyle name="Comma 4 3 3 2 6 2 2" xfId="15124" xr:uid="{B40B45BF-54D8-4A71-BF3B-A8B00FEA675C}"/>
    <cellStyle name="Comma 4 3 3 2 6 3" xfId="10906" xr:uid="{7964BA77-2A14-4AC1-B14B-D2D58B95089A}"/>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E17F205A-570B-441C-AF5E-11F90C05F356}"/>
    <cellStyle name="Comma 4 3 3 2 8 3" xfId="11223" xr:uid="{5BDFFA12-34B9-4AD8-9F3D-8027C78350D1}"/>
    <cellStyle name="Comma 4 3 3 2 9" xfId="4623" xr:uid="{00000000-0005-0000-0000-000085090000}"/>
    <cellStyle name="Comma 4 3 3 2 9 2" xfId="13058" xr:uid="{967E4B7E-7595-4B9B-BD5E-53B6F6F3393F}"/>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82BF1BB2-BF4E-4540-8BA2-8427FDAD88AD}"/>
    <cellStyle name="Comma 4 3 3 3 2 3" xfId="11398" xr:uid="{8F1B0FE3-CBD0-4D7A-A5B1-86E7C4C6E552}"/>
    <cellStyle name="Comma 4 3 3 3 3" xfId="5036" xr:uid="{00000000-0005-0000-0000-000089090000}"/>
    <cellStyle name="Comma 4 3 3 3 3 2" xfId="13471" xr:uid="{FBD53C5A-4585-4449-91AB-1E2C3196BC61}"/>
    <cellStyle name="Comma 4 3 3 3 4" xfId="9253" xr:uid="{D42CC42F-E91D-441A-B855-965EF5FB73C8}"/>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E108FF67-3319-469E-B1DD-F220F586639A}"/>
    <cellStyle name="Comma 4 3 3 4 2 3" xfId="11811" xr:uid="{855C6210-F760-4FFF-8510-79A6DA1CB512}"/>
    <cellStyle name="Comma 4 3 3 4 3" xfId="5449" xr:uid="{00000000-0005-0000-0000-00008D090000}"/>
    <cellStyle name="Comma 4 3 3 4 3 2" xfId="13884" xr:uid="{534B1290-BD20-4C91-9038-21FA2E2E6BA2}"/>
    <cellStyle name="Comma 4 3 3 4 4" xfId="9666" xr:uid="{EFC0716A-8124-40B5-95AF-0831360E6329}"/>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4354A9CE-0520-4DB1-A5EA-A085A242EA0C}"/>
    <cellStyle name="Comma 4 3 3 5 2 3" xfId="12224" xr:uid="{1488E863-93AB-44FB-9FAE-9128CCAE60D2}"/>
    <cellStyle name="Comma 4 3 3 5 3" xfId="5862" xr:uid="{00000000-0005-0000-0000-000091090000}"/>
    <cellStyle name="Comma 4 3 3 5 3 2" xfId="14297" xr:uid="{1F5C2D15-43EF-48FF-90E5-4B9754CE0D1C}"/>
    <cellStyle name="Comma 4 3 3 5 4" xfId="10079" xr:uid="{15DE0C94-A1E6-4B52-8A21-13A453B08FC6}"/>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06734CCF-1BA2-4A21-AD37-E20CC0968416}"/>
    <cellStyle name="Comma 4 3 3 6 2 3" xfId="12637" xr:uid="{4E28B8CD-6A66-40E6-BD93-1E7C7AB9FCEE}"/>
    <cellStyle name="Comma 4 3 3 6 3" xfId="6275" xr:uid="{00000000-0005-0000-0000-000095090000}"/>
    <cellStyle name="Comma 4 3 3 6 3 2" xfId="14710" xr:uid="{879A198B-EDF1-4AD7-9A7F-15ABBF1A910E}"/>
    <cellStyle name="Comma 4 3 3 6 4" xfId="10492" xr:uid="{676A2ED6-5F2A-45CB-AE57-17EED7E7B584}"/>
    <cellStyle name="Comma 4 3 3 7" xfId="2403" xr:uid="{00000000-0005-0000-0000-000096090000}"/>
    <cellStyle name="Comma 4 3 3 7 2" xfId="6688" xr:uid="{00000000-0005-0000-0000-000097090000}"/>
    <cellStyle name="Comma 4 3 3 7 2 2" xfId="15123" xr:uid="{FC22EB0C-E2AA-4E75-8D77-E0584AAAFD6E}"/>
    <cellStyle name="Comma 4 3 3 7 3" xfId="10905" xr:uid="{7B2F7166-69E8-486B-9D8F-3CF9D78E81B4}"/>
    <cellStyle name="Comma 4 3 3 8" xfId="2362" xr:uid="{00000000-0005-0000-0000-000098090000}"/>
    <cellStyle name="Comma 4 3 3 9" xfId="2781" xr:uid="{00000000-0005-0000-0000-000099090000}"/>
    <cellStyle name="Comma 4 3 3 9 2" xfId="7005" xr:uid="{00000000-0005-0000-0000-00009A090000}"/>
    <cellStyle name="Comma 4 3 3 9 2 2" xfId="15440" xr:uid="{6C4FDA44-BCDE-434A-9365-C8565FE30B18}"/>
    <cellStyle name="Comma 4 3 3 9 3" xfId="11222" xr:uid="{E9DBB43E-4215-4F69-9362-F7252D05CCC0}"/>
    <cellStyle name="Comma 4 3 4" xfId="151" xr:uid="{00000000-0005-0000-0000-00009B090000}"/>
    <cellStyle name="Comma 4 3 4 10" xfId="8841" xr:uid="{67FF5440-29F5-4DA7-AB9B-EE1868BAFAD6}"/>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E44D54F5-6C08-4137-AD6C-535363E8AC58}"/>
    <cellStyle name="Comma 4 3 4 2 2 3" xfId="11400" xr:uid="{332352A9-1D34-442A-BCAF-38615F6146F5}"/>
    <cellStyle name="Comma 4 3 4 2 3" xfId="5038" xr:uid="{00000000-0005-0000-0000-00009F090000}"/>
    <cellStyle name="Comma 4 3 4 2 3 2" xfId="13473" xr:uid="{204DAD09-54A3-46CA-9976-63FE6C856E9E}"/>
    <cellStyle name="Comma 4 3 4 2 4" xfId="9255" xr:uid="{4B0B03C7-E595-4D67-99D0-2BC7E3A2DDBD}"/>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795BD742-F6BA-4B70-977D-ADF84DF17328}"/>
    <cellStyle name="Comma 4 3 4 3 2 3" xfId="11813" xr:uid="{1527A383-DBBF-41BA-A80F-EC80CD8ADEA3}"/>
    <cellStyle name="Comma 4 3 4 3 3" xfId="5451" xr:uid="{00000000-0005-0000-0000-0000A3090000}"/>
    <cellStyle name="Comma 4 3 4 3 3 2" xfId="13886" xr:uid="{80A97F04-EB25-49CA-AEDE-7E108DA9AAC2}"/>
    <cellStyle name="Comma 4 3 4 3 4" xfId="9668" xr:uid="{BDFF4996-B171-490E-84F2-1A4C5EC02A1D}"/>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50E0F380-903C-4A01-997F-8217529BF94C}"/>
    <cellStyle name="Comma 4 3 4 4 2 3" xfId="12226" xr:uid="{57766A4B-1E32-4B99-8E93-B9FF6EC92006}"/>
    <cellStyle name="Comma 4 3 4 4 3" xfId="5864" xr:uid="{00000000-0005-0000-0000-0000A7090000}"/>
    <cellStyle name="Comma 4 3 4 4 3 2" xfId="14299" xr:uid="{7A69B821-893B-4EE4-A360-C9FE0BCB427E}"/>
    <cellStyle name="Comma 4 3 4 4 4" xfId="10081" xr:uid="{F962CF8E-B7D1-4D14-BDEE-AA6296C5FBAD}"/>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B7423DB5-9FF1-4ACE-9E06-BF88EF5D18E4}"/>
    <cellStyle name="Comma 4 3 4 5 2 3" xfId="12639" xr:uid="{D44F40FA-F01E-40AA-BCE5-EF56703A0A6C}"/>
    <cellStyle name="Comma 4 3 4 5 3" xfId="6277" xr:uid="{00000000-0005-0000-0000-0000AB090000}"/>
    <cellStyle name="Comma 4 3 4 5 3 2" xfId="14712" xr:uid="{71CC1CFC-8114-4036-B1CD-6EBFD05359DE}"/>
    <cellStyle name="Comma 4 3 4 5 4" xfId="10494" xr:uid="{81CE04A4-457D-4524-986C-22F906F55756}"/>
    <cellStyle name="Comma 4 3 4 6" xfId="2405" xr:uid="{00000000-0005-0000-0000-0000AC090000}"/>
    <cellStyle name="Comma 4 3 4 6 2" xfId="6690" xr:uid="{00000000-0005-0000-0000-0000AD090000}"/>
    <cellStyle name="Comma 4 3 4 6 2 2" xfId="15125" xr:uid="{10A0418D-6AB0-4AD3-9CF1-CA6459F07EB8}"/>
    <cellStyle name="Comma 4 3 4 6 3" xfId="10907" xr:uid="{14C51A80-038A-4C78-8017-84E8749F5466}"/>
    <cellStyle name="Comma 4 3 4 7" xfId="2701" xr:uid="{00000000-0005-0000-0000-0000AE090000}"/>
    <cellStyle name="Comma 4 3 4 8" xfId="2783" xr:uid="{00000000-0005-0000-0000-0000AF090000}"/>
    <cellStyle name="Comma 4 3 4 8 2" xfId="7007" xr:uid="{00000000-0005-0000-0000-0000B0090000}"/>
    <cellStyle name="Comma 4 3 4 8 2 2" xfId="15442" xr:uid="{5C225857-B44B-4F3D-AFFC-7DDD20DD73F5}"/>
    <cellStyle name="Comma 4 3 4 8 3" xfId="11224" xr:uid="{C66D850D-74EA-441D-9150-347210A5A315}"/>
    <cellStyle name="Comma 4 3 4 9" xfId="4624" xr:uid="{00000000-0005-0000-0000-0000B1090000}"/>
    <cellStyle name="Comma 4 3 4 9 2" xfId="13059" xr:uid="{D1BB7CCB-31A7-4C3F-9D6B-8BB8403E3101}"/>
    <cellStyle name="Comma 4 3 5" xfId="152" xr:uid="{00000000-0005-0000-0000-0000B2090000}"/>
    <cellStyle name="Comma 4 3 5 10" xfId="8842" xr:uid="{6FC4BD3F-0651-4628-9E31-EE5B52D01252}"/>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46D68320-DBFC-4E41-B275-8102A07DC517}"/>
    <cellStyle name="Comma 4 3 5 2 2 3" xfId="11401" xr:uid="{A9C2CA33-6FC4-4463-B267-58ED2170017F}"/>
    <cellStyle name="Comma 4 3 5 2 3" xfId="5039" xr:uid="{00000000-0005-0000-0000-0000B6090000}"/>
    <cellStyle name="Comma 4 3 5 2 3 2" xfId="13474" xr:uid="{2ED31442-25D0-4BC4-871B-2BBBFE4E4D90}"/>
    <cellStyle name="Comma 4 3 5 2 4" xfId="9256" xr:uid="{95BE5429-253D-43FE-9438-D2710EAB2D39}"/>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463CAC81-EE1F-494F-9A0D-8BCF3E27DA33}"/>
    <cellStyle name="Comma 4 3 5 3 2 3" xfId="11814" xr:uid="{60BBCEFD-92B6-4ED1-AA4F-43591A15CE9E}"/>
    <cellStyle name="Comma 4 3 5 3 3" xfId="5452" xr:uid="{00000000-0005-0000-0000-0000BA090000}"/>
    <cellStyle name="Comma 4 3 5 3 3 2" xfId="13887" xr:uid="{244A827B-271E-42EC-B3E5-F7C0547ECF4E}"/>
    <cellStyle name="Comma 4 3 5 3 4" xfId="9669" xr:uid="{F8CE6A57-1414-4761-A9D4-1863E2FC3230}"/>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91EEC999-EAB1-4EA0-8DAA-EEDF4411CED0}"/>
    <cellStyle name="Comma 4 3 5 4 2 3" xfId="12227" xr:uid="{E81CFD39-7CA5-4419-B91C-3D1184F06CA4}"/>
    <cellStyle name="Comma 4 3 5 4 3" xfId="5865" xr:uid="{00000000-0005-0000-0000-0000BE090000}"/>
    <cellStyle name="Comma 4 3 5 4 3 2" xfId="14300" xr:uid="{AF6ECFDE-31BF-4E0F-AE54-40546745AFFB}"/>
    <cellStyle name="Comma 4 3 5 4 4" xfId="10082" xr:uid="{CBCA51B3-A7EA-4167-86DA-50D0B7D89645}"/>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B20FC3CC-B82C-4BBD-931C-2FB3E9008C83}"/>
    <cellStyle name="Comma 4 3 5 5 2 3" xfId="12640" xr:uid="{5EFE3127-86B0-4AAC-B65C-048AFE0EF82F}"/>
    <cellStyle name="Comma 4 3 5 5 3" xfId="6278" xr:uid="{00000000-0005-0000-0000-0000C2090000}"/>
    <cellStyle name="Comma 4 3 5 5 3 2" xfId="14713" xr:uid="{9933E795-E647-4A45-8796-3EC479F80D03}"/>
    <cellStyle name="Comma 4 3 5 5 4" xfId="10495" xr:uid="{7B3FD0EC-F589-4822-879F-20B45E6AADA1}"/>
    <cellStyle name="Comma 4 3 5 6" xfId="2406" xr:uid="{00000000-0005-0000-0000-0000C3090000}"/>
    <cellStyle name="Comma 4 3 5 6 2" xfId="6691" xr:uid="{00000000-0005-0000-0000-0000C4090000}"/>
    <cellStyle name="Comma 4 3 5 6 2 2" xfId="15126" xr:uid="{2294690A-7DAB-4927-945A-10D975B66DD5}"/>
    <cellStyle name="Comma 4 3 5 6 3" xfId="10908" xr:uid="{0A1C4CEE-2D7F-475B-AE70-E04ABBDBF9DA}"/>
    <cellStyle name="Comma 4 3 5 7" xfId="2702" xr:uid="{00000000-0005-0000-0000-0000C5090000}"/>
    <cellStyle name="Comma 4 3 5 8" xfId="2784" xr:uid="{00000000-0005-0000-0000-0000C6090000}"/>
    <cellStyle name="Comma 4 3 5 8 2" xfId="7008" xr:uid="{00000000-0005-0000-0000-0000C7090000}"/>
    <cellStyle name="Comma 4 3 5 8 2 2" xfId="15443" xr:uid="{9E96BA36-A08F-4EE9-85FB-44ECB5B0CA17}"/>
    <cellStyle name="Comma 4 3 5 8 3" xfId="11225" xr:uid="{B7758FA4-E126-4DAA-9874-7AF83F20DFBA}"/>
    <cellStyle name="Comma 4 3 5 9" xfId="4625" xr:uid="{00000000-0005-0000-0000-0000C8090000}"/>
    <cellStyle name="Comma 4 3 5 9 2" xfId="13060" xr:uid="{8ECA07ED-0BDF-42A3-9991-8235C2DF9F46}"/>
    <cellStyle name="Comma 4 4" xfId="153" xr:uid="{00000000-0005-0000-0000-0000C9090000}"/>
    <cellStyle name="Comma 4 4 10" xfId="2785" xr:uid="{00000000-0005-0000-0000-0000CA090000}"/>
    <cellStyle name="Comma 4 4 10 2" xfId="7009" xr:uid="{00000000-0005-0000-0000-0000CB090000}"/>
    <cellStyle name="Comma 4 4 10 2 2" xfId="15444" xr:uid="{CDB076BB-EB4F-4A2A-BD13-6AA4A65EFDB3}"/>
    <cellStyle name="Comma 4 4 10 3" xfId="11226" xr:uid="{AD69231A-082D-44FB-BD7F-CA7455769FFC}"/>
    <cellStyle name="Comma 4 4 11" xfId="4626" xr:uid="{00000000-0005-0000-0000-0000CC090000}"/>
    <cellStyle name="Comma 4 4 11 2" xfId="13061" xr:uid="{4915F6AA-7328-44DC-8848-50F07926DFBD}"/>
    <cellStyle name="Comma 4 4 12" xfId="8843" xr:uid="{E0A8C987-02E7-40FC-9D33-3A788A3F556C}"/>
    <cellStyle name="Comma 4 4 2" xfId="154" xr:uid="{00000000-0005-0000-0000-0000CD090000}"/>
    <cellStyle name="Comma 4 4 2 10" xfId="4627" xr:uid="{00000000-0005-0000-0000-0000CE090000}"/>
    <cellStyle name="Comma 4 4 2 10 2" xfId="13062" xr:uid="{57C2EC8F-EF06-4E03-A9AF-2CAF198CDBBD}"/>
    <cellStyle name="Comma 4 4 2 11" xfId="8844" xr:uid="{EF3C756E-341D-4854-B3D9-096CA8CB19C1}"/>
    <cellStyle name="Comma 4 4 2 2" xfId="155" xr:uid="{00000000-0005-0000-0000-0000CF090000}"/>
    <cellStyle name="Comma 4 4 2 2 10" xfId="8845" xr:uid="{7C809D8C-65DD-4082-AADB-508429259DE6}"/>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D14C2EAB-73BF-4219-9F96-B7BC06C5887F}"/>
    <cellStyle name="Comma 4 4 2 2 2 2 3" xfId="11404" xr:uid="{B752A5F1-5F34-4695-8765-08DC68187CD0}"/>
    <cellStyle name="Comma 4 4 2 2 2 3" xfId="5042" xr:uid="{00000000-0005-0000-0000-0000D3090000}"/>
    <cellStyle name="Comma 4 4 2 2 2 3 2" xfId="13477" xr:uid="{9425A343-DB57-4B26-BE24-8F75703DE889}"/>
    <cellStyle name="Comma 4 4 2 2 2 4" xfId="9259" xr:uid="{F4159FA3-20D3-4191-920A-52C3982CC881}"/>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80A0F1A8-AE4C-49FF-B100-0B55FB03F4CC}"/>
    <cellStyle name="Comma 4 4 2 2 3 2 3" xfId="11817" xr:uid="{EFCC3DDA-1B9C-4743-99F8-6C011DF87993}"/>
    <cellStyle name="Comma 4 4 2 2 3 3" xfId="5455" xr:uid="{00000000-0005-0000-0000-0000D7090000}"/>
    <cellStyle name="Comma 4 4 2 2 3 3 2" xfId="13890" xr:uid="{30AC2F84-EF94-4757-9BE6-4BE8FCABFE07}"/>
    <cellStyle name="Comma 4 4 2 2 3 4" xfId="9672" xr:uid="{74630651-5097-4B4E-BABD-86BDBB16371F}"/>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CE2A463C-CC6F-4380-B04F-29013426EB73}"/>
    <cellStyle name="Comma 4 4 2 2 4 2 3" xfId="12230" xr:uid="{F06EEF4E-379A-4A82-B6F0-2DBAD03B0C0C}"/>
    <cellStyle name="Comma 4 4 2 2 4 3" xfId="5868" xr:uid="{00000000-0005-0000-0000-0000DB090000}"/>
    <cellStyle name="Comma 4 4 2 2 4 3 2" xfId="14303" xr:uid="{9DB3015B-E8BC-4028-AFAF-79BF465E0196}"/>
    <cellStyle name="Comma 4 4 2 2 4 4" xfId="10085" xr:uid="{657DDC4C-C751-42AA-8A47-D766BFAAC18C}"/>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CFE2785E-A531-4F39-886C-E18A1484313E}"/>
    <cellStyle name="Comma 4 4 2 2 5 2 3" xfId="12643" xr:uid="{14A7A8AA-AB09-42BC-9A8C-F2103A1A7D35}"/>
    <cellStyle name="Comma 4 4 2 2 5 3" xfId="6281" xr:uid="{00000000-0005-0000-0000-0000DF090000}"/>
    <cellStyle name="Comma 4 4 2 2 5 3 2" xfId="14716" xr:uid="{805E5ACB-EA0F-45B2-9966-B1F172EA5D94}"/>
    <cellStyle name="Comma 4 4 2 2 5 4" xfId="10498" xr:uid="{32AA1704-3F48-4703-B0E3-0F51F1D71526}"/>
    <cellStyle name="Comma 4 4 2 2 6" xfId="2409" xr:uid="{00000000-0005-0000-0000-0000E0090000}"/>
    <cellStyle name="Comma 4 4 2 2 6 2" xfId="6694" xr:uid="{00000000-0005-0000-0000-0000E1090000}"/>
    <cellStyle name="Comma 4 4 2 2 6 2 2" xfId="15129" xr:uid="{7A06990D-0586-4161-8CCE-8BAF8B768531}"/>
    <cellStyle name="Comma 4 4 2 2 6 3" xfId="10911" xr:uid="{8CDBEFF0-C7EF-46DD-B9E5-052B8BD4BD31}"/>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6CB0826F-F8DA-4F16-9CE8-E7AD88C7B9D5}"/>
    <cellStyle name="Comma 4 4 2 2 8 3" xfId="11228" xr:uid="{89CF712F-D2D2-4E1D-AE9E-A1D9CA08908B}"/>
    <cellStyle name="Comma 4 4 2 2 9" xfId="4628" xr:uid="{00000000-0005-0000-0000-0000E5090000}"/>
    <cellStyle name="Comma 4 4 2 2 9 2" xfId="13063" xr:uid="{D2356189-BF2D-4459-8414-0558B0CD73EF}"/>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F426B4E6-65C3-4692-8855-576F4B220FF1}"/>
    <cellStyle name="Comma 4 4 2 3 2 3" xfId="11403" xr:uid="{A14D3E83-0A22-4E98-91F2-47729AEE8435}"/>
    <cellStyle name="Comma 4 4 2 3 3" xfId="5041" xr:uid="{00000000-0005-0000-0000-0000E9090000}"/>
    <cellStyle name="Comma 4 4 2 3 3 2" xfId="13476" xr:uid="{0214F39A-B31B-4DCB-9113-0A40660D09D9}"/>
    <cellStyle name="Comma 4 4 2 3 4" xfId="9258" xr:uid="{853EBF5A-B811-4AC3-960A-3478BC061C28}"/>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A0E63447-146E-4799-9E51-D4CF13A07471}"/>
    <cellStyle name="Comma 4 4 2 4 2 3" xfId="11816" xr:uid="{7F2EA2B6-99C2-4BCA-81F3-B8BCF5AFE298}"/>
    <cellStyle name="Comma 4 4 2 4 3" xfId="5454" xr:uid="{00000000-0005-0000-0000-0000ED090000}"/>
    <cellStyle name="Comma 4 4 2 4 3 2" xfId="13889" xr:uid="{99C9FFBE-3AC7-4CC3-A711-C0886A18E8E9}"/>
    <cellStyle name="Comma 4 4 2 4 4" xfId="9671" xr:uid="{38BB5006-1D27-485F-9BEF-A7CEB3FE1AEF}"/>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B772BAF6-A15B-45CC-B004-681DD54A332B}"/>
    <cellStyle name="Comma 4 4 2 5 2 3" xfId="12229" xr:uid="{AB2C1BBB-6292-4D0C-8956-BD1DEE98527A}"/>
    <cellStyle name="Comma 4 4 2 5 3" xfId="5867" xr:uid="{00000000-0005-0000-0000-0000F1090000}"/>
    <cellStyle name="Comma 4 4 2 5 3 2" xfId="14302" xr:uid="{1E5D58CA-F296-4373-8B12-0BCFEF1DAF4B}"/>
    <cellStyle name="Comma 4 4 2 5 4" xfId="10084" xr:uid="{22E8558C-A6A2-4365-88AE-09106A07E852}"/>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E17743CB-8F3C-4D81-B8AC-C33AC724DCD7}"/>
    <cellStyle name="Comma 4 4 2 6 2 3" xfId="12642" xr:uid="{0E3ACEEA-5200-49A9-A22F-6F945390CB43}"/>
    <cellStyle name="Comma 4 4 2 6 3" xfId="6280" xr:uid="{00000000-0005-0000-0000-0000F5090000}"/>
    <cellStyle name="Comma 4 4 2 6 3 2" xfId="14715" xr:uid="{2AFC9EAF-2003-4EDA-AA44-61DEF5206283}"/>
    <cellStyle name="Comma 4 4 2 6 4" xfId="10497" xr:uid="{7A841FF4-6510-44C9-8ED3-139A374609B1}"/>
    <cellStyle name="Comma 4 4 2 7" xfId="2408" xr:uid="{00000000-0005-0000-0000-0000F6090000}"/>
    <cellStyle name="Comma 4 4 2 7 2" xfId="6693" xr:uid="{00000000-0005-0000-0000-0000F7090000}"/>
    <cellStyle name="Comma 4 4 2 7 2 2" xfId="15128" xr:uid="{924E2F5D-71D5-4DAE-8E8A-FE0A0D911C6F}"/>
    <cellStyle name="Comma 4 4 2 7 3" xfId="10910" xr:uid="{86E5EED2-150C-49A2-B581-FDC74464291E}"/>
    <cellStyle name="Comma 4 4 2 8" xfId="2704" xr:uid="{00000000-0005-0000-0000-0000F8090000}"/>
    <cellStyle name="Comma 4 4 2 9" xfId="2786" xr:uid="{00000000-0005-0000-0000-0000F9090000}"/>
    <cellStyle name="Comma 4 4 2 9 2" xfId="7010" xr:uid="{00000000-0005-0000-0000-0000FA090000}"/>
    <cellStyle name="Comma 4 4 2 9 2 2" xfId="15445" xr:uid="{018BE0E8-D222-455A-AB1E-73C0EAD23260}"/>
    <cellStyle name="Comma 4 4 2 9 3" xfId="11227" xr:uid="{E4723355-698F-4622-A19E-049B198400ED}"/>
    <cellStyle name="Comma 4 4 3" xfId="156" xr:uid="{00000000-0005-0000-0000-0000FB090000}"/>
    <cellStyle name="Comma 4 4 3 10" xfId="8846" xr:uid="{AD4B6379-2695-430C-A228-A73665583275}"/>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B39F7A79-0DD8-4F78-AA9B-5643735F1C0E}"/>
    <cellStyle name="Comma 4 4 3 2 2 3" xfId="11405" xr:uid="{0B04E4E0-605F-4F63-91CB-447616B10111}"/>
    <cellStyle name="Comma 4 4 3 2 3" xfId="5043" xr:uid="{00000000-0005-0000-0000-0000FF090000}"/>
    <cellStyle name="Comma 4 4 3 2 3 2" xfId="13478" xr:uid="{770E88DE-933B-4A61-90A8-48ACF66BC41A}"/>
    <cellStyle name="Comma 4 4 3 2 4" xfId="9260" xr:uid="{7D5C8867-F040-44B9-97CD-0BE59B05D87F}"/>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9D1B075B-F916-4DAE-ACDD-6DA0FECB47FA}"/>
    <cellStyle name="Comma 4 4 3 3 2 3" xfId="11818" xr:uid="{8217C895-4B1B-40F5-98A9-1DF64E429631}"/>
    <cellStyle name="Comma 4 4 3 3 3" xfId="5456" xr:uid="{00000000-0005-0000-0000-0000030A0000}"/>
    <cellStyle name="Comma 4 4 3 3 3 2" xfId="13891" xr:uid="{89051E1B-54C0-4D30-8123-486C8A3967C9}"/>
    <cellStyle name="Comma 4 4 3 3 4" xfId="9673" xr:uid="{A492D7A9-D838-4C19-9FFA-BAF2450552CF}"/>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7ED8B3C0-26F6-4E74-9EEC-82921C8AE3C0}"/>
    <cellStyle name="Comma 4 4 3 4 2 3" xfId="12231" xr:uid="{7BABD688-A98E-4321-8F76-AC9AB55A086A}"/>
    <cellStyle name="Comma 4 4 3 4 3" xfId="5869" xr:uid="{00000000-0005-0000-0000-0000070A0000}"/>
    <cellStyle name="Comma 4 4 3 4 3 2" xfId="14304" xr:uid="{5236432E-0BCD-4572-996E-D535488D1CD3}"/>
    <cellStyle name="Comma 4 4 3 4 4" xfId="10086" xr:uid="{E6A5210D-8290-4FEE-82C9-7E5F4D488138}"/>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4D198DDA-A554-4D1D-86D1-7CB4AEC2EC0D}"/>
    <cellStyle name="Comma 4 4 3 5 2 3" xfId="12644" xr:uid="{BFDA7771-9C08-486B-93E5-D2C3E802978C}"/>
    <cellStyle name="Comma 4 4 3 5 3" xfId="6282" xr:uid="{00000000-0005-0000-0000-00000B0A0000}"/>
    <cellStyle name="Comma 4 4 3 5 3 2" xfId="14717" xr:uid="{DD16E4C9-A0A0-453E-BF55-25E6881A8247}"/>
    <cellStyle name="Comma 4 4 3 5 4" xfId="10499" xr:uid="{EF59E17D-1A45-4FDD-A8A2-0C350769AA07}"/>
    <cellStyle name="Comma 4 4 3 6" xfId="2410" xr:uid="{00000000-0005-0000-0000-00000C0A0000}"/>
    <cellStyle name="Comma 4 4 3 6 2" xfId="6695" xr:uid="{00000000-0005-0000-0000-00000D0A0000}"/>
    <cellStyle name="Comma 4 4 3 6 2 2" xfId="15130" xr:uid="{5DF4A237-971C-48F4-84A8-31E8849187F5}"/>
    <cellStyle name="Comma 4 4 3 6 3" xfId="10912" xr:uid="{074E79E6-534C-47A4-8D24-6E021D684CA2}"/>
    <cellStyle name="Comma 4 4 3 7" xfId="2706" xr:uid="{00000000-0005-0000-0000-00000E0A0000}"/>
    <cellStyle name="Comma 4 4 3 8" xfId="2788" xr:uid="{00000000-0005-0000-0000-00000F0A0000}"/>
    <cellStyle name="Comma 4 4 3 8 2" xfId="7012" xr:uid="{00000000-0005-0000-0000-0000100A0000}"/>
    <cellStyle name="Comma 4 4 3 8 2 2" xfId="15447" xr:uid="{56496FF0-26EA-4680-A65B-E17FB694C4CD}"/>
    <cellStyle name="Comma 4 4 3 8 3" xfId="11229" xr:uid="{D15B86C9-5608-4D20-8107-6855656F463E}"/>
    <cellStyle name="Comma 4 4 3 9" xfId="4629" xr:uid="{00000000-0005-0000-0000-0000110A0000}"/>
    <cellStyle name="Comma 4 4 3 9 2" xfId="13064" xr:uid="{82AD84BD-F11B-4D4F-9A27-8D6B6E11AD6C}"/>
    <cellStyle name="Comma 4 4 4" xfId="691" xr:uid="{00000000-0005-0000-0000-0000120A0000}"/>
    <cellStyle name="Comma 4 4 4 2" xfId="2962" xr:uid="{00000000-0005-0000-0000-0000130A0000}"/>
    <cellStyle name="Comma 4 4 4 2 2" xfId="7185" xr:uid="{00000000-0005-0000-0000-0000140A0000}"/>
    <cellStyle name="Comma 4 4 4 2 2 2" xfId="15620" xr:uid="{6E2F6D02-D981-4CD4-A062-0CC070C4B409}"/>
    <cellStyle name="Comma 4 4 4 2 3" xfId="11402" xr:uid="{F8A32AEB-6423-49D6-999B-059702FE82FC}"/>
    <cellStyle name="Comma 4 4 4 3" xfId="5040" xr:uid="{00000000-0005-0000-0000-0000150A0000}"/>
    <cellStyle name="Comma 4 4 4 3 2" xfId="13475" xr:uid="{FA38F78A-95BF-43EB-9414-5346B8EE0DE8}"/>
    <cellStyle name="Comma 4 4 4 4" xfId="9257" xr:uid="{B0C021A6-49D0-48DF-B809-DD74C753F382}"/>
    <cellStyle name="Comma 4 4 5" xfId="1144" xr:uid="{00000000-0005-0000-0000-0000160A0000}"/>
    <cellStyle name="Comma 4 4 5 2" xfId="3375" xr:uid="{00000000-0005-0000-0000-0000170A0000}"/>
    <cellStyle name="Comma 4 4 5 2 2" xfId="7598" xr:uid="{00000000-0005-0000-0000-0000180A0000}"/>
    <cellStyle name="Comma 4 4 5 2 2 2" xfId="16033" xr:uid="{DE36068A-743A-4511-B060-1BE44503EF49}"/>
    <cellStyle name="Comma 4 4 5 2 3" xfId="11815" xr:uid="{4B0F251F-2FDE-481D-9AD7-6B2AC5CB1C17}"/>
    <cellStyle name="Comma 4 4 5 3" xfId="5453" xr:uid="{00000000-0005-0000-0000-0000190A0000}"/>
    <cellStyle name="Comma 4 4 5 3 2" xfId="13888" xr:uid="{2BCFD637-DD7B-413A-8F63-17FC5D1F9841}"/>
    <cellStyle name="Comma 4 4 5 4" xfId="9670" xr:uid="{1236AC78-D1C1-4365-8153-2DC9F063560C}"/>
    <cellStyle name="Comma 4 4 6" xfId="1558" xr:uid="{00000000-0005-0000-0000-00001A0A0000}"/>
    <cellStyle name="Comma 4 4 6 2" xfId="3788" xr:uid="{00000000-0005-0000-0000-00001B0A0000}"/>
    <cellStyle name="Comma 4 4 6 2 2" xfId="8011" xr:uid="{00000000-0005-0000-0000-00001C0A0000}"/>
    <cellStyle name="Comma 4 4 6 2 2 2" xfId="16446" xr:uid="{7A4FE204-FF3E-4952-9232-B88C5F9B4FD2}"/>
    <cellStyle name="Comma 4 4 6 2 3" xfId="12228" xr:uid="{FBD01A3E-B9E0-4735-9112-BA159CB56384}"/>
    <cellStyle name="Comma 4 4 6 3" xfId="5866" xr:uid="{00000000-0005-0000-0000-00001D0A0000}"/>
    <cellStyle name="Comma 4 4 6 3 2" xfId="14301" xr:uid="{2201D204-3E15-4036-985D-7587A32F2314}"/>
    <cellStyle name="Comma 4 4 6 4" xfId="10083" xr:uid="{4EE50148-AF60-43A4-87FE-0C60BDC1EE78}"/>
    <cellStyle name="Comma 4 4 7" xfId="1972" xr:uid="{00000000-0005-0000-0000-00001E0A0000}"/>
    <cellStyle name="Comma 4 4 7 2" xfId="4201" xr:uid="{00000000-0005-0000-0000-00001F0A0000}"/>
    <cellStyle name="Comma 4 4 7 2 2" xfId="8424" xr:uid="{00000000-0005-0000-0000-0000200A0000}"/>
    <cellStyle name="Comma 4 4 7 2 2 2" xfId="16859" xr:uid="{B45F80F3-015C-4B81-B340-9333BCF52674}"/>
    <cellStyle name="Comma 4 4 7 2 3" xfId="12641" xr:uid="{EDFAC8D4-B12F-4F88-BC44-A24C93365C6B}"/>
    <cellStyle name="Comma 4 4 7 3" xfId="6279" xr:uid="{00000000-0005-0000-0000-0000210A0000}"/>
    <cellStyle name="Comma 4 4 7 3 2" xfId="14714" xr:uid="{D6C71A86-5375-4812-AF03-A90788743F53}"/>
    <cellStyle name="Comma 4 4 7 4" xfId="10496" xr:uid="{0E4B1D18-2018-4370-9C54-B773AF212349}"/>
    <cellStyle name="Comma 4 4 8" xfId="2407" xr:uid="{00000000-0005-0000-0000-0000220A0000}"/>
    <cellStyle name="Comma 4 4 8 2" xfId="6692" xr:uid="{00000000-0005-0000-0000-0000230A0000}"/>
    <cellStyle name="Comma 4 4 8 2 2" xfId="15127" xr:uid="{B5A00C7C-BE08-45F6-99D9-C823EBBB4CC2}"/>
    <cellStyle name="Comma 4 4 8 3" xfId="10909" xr:uid="{523DB841-C2DA-4F7E-9E9E-362829310626}"/>
    <cellStyle name="Comma 4 4 9" xfId="2703" xr:uid="{00000000-0005-0000-0000-0000240A0000}"/>
    <cellStyle name="Comma 4 5" xfId="157" xr:uid="{00000000-0005-0000-0000-0000250A0000}"/>
    <cellStyle name="Comma 4 5 10" xfId="4630" xr:uid="{00000000-0005-0000-0000-0000260A0000}"/>
    <cellStyle name="Comma 4 5 10 2" xfId="13065" xr:uid="{70D9C231-44BF-4F85-A638-A87A0D16DACB}"/>
    <cellStyle name="Comma 4 5 11" xfId="8847" xr:uid="{76BB6C58-D122-4DF7-B982-D2A3F10B45EA}"/>
    <cellStyle name="Comma 4 5 2" xfId="158" xr:uid="{00000000-0005-0000-0000-0000270A0000}"/>
    <cellStyle name="Comma 4 5 2 10" xfId="8848" xr:uid="{3CEC5E29-B6AA-4BF1-9B2E-A6EE4D67B4D2}"/>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682B68A4-5AA1-4E92-BE64-3F6FC4446BDE}"/>
    <cellStyle name="Comma 4 5 2 2 2 3" xfId="11407" xr:uid="{FC0E5753-84E0-4B58-8DAE-A957812934CC}"/>
    <cellStyle name="Comma 4 5 2 2 3" xfId="5045" xr:uid="{00000000-0005-0000-0000-00002B0A0000}"/>
    <cellStyle name="Comma 4 5 2 2 3 2" xfId="13480" xr:uid="{537A3167-C831-4368-A604-1E3F3E40248A}"/>
    <cellStyle name="Comma 4 5 2 2 4" xfId="9262" xr:uid="{43F723B0-757C-4D17-838C-32E92C14E536}"/>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7DCFF7AC-E065-431D-A0AE-D46E246C0709}"/>
    <cellStyle name="Comma 4 5 2 3 2 3" xfId="11820" xr:uid="{67F3CA24-8185-47A1-908A-1926AEB029C2}"/>
    <cellStyle name="Comma 4 5 2 3 3" xfId="5458" xr:uid="{00000000-0005-0000-0000-00002F0A0000}"/>
    <cellStyle name="Comma 4 5 2 3 3 2" xfId="13893" xr:uid="{C450141B-79F8-4665-A516-90C2EBD5981D}"/>
    <cellStyle name="Comma 4 5 2 3 4" xfId="9675" xr:uid="{FF910233-3F36-4E42-AA30-E10D3C51041B}"/>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B4BD283E-1027-4173-803C-8C8B40B9586B}"/>
    <cellStyle name="Comma 4 5 2 4 2 3" xfId="12233" xr:uid="{36F05D5D-6BBD-4CC1-8BBE-F36B4FE1BC63}"/>
    <cellStyle name="Comma 4 5 2 4 3" xfId="5871" xr:uid="{00000000-0005-0000-0000-0000330A0000}"/>
    <cellStyle name="Comma 4 5 2 4 3 2" xfId="14306" xr:uid="{EBB50414-F806-4EAC-8029-C88D42F45DCB}"/>
    <cellStyle name="Comma 4 5 2 4 4" xfId="10088" xr:uid="{4B479057-ED58-449D-8D86-FA4D70B35FC9}"/>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A019CAE2-E2C0-41E9-BC1D-C733A09A54B4}"/>
    <cellStyle name="Comma 4 5 2 5 2 3" xfId="12646" xr:uid="{43E99DA4-A56E-404F-9E59-EBBF713A65CB}"/>
    <cellStyle name="Comma 4 5 2 5 3" xfId="6284" xr:uid="{00000000-0005-0000-0000-0000370A0000}"/>
    <cellStyle name="Comma 4 5 2 5 3 2" xfId="14719" xr:uid="{F6C7B9C2-1FF2-419F-963A-993CFEEEE622}"/>
    <cellStyle name="Comma 4 5 2 5 4" xfId="10501" xr:uid="{0BB5AAFE-6B6E-4CD0-8D26-010F0BFAB341}"/>
    <cellStyle name="Comma 4 5 2 6" xfId="2412" xr:uid="{00000000-0005-0000-0000-0000380A0000}"/>
    <cellStyle name="Comma 4 5 2 6 2" xfId="6697" xr:uid="{00000000-0005-0000-0000-0000390A0000}"/>
    <cellStyle name="Comma 4 5 2 6 2 2" xfId="15132" xr:uid="{9F616B8D-BE20-454F-A7EF-D4AE349282C2}"/>
    <cellStyle name="Comma 4 5 2 6 3" xfId="10914" xr:uid="{E544A32E-44AF-4AE0-9332-F6F2E865247F}"/>
    <cellStyle name="Comma 4 5 2 7" xfId="2708" xr:uid="{00000000-0005-0000-0000-00003A0A0000}"/>
    <cellStyle name="Comma 4 5 2 8" xfId="2790" xr:uid="{00000000-0005-0000-0000-00003B0A0000}"/>
    <cellStyle name="Comma 4 5 2 8 2" xfId="7014" xr:uid="{00000000-0005-0000-0000-00003C0A0000}"/>
    <cellStyle name="Comma 4 5 2 8 2 2" xfId="15449" xr:uid="{CF9CD6E4-EA11-46DD-A2E5-E137FCE9AB99}"/>
    <cellStyle name="Comma 4 5 2 8 3" xfId="11231" xr:uid="{8433FC32-27F2-4A52-932B-5BB7B7047784}"/>
    <cellStyle name="Comma 4 5 2 9" xfId="4631" xr:uid="{00000000-0005-0000-0000-00003D0A0000}"/>
    <cellStyle name="Comma 4 5 2 9 2" xfId="13066" xr:uid="{289E16A7-771C-458B-A1BF-6F0CC8435C0F}"/>
    <cellStyle name="Comma 4 5 3" xfId="695" xr:uid="{00000000-0005-0000-0000-00003E0A0000}"/>
    <cellStyle name="Comma 4 5 3 2" xfId="2966" xr:uid="{00000000-0005-0000-0000-00003F0A0000}"/>
    <cellStyle name="Comma 4 5 3 2 2" xfId="7189" xr:uid="{00000000-0005-0000-0000-0000400A0000}"/>
    <cellStyle name="Comma 4 5 3 2 2 2" xfId="15624" xr:uid="{77F4C22E-CB4E-4DB5-B3C9-E0882330940C}"/>
    <cellStyle name="Comma 4 5 3 2 3" xfId="11406" xr:uid="{AF41893D-7062-4412-943B-5ABAF95B1D32}"/>
    <cellStyle name="Comma 4 5 3 3" xfId="5044" xr:uid="{00000000-0005-0000-0000-0000410A0000}"/>
    <cellStyle name="Comma 4 5 3 3 2" xfId="13479" xr:uid="{6DFB4CA7-E4A9-4C69-BD2A-67B8B5F60296}"/>
    <cellStyle name="Comma 4 5 3 4" xfId="9261" xr:uid="{F3037661-8AD4-4C2E-A8D0-B713880475D0}"/>
    <cellStyle name="Comma 4 5 4" xfId="1148" xr:uid="{00000000-0005-0000-0000-0000420A0000}"/>
    <cellStyle name="Comma 4 5 4 2" xfId="3379" xr:uid="{00000000-0005-0000-0000-0000430A0000}"/>
    <cellStyle name="Comma 4 5 4 2 2" xfId="7602" xr:uid="{00000000-0005-0000-0000-0000440A0000}"/>
    <cellStyle name="Comma 4 5 4 2 2 2" xfId="16037" xr:uid="{F2F1A190-6698-44D7-8126-2E22D27888BE}"/>
    <cellStyle name="Comma 4 5 4 2 3" xfId="11819" xr:uid="{194F3F4A-FE62-45EB-96B7-AF2CFC5A823C}"/>
    <cellStyle name="Comma 4 5 4 3" xfId="5457" xr:uid="{00000000-0005-0000-0000-0000450A0000}"/>
    <cellStyle name="Comma 4 5 4 3 2" xfId="13892" xr:uid="{C86B2E76-CD68-4B3F-91F5-C34BA394B267}"/>
    <cellStyle name="Comma 4 5 4 4" xfId="9674" xr:uid="{3829890E-A389-4172-88A3-BA60C35CAED8}"/>
    <cellStyle name="Comma 4 5 5" xfId="1562" xr:uid="{00000000-0005-0000-0000-0000460A0000}"/>
    <cellStyle name="Comma 4 5 5 2" xfId="3792" xr:uid="{00000000-0005-0000-0000-0000470A0000}"/>
    <cellStyle name="Comma 4 5 5 2 2" xfId="8015" xr:uid="{00000000-0005-0000-0000-0000480A0000}"/>
    <cellStyle name="Comma 4 5 5 2 2 2" xfId="16450" xr:uid="{9E3E88CA-013E-416D-8DC5-131636EBC05A}"/>
    <cellStyle name="Comma 4 5 5 2 3" xfId="12232" xr:uid="{F6B98A77-7148-4EF4-8A38-16011CF9E95D}"/>
    <cellStyle name="Comma 4 5 5 3" xfId="5870" xr:uid="{00000000-0005-0000-0000-0000490A0000}"/>
    <cellStyle name="Comma 4 5 5 3 2" xfId="14305" xr:uid="{01BA96C4-93B3-472D-9160-44A6131BA9A1}"/>
    <cellStyle name="Comma 4 5 5 4" xfId="10087" xr:uid="{264C66D5-367E-40A3-B5EF-1D29E52F955D}"/>
    <cellStyle name="Comma 4 5 6" xfId="1976" xr:uid="{00000000-0005-0000-0000-00004A0A0000}"/>
    <cellStyle name="Comma 4 5 6 2" xfId="4205" xr:uid="{00000000-0005-0000-0000-00004B0A0000}"/>
    <cellStyle name="Comma 4 5 6 2 2" xfId="8428" xr:uid="{00000000-0005-0000-0000-00004C0A0000}"/>
    <cellStyle name="Comma 4 5 6 2 2 2" xfId="16863" xr:uid="{F9C90F92-6A28-40CA-9518-F9D8C181F14F}"/>
    <cellStyle name="Comma 4 5 6 2 3" xfId="12645" xr:uid="{7D344FC9-8A88-4FE6-8DAF-BF8F5B4A7F6F}"/>
    <cellStyle name="Comma 4 5 6 3" xfId="6283" xr:uid="{00000000-0005-0000-0000-00004D0A0000}"/>
    <cellStyle name="Comma 4 5 6 3 2" xfId="14718" xr:uid="{C7E640E8-9957-4DD4-AB7E-EB964C20F6E6}"/>
    <cellStyle name="Comma 4 5 6 4" xfId="10500" xr:uid="{0ECA2103-B8C0-421D-AB50-4F19ACFFE136}"/>
    <cellStyle name="Comma 4 5 7" xfId="2411" xr:uid="{00000000-0005-0000-0000-00004E0A0000}"/>
    <cellStyle name="Comma 4 5 7 2" xfId="6696" xr:uid="{00000000-0005-0000-0000-00004F0A0000}"/>
    <cellStyle name="Comma 4 5 7 2 2" xfId="15131" xr:uid="{E167EEBE-D1A5-43AC-9C43-8ACBB6755506}"/>
    <cellStyle name="Comma 4 5 7 3" xfId="10913" xr:uid="{BAED54EE-194E-472F-BE2D-F559D67EC713}"/>
    <cellStyle name="Comma 4 5 8" xfId="2707" xr:uid="{00000000-0005-0000-0000-0000500A0000}"/>
    <cellStyle name="Comma 4 5 9" xfId="2789" xr:uid="{00000000-0005-0000-0000-0000510A0000}"/>
    <cellStyle name="Comma 4 5 9 2" xfId="7013" xr:uid="{00000000-0005-0000-0000-0000520A0000}"/>
    <cellStyle name="Comma 4 5 9 2 2" xfId="15448" xr:uid="{BF8E355F-07DA-47A2-883C-42B10CE20839}"/>
    <cellStyle name="Comma 4 5 9 3" xfId="11230" xr:uid="{DCE2211E-6707-449E-B703-8EA2154E0EA6}"/>
    <cellStyle name="Comma 4 6" xfId="159" xr:uid="{00000000-0005-0000-0000-0000530A0000}"/>
    <cellStyle name="Comma 4 6 10" xfId="8849" xr:uid="{66779D3B-2C9A-48EC-AA69-1DECC8FBED36}"/>
    <cellStyle name="Comma 4 6 2" xfId="697" xr:uid="{00000000-0005-0000-0000-0000540A0000}"/>
    <cellStyle name="Comma 4 6 2 2" xfId="2968" xr:uid="{00000000-0005-0000-0000-0000550A0000}"/>
    <cellStyle name="Comma 4 6 2 2 2" xfId="7191" xr:uid="{00000000-0005-0000-0000-0000560A0000}"/>
    <cellStyle name="Comma 4 6 2 2 2 2" xfId="15626" xr:uid="{92CC5622-F1A7-4B9A-A4A0-19BF0BF56006}"/>
    <cellStyle name="Comma 4 6 2 2 3" xfId="11408" xr:uid="{B5D57C44-8244-4F79-8D7F-562F95D16BDE}"/>
    <cellStyle name="Comma 4 6 2 3" xfId="5046" xr:uid="{00000000-0005-0000-0000-0000570A0000}"/>
    <cellStyle name="Comma 4 6 2 3 2" xfId="13481" xr:uid="{E1B978BE-CA3C-40B1-97C9-4C2669FD5AFC}"/>
    <cellStyle name="Comma 4 6 2 4" xfId="9263" xr:uid="{0089D303-7F54-480F-9485-F891CDA542CA}"/>
    <cellStyle name="Comma 4 6 3" xfId="1150" xr:uid="{00000000-0005-0000-0000-0000580A0000}"/>
    <cellStyle name="Comma 4 6 3 2" xfId="3381" xr:uid="{00000000-0005-0000-0000-0000590A0000}"/>
    <cellStyle name="Comma 4 6 3 2 2" xfId="7604" xr:uid="{00000000-0005-0000-0000-00005A0A0000}"/>
    <cellStyle name="Comma 4 6 3 2 2 2" xfId="16039" xr:uid="{DAFF7888-74D3-4C99-BE38-BF44DAB2B1B6}"/>
    <cellStyle name="Comma 4 6 3 2 3" xfId="11821" xr:uid="{91A27E03-6F2A-4491-999D-F3B95A72F0C5}"/>
    <cellStyle name="Comma 4 6 3 3" xfId="5459" xr:uid="{00000000-0005-0000-0000-00005B0A0000}"/>
    <cellStyle name="Comma 4 6 3 3 2" xfId="13894" xr:uid="{7AE9B9AA-53A9-4F2E-8AD5-14D9E0223F28}"/>
    <cellStyle name="Comma 4 6 3 4" xfId="9676" xr:uid="{3DC76491-0C98-4F01-A73A-BF38AE7C89FB}"/>
    <cellStyle name="Comma 4 6 4" xfId="1564" xr:uid="{00000000-0005-0000-0000-00005C0A0000}"/>
    <cellStyle name="Comma 4 6 4 2" xfId="3794" xr:uid="{00000000-0005-0000-0000-00005D0A0000}"/>
    <cellStyle name="Comma 4 6 4 2 2" xfId="8017" xr:uid="{00000000-0005-0000-0000-00005E0A0000}"/>
    <cellStyle name="Comma 4 6 4 2 2 2" xfId="16452" xr:uid="{AC3DD07A-2B12-4200-9808-40B155A362A5}"/>
    <cellStyle name="Comma 4 6 4 2 3" xfId="12234" xr:uid="{1CB4F726-BC16-4607-9909-2DDCB861CECD}"/>
    <cellStyle name="Comma 4 6 4 3" xfId="5872" xr:uid="{00000000-0005-0000-0000-00005F0A0000}"/>
    <cellStyle name="Comma 4 6 4 3 2" xfId="14307" xr:uid="{D3E28B90-04FC-4E31-88F7-2C6E2743CE35}"/>
    <cellStyle name="Comma 4 6 4 4" xfId="10089" xr:uid="{E6AB1A8A-9D61-462C-9349-68890B4EC169}"/>
    <cellStyle name="Comma 4 6 5" xfId="1978" xr:uid="{00000000-0005-0000-0000-0000600A0000}"/>
    <cellStyle name="Comma 4 6 5 2" xfId="4207" xr:uid="{00000000-0005-0000-0000-0000610A0000}"/>
    <cellStyle name="Comma 4 6 5 2 2" xfId="8430" xr:uid="{00000000-0005-0000-0000-0000620A0000}"/>
    <cellStyle name="Comma 4 6 5 2 2 2" xfId="16865" xr:uid="{FF5E7FB6-6108-4C0E-99D1-EEFB08AB0453}"/>
    <cellStyle name="Comma 4 6 5 2 3" xfId="12647" xr:uid="{1FBD35BD-2A38-48B4-8EEC-A06E0CA63633}"/>
    <cellStyle name="Comma 4 6 5 3" xfId="6285" xr:uid="{00000000-0005-0000-0000-0000630A0000}"/>
    <cellStyle name="Comma 4 6 5 3 2" xfId="14720" xr:uid="{C73E0639-342E-4ED9-B24C-5CFC7FB57F8C}"/>
    <cellStyle name="Comma 4 6 5 4" xfId="10502" xr:uid="{B92EF409-CA40-4F6B-99F3-FE2ABC1DBCD9}"/>
    <cellStyle name="Comma 4 6 6" xfId="2413" xr:uid="{00000000-0005-0000-0000-0000640A0000}"/>
    <cellStyle name="Comma 4 6 6 2" xfId="6698" xr:uid="{00000000-0005-0000-0000-0000650A0000}"/>
    <cellStyle name="Comma 4 6 6 2 2" xfId="15133" xr:uid="{3892AA6B-8EAD-40EA-8CC8-58C9608F36E7}"/>
    <cellStyle name="Comma 4 6 6 3" xfId="10915" xr:uid="{E239CCB8-40B2-4564-BF38-8849D4E98114}"/>
    <cellStyle name="Comma 4 6 7" xfId="2709" xr:uid="{00000000-0005-0000-0000-0000660A0000}"/>
    <cellStyle name="Comma 4 6 8" xfId="2791" xr:uid="{00000000-0005-0000-0000-0000670A0000}"/>
    <cellStyle name="Comma 4 6 8 2" xfId="7015" xr:uid="{00000000-0005-0000-0000-0000680A0000}"/>
    <cellStyle name="Comma 4 6 8 2 2" xfId="15450" xr:uid="{B9090A64-3169-4265-B5C6-D3927D6C574D}"/>
    <cellStyle name="Comma 4 6 8 3" xfId="11232" xr:uid="{20971DB2-715D-4FAF-A567-9DE6B16781E4}"/>
    <cellStyle name="Comma 4 6 9" xfId="4632" xr:uid="{00000000-0005-0000-0000-0000690A0000}"/>
    <cellStyle name="Comma 4 6 9 2" xfId="13067" xr:uid="{E6C4EA09-9652-46D7-8B79-2230454BFF29}"/>
    <cellStyle name="Comma 4 7" xfId="160" xr:uid="{00000000-0005-0000-0000-00006A0A0000}"/>
    <cellStyle name="Comma 4 7 10" xfId="8850" xr:uid="{DADCD0E5-EC5D-495A-AAB6-271131578BEC}"/>
    <cellStyle name="Comma 4 7 2" xfId="698" xr:uid="{00000000-0005-0000-0000-00006B0A0000}"/>
    <cellStyle name="Comma 4 7 2 2" xfId="2969" xr:uid="{00000000-0005-0000-0000-00006C0A0000}"/>
    <cellStyle name="Comma 4 7 2 2 2" xfId="7192" xr:uid="{00000000-0005-0000-0000-00006D0A0000}"/>
    <cellStyle name="Comma 4 7 2 2 2 2" xfId="15627" xr:uid="{6BBADAC7-60D2-4B46-88B1-F2BF28732A03}"/>
    <cellStyle name="Comma 4 7 2 2 3" xfId="11409" xr:uid="{5B3691C9-3C78-44D5-868B-5C01042440AA}"/>
    <cellStyle name="Comma 4 7 2 3" xfId="5047" xr:uid="{00000000-0005-0000-0000-00006E0A0000}"/>
    <cellStyle name="Comma 4 7 2 3 2" xfId="13482" xr:uid="{1C9DA575-4D2E-488B-97F8-F90B358C8EFD}"/>
    <cellStyle name="Comma 4 7 2 4" xfId="9264" xr:uid="{F5BB3F3C-F4A6-421F-AC18-D320343B5FF2}"/>
    <cellStyle name="Comma 4 7 3" xfId="1151" xr:uid="{00000000-0005-0000-0000-00006F0A0000}"/>
    <cellStyle name="Comma 4 7 3 2" xfId="3382" xr:uid="{00000000-0005-0000-0000-0000700A0000}"/>
    <cellStyle name="Comma 4 7 3 2 2" xfId="7605" xr:uid="{00000000-0005-0000-0000-0000710A0000}"/>
    <cellStyle name="Comma 4 7 3 2 2 2" xfId="16040" xr:uid="{D92AC460-2A05-401A-B4C1-E69A86AB13C5}"/>
    <cellStyle name="Comma 4 7 3 2 3" xfId="11822" xr:uid="{969B46D9-8E1F-4F83-A0EF-BA681D1ED94F}"/>
    <cellStyle name="Comma 4 7 3 3" xfId="5460" xr:uid="{00000000-0005-0000-0000-0000720A0000}"/>
    <cellStyle name="Comma 4 7 3 3 2" xfId="13895" xr:uid="{EAB9CAB1-F859-41E6-B9CB-DCB8CA7B1945}"/>
    <cellStyle name="Comma 4 7 3 4" xfId="9677" xr:uid="{F7564589-39CD-4B88-9AED-2570E01C7B63}"/>
    <cellStyle name="Comma 4 7 4" xfId="1565" xr:uid="{00000000-0005-0000-0000-0000730A0000}"/>
    <cellStyle name="Comma 4 7 4 2" xfId="3795" xr:uid="{00000000-0005-0000-0000-0000740A0000}"/>
    <cellStyle name="Comma 4 7 4 2 2" xfId="8018" xr:uid="{00000000-0005-0000-0000-0000750A0000}"/>
    <cellStyle name="Comma 4 7 4 2 2 2" xfId="16453" xr:uid="{AA90D0EB-DF1B-4825-B06A-E8A4C52B5351}"/>
    <cellStyle name="Comma 4 7 4 2 3" xfId="12235" xr:uid="{5187FCAD-FB57-475C-A3DD-0A183DC139EE}"/>
    <cellStyle name="Comma 4 7 4 3" xfId="5873" xr:uid="{00000000-0005-0000-0000-0000760A0000}"/>
    <cellStyle name="Comma 4 7 4 3 2" xfId="14308" xr:uid="{B3BF9AE6-0E13-4618-B7E2-110974DEE062}"/>
    <cellStyle name="Comma 4 7 4 4" xfId="10090" xr:uid="{29717EE2-0394-4123-BEF9-4C20E4EF1698}"/>
    <cellStyle name="Comma 4 7 5" xfId="1979" xr:uid="{00000000-0005-0000-0000-0000770A0000}"/>
    <cellStyle name="Comma 4 7 5 2" xfId="4208" xr:uid="{00000000-0005-0000-0000-0000780A0000}"/>
    <cellStyle name="Comma 4 7 5 2 2" xfId="8431" xr:uid="{00000000-0005-0000-0000-0000790A0000}"/>
    <cellStyle name="Comma 4 7 5 2 2 2" xfId="16866" xr:uid="{61F83387-5608-4BE0-B7A8-88EE5A6CC99B}"/>
    <cellStyle name="Comma 4 7 5 2 3" xfId="12648" xr:uid="{B760AE07-4F82-4BA4-8D2F-C9298FD9BFD9}"/>
    <cellStyle name="Comma 4 7 5 3" xfId="6286" xr:uid="{00000000-0005-0000-0000-00007A0A0000}"/>
    <cellStyle name="Comma 4 7 5 3 2" xfId="14721" xr:uid="{5D3CF126-0E7C-443F-BA2A-BE9A9CA886A5}"/>
    <cellStyle name="Comma 4 7 5 4" xfId="10503" xr:uid="{DCBDB183-52AB-48C1-8DBF-49431A0374B3}"/>
    <cellStyle name="Comma 4 7 6" xfId="2414" xr:uid="{00000000-0005-0000-0000-00007B0A0000}"/>
    <cellStyle name="Comma 4 7 6 2" xfId="6699" xr:uid="{00000000-0005-0000-0000-00007C0A0000}"/>
    <cellStyle name="Comma 4 7 6 2 2" xfId="15134" xr:uid="{1A44344E-44B6-4C0E-ACE4-15CEACDBD1AA}"/>
    <cellStyle name="Comma 4 7 6 3" xfId="10916" xr:uid="{E9AB15D1-D5E6-444F-88A8-A9E7E3744D7E}"/>
    <cellStyle name="Comma 4 7 7" xfId="2710" xr:uid="{00000000-0005-0000-0000-00007D0A0000}"/>
    <cellStyle name="Comma 4 7 8" xfId="2792" xr:uid="{00000000-0005-0000-0000-00007E0A0000}"/>
    <cellStyle name="Comma 4 7 8 2" xfId="7016" xr:uid="{00000000-0005-0000-0000-00007F0A0000}"/>
    <cellStyle name="Comma 4 7 8 2 2" xfId="15451" xr:uid="{5D9CEA2E-A2DA-4553-B972-FE89589B1EAD}"/>
    <cellStyle name="Comma 4 7 8 3" xfId="11233" xr:uid="{A5CAE02C-BE1E-498B-92BF-BABC370269A2}"/>
    <cellStyle name="Comma 4 7 9" xfId="4633" xr:uid="{00000000-0005-0000-0000-0000800A0000}"/>
    <cellStyle name="Comma 4 7 9 2" xfId="13068" xr:uid="{EB879B7E-10FC-4770-B9E8-37DC96181E7C}"/>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588578BF-36CE-47EB-BFA0-1B55B6DEF187}"/>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14 4" xfId="12939" xr:uid="{046ED55E-2F89-44ED-A1B6-08D338F164D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AD67DC4C-5238-46CA-965E-CEEB028AE819}"/>
    <cellStyle name="Currency 3 2 2 10 3" xfId="11234" xr:uid="{840CE34A-672C-41AC-A7CB-83AEC1994FC7}"/>
    <cellStyle name="Currency 3 2 2 11" xfId="4634" xr:uid="{00000000-0005-0000-0000-0000A50A0000}"/>
    <cellStyle name="Currency 3 2 2 11 2" xfId="13069" xr:uid="{073553D5-423B-4FF8-8991-C948B52F1238}"/>
    <cellStyle name="Currency 3 2 2 12" xfId="8851" xr:uid="{C5FD3713-8AA7-4452-A39A-A7A266358991}"/>
    <cellStyle name="Currency 3 2 2 2" xfId="179" xr:uid="{00000000-0005-0000-0000-0000A60A0000}"/>
    <cellStyle name="Currency 3 2 2 2 10" xfId="4635" xr:uid="{00000000-0005-0000-0000-0000A70A0000}"/>
    <cellStyle name="Currency 3 2 2 2 10 2" xfId="13070" xr:uid="{F19C5E2A-A8A9-4E37-944B-C764DF72EA12}"/>
    <cellStyle name="Currency 3 2 2 2 11" xfId="8852" xr:uid="{BFCD1139-46D1-4953-AB85-6046629F9024}"/>
    <cellStyle name="Currency 3 2 2 2 2" xfId="180" xr:uid="{00000000-0005-0000-0000-0000A80A0000}"/>
    <cellStyle name="Currency 3 2 2 2 2 10" xfId="8853" xr:uid="{21B2E963-6534-4C9F-9085-5A50A6A0BCA7}"/>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6DCC3136-0F31-4450-B383-84129008E49C}"/>
    <cellStyle name="Currency 3 2 2 2 2 2 2 3" xfId="11412" xr:uid="{516033D6-0199-4CAD-84C4-18C56B95E2C0}"/>
    <cellStyle name="Currency 3 2 2 2 2 2 3" xfId="5050" xr:uid="{00000000-0005-0000-0000-0000AC0A0000}"/>
    <cellStyle name="Currency 3 2 2 2 2 2 3 2" xfId="13485" xr:uid="{F007260E-1ADE-4EF1-8D11-D937D7B52D53}"/>
    <cellStyle name="Currency 3 2 2 2 2 2 4" xfId="9267" xr:uid="{53E3FBE5-210C-4B8A-A5ED-FD7E53263F39}"/>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BA35097E-0809-4EC4-87EF-A3343E43E15B}"/>
    <cellStyle name="Currency 3 2 2 2 2 3 2 3" xfId="11825" xr:uid="{E5EF09FD-B8E5-4958-902D-3FEBE4B7F031}"/>
    <cellStyle name="Currency 3 2 2 2 2 3 3" xfId="5463" xr:uid="{00000000-0005-0000-0000-0000B00A0000}"/>
    <cellStyle name="Currency 3 2 2 2 2 3 3 2" xfId="13898" xr:uid="{76EF7BAE-0CB9-4FED-B2F0-EAA782E076CD}"/>
    <cellStyle name="Currency 3 2 2 2 2 3 4" xfId="9680" xr:uid="{05C61C93-B3A2-4CB7-8414-1B9BAA19C392}"/>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BD454F52-8AC0-47F9-A1D9-2604ADFCC2B5}"/>
    <cellStyle name="Currency 3 2 2 2 2 4 2 3" xfId="12238" xr:uid="{E8B29C61-1836-4A1B-B19E-909D20028DC3}"/>
    <cellStyle name="Currency 3 2 2 2 2 4 3" xfId="5876" xr:uid="{00000000-0005-0000-0000-0000B40A0000}"/>
    <cellStyle name="Currency 3 2 2 2 2 4 3 2" xfId="14311" xr:uid="{00DD7084-2003-4E6B-9B80-14273AAA29A9}"/>
    <cellStyle name="Currency 3 2 2 2 2 4 4" xfId="10093" xr:uid="{A70D57AC-02A5-4C31-A804-82C878AF51A6}"/>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5DFF3FE4-C907-444A-B799-6F4F8523DB4B}"/>
    <cellStyle name="Currency 3 2 2 2 2 5 2 3" xfId="12651" xr:uid="{2D765D3D-D50F-45A0-894F-ECEA6A0D7E18}"/>
    <cellStyle name="Currency 3 2 2 2 2 5 3" xfId="6289" xr:uid="{00000000-0005-0000-0000-0000B80A0000}"/>
    <cellStyle name="Currency 3 2 2 2 2 5 3 2" xfId="14724" xr:uid="{A71E3BA6-F158-4B95-ADE7-AF3A5BDB62BF}"/>
    <cellStyle name="Currency 3 2 2 2 2 5 4" xfId="10506" xr:uid="{869A579C-9CDD-485E-9EB7-29C59FB83C51}"/>
    <cellStyle name="Currency 3 2 2 2 2 6" xfId="2417" xr:uid="{00000000-0005-0000-0000-0000B90A0000}"/>
    <cellStyle name="Currency 3 2 2 2 2 6 2" xfId="6702" xr:uid="{00000000-0005-0000-0000-0000BA0A0000}"/>
    <cellStyle name="Currency 3 2 2 2 2 6 2 2" xfId="15137" xr:uid="{49184137-685A-40E9-AA66-E2A7C60AECB5}"/>
    <cellStyle name="Currency 3 2 2 2 2 6 3" xfId="10919" xr:uid="{0ED0E981-F8C4-4F47-84F1-A5AA940E4B91}"/>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8EE4C9B7-2297-4702-909C-A4DD02BD6BFB}"/>
    <cellStyle name="Currency 3 2 2 2 2 8 3" xfId="11236" xr:uid="{8B6E5614-A89B-4881-B7D1-1E6F74D20692}"/>
    <cellStyle name="Currency 3 2 2 2 2 9" xfId="4636" xr:uid="{00000000-0005-0000-0000-0000BE0A0000}"/>
    <cellStyle name="Currency 3 2 2 2 2 9 2" xfId="13071" xr:uid="{2A7262C7-C2BB-49E7-B504-A464B741F18F}"/>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A1427E41-A4B3-47DC-A009-FF12FF110981}"/>
    <cellStyle name="Currency 3 2 2 2 3 2 3" xfId="11411" xr:uid="{AB1D372B-A2C4-4692-85D9-FC7B62E307A9}"/>
    <cellStyle name="Currency 3 2 2 2 3 3" xfId="5049" xr:uid="{00000000-0005-0000-0000-0000C20A0000}"/>
    <cellStyle name="Currency 3 2 2 2 3 3 2" xfId="13484" xr:uid="{63626303-E476-4EEF-BD4B-338D6A174EB1}"/>
    <cellStyle name="Currency 3 2 2 2 3 4" xfId="9266" xr:uid="{280CC307-0843-4EEF-A918-6C5CF40DAF3E}"/>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101CFE65-2E80-425C-A2D9-87BD21D9B808}"/>
    <cellStyle name="Currency 3 2 2 2 4 2 3" xfId="11824" xr:uid="{C8840E11-B9DA-4B42-A089-7DA00D5D4B83}"/>
    <cellStyle name="Currency 3 2 2 2 4 3" xfId="5462" xr:uid="{00000000-0005-0000-0000-0000C60A0000}"/>
    <cellStyle name="Currency 3 2 2 2 4 3 2" xfId="13897" xr:uid="{36AA8BE2-B357-4257-A43B-C752AFB0D069}"/>
    <cellStyle name="Currency 3 2 2 2 4 4" xfId="9679" xr:uid="{86B93C6D-C949-446E-8B28-29464FE13C46}"/>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4592C411-9342-485D-BB33-96904E373955}"/>
    <cellStyle name="Currency 3 2 2 2 5 2 3" xfId="12237" xr:uid="{F3948C16-9284-4A33-8F74-847417AA18F1}"/>
    <cellStyle name="Currency 3 2 2 2 5 3" xfId="5875" xr:uid="{00000000-0005-0000-0000-0000CA0A0000}"/>
    <cellStyle name="Currency 3 2 2 2 5 3 2" xfId="14310" xr:uid="{405DC6A6-21D2-40F6-9342-70722BE49180}"/>
    <cellStyle name="Currency 3 2 2 2 5 4" xfId="10092" xr:uid="{ACFB9AD2-E1F6-4D0E-8782-BE40169C33B9}"/>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33E0DB31-10B1-4588-BCAB-F862E47BFB77}"/>
    <cellStyle name="Currency 3 2 2 2 6 2 3" xfId="12650" xr:uid="{8BA9F380-DD89-4E8D-B336-8B2CFEFDC2BF}"/>
    <cellStyle name="Currency 3 2 2 2 6 3" xfId="6288" xr:uid="{00000000-0005-0000-0000-0000CE0A0000}"/>
    <cellStyle name="Currency 3 2 2 2 6 3 2" xfId="14723" xr:uid="{DF0565FB-7FE8-4C12-AB23-FB217B551680}"/>
    <cellStyle name="Currency 3 2 2 2 6 4" xfId="10505" xr:uid="{E271A1FA-B53A-4D54-BDD3-71A213B17C94}"/>
    <cellStyle name="Currency 3 2 2 2 7" xfId="2416" xr:uid="{00000000-0005-0000-0000-0000CF0A0000}"/>
    <cellStyle name="Currency 3 2 2 2 7 2" xfId="6701" xr:uid="{00000000-0005-0000-0000-0000D00A0000}"/>
    <cellStyle name="Currency 3 2 2 2 7 2 2" xfId="15136" xr:uid="{F36CFE2F-1A77-4AC5-87A6-54ADC32525F6}"/>
    <cellStyle name="Currency 3 2 2 2 7 3" xfId="10918" xr:uid="{AB636565-E6E4-4427-8923-B5178EA96201}"/>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4EA1FA78-8DA4-4D6D-A9C0-64B873E594F5}"/>
    <cellStyle name="Currency 3 2 2 2 9 3" xfId="11235" xr:uid="{45E2B152-F340-4FC5-AFB8-45584DD7F93C}"/>
    <cellStyle name="Currency 3 2 2 3" xfId="181" xr:uid="{00000000-0005-0000-0000-0000D40A0000}"/>
    <cellStyle name="Currency 3 2 2 3 10" xfId="8854" xr:uid="{DE94F76F-93A3-435D-A864-29558C3FAA4A}"/>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A35DFA12-776F-461F-8B67-5749DC28D3C8}"/>
    <cellStyle name="Currency 3 2 2 3 2 2 3" xfId="11413" xr:uid="{B2D2D759-9DAE-420C-9768-E6A5AC1B9968}"/>
    <cellStyle name="Currency 3 2 2 3 2 3" xfId="5051" xr:uid="{00000000-0005-0000-0000-0000D80A0000}"/>
    <cellStyle name="Currency 3 2 2 3 2 3 2" xfId="13486" xr:uid="{9CE75868-E32C-416E-B06D-1183D7521413}"/>
    <cellStyle name="Currency 3 2 2 3 2 4" xfId="9268" xr:uid="{79A397B8-EA03-486F-97D1-77E271682BA2}"/>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971076E4-0357-446B-9C87-92E41F11F1A6}"/>
    <cellStyle name="Currency 3 2 2 3 3 2 3" xfId="11826" xr:uid="{4AA7CC8B-7A41-48AE-BACD-A896CA3718D3}"/>
    <cellStyle name="Currency 3 2 2 3 3 3" xfId="5464" xr:uid="{00000000-0005-0000-0000-0000DC0A0000}"/>
    <cellStyle name="Currency 3 2 2 3 3 3 2" xfId="13899" xr:uid="{3E7F9D59-BB53-49B2-8274-14C6F7A4BC18}"/>
    <cellStyle name="Currency 3 2 2 3 3 4" xfId="9681" xr:uid="{5809333C-599B-43D0-9CE5-27CC9C2BFC69}"/>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6BB6C49D-9E76-4673-8942-35E4BCECEAEA}"/>
    <cellStyle name="Currency 3 2 2 3 4 2 3" xfId="12239" xr:uid="{A9176EB9-6D70-4E20-BE6D-857EFDFF262E}"/>
    <cellStyle name="Currency 3 2 2 3 4 3" xfId="5877" xr:uid="{00000000-0005-0000-0000-0000E00A0000}"/>
    <cellStyle name="Currency 3 2 2 3 4 3 2" xfId="14312" xr:uid="{EE94BBE1-0DDE-4A16-8D26-9A6158B8A47D}"/>
    <cellStyle name="Currency 3 2 2 3 4 4" xfId="10094" xr:uid="{742082E1-60DC-466F-A052-645C01D00CCE}"/>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96A2B862-FC88-46A0-9B7D-C23FB4809F60}"/>
    <cellStyle name="Currency 3 2 2 3 5 2 3" xfId="12652" xr:uid="{6FDD8D29-0CC9-4335-BB76-034A9F25013F}"/>
    <cellStyle name="Currency 3 2 2 3 5 3" xfId="6290" xr:uid="{00000000-0005-0000-0000-0000E40A0000}"/>
    <cellStyle name="Currency 3 2 2 3 5 3 2" xfId="14725" xr:uid="{D3DF3445-A78B-41E5-B433-806BC351D964}"/>
    <cellStyle name="Currency 3 2 2 3 5 4" xfId="10507" xr:uid="{88C47085-D3CB-47C4-8E2C-596B02527C33}"/>
    <cellStyle name="Currency 3 2 2 3 6" xfId="2418" xr:uid="{00000000-0005-0000-0000-0000E50A0000}"/>
    <cellStyle name="Currency 3 2 2 3 6 2" xfId="6703" xr:uid="{00000000-0005-0000-0000-0000E60A0000}"/>
    <cellStyle name="Currency 3 2 2 3 6 2 2" xfId="15138" xr:uid="{1B061385-1A79-42DD-9D41-0E399E553E69}"/>
    <cellStyle name="Currency 3 2 2 3 6 3" xfId="10920" xr:uid="{FA11E428-BB5C-4C8D-90A5-7F752FF6FB27}"/>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CCA158CA-A83E-43A5-B895-428D6394B4F6}"/>
    <cellStyle name="Currency 3 2 2 3 8 3" xfId="11237" xr:uid="{072F2404-0F3C-4421-AA28-5034D6359167}"/>
    <cellStyle name="Currency 3 2 2 3 9" xfId="4637" xr:uid="{00000000-0005-0000-0000-0000EA0A0000}"/>
    <cellStyle name="Currency 3 2 2 3 9 2" xfId="13072" xr:uid="{2030E06B-609A-437D-B880-2314278F64E2}"/>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CFDBF22B-4E41-40A5-816E-F9A1F4A5FF0D}"/>
    <cellStyle name="Currency 3 2 2 4 2 3" xfId="11410" xr:uid="{0D1D0AD1-4B01-4F33-9AD0-13AF34629C8E}"/>
    <cellStyle name="Currency 3 2 2 4 3" xfId="5048" xr:uid="{00000000-0005-0000-0000-0000EE0A0000}"/>
    <cellStyle name="Currency 3 2 2 4 3 2" xfId="13483" xr:uid="{052FF2C1-E83B-4BD1-A027-98860BF99A99}"/>
    <cellStyle name="Currency 3 2 2 4 4" xfId="9265" xr:uid="{094C8CCD-1338-4436-B65E-981FB467E317}"/>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7C547739-02B8-466C-ACE4-BE9EFB983687}"/>
    <cellStyle name="Currency 3 2 2 5 2 3" xfId="11823" xr:uid="{D33B6C2B-F558-4D17-B84C-2942AC5FBB5B}"/>
    <cellStyle name="Currency 3 2 2 5 3" xfId="5461" xr:uid="{00000000-0005-0000-0000-0000F20A0000}"/>
    <cellStyle name="Currency 3 2 2 5 3 2" xfId="13896" xr:uid="{3C012591-324F-4FF6-8ABF-65BD84F19CB8}"/>
    <cellStyle name="Currency 3 2 2 5 4" xfId="9678" xr:uid="{CC26AD93-D7E4-4CEE-B287-2AAE94A5508D}"/>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2550FA91-86CC-48B8-AD90-BFD24E1CF838}"/>
    <cellStyle name="Currency 3 2 2 6 2 3" xfId="12236" xr:uid="{25FEF6DC-60EA-48CC-8329-0A3504E2A1E5}"/>
    <cellStyle name="Currency 3 2 2 6 3" xfId="5874" xr:uid="{00000000-0005-0000-0000-0000F60A0000}"/>
    <cellStyle name="Currency 3 2 2 6 3 2" xfId="14309" xr:uid="{6D6378C0-821C-461D-92A7-1AA036F23FE9}"/>
    <cellStyle name="Currency 3 2 2 6 4" xfId="10091" xr:uid="{4F2FEAA7-7064-4F55-AB94-D9CD76CD709C}"/>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192FED86-CC96-4E56-9987-893036C1DF1A}"/>
    <cellStyle name="Currency 3 2 2 7 2 3" xfId="12649" xr:uid="{FF1286D0-F839-4990-AC27-286544EE5983}"/>
    <cellStyle name="Currency 3 2 2 7 3" xfId="6287" xr:uid="{00000000-0005-0000-0000-0000FA0A0000}"/>
    <cellStyle name="Currency 3 2 2 7 3 2" xfId="14722" xr:uid="{5405A5CB-4C21-4738-BCEF-C65BB5AD8660}"/>
    <cellStyle name="Currency 3 2 2 7 4" xfId="10504" xr:uid="{4AB15956-DBA3-40E2-9B16-729C5A096E3A}"/>
    <cellStyle name="Currency 3 2 2 8" xfId="2415" xr:uid="{00000000-0005-0000-0000-0000FB0A0000}"/>
    <cellStyle name="Currency 3 2 2 8 2" xfId="6700" xr:uid="{00000000-0005-0000-0000-0000FC0A0000}"/>
    <cellStyle name="Currency 3 2 2 8 2 2" xfId="15135" xr:uid="{44DF16DA-56C9-4120-A8B8-3568FB8983BA}"/>
    <cellStyle name="Currency 3 2 2 8 3" xfId="10917" xr:uid="{FEAA6E5D-320B-48D4-9567-8F510DF93192}"/>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99BC37A7-2126-4FB7-930F-821EDCB2404C}"/>
    <cellStyle name="Currency 3 2 3 11" xfId="8855" xr:uid="{68B3F1C4-1B3E-4AD9-9F53-4DACB8B90AC7}"/>
    <cellStyle name="Currency 3 2 3 2" xfId="183" xr:uid="{00000000-0005-0000-0000-0000000B0000}"/>
    <cellStyle name="Currency 3 2 3 2 10" xfId="8856" xr:uid="{45233E3B-28FE-447D-9FCC-C4452F08CA72}"/>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170985F1-3E18-412D-8978-34C52D309DE5}"/>
    <cellStyle name="Currency 3 2 3 2 2 2 3" xfId="11415" xr:uid="{7DB58295-3F28-47F6-85C5-B9D3CC756C56}"/>
    <cellStyle name="Currency 3 2 3 2 2 3" xfId="5053" xr:uid="{00000000-0005-0000-0000-0000040B0000}"/>
    <cellStyle name="Currency 3 2 3 2 2 3 2" xfId="13488" xr:uid="{2711F2D4-F05F-4937-8CDA-228431D1A306}"/>
    <cellStyle name="Currency 3 2 3 2 2 4" xfId="9270" xr:uid="{47819C5D-3ED6-4A99-AC54-0134EA30B5A9}"/>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1E1D771B-5917-44D4-8830-FFADF6711112}"/>
    <cellStyle name="Currency 3 2 3 2 3 2 3" xfId="11828" xr:uid="{5FE83C20-AD1D-4917-A4A8-1F6A965504BF}"/>
    <cellStyle name="Currency 3 2 3 2 3 3" xfId="5466" xr:uid="{00000000-0005-0000-0000-0000080B0000}"/>
    <cellStyle name="Currency 3 2 3 2 3 3 2" xfId="13901" xr:uid="{07D92823-64D7-4325-8775-64E74D5D2E2F}"/>
    <cellStyle name="Currency 3 2 3 2 3 4" xfId="9683" xr:uid="{CB5DF89C-8FE0-4207-9A09-F08E89899DD4}"/>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36530A8D-98F0-4146-AE67-2A6A2ADE7A61}"/>
    <cellStyle name="Currency 3 2 3 2 4 2 3" xfId="12241" xr:uid="{F8059112-F5D4-4EA8-8296-734FCAB523CE}"/>
    <cellStyle name="Currency 3 2 3 2 4 3" xfId="5879" xr:uid="{00000000-0005-0000-0000-00000C0B0000}"/>
    <cellStyle name="Currency 3 2 3 2 4 3 2" xfId="14314" xr:uid="{764B0C59-84DA-42D6-BAB6-93B30B10281A}"/>
    <cellStyle name="Currency 3 2 3 2 4 4" xfId="10096" xr:uid="{CC8108DB-39BB-418A-81C6-A46FD4578298}"/>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271142D5-0F65-4847-A471-E6ADA06A9F0B}"/>
    <cellStyle name="Currency 3 2 3 2 5 2 3" xfId="12654" xr:uid="{8BC0694A-39FF-4A09-B0B5-CA0C5CFCD5B1}"/>
    <cellStyle name="Currency 3 2 3 2 5 3" xfId="6292" xr:uid="{00000000-0005-0000-0000-0000100B0000}"/>
    <cellStyle name="Currency 3 2 3 2 5 3 2" xfId="14727" xr:uid="{61F78CA1-C790-400F-AA07-D48FC9FA0B49}"/>
    <cellStyle name="Currency 3 2 3 2 5 4" xfId="10509" xr:uid="{6BAAD55E-E56F-436F-9454-BD08C2BA9F34}"/>
    <cellStyle name="Currency 3 2 3 2 6" xfId="2420" xr:uid="{00000000-0005-0000-0000-0000110B0000}"/>
    <cellStyle name="Currency 3 2 3 2 6 2" xfId="6705" xr:uid="{00000000-0005-0000-0000-0000120B0000}"/>
    <cellStyle name="Currency 3 2 3 2 6 2 2" xfId="15140" xr:uid="{FEB9060E-C6D1-40EA-B606-CE1B23F516CD}"/>
    <cellStyle name="Currency 3 2 3 2 6 3" xfId="10922" xr:uid="{7A76DCE9-7517-4555-B210-99ACFE624A39}"/>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516E6E3E-995F-4860-B9A3-AA66B08EE6FD}"/>
    <cellStyle name="Currency 3 2 3 2 8 3" xfId="11239" xr:uid="{8EBC01B4-FAE4-42A8-9ED3-42FE99610BA3}"/>
    <cellStyle name="Currency 3 2 3 2 9" xfId="4639" xr:uid="{00000000-0005-0000-0000-0000160B0000}"/>
    <cellStyle name="Currency 3 2 3 2 9 2" xfId="13074" xr:uid="{368266C9-4764-4E01-AAD6-39719633BC8C}"/>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61D12DA5-25B5-45E5-B436-252CA4947D89}"/>
    <cellStyle name="Currency 3 2 3 3 2 3" xfId="11414" xr:uid="{22E3044D-27AF-4B0D-ABD2-800002DC6CBD}"/>
    <cellStyle name="Currency 3 2 3 3 3" xfId="5052" xr:uid="{00000000-0005-0000-0000-00001A0B0000}"/>
    <cellStyle name="Currency 3 2 3 3 3 2" xfId="13487" xr:uid="{9B64FD4C-3E52-4665-B435-F5749EF8B502}"/>
    <cellStyle name="Currency 3 2 3 3 4" xfId="9269" xr:uid="{6C47AD61-5467-4B6A-A394-A7AC7353F6D6}"/>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E823300B-15FC-4100-9257-6B36387EAEE7}"/>
    <cellStyle name="Currency 3 2 3 4 2 3" xfId="11827" xr:uid="{9F9B0720-04B5-4D2D-AE3A-C8CFB473E53A}"/>
    <cellStyle name="Currency 3 2 3 4 3" xfId="5465" xr:uid="{00000000-0005-0000-0000-00001E0B0000}"/>
    <cellStyle name="Currency 3 2 3 4 3 2" xfId="13900" xr:uid="{D87ABB38-D296-4D52-8C1A-F832AF1D519F}"/>
    <cellStyle name="Currency 3 2 3 4 4" xfId="9682" xr:uid="{0D99C781-B26C-4337-A14A-905B83AA7FFB}"/>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9E0BCF96-D89E-45D8-95BB-86E02C7F6848}"/>
    <cellStyle name="Currency 3 2 3 5 2 3" xfId="12240" xr:uid="{F935EADD-10E8-48B3-B5C9-F02C533FD333}"/>
    <cellStyle name="Currency 3 2 3 5 3" xfId="5878" xr:uid="{00000000-0005-0000-0000-0000220B0000}"/>
    <cellStyle name="Currency 3 2 3 5 3 2" xfId="14313" xr:uid="{61DA9CEE-E662-4AE8-B588-65FDBAE9204D}"/>
    <cellStyle name="Currency 3 2 3 5 4" xfId="10095" xr:uid="{7BA4B34C-F346-4D1B-BEBB-3E951F0EC4E4}"/>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63115736-0520-48AB-B399-C12E0E85F4DA}"/>
    <cellStyle name="Currency 3 2 3 6 2 3" xfId="12653" xr:uid="{3A4B2F55-9DEE-498D-B361-5F7431A8722E}"/>
    <cellStyle name="Currency 3 2 3 6 3" xfId="6291" xr:uid="{00000000-0005-0000-0000-0000260B0000}"/>
    <cellStyle name="Currency 3 2 3 6 3 2" xfId="14726" xr:uid="{2362F194-BBD4-47E5-841B-0700213BB5D4}"/>
    <cellStyle name="Currency 3 2 3 6 4" xfId="10508" xr:uid="{96E17C4F-8E6D-4502-A299-25492A197E47}"/>
    <cellStyle name="Currency 3 2 3 7" xfId="2419" xr:uid="{00000000-0005-0000-0000-0000270B0000}"/>
    <cellStyle name="Currency 3 2 3 7 2" xfId="6704" xr:uid="{00000000-0005-0000-0000-0000280B0000}"/>
    <cellStyle name="Currency 3 2 3 7 2 2" xfId="15139" xr:uid="{0B3340ED-0202-47EE-9F20-C71F0E131C2D}"/>
    <cellStyle name="Currency 3 2 3 7 3" xfId="10921" xr:uid="{CB55F984-68BA-4A97-959D-9686A574D77F}"/>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F930E60F-6B66-41D9-AE1D-AFDC4A84A723}"/>
    <cellStyle name="Currency 3 2 3 9 3" xfId="11238" xr:uid="{B4A3B5BB-7AD6-4007-BF80-3A7543D82CBF}"/>
    <cellStyle name="Currency 3 2 4" xfId="184" xr:uid="{00000000-0005-0000-0000-00002C0B0000}"/>
    <cellStyle name="Currency 3 2 4 10" xfId="8857" xr:uid="{8C75D1B2-16CF-48C7-AF1F-D9F19F09A650}"/>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ABF9C13C-F2B9-4278-88E1-0FD44F300699}"/>
    <cellStyle name="Currency 3 2 4 2 2 3" xfId="11416" xr:uid="{42B76719-720D-49F9-A539-F225F6D18E0A}"/>
    <cellStyle name="Currency 3 2 4 2 3" xfId="5054" xr:uid="{00000000-0005-0000-0000-0000300B0000}"/>
    <cellStyle name="Currency 3 2 4 2 3 2" xfId="13489" xr:uid="{78E24321-556B-439C-B9C6-FC0CAC36F6AF}"/>
    <cellStyle name="Currency 3 2 4 2 4" xfId="9271" xr:uid="{8C01E681-FFF2-4D8D-96FE-6EFFCB7D8EFD}"/>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6B0C15B2-A717-4BA3-8595-AC4E8AC1192F}"/>
    <cellStyle name="Currency 3 2 4 3 2 3" xfId="11829" xr:uid="{0BB3FA53-2D89-475F-A1DC-BA992D901822}"/>
    <cellStyle name="Currency 3 2 4 3 3" xfId="5467" xr:uid="{00000000-0005-0000-0000-0000340B0000}"/>
    <cellStyle name="Currency 3 2 4 3 3 2" xfId="13902" xr:uid="{951ACFC3-2CBC-4188-B7D6-8A30252FB297}"/>
    <cellStyle name="Currency 3 2 4 3 4" xfId="9684" xr:uid="{EF4534B1-E2D3-40C9-8D72-F8F2A0F839F7}"/>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B6681CB6-64D5-43FB-BB85-48B51105D239}"/>
    <cellStyle name="Currency 3 2 4 4 2 3" xfId="12242" xr:uid="{7F5FA0F9-9D57-42EB-88DC-C85CB1C1A284}"/>
    <cellStyle name="Currency 3 2 4 4 3" xfId="5880" xr:uid="{00000000-0005-0000-0000-0000380B0000}"/>
    <cellStyle name="Currency 3 2 4 4 3 2" xfId="14315" xr:uid="{58B18594-E954-423A-B0EB-1C5CDEC7269D}"/>
    <cellStyle name="Currency 3 2 4 4 4" xfId="10097" xr:uid="{C0EC52CE-77F5-4E1E-9704-25CD39089713}"/>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D9B45721-9150-41F1-9F8E-BEB7918A6F1E}"/>
    <cellStyle name="Currency 3 2 4 5 2 3" xfId="12655" xr:uid="{C9BB1219-7AEA-4D5F-9A37-18CC809FF355}"/>
    <cellStyle name="Currency 3 2 4 5 3" xfId="6293" xr:uid="{00000000-0005-0000-0000-00003C0B0000}"/>
    <cellStyle name="Currency 3 2 4 5 3 2" xfId="14728" xr:uid="{5EE1624C-CA34-417A-B67A-3258970C5F71}"/>
    <cellStyle name="Currency 3 2 4 5 4" xfId="10510" xr:uid="{0907D188-2F72-4687-A6CB-C7179445BDF1}"/>
    <cellStyle name="Currency 3 2 4 6" xfId="2421" xr:uid="{00000000-0005-0000-0000-00003D0B0000}"/>
    <cellStyle name="Currency 3 2 4 6 2" xfId="6706" xr:uid="{00000000-0005-0000-0000-00003E0B0000}"/>
    <cellStyle name="Currency 3 2 4 6 2 2" xfId="15141" xr:uid="{44E58E90-1C44-4C70-BC14-1088745BE9C4}"/>
    <cellStyle name="Currency 3 2 4 6 3" xfId="10923" xr:uid="{907079F6-0DE8-473B-B6DB-22C9EC1BF190}"/>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301269F7-1D0F-416A-8AEB-AD94414417D6}"/>
    <cellStyle name="Currency 3 2 4 8 3" xfId="11240" xr:uid="{20665A26-8848-4E92-AFAE-1168AA8DC8AF}"/>
    <cellStyle name="Currency 3 2 4 9" xfId="4640" xr:uid="{00000000-0005-0000-0000-0000420B0000}"/>
    <cellStyle name="Currency 3 2 4 9 2" xfId="13075" xr:uid="{8CA9B00C-6F3A-4C8C-A895-5EC26FE78D7E}"/>
    <cellStyle name="Currency 3 2 5" xfId="185" xr:uid="{00000000-0005-0000-0000-0000430B0000}"/>
    <cellStyle name="Currency 3 2 5 10" xfId="8858" xr:uid="{58F8093C-59B4-473D-8D7D-516FB9A2E43D}"/>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89679734-9C6A-40C0-9F55-80D5C518EB32}"/>
    <cellStyle name="Currency 3 2 5 2 2 3" xfId="11417" xr:uid="{B4767F0D-66BE-435E-9B6D-C0F27030FDA9}"/>
    <cellStyle name="Currency 3 2 5 2 3" xfId="5055" xr:uid="{00000000-0005-0000-0000-0000470B0000}"/>
    <cellStyle name="Currency 3 2 5 2 3 2" xfId="13490" xr:uid="{FFDEA11A-F284-4E94-AA9D-26E8B267054B}"/>
    <cellStyle name="Currency 3 2 5 2 4" xfId="9272" xr:uid="{C8076AE8-F4D9-405E-AFDE-55DAC20F1815}"/>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2B3C25AF-8439-48F2-A847-F0DA75667B15}"/>
    <cellStyle name="Currency 3 2 5 3 2 3" xfId="11830" xr:uid="{6154B294-2E6D-4C16-8466-F94798E33D83}"/>
    <cellStyle name="Currency 3 2 5 3 3" xfId="5468" xr:uid="{00000000-0005-0000-0000-00004B0B0000}"/>
    <cellStyle name="Currency 3 2 5 3 3 2" xfId="13903" xr:uid="{57AE7879-C76F-49F1-BEBE-91801079A53A}"/>
    <cellStyle name="Currency 3 2 5 3 4" xfId="9685" xr:uid="{5FE29317-D9CB-4EDE-9A47-5F7A0D17A6B7}"/>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3BFB5A04-59F2-4FB8-AF7C-BE05E66F5FBA}"/>
    <cellStyle name="Currency 3 2 5 4 2 3" xfId="12243" xr:uid="{C9ABE4E5-FEA8-4DBE-AF2F-DC3C8402B2FE}"/>
    <cellStyle name="Currency 3 2 5 4 3" xfId="5881" xr:uid="{00000000-0005-0000-0000-00004F0B0000}"/>
    <cellStyle name="Currency 3 2 5 4 3 2" xfId="14316" xr:uid="{73B723F5-80FA-4832-B131-59290A1D2E64}"/>
    <cellStyle name="Currency 3 2 5 4 4" xfId="10098" xr:uid="{88CA203D-C605-4154-8F24-1880B636667A}"/>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6EE27B3B-F7CA-4A27-9481-29EB69975FAF}"/>
    <cellStyle name="Currency 3 2 5 5 2 3" xfId="12656" xr:uid="{CBB1B55F-9911-491B-8F5F-512A2F8ECDE5}"/>
    <cellStyle name="Currency 3 2 5 5 3" xfId="6294" xr:uid="{00000000-0005-0000-0000-0000530B0000}"/>
    <cellStyle name="Currency 3 2 5 5 3 2" xfId="14729" xr:uid="{4CE3DF33-05FD-419F-B7A8-4437AFFF8CF7}"/>
    <cellStyle name="Currency 3 2 5 5 4" xfId="10511" xr:uid="{85AFF658-FCC8-4947-828A-0057B6C912C8}"/>
    <cellStyle name="Currency 3 2 5 6" xfId="2422" xr:uid="{00000000-0005-0000-0000-0000540B0000}"/>
    <cellStyle name="Currency 3 2 5 6 2" xfId="6707" xr:uid="{00000000-0005-0000-0000-0000550B0000}"/>
    <cellStyle name="Currency 3 2 5 6 2 2" xfId="15142" xr:uid="{0E467334-F8FD-4CC3-879A-63B299D0EC16}"/>
    <cellStyle name="Currency 3 2 5 6 3" xfId="10924" xr:uid="{D70A1F22-7B22-457B-A827-863F898400DA}"/>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5925AA09-0789-4050-BB84-5B81B021FA00}"/>
    <cellStyle name="Currency 3 2 5 8 3" xfId="11241" xr:uid="{26565638-42A8-49C4-B4F9-6381F2E6FE41}"/>
    <cellStyle name="Currency 3 2 5 9" xfId="4641" xr:uid="{00000000-0005-0000-0000-0000590B0000}"/>
    <cellStyle name="Currency 3 2 5 9 2" xfId="13076" xr:uid="{8E57FAED-1827-4551-AE5C-04674959F74E}"/>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D71A2DC2-5E90-4270-B4D9-DCA8C3297BFA}"/>
    <cellStyle name="Currency 5 2 2 2 10 3" xfId="11242" xr:uid="{9C77CBF3-E434-46B1-8513-B9AC72920740}"/>
    <cellStyle name="Currency 5 2 2 2 11" xfId="4642" xr:uid="{00000000-0005-0000-0000-00006C0B0000}"/>
    <cellStyle name="Currency 5 2 2 2 11 2" xfId="13077" xr:uid="{5E0492CE-B214-4F61-ACA3-D75FBB75CB81}"/>
    <cellStyle name="Currency 5 2 2 2 12" xfId="8859" xr:uid="{165EFD1E-F052-4FF9-B4B5-4100014B28B3}"/>
    <cellStyle name="Currency 5 2 2 2 2" xfId="197" xr:uid="{00000000-0005-0000-0000-00006D0B0000}"/>
    <cellStyle name="Currency 5 2 2 2 2 10" xfId="4643" xr:uid="{00000000-0005-0000-0000-00006E0B0000}"/>
    <cellStyle name="Currency 5 2 2 2 2 10 2" xfId="13078" xr:uid="{8F68E1C7-397C-4FB7-AAF1-345C4524E2CA}"/>
    <cellStyle name="Currency 5 2 2 2 2 11" xfId="8860" xr:uid="{0B8805C3-5287-4D83-9A3C-430B150524E9}"/>
    <cellStyle name="Currency 5 2 2 2 2 2" xfId="198" xr:uid="{00000000-0005-0000-0000-00006F0B0000}"/>
    <cellStyle name="Currency 5 2 2 2 2 2 10" xfId="8861" xr:uid="{2AD019EC-AF49-408D-802D-ED87F51EFC8A}"/>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5B7DC3A0-A428-4C2E-914C-63E84C51082C}"/>
    <cellStyle name="Currency 5 2 2 2 2 2 2 2 3" xfId="11420" xr:uid="{363414A2-1AC5-4C48-A70A-CD4B567AAEF1}"/>
    <cellStyle name="Currency 5 2 2 2 2 2 2 3" xfId="5058" xr:uid="{00000000-0005-0000-0000-0000730B0000}"/>
    <cellStyle name="Currency 5 2 2 2 2 2 2 3 2" xfId="13493" xr:uid="{36F99192-3953-4960-AE38-78BE01B6C783}"/>
    <cellStyle name="Currency 5 2 2 2 2 2 2 4" xfId="9275" xr:uid="{C1CE05FB-0ACA-4879-98C3-456B6E846B25}"/>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E9BF1D31-3ED8-425F-80DA-2D5B566FD5C4}"/>
    <cellStyle name="Currency 5 2 2 2 2 2 3 2 3" xfId="11833" xr:uid="{1D277983-A2C3-4213-A733-DA641D612254}"/>
    <cellStyle name="Currency 5 2 2 2 2 2 3 3" xfId="5471" xr:uid="{00000000-0005-0000-0000-0000770B0000}"/>
    <cellStyle name="Currency 5 2 2 2 2 2 3 3 2" xfId="13906" xr:uid="{28D576AD-3A1C-4A6F-B5AC-86A57B98EB81}"/>
    <cellStyle name="Currency 5 2 2 2 2 2 3 4" xfId="9688" xr:uid="{C31BD5EA-86AD-4C0E-809F-074BB9F55DDA}"/>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2CD965AC-5683-4BBA-8A35-31A2F0D5A38A}"/>
    <cellStyle name="Currency 5 2 2 2 2 2 4 2 3" xfId="12246" xr:uid="{D25D574C-7AAB-471C-8D2B-509C01BAAD45}"/>
    <cellStyle name="Currency 5 2 2 2 2 2 4 3" xfId="5884" xr:uid="{00000000-0005-0000-0000-00007B0B0000}"/>
    <cellStyle name="Currency 5 2 2 2 2 2 4 3 2" xfId="14319" xr:uid="{505AB1F5-CF4C-4C4F-8597-10EF7CD18113}"/>
    <cellStyle name="Currency 5 2 2 2 2 2 4 4" xfId="10101" xr:uid="{010D77D4-AC48-406C-89C7-01A63226F55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4122CD7D-EBF9-4E6C-86C4-D50CF4F8BB3B}"/>
    <cellStyle name="Currency 5 2 2 2 2 2 5 2 3" xfId="12659" xr:uid="{755B4D60-08BB-40E7-9B46-945EA74BCE61}"/>
    <cellStyle name="Currency 5 2 2 2 2 2 5 3" xfId="6297" xr:uid="{00000000-0005-0000-0000-00007F0B0000}"/>
    <cellStyle name="Currency 5 2 2 2 2 2 5 3 2" xfId="14732" xr:uid="{582E42D5-2473-4789-8EED-F69FF09F6C18}"/>
    <cellStyle name="Currency 5 2 2 2 2 2 5 4" xfId="10514" xr:uid="{3EA60415-00E6-4A9D-9028-831751233AA0}"/>
    <cellStyle name="Currency 5 2 2 2 2 2 6" xfId="2425" xr:uid="{00000000-0005-0000-0000-0000800B0000}"/>
    <cellStyle name="Currency 5 2 2 2 2 2 6 2" xfId="6710" xr:uid="{00000000-0005-0000-0000-0000810B0000}"/>
    <cellStyle name="Currency 5 2 2 2 2 2 6 2 2" xfId="15145" xr:uid="{9C0C4023-E5D9-49C4-9465-DB7B1BCC47F3}"/>
    <cellStyle name="Currency 5 2 2 2 2 2 6 3" xfId="10927" xr:uid="{7D61B777-B699-497E-A096-FB3C31F611F5}"/>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6DAA6F65-25A4-4551-AAE8-3EB35E7491D5}"/>
    <cellStyle name="Currency 5 2 2 2 2 2 8 3" xfId="11244" xr:uid="{7C1E2E3C-779A-4AEA-94B4-F1DFC810FC26}"/>
    <cellStyle name="Currency 5 2 2 2 2 2 9" xfId="4644" xr:uid="{00000000-0005-0000-0000-0000850B0000}"/>
    <cellStyle name="Currency 5 2 2 2 2 2 9 2" xfId="13079" xr:uid="{2BC2C1AD-4E1A-473E-9889-A789A46A1A8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39E094EA-FB4E-4F27-99CC-43A5EF58EF41}"/>
    <cellStyle name="Currency 5 2 2 2 2 3 2 3" xfId="11419" xr:uid="{FD241C43-9996-45BA-B2BA-EAD827AAF109}"/>
    <cellStyle name="Currency 5 2 2 2 2 3 3" xfId="5057" xr:uid="{00000000-0005-0000-0000-0000890B0000}"/>
    <cellStyle name="Currency 5 2 2 2 2 3 3 2" xfId="13492" xr:uid="{7BFC044E-1B68-4E00-B87F-144C22E3CAD2}"/>
    <cellStyle name="Currency 5 2 2 2 2 3 4" xfId="9274" xr:uid="{75F2E609-F6C3-4979-B07E-553B15ADB84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0A0B8E58-A54E-454A-8BA5-8974363E9BB1}"/>
    <cellStyle name="Currency 5 2 2 2 2 4 2 3" xfId="11832" xr:uid="{2CC3C7A4-D762-4836-803F-0CDB8A60E32E}"/>
    <cellStyle name="Currency 5 2 2 2 2 4 3" xfId="5470" xr:uid="{00000000-0005-0000-0000-00008D0B0000}"/>
    <cellStyle name="Currency 5 2 2 2 2 4 3 2" xfId="13905" xr:uid="{CA7A5B04-D6AF-4CDA-B29B-F64ECFFF099D}"/>
    <cellStyle name="Currency 5 2 2 2 2 4 4" xfId="9687" xr:uid="{743FBAFE-EDB5-4995-80FF-788145ED55F3}"/>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7B760DDD-1559-46BD-BBBB-DB511D9D44D6}"/>
    <cellStyle name="Currency 5 2 2 2 2 5 2 3" xfId="12245" xr:uid="{E8CB03E9-6CED-4753-ACA4-4CC2286CD71D}"/>
    <cellStyle name="Currency 5 2 2 2 2 5 3" xfId="5883" xr:uid="{00000000-0005-0000-0000-0000910B0000}"/>
    <cellStyle name="Currency 5 2 2 2 2 5 3 2" xfId="14318" xr:uid="{131D0868-DBF6-4842-BF3D-9FD3C34D11A7}"/>
    <cellStyle name="Currency 5 2 2 2 2 5 4" xfId="10100" xr:uid="{B539B4A7-5E0B-444E-B680-095F81B7DA4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AF6F6BF2-1B32-42CC-9EC6-48AC63DB8BE6}"/>
    <cellStyle name="Currency 5 2 2 2 2 6 2 3" xfId="12658" xr:uid="{B6A4C8D0-DF5E-4173-9328-62AC369EB29E}"/>
    <cellStyle name="Currency 5 2 2 2 2 6 3" xfId="6296" xr:uid="{00000000-0005-0000-0000-0000950B0000}"/>
    <cellStyle name="Currency 5 2 2 2 2 6 3 2" xfId="14731" xr:uid="{72D55552-4C5A-48A3-85DB-2305DEC6A35E}"/>
    <cellStyle name="Currency 5 2 2 2 2 6 4" xfId="10513" xr:uid="{4A0A140B-3DFF-4FB6-B9FE-1E4F14B747FB}"/>
    <cellStyle name="Currency 5 2 2 2 2 7" xfId="2424" xr:uid="{00000000-0005-0000-0000-0000960B0000}"/>
    <cellStyle name="Currency 5 2 2 2 2 7 2" xfId="6709" xr:uid="{00000000-0005-0000-0000-0000970B0000}"/>
    <cellStyle name="Currency 5 2 2 2 2 7 2 2" xfId="15144" xr:uid="{9A304917-D7C9-48AB-A664-AE878B520978}"/>
    <cellStyle name="Currency 5 2 2 2 2 7 3" xfId="10926" xr:uid="{1EAE075B-D0B5-4E49-B7F9-998D1337F58E}"/>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4DE3CB2D-93D0-4642-8E5F-AC686725BDB4}"/>
    <cellStyle name="Currency 5 2 2 2 2 9 3" xfId="11243" xr:uid="{5C99ED0E-FD6A-435A-8BC1-F7659AD6A95F}"/>
    <cellStyle name="Currency 5 2 2 2 3" xfId="199" xr:uid="{00000000-0005-0000-0000-00009B0B0000}"/>
    <cellStyle name="Currency 5 2 2 2 3 10" xfId="8862" xr:uid="{001741D7-EB8B-423B-A9B3-B199C79C35EC}"/>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B94330B3-EED1-4B0A-AB3F-3257C7651AEA}"/>
    <cellStyle name="Currency 5 2 2 2 3 2 2 3" xfId="11421" xr:uid="{A74C2D82-C134-43FD-BE92-9D0891991102}"/>
    <cellStyle name="Currency 5 2 2 2 3 2 3" xfId="5059" xr:uid="{00000000-0005-0000-0000-00009F0B0000}"/>
    <cellStyle name="Currency 5 2 2 2 3 2 3 2" xfId="13494" xr:uid="{F6B4E2F9-F2EA-497E-8A62-BFA037697F90}"/>
    <cellStyle name="Currency 5 2 2 2 3 2 4" xfId="9276" xr:uid="{BFB9D1AF-C2BA-46F7-80C9-C27DDBE82804}"/>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717BE1B5-440E-4E7E-A0BA-90664FE7687D}"/>
    <cellStyle name="Currency 5 2 2 2 3 3 2 3" xfId="11834" xr:uid="{8FAF27DC-F8CB-4D3B-B741-4068A3AF92C9}"/>
    <cellStyle name="Currency 5 2 2 2 3 3 3" xfId="5472" xr:uid="{00000000-0005-0000-0000-0000A30B0000}"/>
    <cellStyle name="Currency 5 2 2 2 3 3 3 2" xfId="13907" xr:uid="{976DC3B8-C7B7-4509-BF82-35174D429727}"/>
    <cellStyle name="Currency 5 2 2 2 3 3 4" xfId="9689" xr:uid="{BD91ED30-9A2F-4D26-BB39-43C9ECCE977A}"/>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D8C5646C-4CBF-4E14-A0F1-A54674E72E8F}"/>
    <cellStyle name="Currency 5 2 2 2 3 4 2 3" xfId="12247" xr:uid="{1EF4BB98-DF38-4956-BA13-6B53731B7A0F}"/>
    <cellStyle name="Currency 5 2 2 2 3 4 3" xfId="5885" xr:uid="{00000000-0005-0000-0000-0000A70B0000}"/>
    <cellStyle name="Currency 5 2 2 2 3 4 3 2" xfId="14320" xr:uid="{A28F82B8-B2F6-4B71-A81B-AC427C79C2AE}"/>
    <cellStyle name="Currency 5 2 2 2 3 4 4" xfId="10102" xr:uid="{FC328F0C-FEA9-4D0D-831A-D9206287A48B}"/>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22580B2F-CE74-4772-B143-2CB3E708A469}"/>
    <cellStyle name="Currency 5 2 2 2 3 5 2 3" xfId="12660" xr:uid="{EB3DD4E3-B962-418E-90CE-567080E161AE}"/>
    <cellStyle name="Currency 5 2 2 2 3 5 3" xfId="6298" xr:uid="{00000000-0005-0000-0000-0000AB0B0000}"/>
    <cellStyle name="Currency 5 2 2 2 3 5 3 2" xfId="14733" xr:uid="{C9606B30-26BB-49F5-95AD-EBD8B89A542C}"/>
    <cellStyle name="Currency 5 2 2 2 3 5 4" xfId="10515" xr:uid="{E4CC073C-7012-405E-939A-5FF8D3D6FCF2}"/>
    <cellStyle name="Currency 5 2 2 2 3 6" xfId="2426" xr:uid="{00000000-0005-0000-0000-0000AC0B0000}"/>
    <cellStyle name="Currency 5 2 2 2 3 6 2" xfId="6711" xr:uid="{00000000-0005-0000-0000-0000AD0B0000}"/>
    <cellStyle name="Currency 5 2 2 2 3 6 2 2" xfId="15146" xr:uid="{DDF614A4-C563-42ED-99CB-A5EE460ADBA1}"/>
    <cellStyle name="Currency 5 2 2 2 3 6 3" xfId="10928" xr:uid="{CD79155D-6E46-4830-94F9-3C8C3123BE86}"/>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FD04A6F5-DC29-4CAF-8A8E-B6EC7D2A83B0}"/>
    <cellStyle name="Currency 5 2 2 2 3 8 3" xfId="11245" xr:uid="{AC7311D6-7474-4CEB-8E6E-1B48E6AA5A56}"/>
    <cellStyle name="Currency 5 2 2 2 3 9" xfId="4645" xr:uid="{00000000-0005-0000-0000-0000B10B0000}"/>
    <cellStyle name="Currency 5 2 2 2 3 9 2" xfId="13080" xr:uid="{0E80DC4E-0945-4A5C-95F7-70B680370616}"/>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3B8E9D86-6E8C-4B35-988C-4006B0A8F49B}"/>
    <cellStyle name="Currency 5 2 2 2 4 2 3" xfId="11418" xr:uid="{6FAC2247-26DE-47C4-93D7-6CAE8D61C634}"/>
    <cellStyle name="Currency 5 2 2 2 4 3" xfId="5056" xr:uid="{00000000-0005-0000-0000-0000B50B0000}"/>
    <cellStyle name="Currency 5 2 2 2 4 3 2" xfId="13491" xr:uid="{E6E21B45-472B-4C67-8E96-0C76B20222BC}"/>
    <cellStyle name="Currency 5 2 2 2 4 4" xfId="9273" xr:uid="{05C64496-CBD1-488F-8F1D-7ABB33F9501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C28B9D02-B909-4683-A2FF-06CFB8496DA5}"/>
    <cellStyle name="Currency 5 2 2 2 5 2 3" xfId="11831" xr:uid="{F7197ABD-B5A0-4D27-A559-982F68B4649C}"/>
    <cellStyle name="Currency 5 2 2 2 5 3" xfId="5469" xr:uid="{00000000-0005-0000-0000-0000B90B0000}"/>
    <cellStyle name="Currency 5 2 2 2 5 3 2" xfId="13904" xr:uid="{1191849D-4E87-40E5-8797-795828FFBC33}"/>
    <cellStyle name="Currency 5 2 2 2 5 4" xfId="9686" xr:uid="{49380E23-E694-4BE2-8A33-1DB7B68F881A}"/>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084396DD-90CC-4AEF-9BCC-EB39DDD31BDA}"/>
    <cellStyle name="Currency 5 2 2 2 6 2 3" xfId="12244" xr:uid="{06EB38BA-24EA-4828-8FFC-A8736BFC495F}"/>
    <cellStyle name="Currency 5 2 2 2 6 3" xfId="5882" xr:uid="{00000000-0005-0000-0000-0000BD0B0000}"/>
    <cellStyle name="Currency 5 2 2 2 6 3 2" xfId="14317" xr:uid="{C47FEECA-3D65-464D-A4A9-EE3776C550ED}"/>
    <cellStyle name="Currency 5 2 2 2 6 4" xfId="10099" xr:uid="{B66D9917-852B-4798-BC6B-2C69BDBC1BE4}"/>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396FF514-4726-49B0-9887-6EDDE308C1D6}"/>
    <cellStyle name="Currency 5 2 2 2 7 2 3" xfId="12657" xr:uid="{33C5C544-F7B4-43F7-A332-903603C69FA8}"/>
    <cellStyle name="Currency 5 2 2 2 7 3" xfId="6295" xr:uid="{00000000-0005-0000-0000-0000C10B0000}"/>
    <cellStyle name="Currency 5 2 2 2 7 3 2" xfId="14730" xr:uid="{7B97DF30-AF8D-430C-B73F-5A7388EBE44E}"/>
    <cellStyle name="Currency 5 2 2 2 7 4" xfId="10512" xr:uid="{E2393B8F-3A6C-442D-9D32-43233DAE7E16}"/>
    <cellStyle name="Currency 5 2 2 2 8" xfId="2423" xr:uid="{00000000-0005-0000-0000-0000C20B0000}"/>
    <cellStyle name="Currency 5 2 2 2 8 2" xfId="6708" xr:uid="{00000000-0005-0000-0000-0000C30B0000}"/>
    <cellStyle name="Currency 5 2 2 2 8 2 2" xfId="15143" xr:uid="{9C00C10F-F806-4795-AE4E-31F99B06DBFC}"/>
    <cellStyle name="Currency 5 2 2 2 8 3" xfId="10925" xr:uid="{85DB8A4D-1B55-485A-B7C8-AC506C165918}"/>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AE104981-E6CF-4BB0-A323-506F15B1A6EB}"/>
    <cellStyle name="Currency 5 2 2 3 11" xfId="8863" xr:uid="{2C96D77D-A3D7-47D6-9E24-9F0FBB6C025F}"/>
    <cellStyle name="Currency 5 2 2 3 2" xfId="201" xr:uid="{00000000-0005-0000-0000-0000C70B0000}"/>
    <cellStyle name="Currency 5 2 2 3 2 10" xfId="8864" xr:uid="{14EE55B1-0E73-436A-A161-105025466828}"/>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E4610BCD-255E-444E-A4CF-DB8742F65BBE}"/>
    <cellStyle name="Currency 5 2 2 3 2 2 2 3" xfId="11423" xr:uid="{DC24519B-033F-4925-8168-6A7B18A0814E}"/>
    <cellStyle name="Currency 5 2 2 3 2 2 3" xfId="5061" xr:uid="{00000000-0005-0000-0000-0000CB0B0000}"/>
    <cellStyle name="Currency 5 2 2 3 2 2 3 2" xfId="13496" xr:uid="{6E04A322-5594-469F-A826-B0D98E5C0A7A}"/>
    <cellStyle name="Currency 5 2 2 3 2 2 4" xfId="9278" xr:uid="{964890A1-0D47-404D-917B-8ED2C73D3AE7}"/>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D421E8CE-86D5-46EB-B23B-382345CE937D}"/>
    <cellStyle name="Currency 5 2 2 3 2 3 2 3" xfId="11836" xr:uid="{69752C92-2A1F-44F6-9500-8FFCB3FA00ED}"/>
    <cellStyle name="Currency 5 2 2 3 2 3 3" xfId="5474" xr:uid="{00000000-0005-0000-0000-0000CF0B0000}"/>
    <cellStyle name="Currency 5 2 2 3 2 3 3 2" xfId="13909" xr:uid="{9FB23023-AD29-4921-BB7C-C24B8DA4A62F}"/>
    <cellStyle name="Currency 5 2 2 3 2 3 4" xfId="9691" xr:uid="{18682E49-62CB-46DE-A2BA-F9947EBCC888}"/>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ED0FD007-2375-490F-A788-088A90DEDA7C}"/>
    <cellStyle name="Currency 5 2 2 3 2 4 2 3" xfId="12249" xr:uid="{FA75749E-5EF1-4845-BED0-925B9C121C56}"/>
    <cellStyle name="Currency 5 2 2 3 2 4 3" xfId="5887" xr:uid="{00000000-0005-0000-0000-0000D30B0000}"/>
    <cellStyle name="Currency 5 2 2 3 2 4 3 2" xfId="14322" xr:uid="{4587ABE7-D2F1-4D03-B2D3-25F0AE092839}"/>
    <cellStyle name="Currency 5 2 2 3 2 4 4" xfId="10104" xr:uid="{41685701-172A-41DA-B4A9-61A688319073}"/>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16B10F1F-0D7F-4CC3-BC1F-6484F8ECEEC0}"/>
    <cellStyle name="Currency 5 2 2 3 2 5 2 3" xfId="12662" xr:uid="{DD4BAEFB-6F22-4D3A-8324-A572B847D10F}"/>
    <cellStyle name="Currency 5 2 2 3 2 5 3" xfId="6300" xr:uid="{00000000-0005-0000-0000-0000D70B0000}"/>
    <cellStyle name="Currency 5 2 2 3 2 5 3 2" xfId="14735" xr:uid="{8BD25E3D-2816-4D11-9B6D-25D57BE1B09E}"/>
    <cellStyle name="Currency 5 2 2 3 2 5 4" xfId="10517" xr:uid="{8F8529B4-50AE-42F0-BC8D-EDBE3E329AAA}"/>
    <cellStyle name="Currency 5 2 2 3 2 6" xfId="2428" xr:uid="{00000000-0005-0000-0000-0000D80B0000}"/>
    <cellStyle name="Currency 5 2 2 3 2 6 2" xfId="6713" xr:uid="{00000000-0005-0000-0000-0000D90B0000}"/>
    <cellStyle name="Currency 5 2 2 3 2 6 2 2" xfId="15148" xr:uid="{916CF40F-C6A2-4D83-8325-78192D783FCA}"/>
    <cellStyle name="Currency 5 2 2 3 2 6 3" xfId="10930" xr:uid="{168369EA-3E61-4A6B-B481-D8648E3D5018}"/>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25752D8A-024C-4AEF-ACFB-C22ACD82F95B}"/>
    <cellStyle name="Currency 5 2 2 3 2 8 3" xfId="11247" xr:uid="{8C886403-C73C-4C2E-BECF-41418A4FD4FC}"/>
    <cellStyle name="Currency 5 2 2 3 2 9" xfId="4647" xr:uid="{00000000-0005-0000-0000-0000DD0B0000}"/>
    <cellStyle name="Currency 5 2 2 3 2 9 2" xfId="13082" xr:uid="{52941345-BED9-435C-8F01-75B3D80B4073}"/>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F2AB2F7A-E62F-46FF-9012-2A30B9A951F4}"/>
    <cellStyle name="Currency 5 2 2 3 3 2 3" xfId="11422" xr:uid="{E221CAA0-2653-4129-A7C7-DB731F5C4797}"/>
    <cellStyle name="Currency 5 2 2 3 3 3" xfId="5060" xr:uid="{00000000-0005-0000-0000-0000E10B0000}"/>
    <cellStyle name="Currency 5 2 2 3 3 3 2" xfId="13495" xr:uid="{2CFD2B39-EB50-4635-8C0C-5974632291E1}"/>
    <cellStyle name="Currency 5 2 2 3 3 4" xfId="9277" xr:uid="{5D31E967-2EF2-4F21-BEDF-1A366DB6D924}"/>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6EC7765C-9D71-479C-AF06-155322FCEE50}"/>
    <cellStyle name="Currency 5 2 2 3 4 2 3" xfId="11835" xr:uid="{300C9765-EB82-4D67-AE8D-DFD0FEBB1DD2}"/>
    <cellStyle name="Currency 5 2 2 3 4 3" xfId="5473" xr:uid="{00000000-0005-0000-0000-0000E50B0000}"/>
    <cellStyle name="Currency 5 2 2 3 4 3 2" xfId="13908" xr:uid="{4CF8E725-C065-4849-963B-653B8898F10E}"/>
    <cellStyle name="Currency 5 2 2 3 4 4" xfId="9690" xr:uid="{8D84763E-841B-46D7-A3C4-452FAF65C5CB}"/>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62B05903-84DA-4108-85EA-F1667049142F}"/>
    <cellStyle name="Currency 5 2 2 3 5 2 3" xfId="12248" xr:uid="{061924A2-F2AE-4242-BCA1-676906793F89}"/>
    <cellStyle name="Currency 5 2 2 3 5 3" xfId="5886" xr:uid="{00000000-0005-0000-0000-0000E90B0000}"/>
    <cellStyle name="Currency 5 2 2 3 5 3 2" xfId="14321" xr:uid="{C5C9934D-CCC8-4844-BAA2-B35DE95F2331}"/>
    <cellStyle name="Currency 5 2 2 3 5 4" xfId="10103" xr:uid="{6EEB6AB6-E3F9-4C8A-AB4B-BAA62DEDA8FB}"/>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06879D91-C418-4710-BF6C-58A379217981}"/>
    <cellStyle name="Currency 5 2 2 3 6 2 3" xfId="12661" xr:uid="{21D60708-4E3A-4462-B840-444E90366226}"/>
    <cellStyle name="Currency 5 2 2 3 6 3" xfId="6299" xr:uid="{00000000-0005-0000-0000-0000ED0B0000}"/>
    <cellStyle name="Currency 5 2 2 3 6 3 2" xfId="14734" xr:uid="{88665924-64D0-40EA-B1B5-3B96B0336B0B}"/>
    <cellStyle name="Currency 5 2 2 3 6 4" xfId="10516" xr:uid="{93BDCE42-DE13-455F-BF90-C039836A6BE7}"/>
    <cellStyle name="Currency 5 2 2 3 7" xfId="2427" xr:uid="{00000000-0005-0000-0000-0000EE0B0000}"/>
    <cellStyle name="Currency 5 2 2 3 7 2" xfId="6712" xr:uid="{00000000-0005-0000-0000-0000EF0B0000}"/>
    <cellStyle name="Currency 5 2 2 3 7 2 2" xfId="15147" xr:uid="{1A21D0EA-E6F4-4B71-AE8C-DFF4CED2E4A2}"/>
    <cellStyle name="Currency 5 2 2 3 7 3" xfId="10929" xr:uid="{2026892B-6088-4F4B-8118-685B240E3724}"/>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3B8C49F4-EE74-4431-8D70-FBE663DACDA7}"/>
    <cellStyle name="Currency 5 2 2 3 9 3" xfId="11246" xr:uid="{7CE77CF1-BEA7-4563-B8C0-5162298276E1}"/>
    <cellStyle name="Currency 5 2 2 4" xfId="202" xr:uid="{00000000-0005-0000-0000-0000F30B0000}"/>
    <cellStyle name="Currency 5 2 2 4 10" xfId="8865" xr:uid="{4E9AEB3E-1C1F-4993-8B02-EBFC68708A59}"/>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E35EC825-AC8F-43E5-9120-A8D6C1B8D5AC}"/>
    <cellStyle name="Currency 5 2 2 4 2 2 3" xfId="11424" xr:uid="{B6BCB8AC-66E7-4B6E-8E5C-C31216C34D94}"/>
    <cellStyle name="Currency 5 2 2 4 2 3" xfId="5062" xr:uid="{00000000-0005-0000-0000-0000F70B0000}"/>
    <cellStyle name="Currency 5 2 2 4 2 3 2" xfId="13497" xr:uid="{C8B058DF-2F36-4B8A-81F5-01511535BA6B}"/>
    <cellStyle name="Currency 5 2 2 4 2 4" xfId="9279" xr:uid="{38F02AD1-B689-40A8-AA13-516B1E91A42F}"/>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0F47E8DA-0B85-4C3F-B35C-CD1B553ABE12}"/>
    <cellStyle name="Currency 5 2 2 4 3 2 3" xfId="11837" xr:uid="{A2F3FB7C-71E9-45C9-8040-738B144945C7}"/>
    <cellStyle name="Currency 5 2 2 4 3 3" xfId="5475" xr:uid="{00000000-0005-0000-0000-0000FB0B0000}"/>
    <cellStyle name="Currency 5 2 2 4 3 3 2" xfId="13910" xr:uid="{C2C24862-09CB-4B99-977D-188E982F26C1}"/>
    <cellStyle name="Currency 5 2 2 4 3 4" xfId="9692" xr:uid="{C593421B-3B29-467B-8EF5-6B42FBFA36FD}"/>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EF1F57A1-DC03-430C-9656-BF86F7DD7BE5}"/>
    <cellStyle name="Currency 5 2 2 4 4 2 3" xfId="12250" xr:uid="{B08EBD74-9873-4012-A9CD-B7D7FEAA8508}"/>
    <cellStyle name="Currency 5 2 2 4 4 3" xfId="5888" xr:uid="{00000000-0005-0000-0000-0000FF0B0000}"/>
    <cellStyle name="Currency 5 2 2 4 4 3 2" xfId="14323" xr:uid="{3A4DAFF5-9F60-4B48-B169-DD9A664899FC}"/>
    <cellStyle name="Currency 5 2 2 4 4 4" xfId="10105" xr:uid="{84A78DB0-3500-432A-ADA8-E004536F59C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5C99FB76-DFF3-4368-A982-AB5B5661B691}"/>
    <cellStyle name="Currency 5 2 2 4 5 2 3" xfId="12663" xr:uid="{27C7F8DF-E876-4474-820B-CFBDB39237D1}"/>
    <cellStyle name="Currency 5 2 2 4 5 3" xfId="6301" xr:uid="{00000000-0005-0000-0000-0000030C0000}"/>
    <cellStyle name="Currency 5 2 2 4 5 3 2" xfId="14736" xr:uid="{11C1E667-ECBB-4B5A-A224-8D00F8B0AE41}"/>
    <cellStyle name="Currency 5 2 2 4 5 4" xfId="10518" xr:uid="{6AA47468-77EE-419C-B2BD-93A177FDC768}"/>
    <cellStyle name="Currency 5 2 2 4 6" xfId="2429" xr:uid="{00000000-0005-0000-0000-0000040C0000}"/>
    <cellStyle name="Currency 5 2 2 4 6 2" xfId="6714" xr:uid="{00000000-0005-0000-0000-0000050C0000}"/>
    <cellStyle name="Currency 5 2 2 4 6 2 2" xfId="15149" xr:uid="{030687B7-76CB-4B4C-94E7-AE1BDEC93A15}"/>
    <cellStyle name="Currency 5 2 2 4 6 3" xfId="10931" xr:uid="{EECDAFFE-83BE-49D8-A310-E390F7DD8FCB}"/>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B73373B9-45DB-4A30-85BF-1C8E04F48041}"/>
    <cellStyle name="Currency 5 2 2 4 8 3" xfId="11248" xr:uid="{5531C2C2-9B1D-4128-836D-5C3ECADDB352}"/>
    <cellStyle name="Currency 5 2 2 4 9" xfId="4648" xr:uid="{00000000-0005-0000-0000-0000090C0000}"/>
    <cellStyle name="Currency 5 2 2 4 9 2" xfId="13083" xr:uid="{97DC3AA3-5E47-46CD-94D0-7E413367CF99}"/>
    <cellStyle name="Currency 5 2 2 5" xfId="203" xr:uid="{00000000-0005-0000-0000-00000A0C0000}"/>
    <cellStyle name="Currency 5 2 2 5 10" xfId="8866" xr:uid="{73E4132E-ADBD-42A0-84E7-954FAB939E52}"/>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A8724B86-F837-47E7-9670-ECF2257CB4B7}"/>
    <cellStyle name="Currency 5 2 2 5 2 2 3" xfId="11425" xr:uid="{BC11E7FE-27AF-4223-B609-41F16AE3CC41}"/>
    <cellStyle name="Currency 5 2 2 5 2 3" xfId="5063" xr:uid="{00000000-0005-0000-0000-00000E0C0000}"/>
    <cellStyle name="Currency 5 2 2 5 2 3 2" xfId="13498" xr:uid="{074232B0-37DD-4277-A792-B7CFDA67CEBB}"/>
    <cellStyle name="Currency 5 2 2 5 2 4" xfId="9280" xr:uid="{91A28307-68DD-4687-9217-119A289ABDA3}"/>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4E826182-2986-4F45-88CC-C806B2FFD683}"/>
    <cellStyle name="Currency 5 2 2 5 3 2 3" xfId="11838" xr:uid="{6E8B14D2-9089-4562-B30D-3C0AC93CD189}"/>
    <cellStyle name="Currency 5 2 2 5 3 3" xfId="5476" xr:uid="{00000000-0005-0000-0000-0000120C0000}"/>
    <cellStyle name="Currency 5 2 2 5 3 3 2" xfId="13911" xr:uid="{C9F64303-CCF0-4507-847D-3CFB771EFAD7}"/>
    <cellStyle name="Currency 5 2 2 5 3 4" xfId="9693" xr:uid="{A32285DA-401B-41C1-AADE-D96AA42D3095}"/>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0BEF776D-5F92-43DB-80E6-0C8893E7DA16}"/>
    <cellStyle name="Currency 5 2 2 5 4 2 3" xfId="12251" xr:uid="{299B99D5-6A61-40FA-B721-1A3E3DBC4712}"/>
    <cellStyle name="Currency 5 2 2 5 4 3" xfId="5889" xr:uid="{00000000-0005-0000-0000-0000160C0000}"/>
    <cellStyle name="Currency 5 2 2 5 4 3 2" xfId="14324" xr:uid="{F4A82FE6-AB3C-4379-A9A1-3AF6DCAA075D}"/>
    <cellStyle name="Currency 5 2 2 5 4 4" xfId="10106" xr:uid="{2453296C-B9E2-46CB-84E4-7641AC674F78}"/>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7803F8CC-5ECB-49FE-84AF-729C5CEB9552}"/>
    <cellStyle name="Currency 5 2 2 5 5 2 3" xfId="12664" xr:uid="{7736F3D7-99BE-4771-ADEC-D9FB0A58A444}"/>
    <cellStyle name="Currency 5 2 2 5 5 3" xfId="6302" xr:uid="{00000000-0005-0000-0000-00001A0C0000}"/>
    <cellStyle name="Currency 5 2 2 5 5 3 2" xfId="14737" xr:uid="{3509AB55-5569-4D51-B41B-99466BB7188C}"/>
    <cellStyle name="Currency 5 2 2 5 5 4" xfId="10519" xr:uid="{8C781972-C111-4B6A-93D9-DA4C83B59BC5}"/>
    <cellStyle name="Currency 5 2 2 5 6" xfId="2430" xr:uid="{00000000-0005-0000-0000-00001B0C0000}"/>
    <cellStyle name="Currency 5 2 2 5 6 2" xfId="6715" xr:uid="{00000000-0005-0000-0000-00001C0C0000}"/>
    <cellStyle name="Currency 5 2 2 5 6 2 2" xfId="15150" xr:uid="{42C9DD6F-898D-4D6D-80FD-1435DAB5BC6F}"/>
    <cellStyle name="Currency 5 2 2 5 6 3" xfId="10932" xr:uid="{5A0FD56E-7D67-481A-AC96-027F3476DEF2}"/>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0D8366BB-B495-446E-8BD5-C1D168BE2275}"/>
    <cellStyle name="Currency 5 2 2 5 8 3" xfId="11249" xr:uid="{87975C7F-769F-450E-8ADE-A3CF9B51BF8D}"/>
    <cellStyle name="Currency 5 2 2 5 9" xfId="4649" xr:uid="{00000000-0005-0000-0000-0000200C0000}"/>
    <cellStyle name="Currency 5 2 2 5 9 2" xfId="13084" xr:uid="{7EEA627C-2D5D-4E0D-B626-B144471441B2}"/>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E47075B6-C8A1-4C71-9EB6-E8D7088339B5}"/>
    <cellStyle name="Currency 5 2 4 11" xfId="8867" xr:uid="{41363C76-F4EC-40C2-8E33-4F34245742B0}"/>
    <cellStyle name="Currency 5 2 4 2" xfId="206" xr:uid="{00000000-0005-0000-0000-0000250C0000}"/>
    <cellStyle name="Currency 5 2 4 2 10" xfId="8868" xr:uid="{E7B95CAE-F5AD-4793-9115-BB5A1B3704BC}"/>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4B8FACEB-2D85-4602-8B84-6A1812B0E095}"/>
    <cellStyle name="Currency 5 2 4 2 2 2 3" xfId="11427" xr:uid="{3DF50577-439A-436B-BDEC-FB4C833E3953}"/>
    <cellStyle name="Currency 5 2 4 2 2 3" xfId="5065" xr:uid="{00000000-0005-0000-0000-0000290C0000}"/>
    <cellStyle name="Currency 5 2 4 2 2 3 2" xfId="13500" xr:uid="{4A26EFAD-5E08-49BE-8CED-845892A81639}"/>
    <cellStyle name="Currency 5 2 4 2 2 4" xfId="9282" xr:uid="{4D37C0DD-2847-4D67-BCCC-3C5A190FC65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6F58816C-2D74-410C-8114-4ADB35A2FE21}"/>
    <cellStyle name="Currency 5 2 4 2 3 2 3" xfId="11840" xr:uid="{99AF2B88-06DF-4DB5-B8B1-82D14D07A79A}"/>
    <cellStyle name="Currency 5 2 4 2 3 3" xfId="5478" xr:uid="{00000000-0005-0000-0000-00002D0C0000}"/>
    <cellStyle name="Currency 5 2 4 2 3 3 2" xfId="13913" xr:uid="{9C249790-A882-4650-963D-8D51DD6DA725}"/>
    <cellStyle name="Currency 5 2 4 2 3 4" xfId="9695" xr:uid="{4B1355C8-CEC9-493D-9A10-4BD42AC0E5E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3A8B601A-6E55-4CEB-AF0C-41B9EF6E94CA}"/>
    <cellStyle name="Currency 5 2 4 2 4 2 3" xfId="12253" xr:uid="{1D932ACA-BA54-4D9D-B5EF-99384D5032A8}"/>
    <cellStyle name="Currency 5 2 4 2 4 3" xfId="5891" xr:uid="{00000000-0005-0000-0000-0000310C0000}"/>
    <cellStyle name="Currency 5 2 4 2 4 3 2" xfId="14326" xr:uid="{671C48EE-F366-4AF6-AC3C-E1CA8BD8A2C1}"/>
    <cellStyle name="Currency 5 2 4 2 4 4" xfId="10108" xr:uid="{5DD047EC-7E35-4314-A60F-49BA6219252A}"/>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0F95613D-C546-4002-91AF-22CB15E1731B}"/>
    <cellStyle name="Currency 5 2 4 2 5 2 3" xfId="12666" xr:uid="{D143DF3D-F542-428E-9631-3F25AF17E9CC}"/>
    <cellStyle name="Currency 5 2 4 2 5 3" xfId="6304" xr:uid="{00000000-0005-0000-0000-0000350C0000}"/>
    <cellStyle name="Currency 5 2 4 2 5 3 2" xfId="14739" xr:uid="{D0EA18F0-AAB3-4E77-AA99-0000D2532082}"/>
    <cellStyle name="Currency 5 2 4 2 5 4" xfId="10521" xr:uid="{385A9EEA-0FE2-4CAB-8CDA-736CDA52958D}"/>
    <cellStyle name="Currency 5 2 4 2 6" xfId="2432" xr:uid="{00000000-0005-0000-0000-0000360C0000}"/>
    <cellStyle name="Currency 5 2 4 2 6 2" xfId="6717" xr:uid="{00000000-0005-0000-0000-0000370C0000}"/>
    <cellStyle name="Currency 5 2 4 2 6 2 2" xfId="15152" xr:uid="{E325D099-7411-4EB3-869D-473818396BA5}"/>
    <cellStyle name="Currency 5 2 4 2 6 3" xfId="10934" xr:uid="{340E967C-1BCE-4EEC-A335-AECE980CD96A}"/>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D6F759C4-85A0-4E4B-880A-E48853D8F697}"/>
    <cellStyle name="Currency 5 2 4 2 8 3" xfId="11251" xr:uid="{25E8B332-3B3B-43B1-8530-7858EAC4C384}"/>
    <cellStyle name="Currency 5 2 4 2 9" xfId="4651" xr:uid="{00000000-0005-0000-0000-00003B0C0000}"/>
    <cellStyle name="Currency 5 2 4 2 9 2" xfId="13086" xr:uid="{F66C1CBB-CD9A-403A-A2E0-410CB5FDD23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DE4CCFF4-C0A9-43E9-85DB-7E4A0D499040}"/>
    <cellStyle name="Currency 5 2 4 3 2 3" xfId="11426" xr:uid="{B817E155-EE13-491A-AE45-F8322FB33062}"/>
    <cellStyle name="Currency 5 2 4 3 3" xfId="5064" xr:uid="{00000000-0005-0000-0000-00003F0C0000}"/>
    <cellStyle name="Currency 5 2 4 3 3 2" xfId="13499" xr:uid="{CE820828-B6C3-41BF-B63B-EEA994B13A11}"/>
    <cellStyle name="Currency 5 2 4 3 4" xfId="9281" xr:uid="{DB693C45-D53E-4D3E-8416-FD6179A6FBC9}"/>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A42F7875-7F10-45D4-BAD9-B0FCD48C057C}"/>
    <cellStyle name="Currency 5 2 4 4 2 3" xfId="11839" xr:uid="{1A92B3EA-A615-43FD-943B-A21E704C9F37}"/>
    <cellStyle name="Currency 5 2 4 4 3" xfId="5477" xr:uid="{00000000-0005-0000-0000-0000430C0000}"/>
    <cellStyle name="Currency 5 2 4 4 3 2" xfId="13912" xr:uid="{2E439C9D-2862-4AAB-866D-D302CDFA8D77}"/>
    <cellStyle name="Currency 5 2 4 4 4" xfId="9694" xr:uid="{006B04CA-03C1-4B21-9016-CFC454991E7C}"/>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148FA98B-4473-47D2-9DA0-BD63D86EBC03}"/>
    <cellStyle name="Currency 5 2 4 5 2 3" xfId="12252" xr:uid="{EAC36130-A291-407B-891B-279D80AC99FD}"/>
    <cellStyle name="Currency 5 2 4 5 3" xfId="5890" xr:uid="{00000000-0005-0000-0000-0000470C0000}"/>
    <cellStyle name="Currency 5 2 4 5 3 2" xfId="14325" xr:uid="{ED2F1566-84D4-4FB4-9E1F-53C48D2C7248}"/>
    <cellStyle name="Currency 5 2 4 5 4" xfId="10107" xr:uid="{3F7CD1B9-AF6C-4357-A4C7-E6ACC0EAED36}"/>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70F9A60D-81BF-4D92-81AA-69DF3EEE9D61}"/>
    <cellStyle name="Currency 5 2 4 6 2 3" xfId="12665" xr:uid="{715467F8-8EBD-491B-9C18-88C3C5E5B43C}"/>
    <cellStyle name="Currency 5 2 4 6 3" xfId="6303" xr:uid="{00000000-0005-0000-0000-00004B0C0000}"/>
    <cellStyle name="Currency 5 2 4 6 3 2" xfId="14738" xr:uid="{1A2D3899-8342-4445-A45D-97EF5B16E32C}"/>
    <cellStyle name="Currency 5 2 4 6 4" xfId="10520" xr:uid="{F41A1BCD-D246-45A0-9655-843549CE9FA3}"/>
    <cellStyle name="Currency 5 2 4 7" xfId="2431" xr:uid="{00000000-0005-0000-0000-00004C0C0000}"/>
    <cellStyle name="Currency 5 2 4 7 2" xfId="6716" xr:uid="{00000000-0005-0000-0000-00004D0C0000}"/>
    <cellStyle name="Currency 5 2 4 7 2 2" xfId="15151" xr:uid="{E85C6866-BA8C-4130-91AF-83E30BBC6BC5}"/>
    <cellStyle name="Currency 5 2 4 7 3" xfId="10933" xr:uid="{1B799A0C-931B-46ED-BDEC-D1CA9A3612EB}"/>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AD77CFE2-5B93-4742-8D6D-3E3B4F68F2CF}"/>
    <cellStyle name="Currency 5 2 4 9 3" xfId="11250" xr:uid="{0282A40D-0880-489E-8255-16084C1EE31F}"/>
    <cellStyle name="Currency 5 2 5" xfId="207" xr:uid="{00000000-0005-0000-0000-0000510C0000}"/>
    <cellStyle name="Currency 5 2 5 10" xfId="8869" xr:uid="{29578AD1-26DA-491F-A85F-24C75470ACF9}"/>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EAE9BF5B-C10F-4325-8368-B4F99F549B77}"/>
    <cellStyle name="Currency 5 2 5 2 2 3" xfId="11428" xr:uid="{ACCFD435-7A9D-4162-96B5-731093B87EA6}"/>
    <cellStyle name="Currency 5 2 5 2 3" xfId="5066" xr:uid="{00000000-0005-0000-0000-0000550C0000}"/>
    <cellStyle name="Currency 5 2 5 2 3 2" xfId="13501" xr:uid="{435C209E-E775-43B3-9D79-63993C1555A1}"/>
    <cellStyle name="Currency 5 2 5 2 4" xfId="9283" xr:uid="{00CABDA0-9F6C-40AC-8BF2-51944836C039}"/>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99245098-C784-4E9A-8E74-CFE13F783A0A}"/>
    <cellStyle name="Currency 5 2 5 3 2 3" xfId="11841" xr:uid="{49468E6F-4009-457F-AC13-D93BAE230A61}"/>
    <cellStyle name="Currency 5 2 5 3 3" xfId="5479" xr:uid="{00000000-0005-0000-0000-0000590C0000}"/>
    <cellStyle name="Currency 5 2 5 3 3 2" xfId="13914" xr:uid="{C5B5E0BC-80EE-4CDB-AB96-446E07B6826E}"/>
    <cellStyle name="Currency 5 2 5 3 4" xfId="9696" xr:uid="{BBD16693-394E-4D66-85CA-E90CB482E111}"/>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3FC1DD05-CC70-481C-91BB-FF40F78C1BFA}"/>
    <cellStyle name="Currency 5 2 5 4 2 3" xfId="12254" xr:uid="{341CB3D3-C21E-4AFA-B00F-2D946BF3B3ED}"/>
    <cellStyle name="Currency 5 2 5 4 3" xfId="5892" xr:uid="{00000000-0005-0000-0000-00005D0C0000}"/>
    <cellStyle name="Currency 5 2 5 4 3 2" xfId="14327" xr:uid="{7EA41EF0-32B9-400A-AC72-DAA7CBB6CF62}"/>
    <cellStyle name="Currency 5 2 5 4 4" xfId="10109" xr:uid="{60B52EB4-281D-419C-8651-1E2809828058}"/>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18A56C4A-2FAC-4B6A-999F-039A1F741056}"/>
    <cellStyle name="Currency 5 2 5 5 2 3" xfId="12667" xr:uid="{5489B959-BD0B-465B-B038-84F4B9FB78F7}"/>
    <cellStyle name="Currency 5 2 5 5 3" xfId="6305" xr:uid="{00000000-0005-0000-0000-0000610C0000}"/>
    <cellStyle name="Currency 5 2 5 5 3 2" xfId="14740" xr:uid="{1165CF83-2754-4A8C-BD60-B99270C7BCF5}"/>
    <cellStyle name="Currency 5 2 5 5 4" xfId="10522" xr:uid="{F161C722-44E5-4CF5-8693-2430EA914751}"/>
    <cellStyle name="Currency 5 2 5 6" xfId="2433" xr:uid="{00000000-0005-0000-0000-0000620C0000}"/>
    <cellStyle name="Currency 5 2 5 6 2" xfId="6718" xr:uid="{00000000-0005-0000-0000-0000630C0000}"/>
    <cellStyle name="Currency 5 2 5 6 2 2" xfId="15153" xr:uid="{D11F0BB5-F8D3-4B92-B64F-EC6316E013E6}"/>
    <cellStyle name="Currency 5 2 5 6 3" xfId="10935" xr:uid="{7FBD1C08-5947-43C6-9C21-3CF3D4CA3ACC}"/>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9F43D746-C87D-4498-ADD6-91D935344CC0}"/>
    <cellStyle name="Currency 5 2 5 8 3" xfId="11252" xr:uid="{34D0763D-5EF8-40C5-A6E0-346985CE730F}"/>
    <cellStyle name="Currency 5 2 5 9" xfId="4652" xr:uid="{00000000-0005-0000-0000-0000670C0000}"/>
    <cellStyle name="Currency 5 2 5 9 2" xfId="13087" xr:uid="{9EEFFAA9-8C5A-4701-92A5-D09BB51C4D5F}"/>
    <cellStyle name="Currency 5 2 6" xfId="208" xr:uid="{00000000-0005-0000-0000-0000680C0000}"/>
    <cellStyle name="Currency 5 2 6 10" xfId="8870" xr:uid="{E9711EFB-47BD-4236-B6F5-F2B78DCD853D}"/>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0156BBFC-85FC-458E-B19A-0DB483DA6E71}"/>
    <cellStyle name="Currency 5 2 6 2 2 3" xfId="11429" xr:uid="{43CD9715-9B55-4A52-80D3-58EFA6D915FD}"/>
    <cellStyle name="Currency 5 2 6 2 3" xfId="5067" xr:uid="{00000000-0005-0000-0000-00006C0C0000}"/>
    <cellStyle name="Currency 5 2 6 2 3 2" xfId="13502" xr:uid="{B8DC3A22-B22C-4847-B6BF-3A263522FE6F}"/>
    <cellStyle name="Currency 5 2 6 2 4" xfId="9284" xr:uid="{5E36899B-5400-490F-97A4-D0E9CB0D1CE4}"/>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45C7F555-36E6-4BB8-A080-B4C75DBAAD07}"/>
    <cellStyle name="Currency 5 2 6 3 2 3" xfId="11842" xr:uid="{C9372FE4-A602-473A-BC2F-1D3932095CA6}"/>
    <cellStyle name="Currency 5 2 6 3 3" xfId="5480" xr:uid="{00000000-0005-0000-0000-0000700C0000}"/>
    <cellStyle name="Currency 5 2 6 3 3 2" xfId="13915" xr:uid="{C02DEDC9-63D3-4C8A-8EA4-CC9BBD58BD53}"/>
    <cellStyle name="Currency 5 2 6 3 4" xfId="9697" xr:uid="{3674C93C-3F8F-4C92-9E03-E8144D8745DC}"/>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42F05298-B841-4D5B-868F-1600EE3F4BA9}"/>
    <cellStyle name="Currency 5 2 6 4 2 3" xfId="12255" xr:uid="{54D79194-E03B-4D38-979C-4A294F4CA6CC}"/>
    <cellStyle name="Currency 5 2 6 4 3" xfId="5893" xr:uid="{00000000-0005-0000-0000-0000740C0000}"/>
    <cellStyle name="Currency 5 2 6 4 3 2" xfId="14328" xr:uid="{241999C2-D036-40F6-BB10-EDCC80CF2BF9}"/>
    <cellStyle name="Currency 5 2 6 4 4" xfId="10110" xr:uid="{56549DC7-FDC2-4668-A0BE-82CBC9E16AAC}"/>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82DF4939-CEBA-4227-ADFA-4D41A51394CB}"/>
    <cellStyle name="Currency 5 2 6 5 2 3" xfId="12668" xr:uid="{FF655BE9-4701-4337-B516-B7B3B34A39B3}"/>
    <cellStyle name="Currency 5 2 6 5 3" xfId="6306" xr:uid="{00000000-0005-0000-0000-0000780C0000}"/>
    <cellStyle name="Currency 5 2 6 5 3 2" xfId="14741" xr:uid="{AF2F7E66-660A-4CD1-B0BF-B7A778521C68}"/>
    <cellStyle name="Currency 5 2 6 5 4" xfId="10523" xr:uid="{8C49685D-9CE8-47A1-BBA4-6C11284D9782}"/>
    <cellStyle name="Currency 5 2 6 6" xfId="2434" xr:uid="{00000000-0005-0000-0000-0000790C0000}"/>
    <cellStyle name="Currency 5 2 6 6 2" xfId="6719" xr:uid="{00000000-0005-0000-0000-00007A0C0000}"/>
    <cellStyle name="Currency 5 2 6 6 2 2" xfId="15154" xr:uid="{5F6A1E4E-6F7B-4114-897F-167EAF3CF957}"/>
    <cellStyle name="Currency 5 2 6 6 3" xfId="10936" xr:uid="{5B1F5607-2820-4642-AF79-5B2D7BB63C07}"/>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07090A86-035D-466E-BDF3-224EE14B1FE0}"/>
    <cellStyle name="Currency 5 2 6 8 3" xfId="11253" xr:uid="{459C75E4-7E4D-4EBD-8350-4CC6DACF2DFF}"/>
    <cellStyle name="Currency 5 2 6 9" xfId="4653" xr:uid="{00000000-0005-0000-0000-00007E0C0000}"/>
    <cellStyle name="Currency 5 2 6 9 2" xfId="13088" xr:uid="{CB108B22-C30F-49BA-8E1C-897294F69B5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15ECA9E1-2EF4-4D2D-8D4E-E345C81C68E2}"/>
    <cellStyle name="Currency 5 3 2 10 3" xfId="11254" xr:uid="{8A728D6F-C497-42C2-9A1A-0A06623FE4C7}"/>
    <cellStyle name="Currency 5 3 2 11" xfId="4654" xr:uid="{00000000-0005-0000-0000-0000840C0000}"/>
    <cellStyle name="Currency 5 3 2 11 2" xfId="13089" xr:uid="{4E5A2358-E1DE-4C4C-946C-E5EDD30626B7}"/>
    <cellStyle name="Currency 5 3 2 12" xfId="8871" xr:uid="{6C08347A-3AA9-4642-8251-73EABBF0F990}"/>
    <cellStyle name="Currency 5 3 2 2" xfId="211" xr:uid="{00000000-0005-0000-0000-0000850C0000}"/>
    <cellStyle name="Currency 5 3 2 2 10" xfId="4655" xr:uid="{00000000-0005-0000-0000-0000860C0000}"/>
    <cellStyle name="Currency 5 3 2 2 10 2" xfId="13090" xr:uid="{08271C68-FACF-4EC6-AA93-9343C9A36CC8}"/>
    <cellStyle name="Currency 5 3 2 2 11" xfId="8872" xr:uid="{6D40B343-E0CF-488D-899E-8CBC3DBC4036}"/>
    <cellStyle name="Currency 5 3 2 2 2" xfId="212" xr:uid="{00000000-0005-0000-0000-0000870C0000}"/>
    <cellStyle name="Currency 5 3 2 2 2 10" xfId="8873" xr:uid="{05641BF4-E3E5-4328-AB17-294173B6A46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4F336BDA-3579-4552-B661-846DC50532B5}"/>
    <cellStyle name="Currency 5 3 2 2 2 2 2 3" xfId="11432" xr:uid="{C11801AD-BD7E-41D1-AB6B-D9C596A6AF0D}"/>
    <cellStyle name="Currency 5 3 2 2 2 2 3" xfId="5070" xr:uid="{00000000-0005-0000-0000-00008B0C0000}"/>
    <cellStyle name="Currency 5 3 2 2 2 2 3 2" xfId="13505" xr:uid="{A19B7A2F-FFF6-4206-8241-9BCABB5F0091}"/>
    <cellStyle name="Currency 5 3 2 2 2 2 4" xfId="9287" xr:uid="{585228BE-CEAD-48A8-9AAB-4B85B72A7924}"/>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58EF9DB5-BD55-4638-A224-EFE2C741CE4A}"/>
    <cellStyle name="Currency 5 3 2 2 2 3 2 3" xfId="11845" xr:uid="{FA58CF8A-8FF6-40A9-8EC6-882804D9C668}"/>
    <cellStyle name="Currency 5 3 2 2 2 3 3" xfId="5483" xr:uid="{00000000-0005-0000-0000-00008F0C0000}"/>
    <cellStyle name="Currency 5 3 2 2 2 3 3 2" xfId="13918" xr:uid="{F0A266B7-027E-4F49-B4FF-72D155E24BDA}"/>
    <cellStyle name="Currency 5 3 2 2 2 3 4" xfId="9700" xr:uid="{712F8F97-C311-4330-97C6-08D8F1F3EEED}"/>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A116E0B8-F3BF-4BE2-996E-69A354EBED7E}"/>
    <cellStyle name="Currency 5 3 2 2 2 4 2 3" xfId="12258" xr:uid="{62DB142B-A2D5-4174-9F75-2EA5CC642053}"/>
    <cellStyle name="Currency 5 3 2 2 2 4 3" xfId="5896" xr:uid="{00000000-0005-0000-0000-0000930C0000}"/>
    <cellStyle name="Currency 5 3 2 2 2 4 3 2" xfId="14331" xr:uid="{CC4277F9-F0FA-4DD6-9409-B4D8EB8BA07C}"/>
    <cellStyle name="Currency 5 3 2 2 2 4 4" xfId="10113" xr:uid="{AA3D2C5B-7F80-44AC-AEA9-E0E85FD19AED}"/>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6AA63235-CC00-40B8-987A-20A61D0193B8}"/>
    <cellStyle name="Currency 5 3 2 2 2 5 2 3" xfId="12671" xr:uid="{F9D4E544-FCBB-4744-8953-4617566EE473}"/>
    <cellStyle name="Currency 5 3 2 2 2 5 3" xfId="6309" xr:uid="{00000000-0005-0000-0000-0000970C0000}"/>
    <cellStyle name="Currency 5 3 2 2 2 5 3 2" xfId="14744" xr:uid="{8139A930-00BB-4D1E-89BE-5B9FE51B6347}"/>
    <cellStyle name="Currency 5 3 2 2 2 5 4" xfId="10526" xr:uid="{B5C0D41A-9745-4511-9087-16795701DA8C}"/>
    <cellStyle name="Currency 5 3 2 2 2 6" xfId="2437" xr:uid="{00000000-0005-0000-0000-0000980C0000}"/>
    <cellStyle name="Currency 5 3 2 2 2 6 2" xfId="6722" xr:uid="{00000000-0005-0000-0000-0000990C0000}"/>
    <cellStyle name="Currency 5 3 2 2 2 6 2 2" xfId="15157" xr:uid="{FDBA98FB-5756-4CB5-B7E3-6A367AC72E0A}"/>
    <cellStyle name="Currency 5 3 2 2 2 6 3" xfId="10939" xr:uid="{AFEE0702-82DF-4832-B469-ECC1F13420BB}"/>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26EB0253-03E1-4688-9753-4791F0A3F40A}"/>
    <cellStyle name="Currency 5 3 2 2 2 8 3" xfId="11256" xr:uid="{1B825429-9FF1-4528-9978-7850C01E7478}"/>
    <cellStyle name="Currency 5 3 2 2 2 9" xfId="4656" xr:uid="{00000000-0005-0000-0000-00009D0C0000}"/>
    <cellStyle name="Currency 5 3 2 2 2 9 2" xfId="13091" xr:uid="{EDBBB051-FBBC-4276-9D17-CCE71EBE5D7E}"/>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B7A99F7C-4B1F-4B28-BC0C-F7FE905AA182}"/>
    <cellStyle name="Currency 5 3 2 2 3 2 3" xfId="11431" xr:uid="{560515D6-69C1-45BA-9189-2A637C26C91A}"/>
    <cellStyle name="Currency 5 3 2 2 3 3" xfId="5069" xr:uid="{00000000-0005-0000-0000-0000A10C0000}"/>
    <cellStyle name="Currency 5 3 2 2 3 3 2" xfId="13504" xr:uid="{97231D31-FEA0-49A5-9463-B6CFE6F6CC4A}"/>
    <cellStyle name="Currency 5 3 2 2 3 4" xfId="9286" xr:uid="{3A270936-F985-4B3A-8F03-EA82EBE154C7}"/>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92EE4916-6C38-48A2-9C0A-6FB0A49FE986}"/>
    <cellStyle name="Currency 5 3 2 2 4 2 3" xfId="11844" xr:uid="{F0437D80-5948-4595-B14F-6824CA3DC050}"/>
    <cellStyle name="Currency 5 3 2 2 4 3" xfId="5482" xr:uid="{00000000-0005-0000-0000-0000A50C0000}"/>
    <cellStyle name="Currency 5 3 2 2 4 3 2" xfId="13917" xr:uid="{DEE8865D-24A7-4F76-BBAE-EC35DCC5BC76}"/>
    <cellStyle name="Currency 5 3 2 2 4 4" xfId="9699" xr:uid="{2CB7410F-31E0-4537-85DD-B8F0E053E07A}"/>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4001BF63-1E51-485B-A996-15A3F5B916AC}"/>
    <cellStyle name="Currency 5 3 2 2 5 2 3" xfId="12257" xr:uid="{4D3FE8EC-8BE1-467F-AD51-D57205F0FE3E}"/>
    <cellStyle name="Currency 5 3 2 2 5 3" xfId="5895" xr:uid="{00000000-0005-0000-0000-0000A90C0000}"/>
    <cellStyle name="Currency 5 3 2 2 5 3 2" xfId="14330" xr:uid="{8B6C21B3-D7FF-4DCC-9B0D-7D386DF0E23D}"/>
    <cellStyle name="Currency 5 3 2 2 5 4" xfId="10112" xr:uid="{6B2C8B7A-DAB7-4513-9A08-58ABF569F676}"/>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E3C3E76E-A518-468A-94FD-4FBEED5FDFA4}"/>
    <cellStyle name="Currency 5 3 2 2 6 2 3" xfId="12670" xr:uid="{A4154663-7835-45DA-8763-D9EC00E4F782}"/>
    <cellStyle name="Currency 5 3 2 2 6 3" xfId="6308" xr:uid="{00000000-0005-0000-0000-0000AD0C0000}"/>
    <cellStyle name="Currency 5 3 2 2 6 3 2" xfId="14743" xr:uid="{BCF058E0-D41F-41B3-A9EF-6B8C9662A657}"/>
    <cellStyle name="Currency 5 3 2 2 6 4" xfId="10525" xr:uid="{940B3540-62F4-4712-A51C-17404DEEA9C3}"/>
    <cellStyle name="Currency 5 3 2 2 7" xfId="2436" xr:uid="{00000000-0005-0000-0000-0000AE0C0000}"/>
    <cellStyle name="Currency 5 3 2 2 7 2" xfId="6721" xr:uid="{00000000-0005-0000-0000-0000AF0C0000}"/>
    <cellStyle name="Currency 5 3 2 2 7 2 2" xfId="15156" xr:uid="{121D41B3-FA63-4D10-917F-2609A3CBE2B1}"/>
    <cellStyle name="Currency 5 3 2 2 7 3" xfId="10938" xr:uid="{52A08998-5449-42C2-AF4E-215870440AE2}"/>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A465D31C-5716-42E4-92CD-5BCAF370AB29}"/>
    <cellStyle name="Currency 5 3 2 2 9 3" xfId="11255" xr:uid="{CBBCF79F-578C-4FA7-99B7-5F1311F3203E}"/>
    <cellStyle name="Currency 5 3 2 3" xfId="213" xr:uid="{00000000-0005-0000-0000-0000B30C0000}"/>
    <cellStyle name="Currency 5 3 2 3 10" xfId="8874" xr:uid="{4CB660B5-5508-411E-A573-D58B6A316F2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470BD801-E6F0-48E9-A5E2-96DB5CA28F4D}"/>
    <cellStyle name="Currency 5 3 2 3 2 2 3" xfId="11433" xr:uid="{17058041-96B4-4D58-BA22-5BCF14082967}"/>
    <cellStyle name="Currency 5 3 2 3 2 3" xfId="5071" xr:uid="{00000000-0005-0000-0000-0000B70C0000}"/>
    <cellStyle name="Currency 5 3 2 3 2 3 2" xfId="13506" xr:uid="{6A19229C-30EF-4E60-8605-D28794DF12A9}"/>
    <cellStyle name="Currency 5 3 2 3 2 4" xfId="9288" xr:uid="{CED9437C-C272-4FFD-B9F4-B419846DA40E}"/>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3317C65D-74EC-49C0-B024-2D667254B51A}"/>
    <cellStyle name="Currency 5 3 2 3 3 2 3" xfId="11846" xr:uid="{AA1CD104-5E20-4DB8-A0F1-D92BBB55A20B}"/>
    <cellStyle name="Currency 5 3 2 3 3 3" xfId="5484" xr:uid="{00000000-0005-0000-0000-0000BB0C0000}"/>
    <cellStyle name="Currency 5 3 2 3 3 3 2" xfId="13919" xr:uid="{9AD38A86-519F-428A-9A20-9CE2FCBDFBF1}"/>
    <cellStyle name="Currency 5 3 2 3 3 4" xfId="9701" xr:uid="{1D9AC4E9-F859-453F-9177-4BEA49A3CBEA}"/>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6AEA0E30-59A4-442C-AC14-3AB91184BAE2}"/>
    <cellStyle name="Currency 5 3 2 3 4 2 3" xfId="12259" xr:uid="{C73DF5CC-C1AC-489C-B751-D8C9BAEACBD4}"/>
    <cellStyle name="Currency 5 3 2 3 4 3" xfId="5897" xr:uid="{00000000-0005-0000-0000-0000BF0C0000}"/>
    <cellStyle name="Currency 5 3 2 3 4 3 2" xfId="14332" xr:uid="{1FDE333D-8FCC-47EF-970C-D83470B44183}"/>
    <cellStyle name="Currency 5 3 2 3 4 4" xfId="10114" xr:uid="{A62274AE-BFAA-4A1D-9ECF-7D2C5DCD02F1}"/>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95278414-4858-46F3-A0C5-26B2DC721A15}"/>
    <cellStyle name="Currency 5 3 2 3 5 2 3" xfId="12672" xr:uid="{0FA1140B-E139-4574-B39A-EC31F12C413E}"/>
    <cellStyle name="Currency 5 3 2 3 5 3" xfId="6310" xr:uid="{00000000-0005-0000-0000-0000C30C0000}"/>
    <cellStyle name="Currency 5 3 2 3 5 3 2" xfId="14745" xr:uid="{1BAD7E3D-833B-40AC-8EAC-183E67879361}"/>
    <cellStyle name="Currency 5 3 2 3 5 4" xfId="10527" xr:uid="{8AC133AE-6FEC-4095-90D4-00FE73F4AFA3}"/>
    <cellStyle name="Currency 5 3 2 3 6" xfId="2438" xr:uid="{00000000-0005-0000-0000-0000C40C0000}"/>
    <cellStyle name="Currency 5 3 2 3 6 2" xfId="6723" xr:uid="{00000000-0005-0000-0000-0000C50C0000}"/>
    <cellStyle name="Currency 5 3 2 3 6 2 2" xfId="15158" xr:uid="{D2C8D8E1-CBE8-4A5F-8A60-0C32A1FB3DE9}"/>
    <cellStyle name="Currency 5 3 2 3 6 3" xfId="10940" xr:uid="{F7697EC5-B048-4F14-AEC7-C4A03975751C}"/>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2DCD415B-B23B-4E3C-90E6-BF9D7E10B256}"/>
    <cellStyle name="Currency 5 3 2 3 8 3" xfId="11257" xr:uid="{F3E474B0-3B0F-4CD6-B6F2-2EEB10EE316C}"/>
    <cellStyle name="Currency 5 3 2 3 9" xfId="4657" xr:uid="{00000000-0005-0000-0000-0000C90C0000}"/>
    <cellStyle name="Currency 5 3 2 3 9 2" xfId="13092" xr:uid="{278EF255-782A-459A-A60F-F9FA66BE77EB}"/>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CA97A1CB-EB23-4028-ABC4-90E8D2F98449}"/>
    <cellStyle name="Currency 5 3 2 4 2 3" xfId="11430" xr:uid="{A313CD90-53FA-47FD-B247-920F2BDDECB9}"/>
    <cellStyle name="Currency 5 3 2 4 3" xfId="5068" xr:uid="{00000000-0005-0000-0000-0000CD0C0000}"/>
    <cellStyle name="Currency 5 3 2 4 3 2" xfId="13503" xr:uid="{428E9C80-421F-48EB-99C2-5547C5E89CDF}"/>
    <cellStyle name="Currency 5 3 2 4 4" xfId="9285" xr:uid="{E1D7110F-0DCE-4A51-BA2A-ED1F19E2F55C}"/>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FCCB15AB-7DC4-4E20-8AFC-859D5C45CCDD}"/>
    <cellStyle name="Currency 5 3 2 5 2 3" xfId="11843" xr:uid="{C92DA97E-6184-4B7D-AC32-E9AEE864A6E7}"/>
    <cellStyle name="Currency 5 3 2 5 3" xfId="5481" xr:uid="{00000000-0005-0000-0000-0000D10C0000}"/>
    <cellStyle name="Currency 5 3 2 5 3 2" xfId="13916" xr:uid="{58754B3A-8ABF-4F14-BAFA-8CD22600326F}"/>
    <cellStyle name="Currency 5 3 2 5 4" xfId="9698" xr:uid="{34454291-2F68-45B5-A8A0-69BF10299317}"/>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E92EE146-7FBE-4161-AFD5-0AD555877241}"/>
    <cellStyle name="Currency 5 3 2 6 2 3" xfId="12256" xr:uid="{E871DFC6-EEBB-484B-A4D0-1EBD92D57B67}"/>
    <cellStyle name="Currency 5 3 2 6 3" xfId="5894" xr:uid="{00000000-0005-0000-0000-0000D50C0000}"/>
    <cellStyle name="Currency 5 3 2 6 3 2" xfId="14329" xr:uid="{CCF1B426-E67D-4A98-94EB-8A6CDA45FCB0}"/>
    <cellStyle name="Currency 5 3 2 6 4" xfId="10111" xr:uid="{D9AB7F5C-1189-434B-A277-57712D847C05}"/>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9400DA61-0096-4DE9-8FB0-4E5F5132D338}"/>
    <cellStyle name="Currency 5 3 2 7 2 3" xfId="12669" xr:uid="{967B7053-FB07-4DEC-8791-66D9EF71E21F}"/>
    <cellStyle name="Currency 5 3 2 7 3" xfId="6307" xr:uid="{00000000-0005-0000-0000-0000D90C0000}"/>
    <cellStyle name="Currency 5 3 2 7 3 2" xfId="14742" xr:uid="{32C8AF0F-1C28-4744-8FCB-AD8645364422}"/>
    <cellStyle name="Currency 5 3 2 7 4" xfId="10524" xr:uid="{3818A5FE-51BA-4542-8853-22A7480D33E0}"/>
    <cellStyle name="Currency 5 3 2 8" xfId="2435" xr:uid="{00000000-0005-0000-0000-0000DA0C0000}"/>
    <cellStyle name="Currency 5 3 2 8 2" xfId="6720" xr:uid="{00000000-0005-0000-0000-0000DB0C0000}"/>
    <cellStyle name="Currency 5 3 2 8 2 2" xfId="15155" xr:uid="{1B501149-6C4F-4D3B-B21C-B3557F4EE888}"/>
    <cellStyle name="Currency 5 3 2 8 3" xfId="10937" xr:uid="{83AD3A90-FC0E-4983-BF77-ABDF36D6A733}"/>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106B0D51-71A6-4616-B54C-DE60D248D65D}"/>
    <cellStyle name="Currency 5 3 3 11" xfId="8875" xr:uid="{C0E5E8D9-C358-4BC8-9137-37605A17FFCB}"/>
    <cellStyle name="Currency 5 3 3 2" xfId="215" xr:uid="{00000000-0005-0000-0000-0000DF0C0000}"/>
    <cellStyle name="Currency 5 3 3 2 10" xfId="8876" xr:uid="{259DF8E2-3982-4C35-ADE1-3F965925B18F}"/>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5C6BCA1D-E3B3-48B2-B619-E50F96D06B65}"/>
    <cellStyle name="Currency 5 3 3 2 2 2 3" xfId="11435" xr:uid="{C22343E8-46A0-4684-BE5E-DA4A0C77BA39}"/>
    <cellStyle name="Currency 5 3 3 2 2 3" xfId="5073" xr:uid="{00000000-0005-0000-0000-0000E30C0000}"/>
    <cellStyle name="Currency 5 3 3 2 2 3 2" xfId="13508" xr:uid="{5867CD95-04CA-4403-AEC7-DC588A11D1DA}"/>
    <cellStyle name="Currency 5 3 3 2 2 4" xfId="9290" xr:uid="{54C2322D-CAFE-4551-9166-A244189E3E04}"/>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4C71A7B9-3783-4144-B184-8C7B08E89ED4}"/>
    <cellStyle name="Currency 5 3 3 2 3 2 3" xfId="11848" xr:uid="{FE138168-DE9D-4428-A198-685135B61081}"/>
    <cellStyle name="Currency 5 3 3 2 3 3" xfId="5486" xr:uid="{00000000-0005-0000-0000-0000E70C0000}"/>
    <cellStyle name="Currency 5 3 3 2 3 3 2" xfId="13921" xr:uid="{D2CA492F-70FD-46DC-846C-139F949767D7}"/>
    <cellStyle name="Currency 5 3 3 2 3 4" xfId="9703" xr:uid="{C30A76A6-F354-4D46-9C2D-E96E28022193}"/>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57E935A5-BC19-4F29-882C-C35C16DD9ABA}"/>
    <cellStyle name="Currency 5 3 3 2 4 2 3" xfId="12261" xr:uid="{829F443B-89B5-4F3E-8858-9C94C2BA7AEA}"/>
    <cellStyle name="Currency 5 3 3 2 4 3" xfId="5899" xr:uid="{00000000-0005-0000-0000-0000EB0C0000}"/>
    <cellStyle name="Currency 5 3 3 2 4 3 2" xfId="14334" xr:uid="{E2293F6B-F6D8-4248-9DF5-B05E2E31C10D}"/>
    <cellStyle name="Currency 5 3 3 2 4 4" xfId="10116" xr:uid="{8880CAF4-81D7-4378-8E9F-4DD5D9BA607A}"/>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7FDDDC0A-BBEB-43E6-87AA-1D5C2965CC22}"/>
    <cellStyle name="Currency 5 3 3 2 5 2 3" xfId="12674" xr:uid="{5F8B807C-6E80-4BD0-B582-16BA7AD94ECC}"/>
    <cellStyle name="Currency 5 3 3 2 5 3" xfId="6312" xr:uid="{00000000-0005-0000-0000-0000EF0C0000}"/>
    <cellStyle name="Currency 5 3 3 2 5 3 2" xfId="14747" xr:uid="{C90AA06C-6BFC-4D69-B474-4409845CCF67}"/>
    <cellStyle name="Currency 5 3 3 2 5 4" xfId="10529" xr:uid="{F542D46A-2851-40C4-925B-831A60E52BF4}"/>
    <cellStyle name="Currency 5 3 3 2 6" xfId="2440" xr:uid="{00000000-0005-0000-0000-0000F00C0000}"/>
    <cellStyle name="Currency 5 3 3 2 6 2" xfId="6725" xr:uid="{00000000-0005-0000-0000-0000F10C0000}"/>
    <cellStyle name="Currency 5 3 3 2 6 2 2" xfId="15160" xr:uid="{D0BF8A4B-6619-4BB2-994F-304875BEFD9F}"/>
    <cellStyle name="Currency 5 3 3 2 6 3" xfId="10942" xr:uid="{E441BD32-B4AC-43F4-A671-305596D5A755}"/>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8B19E959-D521-4E23-AF26-FF6EDE2A65CE}"/>
    <cellStyle name="Currency 5 3 3 2 8 3" xfId="11259" xr:uid="{5173FE38-E7FB-4E6E-A611-8CF8626B43F4}"/>
    <cellStyle name="Currency 5 3 3 2 9" xfId="4659" xr:uid="{00000000-0005-0000-0000-0000F50C0000}"/>
    <cellStyle name="Currency 5 3 3 2 9 2" xfId="13094" xr:uid="{622E7066-424C-436D-881E-9211D0CDBA7A}"/>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FFBDD7F8-CCE6-4EC7-BC98-D11051B3F7FF}"/>
    <cellStyle name="Currency 5 3 3 3 2 3" xfId="11434" xr:uid="{7713FC18-D1F9-44FF-9C37-BB04CB43E411}"/>
    <cellStyle name="Currency 5 3 3 3 3" xfId="5072" xr:uid="{00000000-0005-0000-0000-0000F90C0000}"/>
    <cellStyle name="Currency 5 3 3 3 3 2" xfId="13507" xr:uid="{86DEB29C-527E-45AE-B15A-2B07D50A17CB}"/>
    <cellStyle name="Currency 5 3 3 3 4" xfId="9289" xr:uid="{FE60C649-484C-4D78-9A83-1AE73FE3312C}"/>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C32D99EA-280E-44D5-B396-431ACA80C8B5}"/>
    <cellStyle name="Currency 5 3 3 4 2 3" xfId="11847" xr:uid="{89FE188B-A7F5-4845-818C-072B26E5CFFF}"/>
    <cellStyle name="Currency 5 3 3 4 3" xfId="5485" xr:uid="{00000000-0005-0000-0000-0000FD0C0000}"/>
    <cellStyle name="Currency 5 3 3 4 3 2" xfId="13920" xr:uid="{86B1F1D1-FBE8-467F-8C82-A1F3CA0AA239}"/>
    <cellStyle name="Currency 5 3 3 4 4" xfId="9702" xr:uid="{8F90315B-6F43-4B8D-81D1-144C66498C49}"/>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8D327213-E1A5-401B-94FF-B2689822F308}"/>
    <cellStyle name="Currency 5 3 3 5 2 3" xfId="12260" xr:uid="{9E1C6F2C-D2E1-4E90-AEBF-8F20AF377800}"/>
    <cellStyle name="Currency 5 3 3 5 3" xfId="5898" xr:uid="{00000000-0005-0000-0000-0000010D0000}"/>
    <cellStyle name="Currency 5 3 3 5 3 2" xfId="14333" xr:uid="{E3B52C71-0887-4979-BCCE-F9F6969A65B1}"/>
    <cellStyle name="Currency 5 3 3 5 4" xfId="10115" xr:uid="{FF0CB925-0E1C-4D43-9855-15EE96AF1FFD}"/>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06017083-1BC4-498D-8240-E2E9D4712BC3}"/>
    <cellStyle name="Currency 5 3 3 6 2 3" xfId="12673" xr:uid="{804232B8-01DE-4FAF-9501-127EFD2715CC}"/>
    <cellStyle name="Currency 5 3 3 6 3" xfId="6311" xr:uid="{00000000-0005-0000-0000-0000050D0000}"/>
    <cellStyle name="Currency 5 3 3 6 3 2" xfId="14746" xr:uid="{EDB3FBB8-D4F6-414E-95AC-585289B96406}"/>
    <cellStyle name="Currency 5 3 3 6 4" xfId="10528" xr:uid="{EE7D3ECA-FBA2-4010-8334-32532D3F98F6}"/>
    <cellStyle name="Currency 5 3 3 7" xfId="2439" xr:uid="{00000000-0005-0000-0000-0000060D0000}"/>
    <cellStyle name="Currency 5 3 3 7 2" xfId="6724" xr:uid="{00000000-0005-0000-0000-0000070D0000}"/>
    <cellStyle name="Currency 5 3 3 7 2 2" xfId="15159" xr:uid="{1EDBA66D-3242-49C4-BE21-286C9F003F7D}"/>
    <cellStyle name="Currency 5 3 3 7 3" xfId="10941" xr:uid="{E17FFE3A-14AF-428A-A4B0-6A3BCF2F111A}"/>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378BFB9C-9DD6-44D9-9C55-6CC5643CB388}"/>
    <cellStyle name="Currency 5 3 3 9 3" xfId="11258" xr:uid="{C2F818B5-C904-412F-8444-AAED2A57346C}"/>
    <cellStyle name="Currency 5 3 4" xfId="216" xr:uid="{00000000-0005-0000-0000-00000B0D0000}"/>
    <cellStyle name="Currency 5 3 4 10" xfId="8877" xr:uid="{D4C6BDE3-563B-4B33-9007-A1407AD29402}"/>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CD11E298-001F-4540-AD3F-20BB3E26356D}"/>
    <cellStyle name="Currency 5 3 4 2 2 3" xfId="11436" xr:uid="{CD5E0BB0-1F25-4480-B7B0-0D0FB3D0232F}"/>
    <cellStyle name="Currency 5 3 4 2 3" xfId="5074" xr:uid="{00000000-0005-0000-0000-00000F0D0000}"/>
    <cellStyle name="Currency 5 3 4 2 3 2" xfId="13509" xr:uid="{DE42A4FC-427D-486E-BE72-9236D60D164D}"/>
    <cellStyle name="Currency 5 3 4 2 4" xfId="9291" xr:uid="{9CAE55BB-DE75-41E1-B713-5D8CC2257287}"/>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AC35B8E3-2102-4171-9722-F2BBB0E01EE8}"/>
    <cellStyle name="Currency 5 3 4 3 2 3" xfId="11849" xr:uid="{CB3B6E76-7CA1-40D7-978D-1D7FC6BE4236}"/>
    <cellStyle name="Currency 5 3 4 3 3" xfId="5487" xr:uid="{00000000-0005-0000-0000-0000130D0000}"/>
    <cellStyle name="Currency 5 3 4 3 3 2" xfId="13922" xr:uid="{6EE97DD4-6E0C-4EBC-8325-8888056ACB99}"/>
    <cellStyle name="Currency 5 3 4 3 4" xfId="9704" xr:uid="{3EEFCEE6-3C87-41EB-B162-011864D18EF1}"/>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8A9B3396-38CB-4201-A7AF-7C22986F04F6}"/>
    <cellStyle name="Currency 5 3 4 4 2 3" xfId="12262" xr:uid="{0DED789D-C8C3-4E8B-A803-84134B4B1C0B}"/>
    <cellStyle name="Currency 5 3 4 4 3" xfId="5900" xr:uid="{00000000-0005-0000-0000-0000170D0000}"/>
    <cellStyle name="Currency 5 3 4 4 3 2" xfId="14335" xr:uid="{7004D5E3-3E20-43D0-B18E-F89B403F4A3C}"/>
    <cellStyle name="Currency 5 3 4 4 4" xfId="10117" xr:uid="{DDAB5B0C-EDB7-4A1D-BA65-B264BB2A83FD}"/>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72EAEB23-DB1B-4154-B22C-DBE6D177B27B}"/>
    <cellStyle name="Currency 5 3 4 5 2 3" xfId="12675" xr:uid="{9853E22B-8768-4789-91F1-7D65A5C32D28}"/>
    <cellStyle name="Currency 5 3 4 5 3" xfId="6313" xr:uid="{00000000-0005-0000-0000-00001B0D0000}"/>
    <cellStyle name="Currency 5 3 4 5 3 2" xfId="14748" xr:uid="{C0B685AB-2A3A-4A70-8B5C-4045F945A627}"/>
    <cellStyle name="Currency 5 3 4 5 4" xfId="10530" xr:uid="{2492C5A3-86D7-4DBB-BC70-1BD76C2B5FFC}"/>
    <cellStyle name="Currency 5 3 4 6" xfId="2441" xr:uid="{00000000-0005-0000-0000-00001C0D0000}"/>
    <cellStyle name="Currency 5 3 4 6 2" xfId="6726" xr:uid="{00000000-0005-0000-0000-00001D0D0000}"/>
    <cellStyle name="Currency 5 3 4 6 2 2" xfId="15161" xr:uid="{8A9021C1-6E1E-442B-A523-60786CD50EB7}"/>
    <cellStyle name="Currency 5 3 4 6 3" xfId="10943" xr:uid="{AFE65576-FA4F-4BB9-B4F5-A90B90745D29}"/>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74A7F436-C4DD-4763-BA5F-C3E31755E581}"/>
    <cellStyle name="Currency 5 3 4 8 3" xfId="11260" xr:uid="{D2600937-A76C-47B6-A09C-0E6AECC7A141}"/>
    <cellStyle name="Currency 5 3 4 9" xfId="4660" xr:uid="{00000000-0005-0000-0000-0000210D0000}"/>
    <cellStyle name="Currency 5 3 4 9 2" xfId="13095" xr:uid="{21D5A7D9-D8FF-4B6B-B45B-148AB3AA4E10}"/>
    <cellStyle name="Currency 5 3 5" xfId="217" xr:uid="{00000000-0005-0000-0000-0000220D0000}"/>
    <cellStyle name="Currency 5 3 5 10" xfId="8878" xr:uid="{48420CC1-75AF-49B9-910E-30BC2D93AB5A}"/>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3775DE47-70CB-4BB5-8743-8521960256C7}"/>
    <cellStyle name="Currency 5 3 5 2 2 3" xfId="11437" xr:uid="{D3A180F6-9CCA-4D71-A60E-5223D2DF22CF}"/>
    <cellStyle name="Currency 5 3 5 2 3" xfId="5075" xr:uid="{00000000-0005-0000-0000-0000260D0000}"/>
    <cellStyle name="Currency 5 3 5 2 3 2" xfId="13510" xr:uid="{357C5F35-5BCE-4146-A978-801CD0AFF8C6}"/>
    <cellStyle name="Currency 5 3 5 2 4" xfId="9292" xr:uid="{499B18DA-009B-4DBF-8A14-C03C172E0B9C}"/>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DEE7F8B4-0B23-4FBB-B937-CF6CCB4FBDE3}"/>
    <cellStyle name="Currency 5 3 5 3 2 3" xfId="11850" xr:uid="{9F1A423F-118D-48E6-B207-AA965E7AE59D}"/>
    <cellStyle name="Currency 5 3 5 3 3" xfId="5488" xr:uid="{00000000-0005-0000-0000-00002A0D0000}"/>
    <cellStyle name="Currency 5 3 5 3 3 2" xfId="13923" xr:uid="{BBB0FBC3-D12C-412F-9821-C261CDC76407}"/>
    <cellStyle name="Currency 5 3 5 3 4" xfId="9705" xr:uid="{2F7F9FB2-26E8-4236-BEF3-4DFC0765C921}"/>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2E2E7EC4-6E94-4F9C-B2D1-AFFE572A29FD}"/>
    <cellStyle name="Currency 5 3 5 4 2 3" xfId="12263" xr:uid="{8B8644E6-81AF-4B66-B572-C54B56EECE74}"/>
    <cellStyle name="Currency 5 3 5 4 3" xfId="5901" xr:uid="{00000000-0005-0000-0000-00002E0D0000}"/>
    <cellStyle name="Currency 5 3 5 4 3 2" xfId="14336" xr:uid="{BDB43A95-672A-4D7C-B9BB-022F06F12296}"/>
    <cellStyle name="Currency 5 3 5 4 4" xfId="10118" xr:uid="{1BEFAE90-6E88-47E0-8110-4D0D5AA312B5}"/>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D1867F88-E763-4CD8-A756-7488A397DEBC}"/>
    <cellStyle name="Currency 5 3 5 5 2 3" xfId="12676" xr:uid="{7533A5B6-A1E4-45D7-81A5-D98ED68079F8}"/>
    <cellStyle name="Currency 5 3 5 5 3" xfId="6314" xr:uid="{00000000-0005-0000-0000-0000320D0000}"/>
    <cellStyle name="Currency 5 3 5 5 3 2" xfId="14749" xr:uid="{248B7E99-B558-4042-92B7-CA103988A71F}"/>
    <cellStyle name="Currency 5 3 5 5 4" xfId="10531" xr:uid="{6331BDA4-6513-4B6C-BE12-93028197E361}"/>
    <cellStyle name="Currency 5 3 5 6" xfId="2442" xr:uid="{00000000-0005-0000-0000-0000330D0000}"/>
    <cellStyle name="Currency 5 3 5 6 2" xfId="6727" xr:uid="{00000000-0005-0000-0000-0000340D0000}"/>
    <cellStyle name="Currency 5 3 5 6 2 2" xfId="15162" xr:uid="{36CF0D00-B268-46C4-AF90-0427DE772A80}"/>
    <cellStyle name="Currency 5 3 5 6 3" xfId="10944" xr:uid="{5217A17E-DD70-40B4-BFE5-73BF85C35990}"/>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9D64E9CB-5C6C-4518-8E54-DCADDF4CFD86}"/>
    <cellStyle name="Currency 5 3 5 8 3" xfId="11261" xr:uid="{E22A34E8-C51A-4895-B207-4DBDF9E59E61}"/>
    <cellStyle name="Currency 5 3 5 9" xfId="4661" xr:uid="{00000000-0005-0000-0000-0000380D0000}"/>
    <cellStyle name="Currency 5 3 5 9 2" xfId="13096" xr:uid="{CAC942D2-7300-480D-8E5C-A089101C160C}"/>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D02CD1E6-AB27-4CBA-8C32-27681B3373EB}"/>
    <cellStyle name="Currency 5 5 11" xfId="8879" xr:uid="{9E75FF80-2D0A-448B-A728-819D5C89EBC1}"/>
    <cellStyle name="Currency 5 5 2" xfId="220" xr:uid="{00000000-0005-0000-0000-00003D0D0000}"/>
    <cellStyle name="Currency 5 5 2 10" xfId="8880" xr:uid="{EF13447F-4462-4FC7-ADD3-4FDFC990453A}"/>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ED1A8208-3884-4146-892D-697CC493E0EB}"/>
    <cellStyle name="Currency 5 5 2 2 2 3" xfId="11439" xr:uid="{5382BD90-668C-4350-B649-DADFC104F627}"/>
    <cellStyle name="Currency 5 5 2 2 3" xfId="5077" xr:uid="{00000000-0005-0000-0000-0000410D0000}"/>
    <cellStyle name="Currency 5 5 2 2 3 2" xfId="13512" xr:uid="{82CE4964-7295-4B15-84F7-C564CEDC4A76}"/>
    <cellStyle name="Currency 5 5 2 2 4" xfId="9294" xr:uid="{52B928F1-6E0A-4349-A066-9A0EC4443F6B}"/>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0E86C5EE-B905-48FB-B022-6B1581BB58BE}"/>
    <cellStyle name="Currency 5 5 2 3 2 3" xfId="11852" xr:uid="{A54A98C5-E92C-437D-A719-A8EC1885C395}"/>
    <cellStyle name="Currency 5 5 2 3 3" xfId="5490" xr:uid="{00000000-0005-0000-0000-0000450D0000}"/>
    <cellStyle name="Currency 5 5 2 3 3 2" xfId="13925" xr:uid="{37DFF71E-2CF7-4B79-9BA8-0D07DB12ED7E}"/>
    <cellStyle name="Currency 5 5 2 3 4" xfId="9707" xr:uid="{6E3B860B-279F-4C32-8226-25F45E751F9E}"/>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56B4AE11-E304-4471-B2E5-945B72568C44}"/>
    <cellStyle name="Currency 5 5 2 4 2 3" xfId="12265" xr:uid="{4E09B51C-A0A7-4429-A80B-5C745BDA51A5}"/>
    <cellStyle name="Currency 5 5 2 4 3" xfId="5903" xr:uid="{00000000-0005-0000-0000-0000490D0000}"/>
    <cellStyle name="Currency 5 5 2 4 3 2" xfId="14338" xr:uid="{288DB3F4-EE49-420E-A1CA-AC0A6A08624E}"/>
    <cellStyle name="Currency 5 5 2 4 4" xfId="10120" xr:uid="{48F01238-612F-414B-8B77-1AF34FB74F28}"/>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03ED4574-6F77-41E8-949E-7B600B72FDE7}"/>
    <cellStyle name="Currency 5 5 2 5 2 3" xfId="12678" xr:uid="{1635DED0-DA8A-4FAE-95C0-C3CAF5F9D61B}"/>
    <cellStyle name="Currency 5 5 2 5 3" xfId="6316" xr:uid="{00000000-0005-0000-0000-00004D0D0000}"/>
    <cellStyle name="Currency 5 5 2 5 3 2" xfId="14751" xr:uid="{4D8E9127-48CE-4E06-8295-438A98BFA018}"/>
    <cellStyle name="Currency 5 5 2 5 4" xfId="10533" xr:uid="{BE862B6F-FA6C-41BA-88B0-F86A63DEF99F}"/>
    <cellStyle name="Currency 5 5 2 6" xfId="2444" xr:uid="{00000000-0005-0000-0000-00004E0D0000}"/>
    <cellStyle name="Currency 5 5 2 6 2" xfId="6729" xr:uid="{00000000-0005-0000-0000-00004F0D0000}"/>
    <cellStyle name="Currency 5 5 2 6 2 2" xfId="15164" xr:uid="{C3D2CC7C-2C5C-4CB3-B855-5733ECE716AD}"/>
    <cellStyle name="Currency 5 5 2 6 3" xfId="10946" xr:uid="{75B3FD9F-BD5A-48B8-AD2A-AF2C309C3864}"/>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F8FDCB91-119C-4779-81AF-28298AC7DF0D}"/>
    <cellStyle name="Currency 5 5 2 8 3" xfId="11263" xr:uid="{E56BDD3E-AE9A-4B2B-A44A-46994FACC328}"/>
    <cellStyle name="Currency 5 5 2 9" xfId="4663" xr:uid="{00000000-0005-0000-0000-0000530D0000}"/>
    <cellStyle name="Currency 5 5 2 9 2" xfId="13098" xr:uid="{40538FB2-BE82-4501-A370-6D784BB90983}"/>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53D27470-D523-4460-9717-68E678E057D4}"/>
    <cellStyle name="Currency 5 5 3 2 3" xfId="11438" xr:uid="{AB56C456-0733-449A-8D5E-8998083FF928}"/>
    <cellStyle name="Currency 5 5 3 3" xfId="5076" xr:uid="{00000000-0005-0000-0000-0000570D0000}"/>
    <cellStyle name="Currency 5 5 3 3 2" xfId="13511" xr:uid="{C0FD8D0B-7E47-4788-840D-BD4742FD5B33}"/>
    <cellStyle name="Currency 5 5 3 4" xfId="9293" xr:uid="{344BD275-4EC5-42B7-9FA0-2F995817380E}"/>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774EE28F-9880-4CA7-B802-919EC36D2753}"/>
    <cellStyle name="Currency 5 5 4 2 3" xfId="11851" xr:uid="{4AEA4060-4BAD-4AD9-80BE-98AFC2936424}"/>
    <cellStyle name="Currency 5 5 4 3" xfId="5489" xr:uid="{00000000-0005-0000-0000-00005B0D0000}"/>
    <cellStyle name="Currency 5 5 4 3 2" xfId="13924" xr:uid="{0E7CBDEA-4DAC-498B-A0D3-8F19B5C7007B}"/>
    <cellStyle name="Currency 5 5 4 4" xfId="9706" xr:uid="{8440D133-37BA-4131-BE43-D03F1AE60D3A}"/>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F0B1EBCC-2C5E-4D40-BFDE-EE20CC945F37}"/>
    <cellStyle name="Currency 5 5 5 2 3" xfId="12264" xr:uid="{10FAC83D-0A1E-496A-9AE2-283E8CA00383}"/>
    <cellStyle name="Currency 5 5 5 3" xfId="5902" xr:uid="{00000000-0005-0000-0000-00005F0D0000}"/>
    <cellStyle name="Currency 5 5 5 3 2" xfId="14337" xr:uid="{492A59A5-91D0-4B25-8AA2-3496C0647DE4}"/>
    <cellStyle name="Currency 5 5 5 4" xfId="10119" xr:uid="{D43FE964-E175-499F-A689-AD63735587F7}"/>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C61E8723-9E1F-4515-A14B-4786A3E01A45}"/>
    <cellStyle name="Currency 5 5 6 2 3" xfId="12677" xr:uid="{C2C5A886-67B8-4012-BF0C-6FF0EFDFE585}"/>
    <cellStyle name="Currency 5 5 6 3" xfId="6315" xr:uid="{00000000-0005-0000-0000-0000630D0000}"/>
    <cellStyle name="Currency 5 5 6 3 2" xfId="14750" xr:uid="{B8BEB144-BBCB-49A5-A392-EEC497E5872C}"/>
    <cellStyle name="Currency 5 5 6 4" xfId="10532" xr:uid="{E8D76A04-C088-431A-BE8E-EE44989C0328}"/>
    <cellStyle name="Currency 5 5 7" xfId="2443" xr:uid="{00000000-0005-0000-0000-0000640D0000}"/>
    <cellStyle name="Currency 5 5 7 2" xfId="6728" xr:uid="{00000000-0005-0000-0000-0000650D0000}"/>
    <cellStyle name="Currency 5 5 7 2 2" xfId="15163" xr:uid="{1F7DA645-D016-4643-9D49-6930EF933773}"/>
    <cellStyle name="Currency 5 5 7 3" xfId="10945" xr:uid="{AB0FECF3-2CEC-4B76-8D86-88C17E3D0EA2}"/>
    <cellStyle name="Currency 5 5 8" xfId="2740" xr:uid="{00000000-0005-0000-0000-0000660D0000}"/>
    <cellStyle name="Currency 5 5 9" xfId="2821" xr:uid="{00000000-0005-0000-0000-0000670D0000}"/>
    <cellStyle name="Currency 5 5 9 2" xfId="7045" xr:uid="{00000000-0005-0000-0000-0000680D0000}"/>
    <cellStyle name="Currency 5 5 9 2 2" xfId="15480" xr:uid="{617F57DC-70B7-4C23-B084-B87D6C1D61D6}"/>
    <cellStyle name="Currency 5 5 9 3" xfId="11262" xr:uid="{58D3BAB8-E32A-423B-9268-205975DE20B6}"/>
    <cellStyle name="Currency 5 6" xfId="221" xr:uid="{00000000-0005-0000-0000-0000690D0000}"/>
    <cellStyle name="Currency 5 6 10" xfId="8881" xr:uid="{AA55DAF7-E2D4-403B-9249-C0264CAB3308}"/>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71BDA617-A471-4EBD-A973-90ACF375A488}"/>
    <cellStyle name="Currency 5 6 2 2 3" xfId="11440" xr:uid="{60A3A7A4-7EC1-48CD-A218-C92D320F8184}"/>
    <cellStyle name="Currency 5 6 2 3" xfId="5078" xr:uid="{00000000-0005-0000-0000-00006D0D0000}"/>
    <cellStyle name="Currency 5 6 2 3 2" xfId="13513" xr:uid="{0EE120D5-88DA-4C94-907B-B7B4639618F6}"/>
    <cellStyle name="Currency 5 6 2 4" xfId="9295" xr:uid="{0CB0110F-5506-49ED-927F-7D31F473B65E}"/>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0F645F8B-EEEB-4E1A-8363-05CC242D4569}"/>
    <cellStyle name="Currency 5 6 3 2 3" xfId="11853" xr:uid="{1A52503B-B879-4F7A-B872-4E3050D909DE}"/>
    <cellStyle name="Currency 5 6 3 3" xfId="5491" xr:uid="{00000000-0005-0000-0000-0000710D0000}"/>
    <cellStyle name="Currency 5 6 3 3 2" xfId="13926" xr:uid="{49858DCE-3968-401F-A1C6-1FE8DA6A45BE}"/>
    <cellStyle name="Currency 5 6 3 4" xfId="9708" xr:uid="{5F215645-1E84-49C7-872A-FED30B8CA035}"/>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8CA02839-A736-4358-80DE-2C4A0C1056AA}"/>
    <cellStyle name="Currency 5 6 4 2 3" xfId="12266" xr:uid="{6034584C-1869-474E-938A-0F0189CFB14E}"/>
    <cellStyle name="Currency 5 6 4 3" xfId="5904" xr:uid="{00000000-0005-0000-0000-0000750D0000}"/>
    <cellStyle name="Currency 5 6 4 3 2" xfId="14339" xr:uid="{99B2B464-872D-44CB-A9B2-26DA98FF740A}"/>
    <cellStyle name="Currency 5 6 4 4" xfId="10121" xr:uid="{374ABE83-F31E-41B6-BFC5-00E21F4867EE}"/>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77C01212-C4FE-4210-8A19-82D2EED14745}"/>
    <cellStyle name="Currency 5 6 5 2 3" xfId="12679" xr:uid="{70FC36A4-3B6B-4513-9A70-8EE0C7CDC169}"/>
    <cellStyle name="Currency 5 6 5 3" xfId="6317" xr:uid="{00000000-0005-0000-0000-0000790D0000}"/>
    <cellStyle name="Currency 5 6 5 3 2" xfId="14752" xr:uid="{E5DA2AA5-B4C1-45F2-AC60-F5F55F2B58FC}"/>
    <cellStyle name="Currency 5 6 5 4" xfId="10534" xr:uid="{56C8DE19-9C72-423E-BA26-9AB43CC63628}"/>
    <cellStyle name="Currency 5 6 6" xfId="2445" xr:uid="{00000000-0005-0000-0000-00007A0D0000}"/>
    <cellStyle name="Currency 5 6 6 2" xfId="6730" xr:uid="{00000000-0005-0000-0000-00007B0D0000}"/>
    <cellStyle name="Currency 5 6 6 2 2" xfId="15165" xr:uid="{52D06144-F6AC-43EA-A4FD-F4CCB74F62A3}"/>
    <cellStyle name="Currency 5 6 6 3" xfId="10947" xr:uid="{4BFB7DC5-0BC5-4D6A-94A7-1B919568FBC9}"/>
    <cellStyle name="Currency 5 6 7" xfId="2742" xr:uid="{00000000-0005-0000-0000-00007C0D0000}"/>
    <cellStyle name="Currency 5 6 8" xfId="2823" xr:uid="{00000000-0005-0000-0000-00007D0D0000}"/>
    <cellStyle name="Currency 5 6 8 2" xfId="7047" xr:uid="{00000000-0005-0000-0000-00007E0D0000}"/>
    <cellStyle name="Currency 5 6 8 2 2" xfId="15482" xr:uid="{4644D90C-F830-4697-80D3-4FE50CAC9674}"/>
    <cellStyle name="Currency 5 6 8 3" xfId="11264" xr:uid="{740DA3B6-EC1D-49EA-8282-4AF8118B4CEF}"/>
    <cellStyle name="Currency 5 6 9" xfId="4664" xr:uid="{00000000-0005-0000-0000-00007F0D0000}"/>
    <cellStyle name="Currency 5 6 9 2" xfId="13099" xr:uid="{FDD76149-ED5F-45E8-AF5A-EB6DFD77D264}"/>
    <cellStyle name="Currency 5 7" xfId="222" xr:uid="{00000000-0005-0000-0000-0000800D0000}"/>
    <cellStyle name="Currency 5 7 10" xfId="8882" xr:uid="{FAC68D4B-3510-4158-96E3-1994F930F8A2}"/>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68AF1B51-2E02-4B17-941B-07A7C6BBE598}"/>
    <cellStyle name="Currency 5 7 2 2 3" xfId="11441" xr:uid="{AA3C8807-2ED0-433D-9DCE-795340A45947}"/>
    <cellStyle name="Currency 5 7 2 3" xfId="5079" xr:uid="{00000000-0005-0000-0000-0000840D0000}"/>
    <cellStyle name="Currency 5 7 2 3 2" xfId="13514" xr:uid="{6C3437FC-7BB8-4E4E-8F33-89BC2C916E9A}"/>
    <cellStyle name="Currency 5 7 2 4" xfId="9296" xr:uid="{11C4A233-B42F-4BD2-AC4B-C29E2B15EB78}"/>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9C70ED79-11B2-4111-A6C5-81C9A8F04106}"/>
    <cellStyle name="Currency 5 7 3 2 3" xfId="11854" xr:uid="{EC5B6561-8DDF-4BFD-B23E-764D525138CF}"/>
    <cellStyle name="Currency 5 7 3 3" xfId="5492" xr:uid="{00000000-0005-0000-0000-0000880D0000}"/>
    <cellStyle name="Currency 5 7 3 3 2" xfId="13927" xr:uid="{81CB11DA-28E0-45E4-84AB-5B034CB608F3}"/>
    <cellStyle name="Currency 5 7 3 4" xfId="9709" xr:uid="{D43E421F-69E1-49AE-8DE4-E08249390169}"/>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F7CB8AED-5C72-4D4D-80F3-0C6C97951428}"/>
    <cellStyle name="Currency 5 7 4 2 3" xfId="12267" xr:uid="{78E85C41-310C-435E-BE29-3FFD4E955879}"/>
    <cellStyle name="Currency 5 7 4 3" xfId="5905" xr:uid="{00000000-0005-0000-0000-00008C0D0000}"/>
    <cellStyle name="Currency 5 7 4 3 2" xfId="14340" xr:uid="{03AB5457-03CD-4E9A-BF6E-CEC56CEEA477}"/>
    <cellStyle name="Currency 5 7 4 4" xfId="10122" xr:uid="{F45FC641-7BA2-4A77-B67B-DB5C632D82E0}"/>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8F494632-1FCE-4E28-814D-E38E4DB032DE}"/>
    <cellStyle name="Currency 5 7 5 2 3" xfId="12680" xr:uid="{587A6A17-323E-4DD4-98A6-5FCBADC4B975}"/>
    <cellStyle name="Currency 5 7 5 3" xfId="6318" xr:uid="{00000000-0005-0000-0000-0000900D0000}"/>
    <cellStyle name="Currency 5 7 5 3 2" xfId="14753" xr:uid="{5F26C2D4-E5DF-4742-B9EE-D85AED6D08E5}"/>
    <cellStyle name="Currency 5 7 5 4" xfId="10535" xr:uid="{FFA1080A-C12E-4E01-B31E-90F043A9D7A2}"/>
    <cellStyle name="Currency 5 7 6" xfId="2446" xr:uid="{00000000-0005-0000-0000-0000910D0000}"/>
    <cellStyle name="Currency 5 7 6 2" xfId="6731" xr:uid="{00000000-0005-0000-0000-0000920D0000}"/>
    <cellStyle name="Currency 5 7 6 2 2" xfId="15166" xr:uid="{B28B2918-98B9-4DB3-AEA0-0D9D0D0F0FC2}"/>
    <cellStyle name="Currency 5 7 6 3" xfId="10948" xr:uid="{D8356C45-BC20-4083-9A39-ADB0455787FB}"/>
    <cellStyle name="Currency 5 7 7" xfId="2743" xr:uid="{00000000-0005-0000-0000-0000930D0000}"/>
    <cellStyle name="Currency 5 7 8" xfId="2824" xr:uid="{00000000-0005-0000-0000-0000940D0000}"/>
    <cellStyle name="Currency 5 7 8 2" xfId="7048" xr:uid="{00000000-0005-0000-0000-0000950D0000}"/>
    <cellStyle name="Currency 5 7 8 2 2" xfId="15483" xr:uid="{2DEAF9F9-C21B-4146-8D6A-B25B99304F9E}"/>
    <cellStyle name="Currency 5 7 8 3" xfId="11265" xr:uid="{25DA30E5-A6DC-4885-8969-242F16AA8796}"/>
    <cellStyle name="Currency 5 7 9" xfId="4665" xr:uid="{00000000-0005-0000-0000-0000960D0000}"/>
    <cellStyle name="Currency 5 7 9 2" xfId="13100" xr:uid="{50A5F3E2-FF7B-43A1-B1E7-0BF9FB36CFC5}"/>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F0CF8EC0-8EB7-45B7-B251-B40C895BBA6E}"/>
    <cellStyle name="Normal 12 10 3" xfId="10949" xr:uid="{4517AA67-1D9C-4DC4-BA27-4E935AE87B04}"/>
    <cellStyle name="Normal 12 11" xfId="4666" xr:uid="{00000000-0005-0000-0000-0000CC0D0000}"/>
    <cellStyle name="Normal 12 11 2" xfId="13101" xr:uid="{FAA3340D-6ACF-4DE7-B7ED-306AA97FCCE2}"/>
    <cellStyle name="Normal 12 12" xfId="8883" xr:uid="{705E2542-D6C8-4C87-967D-3DFCDE82A470}"/>
    <cellStyle name="Normal 12 2" xfId="260" xr:uid="{00000000-0005-0000-0000-0000CD0D0000}"/>
    <cellStyle name="Normal 12 2 10" xfId="8884" xr:uid="{C1241CB4-B981-4082-B4BD-511EBB4D8519}"/>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2654BD7C-824A-4EE7-B2CF-C911D66BDA7E}"/>
    <cellStyle name="Normal 12 2 2 2 2 2 3" xfId="11445" xr:uid="{626A9D69-056C-47FE-8038-4FDB87D10D6A}"/>
    <cellStyle name="Normal 12 2 2 2 2 3" xfId="5083" xr:uid="{00000000-0005-0000-0000-0000D30D0000}"/>
    <cellStyle name="Normal 12 2 2 2 2 3 2" xfId="13518" xr:uid="{B6421A0C-2592-4BB3-80F9-2ECE8BEF3F16}"/>
    <cellStyle name="Normal 12 2 2 2 2 4" xfId="9300" xr:uid="{6A70CC4D-FD1B-4471-B3CD-35197A60145A}"/>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9CFF3274-8F82-411B-8A4C-CBBD925ED564}"/>
    <cellStyle name="Normal 12 2 2 2 3 2 3" xfId="11858" xr:uid="{2F37C83D-01E5-4280-B181-6826D3F725FA}"/>
    <cellStyle name="Normal 12 2 2 2 3 3" xfId="5496" xr:uid="{00000000-0005-0000-0000-0000D70D0000}"/>
    <cellStyle name="Normal 12 2 2 2 3 3 2" xfId="13931" xr:uid="{7B7CD6D4-37D9-48FB-83AC-8165640F47D4}"/>
    <cellStyle name="Normal 12 2 2 2 3 4" xfId="9713" xr:uid="{A48CD19D-54F4-498A-882E-285A517E3413}"/>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7CF17077-A821-4B94-B3D5-3B328C8E1C90}"/>
    <cellStyle name="Normal 12 2 2 2 4 2 3" xfId="12271" xr:uid="{0B0D9A1C-5069-415B-874D-7DD977EADC0E}"/>
    <cellStyle name="Normal 12 2 2 2 4 3" xfId="5909" xr:uid="{00000000-0005-0000-0000-0000DB0D0000}"/>
    <cellStyle name="Normal 12 2 2 2 4 3 2" xfId="14344" xr:uid="{49304D6F-DDC8-4D5D-BEBF-698351D9D49A}"/>
    <cellStyle name="Normal 12 2 2 2 4 4" xfId="10126" xr:uid="{BFF657BF-9436-455E-9328-B1C3B1304675}"/>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F9212DD5-CC4A-4136-9E38-B12F3CA6E9C5}"/>
    <cellStyle name="Normal 12 2 2 2 5 2 3" xfId="12684" xr:uid="{79EB88F2-A509-4EC8-B674-6295CBDEB07B}"/>
    <cellStyle name="Normal 12 2 2 2 5 3" xfId="6322" xr:uid="{00000000-0005-0000-0000-0000DF0D0000}"/>
    <cellStyle name="Normal 12 2 2 2 5 3 2" xfId="14757" xr:uid="{01FFD656-E7F0-48B5-87BC-C28E845E8F66}"/>
    <cellStyle name="Normal 12 2 2 2 5 4" xfId="10539" xr:uid="{6ECD9E62-B466-42E8-9B43-A57F3AC431B1}"/>
    <cellStyle name="Normal 12 2 2 2 6" xfId="2451" xr:uid="{00000000-0005-0000-0000-0000E00D0000}"/>
    <cellStyle name="Normal 12 2 2 2 6 2" xfId="6735" xr:uid="{00000000-0005-0000-0000-0000E10D0000}"/>
    <cellStyle name="Normal 12 2 2 2 6 2 2" xfId="15170" xr:uid="{168D288C-0780-418E-BB27-B43A3233990F}"/>
    <cellStyle name="Normal 12 2 2 2 6 3" xfId="10952" xr:uid="{718F8DD8-FFF7-4780-9421-D14FE0D3ED79}"/>
    <cellStyle name="Normal 12 2 2 2 7" xfId="4669" xr:uid="{00000000-0005-0000-0000-0000E20D0000}"/>
    <cellStyle name="Normal 12 2 2 2 7 2" xfId="13104" xr:uid="{BD23A1D1-E36E-415A-9773-B959C288E076}"/>
    <cellStyle name="Normal 12 2 2 2 8" xfId="8886" xr:uid="{BAE456C7-3D98-4349-905C-7CBF71A0CD6E}"/>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BFB2A060-B7CD-4FED-BC02-7FA468963BCF}"/>
    <cellStyle name="Normal 12 2 2 3 2 3" xfId="11444" xr:uid="{D20E6CD4-9709-4216-B3BD-A0DCF79F1C5B}"/>
    <cellStyle name="Normal 12 2 2 3 3" xfId="5082" xr:uid="{00000000-0005-0000-0000-0000E60D0000}"/>
    <cellStyle name="Normal 12 2 2 3 3 2" xfId="13517" xr:uid="{558555C0-85A0-4BF1-99A4-011CF46AB963}"/>
    <cellStyle name="Normal 12 2 2 3 4" xfId="9299" xr:uid="{15C344E5-FA56-40F9-A926-BAB973659F43}"/>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885B6891-8B80-4F44-A4AD-09073C95A692}"/>
    <cellStyle name="Normal 12 2 2 4 2 3" xfId="11857" xr:uid="{43C41902-8C21-4700-91AF-2E998EA032DA}"/>
    <cellStyle name="Normal 12 2 2 4 3" xfId="5495" xr:uid="{00000000-0005-0000-0000-0000EA0D0000}"/>
    <cellStyle name="Normal 12 2 2 4 3 2" xfId="13930" xr:uid="{6AEBAB0D-AADE-4274-BAA2-5C458961E149}"/>
    <cellStyle name="Normal 12 2 2 4 4" xfId="9712" xr:uid="{8C27ECA5-3C6F-4E65-99E1-947EEFE80C52}"/>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F09374E3-6D80-40BB-ADF5-A7DD961E9A6F}"/>
    <cellStyle name="Normal 12 2 2 5 2 3" xfId="12270" xr:uid="{6CEE57DD-877E-4A42-B57E-30591BF6FAB4}"/>
    <cellStyle name="Normal 12 2 2 5 3" xfId="5908" xr:uid="{00000000-0005-0000-0000-0000EE0D0000}"/>
    <cellStyle name="Normal 12 2 2 5 3 2" xfId="14343" xr:uid="{21624316-996E-4891-A596-7C4076BF6978}"/>
    <cellStyle name="Normal 12 2 2 5 4" xfId="10125" xr:uid="{7D892ED0-B585-438C-AFD7-E7A2A5EDBB3E}"/>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47103347-31D5-4E1A-8182-6D2671957BDE}"/>
    <cellStyle name="Normal 12 2 2 6 2 3" xfId="12683" xr:uid="{20E608B7-6CC2-4F9A-96E8-A19FF9E975B1}"/>
    <cellStyle name="Normal 12 2 2 6 3" xfId="6321" xr:uid="{00000000-0005-0000-0000-0000F20D0000}"/>
    <cellStyle name="Normal 12 2 2 6 3 2" xfId="14756" xr:uid="{D1687BD2-34A9-492C-A8C0-36178768B188}"/>
    <cellStyle name="Normal 12 2 2 6 4" xfId="10538" xr:uid="{DEC50ED6-5D84-4BAA-AE42-B3A59E00BDEA}"/>
    <cellStyle name="Normal 12 2 2 7" xfId="2450" xr:uid="{00000000-0005-0000-0000-0000F30D0000}"/>
    <cellStyle name="Normal 12 2 2 7 2" xfId="6734" xr:uid="{00000000-0005-0000-0000-0000F40D0000}"/>
    <cellStyle name="Normal 12 2 2 7 2 2" xfId="15169" xr:uid="{ABB00E9C-6CB3-47D2-B847-373B0271CBBB}"/>
    <cellStyle name="Normal 12 2 2 7 3" xfId="10951" xr:uid="{BD0BB02D-F202-4105-8649-151E77319F5B}"/>
    <cellStyle name="Normal 12 2 2 8" xfId="4668" xr:uid="{00000000-0005-0000-0000-0000F50D0000}"/>
    <cellStyle name="Normal 12 2 2 8 2" xfId="13103" xr:uid="{9A3C5902-4A83-43D0-8726-6238E9415754}"/>
    <cellStyle name="Normal 12 2 2 9" xfId="8885" xr:uid="{37E98F59-AA15-44F6-BF17-709618B81FA4}"/>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FAFFEDB3-28A5-4F46-B61B-2B75C66DD7F5}"/>
    <cellStyle name="Normal 12 2 3 2 2 3" xfId="11446" xr:uid="{CBEA3F01-324B-4731-A37E-AA518B7E5C82}"/>
    <cellStyle name="Normal 12 2 3 2 3" xfId="5084" xr:uid="{00000000-0005-0000-0000-0000FA0D0000}"/>
    <cellStyle name="Normal 12 2 3 2 3 2" xfId="13519" xr:uid="{30C9A4AC-3D16-4B36-8B5D-F9F430A9FF73}"/>
    <cellStyle name="Normal 12 2 3 2 4" xfId="9301" xr:uid="{BAB0FF32-84E0-41CF-B157-B50C1D491F29}"/>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7F146821-17CD-43CD-A953-035C1F72D923}"/>
    <cellStyle name="Normal 12 2 3 3 2 3" xfId="11859" xr:uid="{3E832A87-9226-4A84-B5F6-6FB1A2EAF793}"/>
    <cellStyle name="Normal 12 2 3 3 3" xfId="5497" xr:uid="{00000000-0005-0000-0000-0000FE0D0000}"/>
    <cellStyle name="Normal 12 2 3 3 3 2" xfId="13932" xr:uid="{E551055D-D871-41EF-BD9B-894810A78315}"/>
    <cellStyle name="Normal 12 2 3 3 4" xfId="9714" xr:uid="{8EA92D29-D570-437D-BA56-C1A9BDA45ABC}"/>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A7FC0735-6646-446B-9D96-B32F1C01A571}"/>
    <cellStyle name="Normal 12 2 3 4 2 3" xfId="12272" xr:uid="{239F32EF-1BEC-4AA9-B9AF-83210562C23C}"/>
    <cellStyle name="Normal 12 2 3 4 3" xfId="5910" xr:uid="{00000000-0005-0000-0000-0000020E0000}"/>
    <cellStyle name="Normal 12 2 3 4 3 2" xfId="14345" xr:uid="{B2D8FE0D-D2BE-4994-B2DB-02F7F61086DE}"/>
    <cellStyle name="Normal 12 2 3 4 4" xfId="10127" xr:uid="{B45E9F6B-22E9-4A40-A3EA-E0C546FA0BD5}"/>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839E9F2B-0847-422B-AE60-B3760E94C9C2}"/>
    <cellStyle name="Normal 12 2 3 5 2 3" xfId="12685" xr:uid="{4F0A2EB8-D571-465A-9719-D3ABB64ECD44}"/>
    <cellStyle name="Normal 12 2 3 5 3" xfId="6323" xr:uid="{00000000-0005-0000-0000-0000060E0000}"/>
    <cellStyle name="Normal 12 2 3 5 3 2" xfId="14758" xr:uid="{687CC045-84C7-4337-AFD5-5661E8B09331}"/>
    <cellStyle name="Normal 12 2 3 5 4" xfId="10540" xr:uid="{B7A2BD76-2B1B-4E92-B4EC-C8051506E73E}"/>
    <cellStyle name="Normal 12 2 3 6" xfId="2452" xr:uid="{00000000-0005-0000-0000-0000070E0000}"/>
    <cellStyle name="Normal 12 2 3 6 2" xfId="6736" xr:uid="{00000000-0005-0000-0000-0000080E0000}"/>
    <cellStyle name="Normal 12 2 3 6 2 2" xfId="15171" xr:uid="{AD5D2D0E-98E1-4F6D-9701-4AF385C08734}"/>
    <cellStyle name="Normal 12 2 3 6 3" xfId="10953" xr:uid="{59E0076B-329C-4232-99F7-E53D392DCD14}"/>
    <cellStyle name="Normal 12 2 3 7" xfId="4670" xr:uid="{00000000-0005-0000-0000-0000090E0000}"/>
    <cellStyle name="Normal 12 2 3 7 2" xfId="13105" xr:uid="{D91AD8C7-7B53-4FC3-A67C-B707B9A248DA}"/>
    <cellStyle name="Normal 12 2 3 8" xfId="8887" xr:uid="{B69879DF-885F-4DF7-B832-1A52E9C4B4C3}"/>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BDF95BBB-8FD4-4634-B7A4-E8539DBF16B8}"/>
    <cellStyle name="Normal 12 2 4 2 3" xfId="11443" xr:uid="{1D1BF924-9B90-4513-A8E8-6BBDDD045F43}"/>
    <cellStyle name="Normal 12 2 4 3" xfId="5081" xr:uid="{00000000-0005-0000-0000-00000D0E0000}"/>
    <cellStyle name="Normal 12 2 4 3 2" xfId="13516" xr:uid="{386B6128-856F-4F32-A4A4-5102A9F6D1D7}"/>
    <cellStyle name="Normal 12 2 4 4" xfId="9298" xr:uid="{E7E0850E-1160-4791-86A6-C08FFD042291}"/>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C6EB45E3-C1D0-4BAF-B447-2F234DA0E3D4}"/>
    <cellStyle name="Normal 12 2 5 2 3" xfId="11856" xr:uid="{A6BAF72D-17F1-4CD5-B3D3-97C7043F3CEC}"/>
    <cellStyle name="Normal 12 2 5 3" xfId="5494" xr:uid="{00000000-0005-0000-0000-0000110E0000}"/>
    <cellStyle name="Normal 12 2 5 3 2" xfId="13929" xr:uid="{F2A3B666-D9FF-40B7-B109-352100C2803F}"/>
    <cellStyle name="Normal 12 2 5 4" xfId="9711" xr:uid="{3B5B261A-6ED5-4AA2-A17B-0D422D29E04D}"/>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CB598F7D-55AE-458F-A564-AA6E77E28236}"/>
    <cellStyle name="Normal 12 2 6 2 3" xfId="12269" xr:uid="{533E1958-C1A4-4844-AE94-C1B56B37457D}"/>
    <cellStyle name="Normal 12 2 6 3" xfId="5907" xr:uid="{00000000-0005-0000-0000-0000150E0000}"/>
    <cellStyle name="Normal 12 2 6 3 2" xfId="14342" xr:uid="{FF829554-1AE8-4EF4-9D49-C62ACCC2ACB1}"/>
    <cellStyle name="Normal 12 2 6 4" xfId="10124" xr:uid="{CF96FBE9-312D-46DF-80F1-CC13E6B50073}"/>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805E844B-DCC1-4EDF-9D8D-8F58813263B1}"/>
    <cellStyle name="Normal 12 2 7 2 3" xfId="12682" xr:uid="{6E65CC32-B68E-4CC3-BA3C-819DFF44EE25}"/>
    <cellStyle name="Normal 12 2 7 3" xfId="6320" xr:uid="{00000000-0005-0000-0000-0000190E0000}"/>
    <cellStyle name="Normal 12 2 7 3 2" xfId="14755" xr:uid="{3C57D885-4E28-440C-84E1-E4B771A29248}"/>
    <cellStyle name="Normal 12 2 7 4" xfId="10537" xr:uid="{23FC9259-48C6-497D-A58F-39FDE7BE95A3}"/>
    <cellStyle name="Normal 12 2 8" xfId="2449" xr:uid="{00000000-0005-0000-0000-00001A0E0000}"/>
    <cellStyle name="Normal 12 2 8 2" xfId="6733" xr:uid="{00000000-0005-0000-0000-00001B0E0000}"/>
    <cellStyle name="Normal 12 2 8 2 2" xfId="15168" xr:uid="{16028163-B9AE-4474-855B-4C1590BFCF8B}"/>
    <cellStyle name="Normal 12 2 8 3" xfId="10950" xr:uid="{DF89230B-BB7A-4DE6-A206-922D893FCE00}"/>
    <cellStyle name="Normal 12 2 9" xfId="4667" xr:uid="{00000000-0005-0000-0000-00001C0E0000}"/>
    <cellStyle name="Normal 12 2 9 2" xfId="13102" xr:uid="{178DAA26-60C6-4AEF-98B7-AD2D8573F746}"/>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AFB7F6C8-44D1-4719-88BF-3F21763E74BC}"/>
    <cellStyle name="Normal 12 3 2 2 2 3" xfId="11448" xr:uid="{8BA3E052-6E8D-447B-A21D-FBA28A3EE334}"/>
    <cellStyle name="Normal 12 3 2 2 3" xfId="5086" xr:uid="{00000000-0005-0000-0000-0000220E0000}"/>
    <cellStyle name="Normal 12 3 2 2 3 2" xfId="13521" xr:uid="{E5D9A2B9-965C-4C90-A156-7BC367923250}"/>
    <cellStyle name="Normal 12 3 2 2 4" xfId="9303" xr:uid="{11B780A4-1EAC-4272-8132-B01A6A5EF3F7}"/>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F5F082A3-D1AC-4769-86B9-70774C71346D}"/>
    <cellStyle name="Normal 12 3 2 3 2 3" xfId="11861" xr:uid="{32441078-9934-42AC-8FBE-6AB56F1DDECC}"/>
    <cellStyle name="Normal 12 3 2 3 3" xfId="5499" xr:uid="{00000000-0005-0000-0000-0000260E0000}"/>
    <cellStyle name="Normal 12 3 2 3 3 2" xfId="13934" xr:uid="{D7F5CFBC-9498-4AB2-96B6-448F8CAA93D3}"/>
    <cellStyle name="Normal 12 3 2 3 4" xfId="9716" xr:uid="{2E850E73-0D92-4D9B-AFAF-0B1EC5F24CCB}"/>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78351A43-08E6-499C-B4A2-20274194D9C1}"/>
    <cellStyle name="Normal 12 3 2 4 2 3" xfId="12274" xr:uid="{A445A962-5655-4CD7-BFFE-084CE1FF9B1D}"/>
    <cellStyle name="Normal 12 3 2 4 3" xfId="5912" xr:uid="{00000000-0005-0000-0000-00002A0E0000}"/>
    <cellStyle name="Normal 12 3 2 4 3 2" xfId="14347" xr:uid="{BBDFB0D2-3097-42F5-8FC7-BF88639600E0}"/>
    <cellStyle name="Normal 12 3 2 4 4" xfId="10129" xr:uid="{EC178E55-68CF-4660-9F47-9801FB6D508C}"/>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C021F4C8-4BC4-48DB-B616-A9125BF3F527}"/>
    <cellStyle name="Normal 12 3 2 5 2 3" xfId="12687" xr:uid="{05CC83D5-374B-4918-AA9C-C876220949FD}"/>
    <cellStyle name="Normal 12 3 2 5 3" xfId="6325" xr:uid="{00000000-0005-0000-0000-00002E0E0000}"/>
    <cellStyle name="Normal 12 3 2 5 3 2" xfId="14760" xr:uid="{C3F5A1D3-9C5C-427C-BBBA-21E4F4995601}"/>
    <cellStyle name="Normal 12 3 2 5 4" xfId="10542" xr:uid="{C69E56E6-9447-4FF8-BE11-02B3085EBDE1}"/>
    <cellStyle name="Normal 12 3 2 6" xfId="2454" xr:uid="{00000000-0005-0000-0000-00002F0E0000}"/>
    <cellStyle name="Normal 12 3 2 6 2" xfId="6738" xr:uid="{00000000-0005-0000-0000-0000300E0000}"/>
    <cellStyle name="Normal 12 3 2 6 2 2" xfId="15173" xr:uid="{670F2A1C-834C-4C07-9AA0-7EEFF59C187C}"/>
    <cellStyle name="Normal 12 3 2 6 3" xfId="10955" xr:uid="{EFD381A4-C1B9-40FE-886E-D8261155CA4D}"/>
    <cellStyle name="Normal 12 3 2 7" xfId="4672" xr:uid="{00000000-0005-0000-0000-0000310E0000}"/>
    <cellStyle name="Normal 12 3 2 7 2" xfId="13107" xr:uid="{B33206F3-FD80-4643-AA82-2CCC06045CBD}"/>
    <cellStyle name="Normal 12 3 2 8" xfId="8889" xr:uid="{79F018C8-B2FB-4E60-8D50-37DD11629C84}"/>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F218ECFB-D929-4F75-AAF7-DAC4472EE04F}"/>
    <cellStyle name="Normal 12 3 3 2 3" xfId="11447" xr:uid="{046DBD07-D28B-4677-820E-FCB3484F498F}"/>
    <cellStyle name="Normal 12 3 3 3" xfId="5085" xr:uid="{00000000-0005-0000-0000-0000350E0000}"/>
    <cellStyle name="Normal 12 3 3 3 2" xfId="13520" xr:uid="{B392B07B-6EB3-42C8-A11F-86A251EB3CA0}"/>
    <cellStyle name="Normal 12 3 3 4" xfId="9302" xr:uid="{5142C73B-B91F-4080-8132-F48B418166BA}"/>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0471AD4B-29C0-4995-821F-FD4ED8575B45}"/>
    <cellStyle name="Normal 12 3 4 2 3" xfId="11860" xr:uid="{CCA14074-7D2C-4B08-8721-49A96CD30433}"/>
    <cellStyle name="Normal 12 3 4 3" xfId="5498" xr:uid="{00000000-0005-0000-0000-0000390E0000}"/>
    <cellStyle name="Normal 12 3 4 3 2" xfId="13933" xr:uid="{5D937D66-623A-45B4-820C-6B941D64397B}"/>
    <cellStyle name="Normal 12 3 4 4" xfId="9715" xr:uid="{A7468928-6DEC-4CAA-85FC-40A6AD9A7135}"/>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C16EB6FC-ED79-4072-A409-B74B16926886}"/>
    <cellStyle name="Normal 12 3 5 2 3" xfId="12273" xr:uid="{B84D7691-BDC4-46F2-B0B1-37E0ADFEB72C}"/>
    <cellStyle name="Normal 12 3 5 3" xfId="5911" xr:uid="{00000000-0005-0000-0000-00003D0E0000}"/>
    <cellStyle name="Normal 12 3 5 3 2" xfId="14346" xr:uid="{0DAFBB6C-E55A-4594-9DB5-7EE37B3C8794}"/>
    <cellStyle name="Normal 12 3 5 4" xfId="10128" xr:uid="{507B466D-B72A-4EAA-B1DA-1AEBD7B5F860}"/>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A48074D3-3893-44A4-9BDF-556BF495D34A}"/>
    <cellStyle name="Normal 12 3 6 2 3" xfId="12686" xr:uid="{5C9F85A4-837C-479F-ADF9-4B41675936FD}"/>
    <cellStyle name="Normal 12 3 6 3" xfId="6324" xr:uid="{00000000-0005-0000-0000-0000410E0000}"/>
    <cellStyle name="Normal 12 3 6 3 2" xfId="14759" xr:uid="{361166F7-247B-46D3-942E-7D2EDC67B19C}"/>
    <cellStyle name="Normal 12 3 6 4" xfId="10541" xr:uid="{76142803-7098-487B-AEDF-36C712D2CAEE}"/>
    <cellStyle name="Normal 12 3 7" xfId="2453" xr:uid="{00000000-0005-0000-0000-0000420E0000}"/>
    <cellStyle name="Normal 12 3 7 2" xfId="6737" xr:uid="{00000000-0005-0000-0000-0000430E0000}"/>
    <cellStyle name="Normal 12 3 7 2 2" xfId="15172" xr:uid="{B1EF515C-B840-4DF8-95DC-335EDE379A3B}"/>
    <cellStyle name="Normal 12 3 7 3" xfId="10954" xr:uid="{128489F6-7272-42B4-B3E8-2FB48BD4E7C1}"/>
    <cellStyle name="Normal 12 3 8" xfId="4671" xr:uid="{00000000-0005-0000-0000-0000440E0000}"/>
    <cellStyle name="Normal 12 3 8 2" xfId="13106" xr:uid="{6BB9CA95-5FE3-48B5-9185-0B5FA2F8C0AD}"/>
    <cellStyle name="Normal 12 3 9" xfId="8888" xr:uid="{B89297B9-EDAC-4B87-9F00-CE8574B1CD45}"/>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41F38503-C7FD-4E59-816D-9DA9C46101EB}"/>
    <cellStyle name="Normal 12 4 2 2 3" xfId="11449" xr:uid="{19B4D3EE-EA4A-43F7-941C-C225360538EB}"/>
    <cellStyle name="Normal 12 4 2 3" xfId="5087" xr:uid="{00000000-0005-0000-0000-0000490E0000}"/>
    <cellStyle name="Normal 12 4 2 3 2" xfId="13522" xr:uid="{3213A890-5B17-496B-9D3A-E6B2E503AEE2}"/>
    <cellStyle name="Normal 12 4 2 4" xfId="9304" xr:uid="{833B79E8-821A-4FC1-BD7B-CDF3FA0456D8}"/>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2EF8609A-B8F9-457B-853B-4E3E826CDCCC}"/>
    <cellStyle name="Normal 12 4 3 2 3" xfId="11862" xr:uid="{8AF2E95B-7E45-4E86-82D6-FE3EEBE52E38}"/>
    <cellStyle name="Normal 12 4 3 3" xfId="5500" xr:uid="{00000000-0005-0000-0000-00004D0E0000}"/>
    <cellStyle name="Normal 12 4 3 3 2" xfId="13935" xr:uid="{8CFEBC1C-B855-42C9-ACBC-05C2DD6EE215}"/>
    <cellStyle name="Normal 12 4 3 4" xfId="9717" xr:uid="{1DF9F412-7B64-4600-A817-81900A755AA6}"/>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8E887B98-7056-4749-BBF5-E02E26EBD97E}"/>
    <cellStyle name="Normal 12 4 4 2 3" xfId="12275" xr:uid="{DEE98A44-F3B5-4F92-B260-E9A4444748DB}"/>
    <cellStyle name="Normal 12 4 4 3" xfId="5913" xr:uid="{00000000-0005-0000-0000-0000510E0000}"/>
    <cellStyle name="Normal 12 4 4 3 2" xfId="14348" xr:uid="{79E2C5D7-D328-49D8-B13C-E404D854BAA3}"/>
    <cellStyle name="Normal 12 4 4 4" xfId="10130" xr:uid="{278910F2-F8B3-4EA0-ACA2-6BCE7E98ABEC}"/>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E5B8C094-0611-4953-8FFB-42B1BEA1C17B}"/>
    <cellStyle name="Normal 12 4 5 2 3" xfId="12688" xr:uid="{FA0B9224-401B-4CE0-A371-A097E577028C}"/>
    <cellStyle name="Normal 12 4 5 3" xfId="6326" xr:uid="{00000000-0005-0000-0000-0000550E0000}"/>
    <cellStyle name="Normal 12 4 5 3 2" xfId="14761" xr:uid="{9FC3229B-217E-49C8-884B-1F9FEEA690ED}"/>
    <cellStyle name="Normal 12 4 5 4" xfId="10543" xr:uid="{2BC3AC6F-4535-4213-B0C4-75D811BDB722}"/>
    <cellStyle name="Normal 12 4 6" xfId="2455" xr:uid="{00000000-0005-0000-0000-0000560E0000}"/>
    <cellStyle name="Normal 12 4 6 2" xfId="6739" xr:uid="{00000000-0005-0000-0000-0000570E0000}"/>
    <cellStyle name="Normal 12 4 6 2 2" xfId="15174" xr:uid="{9228C5C0-1D45-466C-AC43-74F966807425}"/>
    <cellStyle name="Normal 12 4 6 3" xfId="10956" xr:uid="{A6D48313-EFFA-4DC4-A2B9-BFED585DA12C}"/>
    <cellStyle name="Normal 12 4 7" xfId="4673" xr:uid="{00000000-0005-0000-0000-0000580E0000}"/>
    <cellStyle name="Normal 12 4 7 2" xfId="13108" xr:uid="{34D229B4-CF90-4BF3-B3D0-4EFD570F70C8}"/>
    <cellStyle name="Normal 12 4 8" xfId="8890" xr:uid="{787807BB-BCF5-4D1E-BF79-9F3A2DAC8D79}"/>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41A9B24A-565C-4555-AE48-4EC0D1D50B31}"/>
    <cellStyle name="Normal 12 6 2 3" xfId="11442" xr:uid="{E3ABB637-1E0B-43F9-BB8E-818C614ABE5D}"/>
    <cellStyle name="Normal 12 6 3" xfId="5080" xr:uid="{00000000-0005-0000-0000-00005D0E0000}"/>
    <cellStyle name="Normal 12 6 3 2" xfId="13515" xr:uid="{E02400C9-F76A-47D7-8523-9C80F3042D5A}"/>
    <cellStyle name="Normal 12 6 4" xfId="9297" xr:uid="{B65242C7-31EE-4AE9-9304-685FC48ED74A}"/>
    <cellStyle name="Normal 12 7" xfId="1184" xr:uid="{00000000-0005-0000-0000-00005E0E0000}"/>
    <cellStyle name="Normal 12 7 2" xfId="3415" xr:uid="{00000000-0005-0000-0000-00005F0E0000}"/>
    <cellStyle name="Normal 12 7 2 2" xfId="7638" xr:uid="{00000000-0005-0000-0000-0000600E0000}"/>
    <cellStyle name="Normal 12 7 2 2 2" xfId="16073" xr:uid="{8103DFB6-61C0-4D00-B9C1-D57193A71991}"/>
    <cellStyle name="Normal 12 7 2 3" xfId="11855" xr:uid="{A3909168-A416-42BE-925C-5C76CC37563B}"/>
    <cellStyle name="Normal 12 7 3" xfId="5493" xr:uid="{00000000-0005-0000-0000-0000610E0000}"/>
    <cellStyle name="Normal 12 7 3 2" xfId="13928" xr:uid="{E26E1E31-AD5B-4178-8416-2624DC6FB54C}"/>
    <cellStyle name="Normal 12 7 4" xfId="9710" xr:uid="{68EA11DC-6070-44BE-BDA1-6969C3A96F77}"/>
    <cellStyle name="Normal 12 8" xfId="1598" xr:uid="{00000000-0005-0000-0000-0000620E0000}"/>
    <cellStyle name="Normal 12 8 2" xfId="3828" xr:uid="{00000000-0005-0000-0000-0000630E0000}"/>
    <cellStyle name="Normal 12 8 2 2" xfId="8051" xr:uid="{00000000-0005-0000-0000-0000640E0000}"/>
    <cellStyle name="Normal 12 8 2 2 2" xfId="16486" xr:uid="{A003B516-A698-4E9B-891D-3D572350AA88}"/>
    <cellStyle name="Normal 12 8 2 3" xfId="12268" xr:uid="{4617313E-FA48-4B36-B92A-278B8388680B}"/>
    <cellStyle name="Normal 12 8 3" xfId="5906" xr:uid="{00000000-0005-0000-0000-0000650E0000}"/>
    <cellStyle name="Normal 12 8 3 2" xfId="14341" xr:uid="{05C059DD-17B5-486B-8DCC-36918795194C}"/>
    <cellStyle name="Normal 12 8 4" xfId="10123" xr:uid="{41F667A1-D1FB-4DE3-9554-65DFCA462BC5}"/>
    <cellStyle name="Normal 12 9" xfId="2012" xr:uid="{00000000-0005-0000-0000-0000660E0000}"/>
    <cellStyle name="Normal 12 9 2" xfId="4241" xr:uid="{00000000-0005-0000-0000-0000670E0000}"/>
    <cellStyle name="Normal 12 9 2 2" xfId="8464" xr:uid="{00000000-0005-0000-0000-0000680E0000}"/>
    <cellStyle name="Normal 12 9 2 2 2" xfId="16899" xr:uid="{410FF25E-093E-4D52-B1EA-C686A0C85BAD}"/>
    <cellStyle name="Normal 12 9 2 3" xfId="12681" xr:uid="{09147577-4E78-43FD-9DDC-FD2DF4E4652F}"/>
    <cellStyle name="Normal 12 9 3" xfId="6319" xr:uid="{00000000-0005-0000-0000-0000690E0000}"/>
    <cellStyle name="Normal 12 9 3 2" xfId="14754" xr:uid="{3032CFEC-6507-4F09-B762-511AEB85875A}"/>
    <cellStyle name="Normal 12 9 4" xfId="10536" xr:uid="{E1D3A3AA-80F9-4039-B5A0-FA8092FB1528}"/>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383E2C99-4899-4502-848E-9E554C31E26A}"/>
    <cellStyle name="Normal 14 2 2 3" xfId="11450" xr:uid="{8573C6F4-279B-41AB-8232-268523C79973}"/>
    <cellStyle name="Normal 14 2 3" xfId="5088" xr:uid="{00000000-0005-0000-0000-0000700E0000}"/>
    <cellStyle name="Normal 14 2 3 2" xfId="13523" xr:uid="{D4813B69-7F35-4B78-B122-6D0EEEFC5D3C}"/>
    <cellStyle name="Normal 14 2 4" xfId="9305" xr:uid="{46DDA95E-7C0D-4B22-9E9B-8D081C95B0A8}"/>
    <cellStyle name="Normal 14 3" xfId="1192" xr:uid="{00000000-0005-0000-0000-0000710E0000}"/>
    <cellStyle name="Normal 14 3 2" xfId="3423" xr:uid="{00000000-0005-0000-0000-0000720E0000}"/>
    <cellStyle name="Normal 14 3 2 2" xfId="7646" xr:uid="{00000000-0005-0000-0000-0000730E0000}"/>
    <cellStyle name="Normal 14 3 2 2 2" xfId="16081" xr:uid="{20C54061-A8EA-44F5-AFA9-2B0A71FC4165}"/>
    <cellStyle name="Normal 14 3 2 3" xfId="11863" xr:uid="{F61C3882-7A97-4BF0-955C-938853D82010}"/>
    <cellStyle name="Normal 14 3 3" xfId="5501" xr:uid="{00000000-0005-0000-0000-0000740E0000}"/>
    <cellStyle name="Normal 14 3 3 2" xfId="13936" xr:uid="{D9DCA657-D43C-4060-A5AD-01452067BAFF}"/>
    <cellStyle name="Normal 14 3 4" xfId="9718" xr:uid="{A32E9E06-E4EC-4D95-8ED4-4DE902966261}"/>
    <cellStyle name="Normal 14 4" xfId="1606" xr:uid="{00000000-0005-0000-0000-0000750E0000}"/>
    <cellStyle name="Normal 14 4 2" xfId="3836" xr:uid="{00000000-0005-0000-0000-0000760E0000}"/>
    <cellStyle name="Normal 14 4 2 2" xfId="8059" xr:uid="{00000000-0005-0000-0000-0000770E0000}"/>
    <cellStyle name="Normal 14 4 2 2 2" xfId="16494" xr:uid="{162AFBD8-3033-476E-800A-11ADED937199}"/>
    <cellStyle name="Normal 14 4 2 3" xfId="12276" xr:uid="{B4FD1AFE-434F-47EC-BDF7-C79441115897}"/>
    <cellStyle name="Normal 14 4 3" xfId="5914" xr:uid="{00000000-0005-0000-0000-0000780E0000}"/>
    <cellStyle name="Normal 14 4 3 2" xfId="14349" xr:uid="{F0BB4516-467E-4281-931B-4E4D8601A847}"/>
    <cellStyle name="Normal 14 4 4" xfId="10131" xr:uid="{E5E7BB56-DAB3-4ACC-B965-D29627167F19}"/>
    <cellStyle name="Normal 14 5" xfId="2020" xr:uid="{00000000-0005-0000-0000-0000790E0000}"/>
    <cellStyle name="Normal 14 5 2" xfId="4249" xr:uid="{00000000-0005-0000-0000-00007A0E0000}"/>
    <cellStyle name="Normal 14 5 2 2" xfId="8472" xr:uid="{00000000-0005-0000-0000-00007B0E0000}"/>
    <cellStyle name="Normal 14 5 2 2 2" xfId="16907" xr:uid="{3591F14D-DAB0-4BAC-BE69-979974BDFBD7}"/>
    <cellStyle name="Normal 14 5 2 3" xfId="12689" xr:uid="{4FF4D707-3386-458B-8A3F-29E64249C7AF}"/>
    <cellStyle name="Normal 14 5 3" xfId="6327" xr:uid="{00000000-0005-0000-0000-00007C0E0000}"/>
    <cellStyle name="Normal 14 5 3 2" xfId="14762" xr:uid="{112F9670-67A0-4C46-91B4-77C837A5FA1B}"/>
    <cellStyle name="Normal 14 5 4" xfId="10544" xr:uid="{58ED1688-8EDA-48FB-A672-780092203E85}"/>
    <cellStyle name="Normal 14 6" xfId="2456" xr:uid="{00000000-0005-0000-0000-00007D0E0000}"/>
    <cellStyle name="Normal 14 6 2" xfId="6740" xr:uid="{00000000-0005-0000-0000-00007E0E0000}"/>
    <cellStyle name="Normal 14 6 2 2" xfId="15175" xr:uid="{46D3DA02-C8E7-49C2-9F37-7F0906999043}"/>
    <cellStyle name="Normal 14 6 3" xfId="10957" xr:uid="{1E1385A2-C6FB-4D32-982F-81E920995318}"/>
    <cellStyle name="Normal 14 7" xfId="4674" xr:uid="{00000000-0005-0000-0000-00007F0E0000}"/>
    <cellStyle name="Normal 14 7 2" xfId="13109" xr:uid="{47AC9F4C-D341-4E84-AB4A-97E7F412876F}"/>
    <cellStyle name="Normal 14 8" xfId="8891" xr:uid="{4D71F0AD-CD04-474B-B65B-CD716ECB7452}"/>
    <cellStyle name="Normal 15" xfId="4497" xr:uid="{00000000-0005-0000-0000-0000800E0000}"/>
    <cellStyle name="Normal 15 2" xfId="12935" xr:uid="{736E4436-5D80-43EC-9973-13736A3EC6BD}"/>
    <cellStyle name="Normal 16" xfId="4501" xr:uid="{00000000-0005-0000-0000-0000810E0000}"/>
    <cellStyle name="Normal 16 2" xfId="8717" xr:uid="{00000000-0005-0000-0000-0000820E0000}"/>
    <cellStyle name="Normal 16 3" xfId="8720" xr:uid="{3DE1BEEB-61FA-4094-B10F-9E0444F68763}"/>
    <cellStyle name="Normal 16 4" xfId="12938" xr:uid="{16689DC1-4C92-4B0B-87EA-60C7A059F6E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04C1E630-CE35-4FC1-BEB8-08BB6580F64A}"/>
    <cellStyle name="Normal 2 4 2 10 2 3" xfId="12690" xr:uid="{9AD2AAD8-10EF-4763-853F-2C22F4B12573}"/>
    <cellStyle name="Normal 2 4 2 10 3" xfId="6328" xr:uid="{00000000-0005-0000-0000-0000910E0000}"/>
    <cellStyle name="Normal 2 4 2 10 3 2" xfId="14763" xr:uid="{F8E58BE7-5807-459A-B84F-E0D984EC05B2}"/>
    <cellStyle name="Normal 2 4 2 10 4" xfId="10545" xr:uid="{5C10DD96-25AE-49D8-991C-E21D54D1A1E7}"/>
    <cellStyle name="Normal 2 4 2 11" xfId="2457" xr:uid="{00000000-0005-0000-0000-0000920E0000}"/>
    <cellStyle name="Normal 2 4 2 11 2" xfId="6741" xr:uid="{00000000-0005-0000-0000-0000930E0000}"/>
    <cellStyle name="Normal 2 4 2 11 2 2" xfId="15176" xr:uid="{0123C603-6839-4BCA-98DD-4AF017A91C86}"/>
    <cellStyle name="Normal 2 4 2 11 3" xfId="10958" xr:uid="{E28491C4-E952-429A-851D-715450F231F5}"/>
    <cellStyle name="Normal 2 4 2 12" xfId="4675" xr:uid="{00000000-0005-0000-0000-0000940E0000}"/>
    <cellStyle name="Normal 2 4 2 12 2" xfId="13110" xr:uid="{51189E37-3DE4-4950-979B-CBDB5708231C}"/>
    <cellStyle name="Normal 2 4 2 13" xfId="8892" xr:uid="{E7B95E8D-EEBF-4FE2-B6D6-63A791710D0C}"/>
    <cellStyle name="Normal 2 4 2 2" xfId="280" xr:uid="{00000000-0005-0000-0000-0000950E0000}"/>
    <cellStyle name="Normal 2 4 2 3" xfId="281" xr:uid="{00000000-0005-0000-0000-0000960E0000}"/>
    <cellStyle name="Normal 2 4 2 3 10" xfId="4676" xr:uid="{00000000-0005-0000-0000-0000970E0000}"/>
    <cellStyle name="Normal 2 4 2 3 10 2" xfId="13111" xr:uid="{E86B5E55-9665-46CA-81DA-7388DE586A05}"/>
    <cellStyle name="Normal 2 4 2 3 11" xfId="8893" xr:uid="{DDBA98BC-D24B-4716-9BED-D833E0B83AF7}"/>
    <cellStyle name="Normal 2 4 2 3 2" xfId="282" xr:uid="{00000000-0005-0000-0000-0000980E0000}"/>
    <cellStyle name="Normal 2 4 2 3 2 10" xfId="8894" xr:uid="{3CD1457B-B326-4303-94D0-EAAAE15D05CB}"/>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19B33414-7BB3-47E6-AAD2-023FECAF7103}"/>
    <cellStyle name="Normal 2 4 2 3 2 2 2 2 2 3" xfId="11455" xr:uid="{916ABB02-107F-4CB1-A022-42975EB1CBD2}"/>
    <cellStyle name="Normal 2 4 2 3 2 2 2 2 3" xfId="5093" xr:uid="{00000000-0005-0000-0000-00009E0E0000}"/>
    <cellStyle name="Normal 2 4 2 3 2 2 2 2 3 2" xfId="13528" xr:uid="{30247E2B-EBB9-4E31-A1D6-EB06761CF590}"/>
    <cellStyle name="Normal 2 4 2 3 2 2 2 2 4" xfId="9310" xr:uid="{46635CFC-1550-48E0-B1B7-8AC6D408FCC2}"/>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63E83EDE-A537-4762-90AB-76CF63C9CA9F}"/>
    <cellStyle name="Normal 2 4 2 3 2 2 2 3 2 3" xfId="11868" xr:uid="{039D0E0A-CC89-44FC-9B15-820B5AFC3768}"/>
    <cellStyle name="Normal 2 4 2 3 2 2 2 3 3" xfId="5506" xr:uid="{00000000-0005-0000-0000-0000A20E0000}"/>
    <cellStyle name="Normal 2 4 2 3 2 2 2 3 3 2" xfId="13941" xr:uid="{91CF54C1-3BF6-45C7-9A31-AB0491CDDD78}"/>
    <cellStyle name="Normal 2 4 2 3 2 2 2 3 4" xfId="9723" xr:uid="{39B3642F-3B9D-4C3D-8103-B99E0D281372}"/>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DF39C9D7-ED52-43E1-A6B0-851C18EA0848}"/>
    <cellStyle name="Normal 2 4 2 3 2 2 2 4 2 3" xfId="12281" xr:uid="{17BC066A-B72D-4769-9314-7C4FC2FF0749}"/>
    <cellStyle name="Normal 2 4 2 3 2 2 2 4 3" xfId="5919" xr:uid="{00000000-0005-0000-0000-0000A60E0000}"/>
    <cellStyle name="Normal 2 4 2 3 2 2 2 4 3 2" xfId="14354" xr:uid="{7EF42306-0D03-46AC-84AF-8218EA19FB1A}"/>
    <cellStyle name="Normal 2 4 2 3 2 2 2 4 4" xfId="10136" xr:uid="{C6712522-FE35-4A43-A95B-3EAF9C55D15C}"/>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D513FDDC-3C57-4A48-98C2-92E883B687BC}"/>
    <cellStyle name="Normal 2 4 2 3 2 2 2 5 2 3" xfId="12694" xr:uid="{5E0D8E6E-A240-49DF-94A6-2C3B0BB1D4F9}"/>
    <cellStyle name="Normal 2 4 2 3 2 2 2 5 3" xfId="6332" xr:uid="{00000000-0005-0000-0000-0000AA0E0000}"/>
    <cellStyle name="Normal 2 4 2 3 2 2 2 5 3 2" xfId="14767" xr:uid="{FF02962C-0DA0-49ED-A365-E5598337C1B4}"/>
    <cellStyle name="Normal 2 4 2 3 2 2 2 5 4" xfId="10549" xr:uid="{88AA15F5-D5D7-4455-850D-B406F2DA3163}"/>
    <cellStyle name="Normal 2 4 2 3 2 2 2 6" xfId="2461" xr:uid="{00000000-0005-0000-0000-0000AB0E0000}"/>
    <cellStyle name="Normal 2 4 2 3 2 2 2 6 2" xfId="6745" xr:uid="{00000000-0005-0000-0000-0000AC0E0000}"/>
    <cellStyle name="Normal 2 4 2 3 2 2 2 6 2 2" xfId="15180" xr:uid="{273CEFC3-2C01-43A2-AE94-724EB6A6F5B0}"/>
    <cellStyle name="Normal 2 4 2 3 2 2 2 6 3" xfId="10962" xr:uid="{D1E016EE-DF44-4DEB-9C83-76C1A9E2D9B6}"/>
    <cellStyle name="Normal 2 4 2 3 2 2 2 7" xfId="4679" xr:uid="{00000000-0005-0000-0000-0000AD0E0000}"/>
    <cellStyle name="Normal 2 4 2 3 2 2 2 7 2" xfId="13114" xr:uid="{F454B0CF-50BB-40A3-8266-B2DC4A34A980}"/>
    <cellStyle name="Normal 2 4 2 3 2 2 2 8" xfId="8896" xr:uid="{F809AF1C-747C-4E4A-80D0-92B65E9D0D0F}"/>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CD18F77C-63DA-41A2-B68C-2525C97A1573}"/>
    <cellStyle name="Normal 2 4 2 3 2 2 3 2 3" xfId="11454" xr:uid="{0EB5779D-724C-4A78-9871-38081F2FDE1C}"/>
    <cellStyle name="Normal 2 4 2 3 2 2 3 3" xfId="5092" xr:uid="{00000000-0005-0000-0000-0000B10E0000}"/>
    <cellStyle name="Normal 2 4 2 3 2 2 3 3 2" xfId="13527" xr:uid="{09D20559-7159-4E00-B089-800013994D20}"/>
    <cellStyle name="Normal 2 4 2 3 2 2 3 4" xfId="9309" xr:uid="{BC7857A6-7FA9-4D5A-911B-73E401147FA4}"/>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636E588F-8B5E-4C18-BC8B-8025C3A14D56}"/>
    <cellStyle name="Normal 2 4 2 3 2 2 4 2 3" xfId="11867" xr:uid="{A6F1AFB0-9764-4D89-95D9-8D6C3A24C13D}"/>
    <cellStyle name="Normal 2 4 2 3 2 2 4 3" xfId="5505" xr:uid="{00000000-0005-0000-0000-0000B50E0000}"/>
    <cellStyle name="Normal 2 4 2 3 2 2 4 3 2" xfId="13940" xr:uid="{296B1B7D-9A81-46C7-8188-63E3C96EFCD4}"/>
    <cellStyle name="Normal 2 4 2 3 2 2 4 4" xfId="9722" xr:uid="{65D6A86B-D939-4AD3-B35F-32352EAC738D}"/>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C07E360B-B5A6-40F4-BF0F-3020BAFA688D}"/>
    <cellStyle name="Normal 2 4 2 3 2 2 5 2 3" xfId="12280" xr:uid="{9B33B2BA-6D52-4FC3-AEC4-1FDD4B9D2B17}"/>
    <cellStyle name="Normal 2 4 2 3 2 2 5 3" xfId="5918" xr:uid="{00000000-0005-0000-0000-0000B90E0000}"/>
    <cellStyle name="Normal 2 4 2 3 2 2 5 3 2" xfId="14353" xr:uid="{BF3649AF-5504-4CCA-9DAA-617C17919362}"/>
    <cellStyle name="Normal 2 4 2 3 2 2 5 4" xfId="10135" xr:uid="{9042B1D6-B4B2-48C2-ADD3-8C5AB98E4247}"/>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95827561-82BB-46E0-AC33-B68FB3C4C450}"/>
    <cellStyle name="Normal 2 4 2 3 2 2 6 2 3" xfId="12693" xr:uid="{A2D3D0BA-FC4E-4A06-86A2-C601D2F00CA2}"/>
    <cellStyle name="Normal 2 4 2 3 2 2 6 3" xfId="6331" xr:uid="{00000000-0005-0000-0000-0000BD0E0000}"/>
    <cellStyle name="Normal 2 4 2 3 2 2 6 3 2" xfId="14766" xr:uid="{749D1C3E-1455-4364-81D7-B65B5777212F}"/>
    <cellStyle name="Normal 2 4 2 3 2 2 6 4" xfId="10548" xr:uid="{46B2832B-EC83-43F1-A630-EA825437E324}"/>
    <cellStyle name="Normal 2 4 2 3 2 2 7" xfId="2460" xr:uid="{00000000-0005-0000-0000-0000BE0E0000}"/>
    <cellStyle name="Normal 2 4 2 3 2 2 7 2" xfId="6744" xr:uid="{00000000-0005-0000-0000-0000BF0E0000}"/>
    <cellStyle name="Normal 2 4 2 3 2 2 7 2 2" xfId="15179" xr:uid="{0B31AFB4-0B2C-41D1-AB53-7F5ADF2BA80F}"/>
    <cellStyle name="Normal 2 4 2 3 2 2 7 3" xfId="10961" xr:uid="{002AA4C9-C25E-4FA3-AF8C-FDF0B40D6E77}"/>
    <cellStyle name="Normal 2 4 2 3 2 2 8" xfId="4678" xr:uid="{00000000-0005-0000-0000-0000C00E0000}"/>
    <cellStyle name="Normal 2 4 2 3 2 2 8 2" xfId="13113" xr:uid="{158B254D-E670-4926-8E11-308ABCAABC1D}"/>
    <cellStyle name="Normal 2 4 2 3 2 2 9" xfId="8895" xr:uid="{19E6C796-E793-45CD-8684-D6D380B1A1D2}"/>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9AFF5B42-31A7-410C-B4BF-EC8CE9137151}"/>
    <cellStyle name="Normal 2 4 2 3 2 3 2 2 3" xfId="11456" xr:uid="{15AFA1EE-FCB1-4C54-8C77-5EAA87E500ED}"/>
    <cellStyle name="Normal 2 4 2 3 2 3 2 3" xfId="5094" xr:uid="{00000000-0005-0000-0000-0000C50E0000}"/>
    <cellStyle name="Normal 2 4 2 3 2 3 2 3 2" xfId="13529" xr:uid="{04F7A9BC-5546-4E86-8BB3-5AFB78C83423}"/>
    <cellStyle name="Normal 2 4 2 3 2 3 2 4" xfId="9311" xr:uid="{3A97B539-F05C-4B10-AF9F-E53440F8812B}"/>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4F4DCC69-6491-4409-8ECA-1E2CAC203A64}"/>
    <cellStyle name="Normal 2 4 2 3 2 3 3 2 3" xfId="11869" xr:uid="{41AA5E71-FEE3-4DF6-A01C-DD10CEADB0AC}"/>
    <cellStyle name="Normal 2 4 2 3 2 3 3 3" xfId="5507" xr:uid="{00000000-0005-0000-0000-0000C90E0000}"/>
    <cellStyle name="Normal 2 4 2 3 2 3 3 3 2" xfId="13942" xr:uid="{B79FFB00-65D4-4F5E-84FE-A6A7BC5B141F}"/>
    <cellStyle name="Normal 2 4 2 3 2 3 3 4" xfId="9724" xr:uid="{F6BE0399-A1C8-4463-A95C-BFB06176DAF6}"/>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52117E8A-AE20-41CF-9C1A-98AEB9B60960}"/>
    <cellStyle name="Normal 2 4 2 3 2 3 4 2 3" xfId="12282" xr:uid="{3528535F-D7C9-4E5B-ABCF-FA43D8169AE8}"/>
    <cellStyle name="Normal 2 4 2 3 2 3 4 3" xfId="5920" xr:uid="{00000000-0005-0000-0000-0000CD0E0000}"/>
    <cellStyle name="Normal 2 4 2 3 2 3 4 3 2" xfId="14355" xr:uid="{5EBD54B6-A0A6-4FCC-9B81-A1786C1524DA}"/>
    <cellStyle name="Normal 2 4 2 3 2 3 4 4" xfId="10137" xr:uid="{13617751-FE08-4E92-B9AD-F0B3348C72F9}"/>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C772C77B-A260-4C76-A272-7B2F97B0800F}"/>
    <cellStyle name="Normal 2 4 2 3 2 3 5 2 3" xfId="12695" xr:uid="{705B5AD0-E8C9-40ED-AB7A-5253CE735179}"/>
    <cellStyle name="Normal 2 4 2 3 2 3 5 3" xfId="6333" xr:uid="{00000000-0005-0000-0000-0000D10E0000}"/>
    <cellStyle name="Normal 2 4 2 3 2 3 5 3 2" xfId="14768" xr:uid="{FB1A259B-4603-47B2-9729-3F4503F017BC}"/>
    <cellStyle name="Normal 2 4 2 3 2 3 5 4" xfId="10550" xr:uid="{B999DDEE-C3C9-47A1-B0D8-8CB39E862F86}"/>
    <cellStyle name="Normal 2 4 2 3 2 3 6" xfId="2462" xr:uid="{00000000-0005-0000-0000-0000D20E0000}"/>
    <cellStyle name="Normal 2 4 2 3 2 3 6 2" xfId="6746" xr:uid="{00000000-0005-0000-0000-0000D30E0000}"/>
    <cellStyle name="Normal 2 4 2 3 2 3 6 2 2" xfId="15181" xr:uid="{394C6741-721F-4CBB-9297-DBB025853222}"/>
    <cellStyle name="Normal 2 4 2 3 2 3 6 3" xfId="10963" xr:uid="{928C14CC-8727-4032-AF25-55BAD698A5DB}"/>
    <cellStyle name="Normal 2 4 2 3 2 3 7" xfId="4680" xr:uid="{00000000-0005-0000-0000-0000D40E0000}"/>
    <cellStyle name="Normal 2 4 2 3 2 3 7 2" xfId="13115" xr:uid="{E49D5BFF-04E6-46D0-BBA6-537137227AF2}"/>
    <cellStyle name="Normal 2 4 2 3 2 3 8" xfId="8897" xr:uid="{70543CD7-DF23-4F18-A0BA-0539A6D9E6B9}"/>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1FBA247B-30E5-41C3-B691-A84B1739C736}"/>
    <cellStyle name="Normal 2 4 2 3 2 4 2 3" xfId="11453" xr:uid="{D49FEE89-BF29-47BA-8623-9036A63B7412}"/>
    <cellStyle name="Normal 2 4 2 3 2 4 3" xfId="5091" xr:uid="{00000000-0005-0000-0000-0000D80E0000}"/>
    <cellStyle name="Normal 2 4 2 3 2 4 3 2" xfId="13526" xr:uid="{6D739A80-B1CF-4D65-BF8D-B9573469C048}"/>
    <cellStyle name="Normal 2 4 2 3 2 4 4" xfId="9308" xr:uid="{7782974C-208D-4728-BAFD-3844CEFA8585}"/>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6B2D8909-E6A5-406A-9B14-A664815ADF0B}"/>
    <cellStyle name="Normal 2 4 2 3 2 5 2 3" xfId="11866" xr:uid="{E537F5AD-E87A-47A0-889A-0EA15C1572CB}"/>
    <cellStyle name="Normal 2 4 2 3 2 5 3" xfId="5504" xr:uid="{00000000-0005-0000-0000-0000DC0E0000}"/>
    <cellStyle name="Normal 2 4 2 3 2 5 3 2" xfId="13939" xr:uid="{BF67CF8E-D858-4C8B-AD6B-2F6542070B18}"/>
    <cellStyle name="Normal 2 4 2 3 2 5 4" xfId="9721" xr:uid="{255197E4-325D-49DA-9AC3-5F3F0E398BFF}"/>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072E88FC-AEFC-40C1-A759-0D1F034A836C}"/>
    <cellStyle name="Normal 2 4 2 3 2 6 2 3" xfId="12279" xr:uid="{CC9BC7BE-522A-498B-A6F2-005131E7DDD3}"/>
    <cellStyle name="Normal 2 4 2 3 2 6 3" xfId="5917" xr:uid="{00000000-0005-0000-0000-0000E00E0000}"/>
    <cellStyle name="Normal 2 4 2 3 2 6 3 2" xfId="14352" xr:uid="{6CB3D1AB-5087-4562-8FD7-13D94C364A75}"/>
    <cellStyle name="Normal 2 4 2 3 2 6 4" xfId="10134" xr:uid="{82E133EA-4305-4B96-A278-82B4E8299A88}"/>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B4D8AC08-A748-4474-A5B1-28D437C81717}"/>
    <cellStyle name="Normal 2 4 2 3 2 7 2 3" xfId="12692" xr:uid="{FE11F694-358C-48A1-AB8B-7B2FB0DBE30D}"/>
    <cellStyle name="Normal 2 4 2 3 2 7 3" xfId="6330" xr:uid="{00000000-0005-0000-0000-0000E40E0000}"/>
    <cellStyle name="Normal 2 4 2 3 2 7 3 2" xfId="14765" xr:uid="{FD8EE44B-9A2B-44D3-90DA-C7041EBB2943}"/>
    <cellStyle name="Normal 2 4 2 3 2 7 4" xfId="10547" xr:uid="{CE696CDF-72E6-4FF1-8FDC-79B3E7C019F3}"/>
    <cellStyle name="Normal 2 4 2 3 2 8" xfId="2459" xr:uid="{00000000-0005-0000-0000-0000E50E0000}"/>
    <cellStyle name="Normal 2 4 2 3 2 8 2" xfId="6743" xr:uid="{00000000-0005-0000-0000-0000E60E0000}"/>
    <cellStyle name="Normal 2 4 2 3 2 8 2 2" xfId="15178" xr:uid="{93A987EE-D74F-45F0-8B99-B0C5435F83E0}"/>
    <cellStyle name="Normal 2 4 2 3 2 8 3" xfId="10960" xr:uid="{9F54E126-48A4-444D-B4D5-72DA9FB4B4D3}"/>
    <cellStyle name="Normal 2 4 2 3 2 9" xfId="4677" xr:uid="{00000000-0005-0000-0000-0000E70E0000}"/>
    <cellStyle name="Normal 2 4 2 3 2 9 2" xfId="13112" xr:uid="{E3907B7C-AE79-4850-AB64-97BFA6ECCD4B}"/>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6DFA1AEF-1273-4992-B054-4359EAAF8B4A}"/>
    <cellStyle name="Normal 2 4 2 3 3 2 2 2 3" xfId="11458" xr:uid="{DD6E969A-CDD4-4508-B65C-01BD00BC1086}"/>
    <cellStyle name="Normal 2 4 2 3 3 2 2 3" xfId="5096" xr:uid="{00000000-0005-0000-0000-0000ED0E0000}"/>
    <cellStyle name="Normal 2 4 2 3 3 2 2 3 2" xfId="13531" xr:uid="{AB86D1BB-3B21-499C-9A64-703C7C95BF5C}"/>
    <cellStyle name="Normal 2 4 2 3 3 2 2 4" xfId="9313" xr:uid="{63239D07-EC7F-40B6-AC54-CBDE81B8D849}"/>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D3EDF45E-DCB7-4CA2-B063-7247979B31EA}"/>
    <cellStyle name="Normal 2 4 2 3 3 2 3 2 3" xfId="11871" xr:uid="{A46B6545-2F49-4B88-9290-676644A96892}"/>
    <cellStyle name="Normal 2 4 2 3 3 2 3 3" xfId="5509" xr:uid="{00000000-0005-0000-0000-0000F10E0000}"/>
    <cellStyle name="Normal 2 4 2 3 3 2 3 3 2" xfId="13944" xr:uid="{000A4547-473D-45A4-939D-BC17E75CA814}"/>
    <cellStyle name="Normal 2 4 2 3 3 2 3 4" xfId="9726" xr:uid="{E9D28FDC-5983-4E43-9C52-954BF0C22C04}"/>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F10DEC47-332E-436C-9976-C9588624D258}"/>
    <cellStyle name="Normal 2 4 2 3 3 2 4 2 3" xfId="12284" xr:uid="{4ADDD558-364C-458A-BD1A-74A414BAA406}"/>
    <cellStyle name="Normal 2 4 2 3 3 2 4 3" xfId="5922" xr:uid="{00000000-0005-0000-0000-0000F50E0000}"/>
    <cellStyle name="Normal 2 4 2 3 3 2 4 3 2" xfId="14357" xr:uid="{DD9ECAD3-DCD8-4F50-817B-CCE0ECC56197}"/>
    <cellStyle name="Normal 2 4 2 3 3 2 4 4" xfId="10139" xr:uid="{59F37E76-CCD2-4C91-8FAD-C40A39D443F5}"/>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8733FC6E-6E89-4938-993F-3E3B929C1A63}"/>
    <cellStyle name="Normal 2 4 2 3 3 2 5 2 3" xfId="12697" xr:uid="{E8A9D127-7DA2-4728-A823-49ABDC60011D}"/>
    <cellStyle name="Normal 2 4 2 3 3 2 5 3" xfId="6335" xr:uid="{00000000-0005-0000-0000-0000F90E0000}"/>
    <cellStyle name="Normal 2 4 2 3 3 2 5 3 2" xfId="14770" xr:uid="{BB152B35-3C31-44F3-9739-49E0C6359BED}"/>
    <cellStyle name="Normal 2 4 2 3 3 2 5 4" xfId="10552" xr:uid="{A1CA5087-CFAC-47CA-B5A2-662D6A796440}"/>
    <cellStyle name="Normal 2 4 2 3 3 2 6" xfId="2464" xr:uid="{00000000-0005-0000-0000-0000FA0E0000}"/>
    <cellStyle name="Normal 2 4 2 3 3 2 6 2" xfId="6748" xr:uid="{00000000-0005-0000-0000-0000FB0E0000}"/>
    <cellStyle name="Normal 2 4 2 3 3 2 6 2 2" xfId="15183" xr:uid="{F8264F07-0337-45EC-8039-2E2F6FF56D51}"/>
    <cellStyle name="Normal 2 4 2 3 3 2 6 3" xfId="10965" xr:uid="{2F6DE456-C6FF-47E5-AD9F-91803A06E063}"/>
    <cellStyle name="Normal 2 4 2 3 3 2 7" xfId="4682" xr:uid="{00000000-0005-0000-0000-0000FC0E0000}"/>
    <cellStyle name="Normal 2 4 2 3 3 2 7 2" xfId="13117" xr:uid="{C9B2A011-0D5B-4F79-8C67-0D39B9EFB36D}"/>
    <cellStyle name="Normal 2 4 2 3 3 2 8" xfId="8899" xr:uid="{AD0493B4-5CA4-4B43-B5A2-567934883AC6}"/>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201BC006-D2DE-4924-B842-8EBC6FB4ABA1}"/>
    <cellStyle name="Normal 2 4 2 3 3 3 2 3" xfId="11457" xr:uid="{A782279A-7699-49F9-B579-BC86DBFB0F16}"/>
    <cellStyle name="Normal 2 4 2 3 3 3 3" xfId="5095" xr:uid="{00000000-0005-0000-0000-0000000F0000}"/>
    <cellStyle name="Normal 2 4 2 3 3 3 3 2" xfId="13530" xr:uid="{CC978CD0-CF30-40B0-9B4E-6B1092150824}"/>
    <cellStyle name="Normal 2 4 2 3 3 3 4" xfId="9312" xr:uid="{1453DEE6-7A34-406C-B48A-15F13E2DBEAD}"/>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E55B0367-483B-4035-90E5-E43C7597D69E}"/>
    <cellStyle name="Normal 2 4 2 3 3 4 2 3" xfId="11870" xr:uid="{719BE547-D0C5-49AB-9A29-EEF29CA2681E}"/>
    <cellStyle name="Normal 2 4 2 3 3 4 3" xfId="5508" xr:uid="{00000000-0005-0000-0000-0000040F0000}"/>
    <cellStyle name="Normal 2 4 2 3 3 4 3 2" xfId="13943" xr:uid="{F4C41868-70F9-4EA9-B99E-C3E930F36368}"/>
    <cellStyle name="Normal 2 4 2 3 3 4 4" xfId="9725" xr:uid="{9BF8DC4F-48BB-47EF-91F0-CC2ACBEF89A7}"/>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4D266F78-4034-45FB-8816-8DDE55B413AB}"/>
    <cellStyle name="Normal 2 4 2 3 3 5 2 3" xfId="12283" xr:uid="{9B5C1DA1-FBE4-401D-B7EF-454C81F3C599}"/>
    <cellStyle name="Normal 2 4 2 3 3 5 3" xfId="5921" xr:uid="{00000000-0005-0000-0000-0000080F0000}"/>
    <cellStyle name="Normal 2 4 2 3 3 5 3 2" xfId="14356" xr:uid="{37D331F1-27B1-4D60-8A4B-33E54B32B7E3}"/>
    <cellStyle name="Normal 2 4 2 3 3 5 4" xfId="10138" xr:uid="{C3287FD5-E194-4502-B6E0-DA3CD9A1E136}"/>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0221BA47-C698-42DE-96FF-485257F83E1A}"/>
    <cellStyle name="Normal 2 4 2 3 3 6 2 3" xfId="12696" xr:uid="{D3B5CFCA-D332-48A8-BAB2-E1B6171F814C}"/>
    <cellStyle name="Normal 2 4 2 3 3 6 3" xfId="6334" xr:uid="{00000000-0005-0000-0000-00000C0F0000}"/>
    <cellStyle name="Normal 2 4 2 3 3 6 3 2" xfId="14769" xr:uid="{2343195E-1D20-4327-AF68-85312CFBCE92}"/>
    <cellStyle name="Normal 2 4 2 3 3 6 4" xfId="10551" xr:uid="{FA7B8E97-4774-4A07-9854-232E21331999}"/>
    <cellStyle name="Normal 2 4 2 3 3 7" xfId="2463" xr:uid="{00000000-0005-0000-0000-00000D0F0000}"/>
    <cellStyle name="Normal 2 4 2 3 3 7 2" xfId="6747" xr:uid="{00000000-0005-0000-0000-00000E0F0000}"/>
    <cellStyle name="Normal 2 4 2 3 3 7 2 2" xfId="15182" xr:uid="{B1F12F5E-5693-4974-969B-3AD3D7C484F6}"/>
    <cellStyle name="Normal 2 4 2 3 3 7 3" xfId="10964" xr:uid="{52CB2ADC-200E-404D-A41B-2DB21583C3AF}"/>
    <cellStyle name="Normal 2 4 2 3 3 8" xfId="4681" xr:uid="{00000000-0005-0000-0000-00000F0F0000}"/>
    <cellStyle name="Normal 2 4 2 3 3 8 2" xfId="13116" xr:uid="{472C0D25-6F51-4C25-BDBF-3F835DB1046B}"/>
    <cellStyle name="Normal 2 4 2 3 3 9" xfId="8898" xr:uid="{93EA853E-DC81-41B2-BA73-09F96AE10B8E}"/>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C6B76476-CFF7-49A7-A67E-25974F5B04C6}"/>
    <cellStyle name="Normal 2 4 2 3 4 2 2 3" xfId="11459" xr:uid="{BD629385-8E56-4600-A2BA-599B8F315D80}"/>
    <cellStyle name="Normal 2 4 2 3 4 2 3" xfId="5097" xr:uid="{00000000-0005-0000-0000-0000140F0000}"/>
    <cellStyle name="Normal 2 4 2 3 4 2 3 2" xfId="13532" xr:uid="{FF3FF81B-41EB-418F-B9FD-34C700FFF92F}"/>
    <cellStyle name="Normal 2 4 2 3 4 2 4" xfId="9314" xr:uid="{246C91FC-6880-47D4-9609-67154D3C95DD}"/>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8081E92C-BFE4-4B13-8825-8DC873F825C3}"/>
    <cellStyle name="Normal 2 4 2 3 4 3 2 3" xfId="11872" xr:uid="{B8C24023-C202-4782-806A-4CD2FC6F07E6}"/>
    <cellStyle name="Normal 2 4 2 3 4 3 3" xfId="5510" xr:uid="{00000000-0005-0000-0000-0000180F0000}"/>
    <cellStyle name="Normal 2 4 2 3 4 3 3 2" xfId="13945" xr:uid="{08292EF2-E2A9-42A5-87EF-B0BFACDA8F23}"/>
    <cellStyle name="Normal 2 4 2 3 4 3 4" xfId="9727" xr:uid="{442A2290-A59C-4F71-B279-AB0E8BA3E7FD}"/>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B863B79A-0213-4B5B-AF46-36ED48BEC327}"/>
    <cellStyle name="Normal 2 4 2 3 4 4 2 3" xfId="12285" xr:uid="{2CFA2ECC-43DB-47B2-A678-327A1C805702}"/>
    <cellStyle name="Normal 2 4 2 3 4 4 3" xfId="5923" xr:uid="{00000000-0005-0000-0000-00001C0F0000}"/>
    <cellStyle name="Normal 2 4 2 3 4 4 3 2" xfId="14358" xr:uid="{DA16602E-E834-41E1-A0A2-924ED6D03BEC}"/>
    <cellStyle name="Normal 2 4 2 3 4 4 4" xfId="10140" xr:uid="{02B0AEB0-D977-4132-A948-A5F2270BDFDF}"/>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2AAFEF9B-F3F6-44C8-AC1B-A27FF2DFE83D}"/>
    <cellStyle name="Normal 2 4 2 3 4 5 2 3" xfId="12698" xr:uid="{0AF547FA-8980-4A48-80E9-1A8D849A46B6}"/>
    <cellStyle name="Normal 2 4 2 3 4 5 3" xfId="6336" xr:uid="{00000000-0005-0000-0000-0000200F0000}"/>
    <cellStyle name="Normal 2 4 2 3 4 5 3 2" xfId="14771" xr:uid="{DEF4AAAC-1882-4E60-B470-41559241961A}"/>
    <cellStyle name="Normal 2 4 2 3 4 5 4" xfId="10553" xr:uid="{0E861688-44A5-4545-ADA8-2C9BEC540B2E}"/>
    <cellStyle name="Normal 2 4 2 3 4 6" xfId="2465" xr:uid="{00000000-0005-0000-0000-0000210F0000}"/>
    <cellStyle name="Normal 2 4 2 3 4 6 2" xfId="6749" xr:uid="{00000000-0005-0000-0000-0000220F0000}"/>
    <cellStyle name="Normal 2 4 2 3 4 6 2 2" xfId="15184" xr:uid="{51B2B6EB-9C59-4617-AD70-85B6A0949F29}"/>
    <cellStyle name="Normal 2 4 2 3 4 6 3" xfId="10966" xr:uid="{F92631FC-AA51-4C70-AD8F-E9BB1C190D92}"/>
    <cellStyle name="Normal 2 4 2 3 4 7" xfId="4683" xr:uid="{00000000-0005-0000-0000-0000230F0000}"/>
    <cellStyle name="Normal 2 4 2 3 4 7 2" xfId="13118" xr:uid="{33F50A46-B5EF-49C3-BFBA-278EFBD8D37C}"/>
    <cellStyle name="Normal 2 4 2 3 4 8" xfId="8900" xr:uid="{6783F50F-0A6B-40CF-B6C3-C7C7422E6A0A}"/>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C9F79E53-4C15-4AAE-A440-D90FF49669A7}"/>
    <cellStyle name="Normal 2 4 2 3 5 2 3" xfId="11452" xr:uid="{0E512EA5-9D52-4258-8812-7F24B3B4CB7A}"/>
    <cellStyle name="Normal 2 4 2 3 5 3" xfId="5090" xr:uid="{00000000-0005-0000-0000-0000270F0000}"/>
    <cellStyle name="Normal 2 4 2 3 5 3 2" xfId="13525" xr:uid="{0D813F71-6728-4CE5-9E4D-C9192D13233E}"/>
    <cellStyle name="Normal 2 4 2 3 5 4" xfId="9307" xr:uid="{50C43640-E69E-4D06-A17F-58497A480D91}"/>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02926306-3810-434E-9976-C0740E2A5206}"/>
    <cellStyle name="Normal 2 4 2 3 6 2 3" xfId="11865" xr:uid="{D35FE826-EE19-43BD-8089-4774DB85D942}"/>
    <cellStyle name="Normal 2 4 2 3 6 3" xfId="5503" xr:uid="{00000000-0005-0000-0000-00002B0F0000}"/>
    <cellStyle name="Normal 2 4 2 3 6 3 2" xfId="13938" xr:uid="{355723D0-18EC-4DC4-B8E9-259A5B5518B9}"/>
    <cellStyle name="Normal 2 4 2 3 6 4" xfId="9720" xr:uid="{BD2DD722-A13A-4F23-82CE-80A06A6F22B7}"/>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9BD10CEC-E127-45E9-BFE2-81285CB32D1D}"/>
    <cellStyle name="Normal 2 4 2 3 7 2 3" xfId="12278" xr:uid="{D65F3DF5-A8EB-4300-ABBF-772E31CA915A}"/>
    <cellStyle name="Normal 2 4 2 3 7 3" xfId="5916" xr:uid="{00000000-0005-0000-0000-00002F0F0000}"/>
    <cellStyle name="Normal 2 4 2 3 7 3 2" xfId="14351" xr:uid="{A81F1D78-A037-4EEE-BA5C-8B979A782CAF}"/>
    <cellStyle name="Normal 2 4 2 3 7 4" xfId="10133" xr:uid="{E14301E3-A218-4969-8F45-DA2395977D5A}"/>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2646D1DF-677A-48F0-A0B5-C2688D706884}"/>
    <cellStyle name="Normal 2 4 2 3 8 2 3" xfId="12691" xr:uid="{E909328B-16EA-46CA-B385-A0FEF48DFB5F}"/>
    <cellStyle name="Normal 2 4 2 3 8 3" xfId="6329" xr:uid="{00000000-0005-0000-0000-0000330F0000}"/>
    <cellStyle name="Normal 2 4 2 3 8 3 2" xfId="14764" xr:uid="{F0A5DE3D-1F44-4A34-B942-9D948E3222FA}"/>
    <cellStyle name="Normal 2 4 2 3 8 4" xfId="10546" xr:uid="{872D211F-CA1C-4979-AB2B-6FB5EA0529EF}"/>
    <cellStyle name="Normal 2 4 2 3 9" xfId="2458" xr:uid="{00000000-0005-0000-0000-0000340F0000}"/>
    <cellStyle name="Normal 2 4 2 3 9 2" xfId="6742" xr:uid="{00000000-0005-0000-0000-0000350F0000}"/>
    <cellStyle name="Normal 2 4 2 3 9 2 2" xfId="15177" xr:uid="{58FC5BD4-8145-41C1-8D5C-DBA1DE3E174C}"/>
    <cellStyle name="Normal 2 4 2 3 9 3" xfId="10959" xr:uid="{8A93783D-C4A3-4FF6-B4A7-22598156D0F5}"/>
    <cellStyle name="Normal 2 4 2 4" xfId="289" xr:uid="{00000000-0005-0000-0000-0000360F0000}"/>
    <cellStyle name="Normal 2 4 2 4 10" xfId="8901" xr:uid="{39693666-F75C-4E92-A942-A269D49577AC}"/>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4B3471EF-C05E-4AA3-A8FF-4CA36BD627CC}"/>
    <cellStyle name="Normal 2 4 2 4 2 2 2 2 3" xfId="11462" xr:uid="{573B117D-086D-4A7B-B36C-4192CC817793}"/>
    <cellStyle name="Normal 2 4 2 4 2 2 2 3" xfId="5100" xr:uid="{00000000-0005-0000-0000-00003C0F0000}"/>
    <cellStyle name="Normal 2 4 2 4 2 2 2 3 2" xfId="13535" xr:uid="{3EEFFA3C-46BC-4B0E-BDAD-F22CF825B304}"/>
    <cellStyle name="Normal 2 4 2 4 2 2 2 4" xfId="9317" xr:uid="{EB7F2F4C-5CB7-4132-B0C1-A3D29AC491DB}"/>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94C791DF-3080-4C89-947E-FE1BB6F330CB}"/>
    <cellStyle name="Normal 2 4 2 4 2 2 3 2 3" xfId="11875" xr:uid="{E6118098-5806-4F01-AEF3-E6BA9C18745E}"/>
    <cellStyle name="Normal 2 4 2 4 2 2 3 3" xfId="5513" xr:uid="{00000000-0005-0000-0000-0000400F0000}"/>
    <cellStyle name="Normal 2 4 2 4 2 2 3 3 2" xfId="13948" xr:uid="{CE0A74F7-7CCF-4829-9D8E-EC5EE39F8850}"/>
    <cellStyle name="Normal 2 4 2 4 2 2 3 4" xfId="9730" xr:uid="{7E7C78E5-B694-4383-A3CF-300C35B8DE76}"/>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4E30996F-3FF2-4A79-8936-FF4F14697C4C}"/>
    <cellStyle name="Normal 2 4 2 4 2 2 4 2 3" xfId="12288" xr:uid="{DB913857-7F36-4A57-BB68-B5E5C97EAFD7}"/>
    <cellStyle name="Normal 2 4 2 4 2 2 4 3" xfId="5926" xr:uid="{00000000-0005-0000-0000-0000440F0000}"/>
    <cellStyle name="Normal 2 4 2 4 2 2 4 3 2" xfId="14361" xr:uid="{20321765-7E94-4D3B-AD4C-D75181FF9D30}"/>
    <cellStyle name="Normal 2 4 2 4 2 2 4 4" xfId="10143" xr:uid="{5424E1D3-2BCE-4905-B65A-4484129C9F06}"/>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4C4E2141-5ADB-49C8-9AFF-135464529F62}"/>
    <cellStyle name="Normal 2 4 2 4 2 2 5 2 3" xfId="12701" xr:uid="{FE3478C5-68A4-46EF-B859-DDFEFBEE6B38}"/>
    <cellStyle name="Normal 2 4 2 4 2 2 5 3" xfId="6339" xr:uid="{00000000-0005-0000-0000-0000480F0000}"/>
    <cellStyle name="Normal 2 4 2 4 2 2 5 3 2" xfId="14774" xr:uid="{D22DC9BD-2586-4677-9E6E-7F81926BA800}"/>
    <cellStyle name="Normal 2 4 2 4 2 2 5 4" xfId="10556" xr:uid="{96C0416A-3B66-4D00-BC49-E1911A0061C1}"/>
    <cellStyle name="Normal 2 4 2 4 2 2 6" xfId="2468" xr:uid="{00000000-0005-0000-0000-0000490F0000}"/>
    <cellStyle name="Normal 2 4 2 4 2 2 6 2" xfId="6752" xr:uid="{00000000-0005-0000-0000-00004A0F0000}"/>
    <cellStyle name="Normal 2 4 2 4 2 2 6 2 2" xfId="15187" xr:uid="{88AD02C9-A85E-4E94-ADA8-1E48982CAA5B}"/>
    <cellStyle name="Normal 2 4 2 4 2 2 6 3" xfId="10969" xr:uid="{F901CB61-B3C0-45D0-BB85-5C2C9430A8EB}"/>
    <cellStyle name="Normal 2 4 2 4 2 2 7" xfId="4686" xr:uid="{00000000-0005-0000-0000-00004B0F0000}"/>
    <cellStyle name="Normal 2 4 2 4 2 2 7 2" xfId="13121" xr:uid="{E4290FDD-E976-476B-99AD-BEC9DF10CDE2}"/>
    <cellStyle name="Normal 2 4 2 4 2 2 8" xfId="8903" xr:uid="{4B2B3DA7-7F47-43C9-8713-5A3351373A6D}"/>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87190EA4-7497-47A9-914C-43DF92EFA6FF}"/>
    <cellStyle name="Normal 2 4 2 4 2 3 2 3" xfId="11461" xr:uid="{AEF353B7-B9AE-44FC-AE86-6B0238039733}"/>
    <cellStyle name="Normal 2 4 2 4 2 3 3" xfId="5099" xr:uid="{00000000-0005-0000-0000-00004F0F0000}"/>
    <cellStyle name="Normal 2 4 2 4 2 3 3 2" xfId="13534" xr:uid="{37B166C1-7DF9-474A-953B-830CFE2803A5}"/>
    <cellStyle name="Normal 2 4 2 4 2 3 4" xfId="9316" xr:uid="{C4EE581E-4CEA-4019-9ABC-7798D5E3F3F2}"/>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5A32D762-9CF9-4405-98E0-435B358A58A4}"/>
    <cellStyle name="Normal 2 4 2 4 2 4 2 3" xfId="11874" xr:uid="{1B18413F-DD9E-47B5-81C2-9FFF8274F982}"/>
    <cellStyle name="Normal 2 4 2 4 2 4 3" xfId="5512" xr:uid="{00000000-0005-0000-0000-0000530F0000}"/>
    <cellStyle name="Normal 2 4 2 4 2 4 3 2" xfId="13947" xr:uid="{2E233349-EB6C-42EF-AB9C-8F21B735FB06}"/>
    <cellStyle name="Normal 2 4 2 4 2 4 4" xfId="9729" xr:uid="{7E35DE55-0088-46BB-A84E-E0CABBBD0A09}"/>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7157289C-D60A-4A3B-89A0-CC8AAFB9E393}"/>
    <cellStyle name="Normal 2 4 2 4 2 5 2 3" xfId="12287" xr:uid="{9709B919-0AC7-47B4-99E3-01E00D7E36D1}"/>
    <cellStyle name="Normal 2 4 2 4 2 5 3" xfId="5925" xr:uid="{00000000-0005-0000-0000-0000570F0000}"/>
    <cellStyle name="Normal 2 4 2 4 2 5 3 2" xfId="14360" xr:uid="{89DC0A5F-2B24-444C-BC7D-E2435AD4D46C}"/>
    <cellStyle name="Normal 2 4 2 4 2 5 4" xfId="10142" xr:uid="{E64D20EC-8D09-40F5-9E88-897C5064272C}"/>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605C5F30-3DCA-4B81-8638-EF54209BBA1E}"/>
    <cellStyle name="Normal 2 4 2 4 2 6 2 3" xfId="12700" xr:uid="{B4355B0D-4621-4F26-9961-426BC01E4183}"/>
    <cellStyle name="Normal 2 4 2 4 2 6 3" xfId="6338" xr:uid="{00000000-0005-0000-0000-00005B0F0000}"/>
    <cellStyle name="Normal 2 4 2 4 2 6 3 2" xfId="14773" xr:uid="{477ABE68-2ACB-433A-85D6-D60E68BDCF45}"/>
    <cellStyle name="Normal 2 4 2 4 2 6 4" xfId="10555" xr:uid="{247979CF-9644-4593-B57E-8FD0A08865DC}"/>
    <cellStyle name="Normal 2 4 2 4 2 7" xfId="2467" xr:uid="{00000000-0005-0000-0000-00005C0F0000}"/>
    <cellStyle name="Normal 2 4 2 4 2 7 2" xfId="6751" xr:uid="{00000000-0005-0000-0000-00005D0F0000}"/>
    <cellStyle name="Normal 2 4 2 4 2 7 2 2" xfId="15186" xr:uid="{13C0F3FF-88F4-485C-8AFB-8C21C9B3FE01}"/>
    <cellStyle name="Normal 2 4 2 4 2 7 3" xfId="10968" xr:uid="{EB4D89B5-D544-4857-A211-BC732D88953A}"/>
    <cellStyle name="Normal 2 4 2 4 2 8" xfId="4685" xr:uid="{00000000-0005-0000-0000-00005E0F0000}"/>
    <cellStyle name="Normal 2 4 2 4 2 8 2" xfId="13120" xr:uid="{0DE5B331-2CCD-4147-ACF1-8235E4303793}"/>
    <cellStyle name="Normal 2 4 2 4 2 9" xfId="8902" xr:uid="{8CA88240-8BC0-4883-AF33-D430053E82FB}"/>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4F634E8E-D4A6-4492-AD1C-C9C39086DE59}"/>
    <cellStyle name="Normal 2 4 2 4 3 2 2 3" xfId="11463" xr:uid="{96CB16D8-BC05-4FE8-95A5-3B6A449B8E90}"/>
    <cellStyle name="Normal 2 4 2 4 3 2 3" xfId="5101" xr:uid="{00000000-0005-0000-0000-0000630F0000}"/>
    <cellStyle name="Normal 2 4 2 4 3 2 3 2" xfId="13536" xr:uid="{19CF0D9B-1783-4B37-9672-4B652447A375}"/>
    <cellStyle name="Normal 2 4 2 4 3 2 4" xfId="9318" xr:uid="{9AB74F06-B96A-481A-B98E-1BBA708A0987}"/>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D6C1D5E2-EABC-4AA7-9E50-618B3F4DC8FC}"/>
    <cellStyle name="Normal 2 4 2 4 3 3 2 3" xfId="11876" xr:uid="{0908B659-E289-4E32-B266-13386F4E7E1D}"/>
    <cellStyle name="Normal 2 4 2 4 3 3 3" xfId="5514" xr:uid="{00000000-0005-0000-0000-0000670F0000}"/>
    <cellStyle name="Normal 2 4 2 4 3 3 3 2" xfId="13949" xr:uid="{A149BB65-091C-46AB-8EEA-11CB23E1273A}"/>
    <cellStyle name="Normal 2 4 2 4 3 3 4" xfId="9731" xr:uid="{5C9D6E8B-936B-4C3B-ACEF-2C10C0B54B2B}"/>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991BD4C7-3EE9-4800-B20D-44F4BC3BAE01}"/>
    <cellStyle name="Normal 2 4 2 4 3 4 2 3" xfId="12289" xr:uid="{7C3E934A-4987-49BC-BDF1-810FC0A3A785}"/>
    <cellStyle name="Normal 2 4 2 4 3 4 3" xfId="5927" xr:uid="{00000000-0005-0000-0000-00006B0F0000}"/>
    <cellStyle name="Normal 2 4 2 4 3 4 3 2" xfId="14362" xr:uid="{33CD841B-C614-4002-BF22-67E5E5C194FC}"/>
    <cellStyle name="Normal 2 4 2 4 3 4 4" xfId="10144" xr:uid="{4848D5FB-A284-46EB-BBAF-5C9C1A03C2F1}"/>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AAFD1854-5100-451E-B116-75BCD5E1CFB0}"/>
    <cellStyle name="Normal 2 4 2 4 3 5 2 3" xfId="12702" xr:uid="{82654FEA-FC92-43D2-AE26-CBE5F4AF17D5}"/>
    <cellStyle name="Normal 2 4 2 4 3 5 3" xfId="6340" xr:uid="{00000000-0005-0000-0000-00006F0F0000}"/>
    <cellStyle name="Normal 2 4 2 4 3 5 3 2" xfId="14775" xr:uid="{53156F55-9529-43A5-BFB1-3B49F368103E}"/>
    <cellStyle name="Normal 2 4 2 4 3 5 4" xfId="10557" xr:uid="{10BD5562-F98C-4E5F-BD9B-9BFA8D8EBF94}"/>
    <cellStyle name="Normal 2 4 2 4 3 6" xfId="2469" xr:uid="{00000000-0005-0000-0000-0000700F0000}"/>
    <cellStyle name="Normal 2 4 2 4 3 6 2" xfId="6753" xr:uid="{00000000-0005-0000-0000-0000710F0000}"/>
    <cellStyle name="Normal 2 4 2 4 3 6 2 2" xfId="15188" xr:uid="{20CAC657-3DF4-45EA-A200-8E45C490BF2A}"/>
    <cellStyle name="Normal 2 4 2 4 3 6 3" xfId="10970" xr:uid="{D90FBFAB-C7B0-4638-82BF-DCEB588AF1F0}"/>
    <cellStyle name="Normal 2 4 2 4 3 7" xfId="4687" xr:uid="{00000000-0005-0000-0000-0000720F0000}"/>
    <cellStyle name="Normal 2 4 2 4 3 7 2" xfId="13122" xr:uid="{696F7C4A-1A4D-454A-BB70-04DC863B1A36}"/>
    <cellStyle name="Normal 2 4 2 4 3 8" xfId="8904" xr:uid="{774572A6-4CC2-4EBA-B9BA-70C9019765C0}"/>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13DF5675-9CAA-476F-9072-48A29CB412CB}"/>
    <cellStyle name="Normal 2 4 2 4 4 2 3" xfId="11460" xr:uid="{9E0FDC33-842F-48C4-A0FD-60CC22200196}"/>
    <cellStyle name="Normal 2 4 2 4 4 3" xfId="5098" xr:uid="{00000000-0005-0000-0000-0000760F0000}"/>
    <cellStyle name="Normal 2 4 2 4 4 3 2" xfId="13533" xr:uid="{5BAB6038-B394-4755-8D40-45E3B50977D4}"/>
    <cellStyle name="Normal 2 4 2 4 4 4" xfId="9315" xr:uid="{7CA1F065-2FDC-4759-B874-287209C5B0ED}"/>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24CC06B1-FB16-4D10-89D1-62970AD90F43}"/>
    <cellStyle name="Normal 2 4 2 4 5 2 3" xfId="11873" xr:uid="{BD86A5B3-4ED2-462A-90CF-159177032B95}"/>
    <cellStyle name="Normal 2 4 2 4 5 3" xfId="5511" xr:uid="{00000000-0005-0000-0000-00007A0F0000}"/>
    <cellStyle name="Normal 2 4 2 4 5 3 2" xfId="13946" xr:uid="{0172D784-6001-494A-916A-BEA8445F2A02}"/>
    <cellStyle name="Normal 2 4 2 4 5 4" xfId="9728" xr:uid="{C41290EC-DA4F-456D-98A8-CD679BEFCB51}"/>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24F91144-4592-47D5-B6DC-8EFB1312CDFB}"/>
    <cellStyle name="Normal 2 4 2 4 6 2 3" xfId="12286" xr:uid="{DCD47FEF-3BE2-4B4A-A901-CF309A1287C4}"/>
    <cellStyle name="Normal 2 4 2 4 6 3" xfId="5924" xr:uid="{00000000-0005-0000-0000-00007E0F0000}"/>
    <cellStyle name="Normal 2 4 2 4 6 3 2" xfId="14359" xr:uid="{B0FEF04F-865A-4BC1-A1B0-D3B0AB0678B6}"/>
    <cellStyle name="Normal 2 4 2 4 6 4" xfId="10141" xr:uid="{D5DD1C36-327F-4653-8E53-71BA0F8528CF}"/>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4046B06C-AC41-45C7-ABCE-4C16ADCDF802}"/>
    <cellStyle name="Normal 2 4 2 4 7 2 3" xfId="12699" xr:uid="{12956B41-189E-43A5-A2C2-5A1E7CF9BEC9}"/>
    <cellStyle name="Normal 2 4 2 4 7 3" xfId="6337" xr:uid="{00000000-0005-0000-0000-0000820F0000}"/>
    <cellStyle name="Normal 2 4 2 4 7 3 2" xfId="14772" xr:uid="{789559C2-FE72-4308-BC1A-B1A5B6112917}"/>
    <cellStyle name="Normal 2 4 2 4 7 4" xfId="10554" xr:uid="{30E4EC12-CDE1-417E-B247-CB9ABA24C4D3}"/>
    <cellStyle name="Normal 2 4 2 4 8" xfId="2466" xr:uid="{00000000-0005-0000-0000-0000830F0000}"/>
    <cellStyle name="Normal 2 4 2 4 8 2" xfId="6750" xr:uid="{00000000-0005-0000-0000-0000840F0000}"/>
    <cellStyle name="Normal 2 4 2 4 8 2 2" xfId="15185" xr:uid="{92A07DB0-F382-4311-97C3-B90766E7625A}"/>
    <cellStyle name="Normal 2 4 2 4 8 3" xfId="10967" xr:uid="{9EAA8F2D-3FD2-4B3D-A197-A8C0AADA4286}"/>
    <cellStyle name="Normal 2 4 2 4 9" xfId="4684" xr:uid="{00000000-0005-0000-0000-0000850F0000}"/>
    <cellStyle name="Normal 2 4 2 4 9 2" xfId="13119" xr:uid="{A1E43BB8-C593-4861-9CDC-12C9FFA2A4D4}"/>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1ED5C723-87C6-4FA9-9D77-E0A2A4962772}"/>
    <cellStyle name="Normal 2 4 2 5 2 2 2 3" xfId="11465" xr:uid="{570BCC07-E966-4A91-8BDF-F9445C27AAE5}"/>
    <cellStyle name="Normal 2 4 2 5 2 2 3" xfId="5103" xr:uid="{00000000-0005-0000-0000-00008B0F0000}"/>
    <cellStyle name="Normal 2 4 2 5 2 2 3 2" xfId="13538" xr:uid="{85F7BC23-97F8-4979-B1EF-15C64E4FECD4}"/>
    <cellStyle name="Normal 2 4 2 5 2 2 4" xfId="9320" xr:uid="{E323488B-02A2-4C63-AFCB-63B3099DA312}"/>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3AAF8FFB-3058-4EF0-A8EB-DAC34AB064A4}"/>
    <cellStyle name="Normal 2 4 2 5 2 3 2 3" xfId="11878" xr:uid="{F6C3D5E5-9855-42FF-B088-D650C1580DE5}"/>
    <cellStyle name="Normal 2 4 2 5 2 3 3" xfId="5516" xr:uid="{00000000-0005-0000-0000-00008F0F0000}"/>
    <cellStyle name="Normal 2 4 2 5 2 3 3 2" xfId="13951" xr:uid="{4AF4E715-E49A-4A81-8864-17DFD3FA006C}"/>
    <cellStyle name="Normal 2 4 2 5 2 3 4" xfId="9733" xr:uid="{95980B34-19FD-4BD6-AFF4-9EB6D30F48C2}"/>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7F1B5E84-0DEA-443C-A39D-CD794ADDAF85}"/>
    <cellStyle name="Normal 2 4 2 5 2 4 2 3" xfId="12291" xr:uid="{0CA489EA-D6E1-4C70-B766-F051801793ED}"/>
    <cellStyle name="Normal 2 4 2 5 2 4 3" xfId="5929" xr:uid="{00000000-0005-0000-0000-0000930F0000}"/>
    <cellStyle name="Normal 2 4 2 5 2 4 3 2" xfId="14364" xr:uid="{833A6858-650D-4954-884D-58466A6139A0}"/>
    <cellStyle name="Normal 2 4 2 5 2 4 4" xfId="10146" xr:uid="{5F7E71D1-BA18-4B9B-BA76-2736E4D8170D}"/>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5DFE199F-A0E7-44CF-90F3-0DA18100B028}"/>
    <cellStyle name="Normal 2 4 2 5 2 5 2 3" xfId="12704" xr:uid="{74145A07-23E7-431E-B759-BF0523A6D3D0}"/>
    <cellStyle name="Normal 2 4 2 5 2 5 3" xfId="6342" xr:uid="{00000000-0005-0000-0000-0000970F0000}"/>
    <cellStyle name="Normal 2 4 2 5 2 5 3 2" xfId="14777" xr:uid="{9861D5DC-A030-4745-9F97-D52E76293749}"/>
    <cellStyle name="Normal 2 4 2 5 2 5 4" xfId="10559" xr:uid="{61B11BB4-7BE6-40A2-9074-F48E39D0E731}"/>
    <cellStyle name="Normal 2 4 2 5 2 6" xfId="2471" xr:uid="{00000000-0005-0000-0000-0000980F0000}"/>
    <cellStyle name="Normal 2 4 2 5 2 6 2" xfId="6755" xr:uid="{00000000-0005-0000-0000-0000990F0000}"/>
    <cellStyle name="Normal 2 4 2 5 2 6 2 2" xfId="15190" xr:uid="{250769DF-ED6B-4C2B-9D4E-F5D1097612B3}"/>
    <cellStyle name="Normal 2 4 2 5 2 6 3" xfId="10972" xr:uid="{701CA5E3-F039-4043-B7BB-15850FEFD96A}"/>
    <cellStyle name="Normal 2 4 2 5 2 7" xfId="4689" xr:uid="{00000000-0005-0000-0000-00009A0F0000}"/>
    <cellStyle name="Normal 2 4 2 5 2 7 2" xfId="13124" xr:uid="{229EC176-AD8A-4F9B-95FD-2A9B90AD664E}"/>
    <cellStyle name="Normal 2 4 2 5 2 8" xfId="8906" xr:uid="{A1477F51-BDCA-438A-B4FB-946BA0E24D55}"/>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F076967F-344C-4244-980B-7CF0E13EF903}"/>
    <cellStyle name="Normal 2 4 2 5 3 2 3" xfId="11464" xr:uid="{CAE8394E-56FF-47AB-A197-0C5261B3B082}"/>
    <cellStyle name="Normal 2 4 2 5 3 3" xfId="5102" xr:uid="{00000000-0005-0000-0000-00009E0F0000}"/>
    <cellStyle name="Normal 2 4 2 5 3 3 2" xfId="13537" xr:uid="{C586B60C-151A-401B-BE65-EC9C73AFDA63}"/>
    <cellStyle name="Normal 2 4 2 5 3 4" xfId="9319" xr:uid="{756227B8-D83F-493C-9348-1EFD4D4F1551}"/>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EB1BF668-BA92-4B20-A54F-62823482E2B1}"/>
    <cellStyle name="Normal 2 4 2 5 4 2 3" xfId="11877" xr:uid="{EEF63C25-966E-45A1-AA42-E8A46AF66F37}"/>
    <cellStyle name="Normal 2 4 2 5 4 3" xfId="5515" xr:uid="{00000000-0005-0000-0000-0000A20F0000}"/>
    <cellStyle name="Normal 2 4 2 5 4 3 2" xfId="13950" xr:uid="{01AD2403-0EFB-4746-A345-CFBEC44D5033}"/>
    <cellStyle name="Normal 2 4 2 5 4 4" xfId="9732" xr:uid="{C24BB10A-188C-4FDB-8580-7560217EAB35}"/>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BE9B2779-C98E-485B-9216-5C63DC345DCD}"/>
    <cellStyle name="Normal 2 4 2 5 5 2 3" xfId="12290" xr:uid="{CCA1389C-F4D3-4006-84BA-BF4DE66DFFEA}"/>
    <cellStyle name="Normal 2 4 2 5 5 3" xfId="5928" xr:uid="{00000000-0005-0000-0000-0000A60F0000}"/>
    <cellStyle name="Normal 2 4 2 5 5 3 2" xfId="14363" xr:uid="{DE7C82ED-3B8C-4561-AA2C-43589C2F7FF4}"/>
    <cellStyle name="Normal 2 4 2 5 5 4" xfId="10145" xr:uid="{DDF450C6-AC44-43F8-9730-6F3BA4B98A8C}"/>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50FE6EB1-E998-4705-A9EB-ACC3E84E7A90}"/>
    <cellStyle name="Normal 2 4 2 5 6 2 3" xfId="12703" xr:uid="{123607D6-1011-4077-8973-2C58991183EA}"/>
    <cellStyle name="Normal 2 4 2 5 6 3" xfId="6341" xr:uid="{00000000-0005-0000-0000-0000AA0F0000}"/>
    <cellStyle name="Normal 2 4 2 5 6 3 2" xfId="14776" xr:uid="{F67C8EEC-202F-4484-B6DF-69FB33DF7744}"/>
    <cellStyle name="Normal 2 4 2 5 6 4" xfId="10558" xr:uid="{2505B122-8797-47A2-8F09-51587FD6E83E}"/>
    <cellStyle name="Normal 2 4 2 5 7" xfId="2470" xr:uid="{00000000-0005-0000-0000-0000AB0F0000}"/>
    <cellStyle name="Normal 2 4 2 5 7 2" xfId="6754" xr:uid="{00000000-0005-0000-0000-0000AC0F0000}"/>
    <cellStyle name="Normal 2 4 2 5 7 2 2" xfId="15189" xr:uid="{CC1E3A9B-688A-4401-A912-F32A5408124E}"/>
    <cellStyle name="Normal 2 4 2 5 7 3" xfId="10971" xr:uid="{D15B4812-0ABA-41D4-971B-B44183AD9B45}"/>
    <cellStyle name="Normal 2 4 2 5 8" xfId="4688" xr:uid="{00000000-0005-0000-0000-0000AD0F0000}"/>
    <cellStyle name="Normal 2 4 2 5 8 2" xfId="13123" xr:uid="{7163255E-E016-4EFE-ACF4-A6C7B2CB28BD}"/>
    <cellStyle name="Normal 2 4 2 5 9" xfId="8905" xr:uid="{E9D4C7ED-B2BD-4380-9F2F-2C2BD9D28E41}"/>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8AF1128F-1248-4AF4-9E66-08A697398B40}"/>
    <cellStyle name="Normal 2 4 2 6 2 2 3" xfId="11466" xr:uid="{56AA158A-D0DC-4199-814A-D3E396C1F09B}"/>
    <cellStyle name="Normal 2 4 2 6 2 3" xfId="5104" xr:uid="{00000000-0005-0000-0000-0000B20F0000}"/>
    <cellStyle name="Normal 2 4 2 6 2 3 2" xfId="13539" xr:uid="{CAA98D39-7B3E-4F2D-BA45-3FAB543CD446}"/>
    <cellStyle name="Normal 2 4 2 6 2 4" xfId="9321" xr:uid="{5275784C-C89A-4ED1-91F2-F15F660704DC}"/>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ABB69C83-ADE6-4766-B0BF-D56534018A62}"/>
    <cellStyle name="Normal 2 4 2 6 3 2 3" xfId="11879" xr:uid="{4BDD5199-B365-457A-91B0-AFA471521F15}"/>
    <cellStyle name="Normal 2 4 2 6 3 3" xfId="5517" xr:uid="{00000000-0005-0000-0000-0000B60F0000}"/>
    <cellStyle name="Normal 2 4 2 6 3 3 2" xfId="13952" xr:uid="{3C3345E5-766A-40A5-8350-4F188F5F620A}"/>
    <cellStyle name="Normal 2 4 2 6 3 4" xfId="9734" xr:uid="{BA1CA88A-A414-40C2-8374-CDD4E9CB69D7}"/>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8C707816-4BC5-4769-BC1E-A4BCF9D145F6}"/>
    <cellStyle name="Normal 2 4 2 6 4 2 3" xfId="12292" xr:uid="{44178C3B-2B85-4380-BAE1-924D5F0A2C51}"/>
    <cellStyle name="Normal 2 4 2 6 4 3" xfId="5930" xr:uid="{00000000-0005-0000-0000-0000BA0F0000}"/>
    <cellStyle name="Normal 2 4 2 6 4 3 2" xfId="14365" xr:uid="{1E9B6D7D-B360-45C1-8AF0-38743C3A058D}"/>
    <cellStyle name="Normal 2 4 2 6 4 4" xfId="10147" xr:uid="{2C0EBE8D-A079-48D7-8FE4-F54992DD38BE}"/>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320E0196-E71F-4C3E-AC44-933CD0A39290}"/>
    <cellStyle name="Normal 2 4 2 6 5 2 3" xfId="12705" xr:uid="{8FE98D50-3702-4BEE-90EE-7EADEF299A07}"/>
    <cellStyle name="Normal 2 4 2 6 5 3" xfId="6343" xr:uid="{00000000-0005-0000-0000-0000BE0F0000}"/>
    <cellStyle name="Normal 2 4 2 6 5 3 2" xfId="14778" xr:uid="{CE488F97-9F61-41CA-A4CB-17ED2A3C598B}"/>
    <cellStyle name="Normal 2 4 2 6 5 4" xfId="10560" xr:uid="{EC81E556-CDF7-4035-99FB-7BB44F7BB224}"/>
    <cellStyle name="Normal 2 4 2 6 6" xfId="2472" xr:uid="{00000000-0005-0000-0000-0000BF0F0000}"/>
    <cellStyle name="Normal 2 4 2 6 6 2" xfId="6756" xr:uid="{00000000-0005-0000-0000-0000C00F0000}"/>
    <cellStyle name="Normal 2 4 2 6 6 2 2" xfId="15191" xr:uid="{C768A97A-C9AE-4EE4-AC89-7A5F9C435FBE}"/>
    <cellStyle name="Normal 2 4 2 6 6 3" xfId="10973" xr:uid="{E95039CE-2CED-49FF-A4DE-AAD5CDBF4FAB}"/>
    <cellStyle name="Normal 2 4 2 6 7" xfId="4690" xr:uid="{00000000-0005-0000-0000-0000C10F0000}"/>
    <cellStyle name="Normal 2 4 2 6 7 2" xfId="13125" xr:uid="{803DD4BA-BBD4-4CC7-A1A8-3132A6AA8CAA}"/>
    <cellStyle name="Normal 2 4 2 6 8" xfId="8907" xr:uid="{E0CF5337-8CD0-4093-A76E-12EEE97D7C80}"/>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B118F73D-8E77-4F5E-978F-B8A30123CDB3}"/>
    <cellStyle name="Normal 2 4 2 7 2 3" xfId="11451" xr:uid="{FEF65D0A-EC19-4495-A72D-DB6B0AFA7278}"/>
    <cellStyle name="Normal 2 4 2 7 3" xfId="5089" xr:uid="{00000000-0005-0000-0000-0000C50F0000}"/>
    <cellStyle name="Normal 2 4 2 7 3 2" xfId="13524" xr:uid="{1AA9C687-CE69-4B0E-8752-4C255FCC4DB1}"/>
    <cellStyle name="Normal 2 4 2 7 4" xfId="9306" xr:uid="{C92050CD-C689-4BCF-92B0-49A9DB9B0D4C}"/>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3D3327DF-87C8-40EF-A7A7-AF2A88A38BFA}"/>
    <cellStyle name="Normal 2 4 2 8 2 3" xfId="11864" xr:uid="{2894AC13-ACA1-45B4-AB48-63B429F154C8}"/>
    <cellStyle name="Normal 2 4 2 8 3" xfId="5502" xr:uid="{00000000-0005-0000-0000-0000C90F0000}"/>
    <cellStyle name="Normal 2 4 2 8 3 2" xfId="13937" xr:uid="{CB0B766A-9242-4FB7-ACB5-0B286030B76F}"/>
    <cellStyle name="Normal 2 4 2 8 4" xfId="9719" xr:uid="{833910BB-B3A5-4536-A6F2-B878C6F3055F}"/>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3E3D7938-0E6C-46F2-8C9C-C68B7C09DAEC}"/>
    <cellStyle name="Normal 2 4 2 9 2 3" xfId="12277" xr:uid="{881279E4-C312-428A-82CE-E536C8FB7505}"/>
    <cellStyle name="Normal 2 4 2 9 3" xfId="5915" xr:uid="{00000000-0005-0000-0000-0000CD0F0000}"/>
    <cellStyle name="Normal 2 4 2 9 3 2" xfId="14350" xr:uid="{0CAC920D-AF16-4DF6-A4AD-6C7580D9F9F2}"/>
    <cellStyle name="Normal 2 4 2 9 4" xfId="10132" xr:uid="{C351F374-2E36-40F9-B6CA-3C238060842C}"/>
    <cellStyle name="Normal 2 4 3" xfId="296" xr:uid="{00000000-0005-0000-0000-0000CE0F0000}"/>
    <cellStyle name="Normal 2 4 3 10" xfId="8908" xr:uid="{4FF04AC1-2AEA-4C34-91F6-274EA8038DCB}"/>
    <cellStyle name="Normal 2 4 3 2" xfId="297" xr:uid="{00000000-0005-0000-0000-0000CF0F0000}"/>
    <cellStyle name="Normal 2 4 3 3" xfId="298" xr:uid="{00000000-0005-0000-0000-0000D00F0000}"/>
    <cellStyle name="Normal 2 4 3 3 10" xfId="8909" xr:uid="{32E820D1-5251-4C18-97E2-4F693C1F25FB}"/>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EABBBC8C-10E3-4F6D-ADCC-84507124FBBA}"/>
    <cellStyle name="Normal 2 4 3 3 2 2 2 2 3" xfId="11470" xr:uid="{2AF61593-0A07-4243-8C72-A8771AAE82B6}"/>
    <cellStyle name="Normal 2 4 3 3 2 2 2 3" xfId="5108" xr:uid="{00000000-0005-0000-0000-0000D60F0000}"/>
    <cellStyle name="Normal 2 4 3 3 2 2 2 3 2" xfId="13543" xr:uid="{4D59C06B-9269-489E-971E-6808E5B22EB8}"/>
    <cellStyle name="Normal 2 4 3 3 2 2 2 4" xfId="9325" xr:uid="{3FC175A4-E921-4E8A-A8EC-6CC641A9D21F}"/>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23713479-A6CC-439F-8044-78E401EFD777}"/>
    <cellStyle name="Normal 2 4 3 3 2 2 3 2 3" xfId="11883" xr:uid="{2BDAE48C-A4DD-4847-82B6-04216DDB4EB4}"/>
    <cellStyle name="Normal 2 4 3 3 2 2 3 3" xfId="5521" xr:uid="{00000000-0005-0000-0000-0000DA0F0000}"/>
    <cellStyle name="Normal 2 4 3 3 2 2 3 3 2" xfId="13956" xr:uid="{CE71B991-CB68-4C93-87B9-2AB0E64F2DC0}"/>
    <cellStyle name="Normal 2 4 3 3 2 2 3 4" xfId="9738" xr:uid="{5AE3EFB1-561B-460F-A8F6-4492EC07BBF4}"/>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77145976-4EB7-4E9B-8201-BE699A02B8FA}"/>
    <cellStyle name="Normal 2 4 3 3 2 2 4 2 3" xfId="12296" xr:uid="{E826D293-E47C-46CF-9DC1-FA3BFE99F6C5}"/>
    <cellStyle name="Normal 2 4 3 3 2 2 4 3" xfId="5934" xr:uid="{00000000-0005-0000-0000-0000DE0F0000}"/>
    <cellStyle name="Normal 2 4 3 3 2 2 4 3 2" xfId="14369" xr:uid="{FA196851-71A7-4E64-94F3-5C461EE19525}"/>
    <cellStyle name="Normal 2 4 3 3 2 2 4 4" xfId="10151" xr:uid="{BC6C5274-225C-433A-B944-B89AF617CE3B}"/>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3484C9B8-BDF5-4F8E-AC4B-EF7AD6B49984}"/>
    <cellStyle name="Normal 2 4 3 3 2 2 5 2 3" xfId="12709" xr:uid="{9817D5E9-38BD-4E58-91D0-3A9A1ADFD3ED}"/>
    <cellStyle name="Normal 2 4 3 3 2 2 5 3" xfId="6347" xr:uid="{00000000-0005-0000-0000-0000E20F0000}"/>
    <cellStyle name="Normal 2 4 3 3 2 2 5 3 2" xfId="14782" xr:uid="{3352C122-7C72-4074-8D53-029290FABC5E}"/>
    <cellStyle name="Normal 2 4 3 3 2 2 5 4" xfId="10564" xr:uid="{1070F2E4-1C1B-40C8-873E-8D7110143CFF}"/>
    <cellStyle name="Normal 2 4 3 3 2 2 6" xfId="2476" xr:uid="{00000000-0005-0000-0000-0000E30F0000}"/>
    <cellStyle name="Normal 2 4 3 3 2 2 6 2" xfId="6760" xr:uid="{00000000-0005-0000-0000-0000E40F0000}"/>
    <cellStyle name="Normal 2 4 3 3 2 2 6 2 2" xfId="15195" xr:uid="{BDBC83A9-F1A6-4319-AD32-AE724FFE4915}"/>
    <cellStyle name="Normal 2 4 3 3 2 2 6 3" xfId="10977" xr:uid="{6C2A4FC8-11F0-40F3-9F57-4ED71D147916}"/>
    <cellStyle name="Normal 2 4 3 3 2 2 7" xfId="4694" xr:uid="{00000000-0005-0000-0000-0000E50F0000}"/>
    <cellStyle name="Normal 2 4 3 3 2 2 7 2" xfId="13129" xr:uid="{10253B3B-D57C-4691-88DF-57C5E1954F47}"/>
    <cellStyle name="Normal 2 4 3 3 2 2 8" xfId="8911" xr:uid="{862E9D0D-248F-4EC0-8D37-41A2374F11E7}"/>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5737E56D-AA2B-4561-A88C-FFA925FFF930}"/>
    <cellStyle name="Normal 2 4 3 3 2 3 2 3" xfId="11469" xr:uid="{B211BCDE-B625-4A6A-A887-3DAF880764F2}"/>
    <cellStyle name="Normal 2 4 3 3 2 3 3" xfId="5107" xr:uid="{00000000-0005-0000-0000-0000E90F0000}"/>
    <cellStyle name="Normal 2 4 3 3 2 3 3 2" xfId="13542" xr:uid="{4F6EB1E8-C45C-42BC-AE8A-89C0F7388DF5}"/>
    <cellStyle name="Normal 2 4 3 3 2 3 4" xfId="9324" xr:uid="{E8437498-C440-4BEC-BF36-C2ABDB2E973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3AC2372A-ACEE-4B89-856F-3C79A63C87C2}"/>
    <cellStyle name="Normal 2 4 3 3 2 4 2 3" xfId="11882" xr:uid="{38AC1EA4-A2EB-4A18-AF65-C4774760FB7D}"/>
    <cellStyle name="Normal 2 4 3 3 2 4 3" xfId="5520" xr:uid="{00000000-0005-0000-0000-0000ED0F0000}"/>
    <cellStyle name="Normal 2 4 3 3 2 4 3 2" xfId="13955" xr:uid="{55B0D444-1784-40EC-970E-473C5031167B}"/>
    <cellStyle name="Normal 2 4 3 3 2 4 4" xfId="9737" xr:uid="{B33E5290-845C-4772-BF71-36E1802310E1}"/>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75117339-846F-42C1-AE3B-4F0880472595}"/>
    <cellStyle name="Normal 2 4 3 3 2 5 2 3" xfId="12295" xr:uid="{4B8136BF-5C77-4F8C-AD22-75244DBCA100}"/>
    <cellStyle name="Normal 2 4 3 3 2 5 3" xfId="5933" xr:uid="{00000000-0005-0000-0000-0000F10F0000}"/>
    <cellStyle name="Normal 2 4 3 3 2 5 3 2" xfId="14368" xr:uid="{8C5147C1-1326-4B57-90B8-587CD85B2DB3}"/>
    <cellStyle name="Normal 2 4 3 3 2 5 4" xfId="10150" xr:uid="{C26E62A7-3160-490B-B27C-CBEFF0F756CE}"/>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454BA7F2-B143-4426-901F-A3813D6F2A85}"/>
    <cellStyle name="Normal 2 4 3 3 2 6 2 3" xfId="12708" xr:uid="{D1373460-0BDF-449B-BC56-0ABF1A4A90C7}"/>
    <cellStyle name="Normal 2 4 3 3 2 6 3" xfId="6346" xr:uid="{00000000-0005-0000-0000-0000F50F0000}"/>
    <cellStyle name="Normal 2 4 3 3 2 6 3 2" xfId="14781" xr:uid="{6EE6837F-D7F4-4041-B004-782FCE90AD6A}"/>
    <cellStyle name="Normal 2 4 3 3 2 6 4" xfId="10563" xr:uid="{0D1F88D5-C5EF-4A2E-9FE0-ADF150451890}"/>
    <cellStyle name="Normal 2 4 3 3 2 7" xfId="2475" xr:uid="{00000000-0005-0000-0000-0000F60F0000}"/>
    <cellStyle name="Normal 2 4 3 3 2 7 2" xfId="6759" xr:uid="{00000000-0005-0000-0000-0000F70F0000}"/>
    <cellStyle name="Normal 2 4 3 3 2 7 2 2" xfId="15194" xr:uid="{6CA9AA82-3DEF-456F-9C2F-C9057F4B6E1F}"/>
    <cellStyle name="Normal 2 4 3 3 2 7 3" xfId="10976" xr:uid="{4BA9BDE4-72A2-4E44-AFFE-56F92DC79907}"/>
    <cellStyle name="Normal 2 4 3 3 2 8" xfId="4693" xr:uid="{00000000-0005-0000-0000-0000F80F0000}"/>
    <cellStyle name="Normal 2 4 3 3 2 8 2" xfId="13128" xr:uid="{9FEE72AA-A1E9-43A2-909E-847344529EB4}"/>
    <cellStyle name="Normal 2 4 3 3 2 9" xfId="8910" xr:uid="{6FB0D547-3B0B-4A26-8342-F3FC8100E859}"/>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56B74370-437A-4C51-A9D2-28A948E0CB3B}"/>
    <cellStyle name="Normal 2 4 3 3 3 2 2 3" xfId="11471" xr:uid="{B4CD01BC-C58B-4DC7-A224-E6719BF6E1DA}"/>
    <cellStyle name="Normal 2 4 3 3 3 2 3" xfId="5109" xr:uid="{00000000-0005-0000-0000-0000FD0F0000}"/>
    <cellStyle name="Normal 2 4 3 3 3 2 3 2" xfId="13544" xr:uid="{A032615B-814E-4220-906D-52517E0B154D}"/>
    <cellStyle name="Normal 2 4 3 3 3 2 4" xfId="9326" xr:uid="{021123C6-3C23-47F7-98E4-AD3102F201BD}"/>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F471384E-BDD9-4221-A63A-11223F1E07A6}"/>
    <cellStyle name="Normal 2 4 3 3 3 3 2 3" xfId="11884" xr:uid="{D96E6AA0-51C5-48C6-8678-2C33F0398462}"/>
    <cellStyle name="Normal 2 4 3 3 3 3 3" xfId="5522" xr:uid="{00000000-0005-0000-0000-000001100000}"/>
    <cellStyle name="Normal 2 4 3 3 3 3 3 2" xfId="13957" xr:uid="{AEF210E2-D8BE-45D5-93C8-B11701F182F5}"/>
    <cellStyle name="Normal 2 4 3 3 3 3 4" xfId="9739" xr:uid="{7A57283B-2AAA-4201-92F3-E8B42DCACEBD}"/>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F9F9D747-18BF-40D1-9511-815A0EF06A0C}"/>
    <cellStyle name="Normal 2 4 3 3 3 4 2 3" xfId="12297" xr:uid="{ACB88AEB-BB31-498F-82B0-B587906C51B4}"/>
    <cellStyle name="Normal 2 4 3 3 3 4 3" xfId="5935" xr:uid="{00000000-0005-0000-0000-000005100000}"/>
    <cellStyle name="Normal 2 4 3 3 3 4 3 2" xfId="14370" xr:uid="{13AFBD29-40E5-4266-8CBE-3A02012226CE}"/>
    <cellStyle name="Normal 2 4 3 3 3 4 4" xfId="10152" xr:uid="{E8727D9F-88E7-4C6E-A2DA-E5D582A761F1}"/>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B15E8D25-F138-4356-A8F3-52DAD038A979}"/>
    <cellStyle name="Normal 2 4 3 3 3 5 2 3" xfId="12710" xr:uid="{C7787625-D3A3-4A9F-9651-7D3EF4436F47}"/>
    <cellStyle name="Normal 2 4 3 3 3 5 3" xfId="6348" xr:uid="{00000000-0005-0000-0000-000009100000}"/>
    <cellStyle name="Normal 2 4 3 3 3 5 3 2" xfId="14783" xr:uid="{0BF9709D-BBBF-45A5-B1CA-28E2E73B68C6}"/>
    <cellStyle name="Normal 2 4 3 3 3 5 4" xfId="10565" xr:uid="{CCC420F0-EA9B-48AC-A39E-461D149D2490}"/>
    <cellStyle name="Normal 2 4 3 3 3 6" xfId="2477" xr:uid="{00000000-0005-0000-0000-00000A100000}"/>
    <cellStyle name="Normal 2 4 3 3 3 6 2" xfId="6761" xr:uid="{00000000-0005-0000-0000-00000B100000}"/>
    <cellStyle name="Normal 2 4 3 3 3 6 2 2" xfId="15196" xr:uid="{56ACA252-BA61-4523-BB70-4AA41046F182}"/>
    <cellStyle name="Normal 2 4 3 3 3 6 3" xfId="10978" xr:uid="{ABE8E050-7134-4EF5-9CDF-A81CB05D3460}"/>
    <cellStyle name="Normal 2 4 3 3 3 7" xfId="4695" xr:uid="{00000000-0005-0000-0000-00000C100000}"/>
    <cellStyle name="Normal 2 4 3 3 3 7 2" xfId="13130" xr:uid="{442EF402-54F3-46DE-8172-A7DF3A17ED68}"/>
    <cellStyle name="Normal 2 4 3 3 3 8" xfId="8912" xr:uid="{02672309-3EEA-40D9-B064-9ADFEE14363F}"/>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4F98581A-E641-4791-91FA-F878A796D239}"/>
    <cellStyle name="Normal 2 4 3 3 4 2 3" xfId="11468" xr:uid="{90739AD2-48EC-4BB8-B979-BBA52DD07AC1}"/>
    <cellStyle name="Normal 2 4 3 3 4 3" xfId="5106" xr:uid="{00000000-0005-0000-0000-000010100000}"/>
    <cellStyle name="Normal 2 4 3 3 4 3 2" xfId="13541" xr:uid="{967ED4EB-4CAE-47A4-938D-DF92299E3543}"/>
    <cellStyle name="Normal 2 4 3 3 4 4" xfId="9323" xr:uid="{25616D4C-0D31-4CE2-BEE0-E9FC40378A0D}"/>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431714F7-F97D-4D9D-8303-1317431E3D41}"/>
    <cellStyle name="Normal 2 4 3 3 5 2 3" xfId="11881" xr:uid="{BE189B54-E85B-40C5-8E79-6EB97DA5CD1B}"/>
    <cellStyle name="Normal 2 4 3 3 5 3" xfId="5519" xr:uid="{00000000-0005-0000-0000-000014100000}"/>
    <cellStyle name="Normal 2 4 3 3 5 3 2" xfId="13954" xr:uid="{CA636D49-0B0E-42D9-B56F-27BD4645AA72}"/>
    <cellStyle name="Normal 2 4 3 3 5 4" xfId="9736" xr:uid="{C6821727-170B-405B-9EBD-44365AED6F0C}"/>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19929A3F-D631-450D-811B-9171BCCD4B01}"/>
    <cellStyle name="Normal 2 4 3 3 6 2 3" xfId="12294" xr:uid="{6DE98E1D-6160-4232-9DB9-02BFF2AB62AF}"/>
    <cellStyle name="Normal 2 4 3 3 6 3" xfId="5932" xr:uid="{00000000-0005-0000-0000-000018100000}"/>
    <cellStyle name="Normal 2 4 3 3 6 3 2" xfId="14367" xr:uid="{812C60E9-B143-41C5-853C-2DB24BAFBD2F}"/>
    <cellStyle name="Normal 2 4 3 3 6 4" xfId="10149" xr:uid="{DF2806AB-C328-4B24-99BC-6823CA8FC9D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E3D9B7EA-C6F3-4663-9A49-4942151FBEDB}"/>
    <cellStyle name="Normal 2 4 3 3 7 2 3" xfId="12707" xr:uid="{D7649318-4685-4C6A-9B95-FA8A609FCF86}"/>
    <cellStyle name="Normal 2 4 3 3 7 3" xfId="6345" xr:uid="{00000000-0005-0000-0000-00001C100000}"/>
    <cellStyle name="Normal 2 4 3 3 7 3 2" xfId="14780" xr:uid="{833C7DA5-5B13-4631-BE1F-F27BC1C013A0}"/>
    <cellStyle name="Normal 2 4 3 3 7 4" xfId="10562" xr:uid="{BA510847-FAB2-4D94-8007-A4123BE53947}"/>
    <cellStyle name="Normal 2 4 3 3 8" xfId="2474" xr:uid="{00000000-0005-0000-0000-00001D100000}"/>
    <cellStyle name="Normal 2 4 3 3 8 2" xfId="6758" xr:uid="{00000000-0005-0000-0000-00001E100000}"/>
    <cellStyle name="Normal 2 4 3 3 8 2 2" xfId="15193" xr:uid="{9FA913D7-F882-471E-9D60-547B30AFEA0C}"/>
    <cellStyle name="Normal 2 4 3 3 8 3" xfId="10975" xr:uid="{DA632ECB-8EBE-40E9-AC9B-AA4480D6592B}"/>
    <cellStyle name="Normal 2 4 3 3 9" xfId="4692" xr:uid="{00000000-0005-0000-0000-00001F100000}"/>
    <cellStyle name="Normal 2 4 3 3 9 2" xfId="13127" xr:uid="{CD7630BA-4A22-426D-A658-61DB07D867E6}"/>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EE3EF060-8E22-49F0-8343-A45BD37C6059}"/>
    <cellStyle name="Normal 2 4 3 4 2 3" xfId="11467" xr:uid="{938762E3-0729-4A24-B4CD-B97A1D290F73}"/>
    <cellStyle name="Normal 2 4 3 4 3" xfId="5105" xr:uid="{00000000-0005-0000-0000-000023100000}"/>
    <cellStyle name="Normal 2 4 3 4 3 2" xfId="13540" xr:uid="{DD1788C5-CF19-4B58-B722-2EA17D561E1C}"/>
    <cellStyle name="Normal 2 4 3 4 4" xfId="9322" xr:uid="{5A7998F5-8319-4C5F-A71D-7F589EF5ACA8}"/>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BD1743BC-B17C-4521-BBAC-B0A7122DA2DF}"/>
    <cellStyle name="Normal 2 4 3 5 2 3" xfId="11880" xr:uid="{6C077974-BF93-43B8-8668-A6B6890F9268}"/>
    <cellStyle name="Normal 2 4 3 5 3" xfId="5518" xr:uid="{00000000-0005-0000-0000-000027100000}"/>
    <cellStyle name="Normal 2 4 3 5 3 2" xfId="13953" xr:uid="{0AE5C0AB-C217-47C8-B12F-E98E2A906449}"/>
    <cellStyle name="Normal 2 4 3 5 4" xfId="9735" xr:uid="{7A8C0F6F-AF7B-4779-BF20-715268E92CBE}"/>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8B3A1FAC-A9C4-41A5-B1F7-E38D0BBF4AAF}"/>
    <cellStyle name="Normal 2 4 3 6 2 3" xfId="12293" xr:uid="{A0F97E02-5C40-4EE8-8B0C-499FE210F123}"/>
    <cellStyle name="Normal 2 4 3 6 3" xfId="5931" xr:uid="{00000000-0005-0000-0000-00002B100000}"/>
    <cellStyle name="Normal 2 4 3 6 3 2" xfId="14366" xr:uid="{339EC3AB-4E29-4D20-94F1-F072A75C59D9}"/>
    <cellStyle name="Normal 2 4 3 6 4" xfId="10148" xr:uid="{235AD876-3E2E-47A9-A7F0-D0208DF8EAC6}"/>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56513473-6FAB-4A51-AB9A-EEBDBD5BC52D}"/>
    <cellStyle name="Normal 2 4 3 7 2 3" xfId="12706" xr:uid="{166C3ECB-A84E-4069-B30F-8BEE11880527}"/>
    <cellStyle name="Normal 2 4 3 7 3" xfId="6344" xr:uid="{00000000-0005-0000-0000-00002F100000}"/>
    <cellStyle name="Normal 2 4 3 7 3 2" xfId="14779" xr:uid="{5C2E2CE7-4C97-4353-B6A3-882055E033A4}"/>
    <cellStyle name="Normal 2 4 3 7 4" xfId="10561" xr:uid="{46D35414-F326-4F71-9B9A-0357E76E35A6}"/>
    <cellStyle name="Normal 2 4 3 8" xfId="2473" xr:uid="{00000000-0005-0000-0000-000030100000}"/>
    <cellStyle name="Normal 2 4 3 8 2" xfId="6757" xr:uid="{00000000-0005-0000-0000-000031100000}"/>
    <cellStyle name="Normal 2 4 3 8 2 2" xfId="15192" xr:uid="{24321AD1-30DA-4FF2-82EE-06C47DFAD81D}"/>
    <cellStyle name="Normal 2 4 3 8 3" xfId="10974" xr:uid="{DEDDF14E-4CEA-47A7-BA2E-D51BE7A42283}"/>
    <cellStyle name="Normal 2 4 3 9" xfId="4691" xr:uid="{00000000-0005-0000-0000-000032100000}"/>
    <cellStyle name="Normal 2 4 3 9 2" xfId="13126" xr:uid="{AA7C595C-6DE3-4121-91C4-684FB34F91BB}"/>
    <cellStyle name="Normal 2 4 4" xfId="302" xr:uid="{00000000-0005-0000-0000-000033100000}"/>
    <cellStyle name="Normal 2 4 5" xfId="303" xr:uid="{00000000-0005-0000-0000-000034100000}"/>
    <cellStyle name="Normal 2 4 5 10" xfId="4696" xr:uid="{00000000-0005-0000-0000-000035100000}"/>
    <cellStyle name="Normal 2 4 5 10 2" xfId="13131" xr:uid="{E46B223A-30BF-4B0C-8E83-15E688797255}"/>
    <cellStyle name="Normal 2 4 5 11" xfId="8913" xr:uid="{88FCF5F7-363E-49E1-AB43-36B31DEB09C0}"/>
    <cellStyle name="Normal 2 4 5 2" xfId="304" xr:uid="{00000000-0005-0000-0000-000036100000}"/>
    <cellStyle name="Normal 2 4 5 2 10" xfId="8914" xr:uid="{069B8AC6-4A06-4F06-870A-5455D766579F}"/>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0CCAB0EE-9D79-46F9-829B-1548B07389A8}"/>
    <cellStyle name="Normal 2 4 5 2 2 2 2 2 3" xfId="11475" xr:uid="{C13CD94F-7E4E-4894-A831-17CF7BBF307A}"/>
    <cellStyle name="Normal 2 4 5 2 2 2 2 3" xfId="5113" xr:uid="{00000000-0005-0000-0000-00003C100000}"/>
    <cellStyle name="Normal 2 4 5 2 2 2 2 3 2" xfId="13548" xr:uid="{CA5A4407-0BF5-4C46-A20D-17025C5A9F72}"/>
    <cellStyle name="Normal 2 4 5 2 2 2 2 4" xfId="9330" xr:uid="{42F4EAB3-199D-4E4E-B51D-183A6E90D712}"/>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E1728586-3237-443C-BCDF-81B51BFC5D9E}"/>
    <cellStyle name="Normal 2 4 5 2 2 2 3 2 3" xfId="11888" xr:uid="{D3AEDA48-B68B-490E-8F55-ED1EFDBBA420}"/>
    <cellStyle name="Normal 2 4 5 2 2 2 3 3" xfId="5526" xr:uid="{00000000-0005-0000-0000-000040100000}"/>
    <cellStyle name="Normal 2 4 5 2 2 2 3 3 2" xfId="13961" xr:uid="{45244171-15D3-4260-A5E5-69662012293C}"/>
    <cellStyle name="Normal 2 4 5 2 2 2 3 4" xfId="9743" xr:uid="{31E0A29A-558A-4777-AF77-71CD0D9341CB}"/>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1DD5F22A-5386-4F9B-9EE5-0405FB712CF7}"/>
    <cellStyle name="Normal 2 4 5 2 2 2 4 2 3" xfId="12301" xr:uid="{3D6E9362-5B66-408C-A2E2-92A842C6ACE4}"/>
    <cellStyle name="Normal 2 4 5 2 2 2 4 3" xfId="5939" xr:uid="{00000000-0005-0000-0000-000044100000}"/>
    <cellStyle name="Normal 2 4 5 2 2 2 4 3 2" xfId="14374" xr:uid="{74A3FC7A-FA66-4916-B38D-263F92DD845B}"/>
    <cellStyle name="Normal 2 4 5 2 2 2 4 4" xfId="10156" xr:uid="{3A328332-75E6-427C-85D9-09CDCA9A7B09}"/>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2A4CF71D-C8B8-412A-B562-36E23452B81E}"/>
    <cellStyle name="Normal 2 4 5 2 2 2 5 2 3" xfId="12714" xr:uid="{74F4BA05-0C80-4464-B99D-5C63B5EDADCB}"/>
    <cellStyle name="Normal 2 4 5 2 2 2 5 3" xfId="6352" xr:uid="{00000000-0005-0000-0000-000048100000}"/>
    <cellStyle name="Normal 2 4 5 2 2 2 5 3 2" xfId="14787" xr:uid="{BAD8A3B7-E9E7-49BC-A134-30B0DA465137}"/>
    <cellStyle name="Normal 2 4 5 2 2 2 5 4" xfId="10569" xr:uid="{824E5C51-5494-4005-B5DC-F5A4657FBE96}"/>
    <cellStyle name="Normal 2 4 5 2 2 2 6" xfId="2481" xr:uid="{00000000-0005-0000-0000-000049100000}"/>
    <cellStyle name="Normal 2 4 5 2 2 2 6 2" xfId="6765" xr:uid="{00000000-0005-0000-0000-00004A100000}"/>
    <cellStyle name="Normal 2 4 5 2 2 2 6 2 2" xfId="15200" xr:uid="{E2DF5093-7447-4B8F-B22D-9516F61FA6FB}"/>
    <cellStyle name="Normal 2 4 5 2 2 2 6 3" xfId="10982" xr:uid="{73CDAAC3-2D76-454E-8B94-A98BC070FDA2}"/>
    <cellStyle name="Normal 2 4 5 2 2 2 7" xfId="4699" xr:uid="{00000000-0005-0000-0000-00004B100000}"/>
    <cellStyle name="Normal 2 4 5 2 2 2 7 2" xfId="13134" xr:uid="{E16D0F5B-6D39-4E04-A51F-13540B9839B3}"/>
    <cellStyle name="Normal 2 4 5 2 2 2 8" xfId="8916" xr:uid="{06D7E9B9-4C0F-449D-B7E5-780331BBDAB8}"/>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9493B458-C8FA-4613-A205-5E4BC81252DB}"/>
    <cellStyle name="Normal 2 4 5 2 2 3 2 3" xfId="11474" xr:uid="{A3859674-D946-4F52-B86C-F3B386BF97D2}"/>
    <cellStyle name="Normal 2 4 5 2 2 3 3" xfId="5112" xr:uid="{00000000-0005-0000-0000-00004F100000}"/>
    <cellStyle name="Normal 2 4 5 2 2 3 3 2" xfId="13547" xr:uid="{30FC06BF-2F4F-46A4-9FED-7580DBCAC828}"/>
    <cellStyle name="Normal 2 4 5 2 2 3 4" xfId="9329" xr:uid="{D15F3354-0E86-4DFD-812C-E2F6319DCB0E}"/>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8056E0C2-7651-4B79-A40E-0BF583F7BDB2}"/>
    <cellStyle name="Normal 2 4 5 2 2 4 2 3" xfId="11887" xr:uid="{FB4DC246-F09D-4EDA-82DE-B72B19ABBD0A}"/>
    <cellStyle name="Normal 2 4 5 2 2 4 3" xfId="5525" xr:uid="{00000000-0005-0000-0000-000053100000}"/>
    <cellStyle name="Normal 2 4 5 2 2 4 3 2" xfId="13960" xr:uid="{5F750BEF-589F-4960-838B-B50FAEF52A8C}"/>
    <cellStyle name="Normal 2 4 5 2 2 4 4" xfId="9742" xr:uid="{E45E3620-606B-445C-A11D-C618690CECBE}"/>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9865AF7E-F141-48A1-876A-5741A269350B}"/>
    <cellStyle name="Normal 2 4 5 2 2 5 2 3" xfId="12300" xr:uid="{2FFCC1DF-94E6-4B54-98CA-BB440C9DD33A}"/>
    <cellStyle name="Normal 2 4 5 2 2 5 3" xfId="5938" xr:uid="{00000000-0005-0000-0000-000057100000}"/>
    <cellStyle name="Normal 2 4 5 2 2 5 3 2" xfId="14373" xr:uid="{97C820AF-BBA7-4BF8-BE15-B4B04983B73D}"/>
    <cellStyle name="Normal 2 4 5 2 2 5 4" xfId="10155" xr:uid="{DCCB13EE-D70D-4DA3-A270-A3F26BD5B5A9}"/>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248B4969-59B7-46F1-BB55-A0D08CD04CC9}"/>
    <cellStyle name="Normal 2 4 5 2 2 6 2 3" xfId="12713" xr:uid="{51952297-7642-4EFB-BCE3-B490995F1318}"/>
    <cellStyle name="Normal 2 4 5 2 2 6 3" xfId="6351" xr:uid="{00000000-0005-0000-0000-00005B100000}"/>
    <cellStyle name="Normal 2 4 5 2 2 6 3 2" xfId="14786" xr:uid="{CD5AB2AB-477A-4027-8112-1B58253DA32E}"/>
    <cellStyle name="Normal 2 4 5 2 2 6 4" xfId="10568" xr:uid="{384C1424-1381-4B64-96B7-28DF0E92ABCE}"/>
    <cellStyle name="Normal 2 4 5 2 2 7" xfId="2480" xr:uid="{00000000-0005-0000-0000-00005C100000}"/>
    <cellStyle name="Normal 2 4 5 2 2 7 2" xfId="6764" xr:uid="{00000000-0005-0000-0000-00005D100000}"/>
    <cellStyle name="Normal 2 4 5 2 2 7 2 2" xfId="15199" xr:uid="{4F344C53-96D7-4F13-8073-72A2949BDD3A}"/>
    <cellStyle name="Normal 2 4 5 2 2 7 3" xfId="10981" xr:uid="{5FE238C2-91D8-4149-8FFC-8D116C5891A0}"/>
    <cellStyle name="Normal 2 4 5 2 2 8" xfId="4698" xr:uid="{00000000-0005-0000-0000-00005E100000}"/>
    <cellStyle name="Normal 2 4 5 2 2 8 2" xfId="13133" xr:uid="{9EB000F9-AD8A-40C4-8BE3-6E01AF640C48}"/>
    <cellStyle name="Normal 2 4 5 2 2 9" xfId="8915" xr:uid="{67AFE3E7-B5D4-4BA2-81C0-2EB7D546EB04}"/>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BF4BA3EE-5AD5-4905-AD6C-FA1F1D5EC809}"/>
    <cellStyle name="Normal 2 4 5 2 3 2 2 3" xfId="11476" xr:uid="{0622515E-18EA-4261-AC19-0F5990DFABBD}"/>
    <cellStyle name="Normal 2 4 5 2 3 2 3" xfId="5114" xr:uid="{00000000-0005-0000-0000-000063100000}"/>
    <cellStyle name="Normal 2 4 5 2 3 2 3 2" xfId="13549" xr:uid="{FECE30ED-E744-41E5-81E3-2BC270096879}"/>
    <cellStyle name="Normal 2 4 5 2 3 2 4" xfId="9331" xr:uid="{F7E30FF3-A891-4ECF-9464-E2307507089D}"/>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85ED894F-5CFB-4DA9-AD6A-AE9A8F2C7401}"/>
    <cellStyle name="Normal 2 4 5 2 3 3 2 3" xfId="11889" xr:uid="{F34ABEDA-70EF-4B17-9937-8A8964A0149A}"/>
    <cellStyle name="Normal 2 4 5 2 3 3 3" xfId="5527" xr:uid="{00000000-0005-0000-0000-000067100000}"/>
    <cellStyle name="Normal 2 4 5 2 3 3 3 2" xfId="13962" xr:uid="{E7578E6A-CBDF-478D-8A8A-CA29F7520AF0}"/>
    <cellStyle name="Normal 2 4 5 2 3 3 4" xfId="9744" xr:uid="{7B59C579-7775-4C4E-BE95-46EB8DBEF932}"/>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FF8D0796-64A6-4A2E-A9E9-09B3EA8738DF}"/>
    <cellStyle name="Normal 2 4 5 2 3 4 2 3" xfId="12302" xr:uid="{167E1C8B-BCD8-4831-97B6-993EE7E726F8}"/>
    <cellStyle name="Normal 2 4 5 2 3 4 3" xfId="5940" xr:uid="{00000000-0005-0000-0000-00006B100000}"/>
    <cellStyle name="Normal 2 4 5 2 3 4 3 2" xfId="14375" xr:uid="{059087BA-A728-40B5-9768-3572A8170AA8}"/>
    <cellStyle name="Normal 2 4 5 2 3 4 4" xfId="10157" xr:uid="{3E2FD81B-F28A-40D5-8533-0FE0CE8E1221}"/>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8B4B06AD-7A38-48F4-B0D9-7082C048BF78}"/>
    <cellStyle name="Normal 2 4 5 2 3 5 2 3" xfId="12715" xr:uid="{19CB43EA-67EC-42C4-8A57-AAD40B07D6AD}"/>
    <cellStyle name="Normal 2 4 5 2 3 5 3" xfId="6353" xr:uid="{00000000-0005-0000-0000-00006F100000}"/>
    <cellStyle name="Normal 2 4 5 2 3 5 3 2" xfId="14788" xr:uid="{890E170A-812F-43B0-AC0B-E1B0212E59FF}"/>
    <cellStyle name="Normal 2 4 5 2 3 5 4" xfId="10570" xr:uid="{37230D3E-9255-499C-9DDB-E2258C29267E}"/>
    <cellStyle name="Normal 2 4 5 2 3 6" xfId="2482" xr:uid="{00000000-0005-0000-0000-000070100000}"/>
    <cellStyle name="Normal 2 4 5 2 3 6 2" xfId="6766" xr:uid="{00000000-0005-0000-0000-000071100000}"/>
    <cellStyle name="Normal 2 4 5 2 3 6 2 2" xfId="15201" xr:uid="{A42E1470-68E3-45B1-87DB-1A61C60211C0}"/>
    <cellStyle name="Normal 2 4 5 2 3 6 3" xfId="10983" xr:uid="{7E3FB383-06B9-4E4A-99AD-93EF34A4DAF3}"/>
    <cellStyle name="Normal 2 4 5 2 3 7" xfId="4700" xr:uid="{00000000-0005-0000-0000-000072100000}"/>
    <cellStyle name="Normal 2 4 5 2 3 7 2" xfId="13135" xr:uid="{84B49074-5BB6-47CA-A2D4-AE468C1B3BD1}"/>
    <cellStyle name="Normal 2 4 5 2 3 8" xfId="8917" xr:uid="{CEC82A0D-3594-4143-AD7F-922DE3FD862E}"/>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004D3326-4BB5-44DA-B1DD-1671EA02D56A}"/>
    <cellStyle name="Normal 2 4 5 2 4 2 3" xfId="11473" xr:uid="{3CFDEBA4-40AF-493E-97F5-5515750260EF}"/>
    <cellStyle name="Normal 2 4 5 2 4 3" xfId="5111" xr:uid="{00000000-0005-0000-0000-000076100000}"/>
    <cellStyle name="Normal 2 4 5 2 4 3 2" xfId="13546" xr:uid="{C347C588-E5B8-4F23-875C-C6CEEA9B1E42}"/>
    <cellStyle name="Normal 2 4 5 2 4 4" xfId="9328" xr:uid="{93356536-61AD-433E-9144-1BDA52CC47EC}"/>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7C045747-9CA8-4626-A963-A1833FA4BE2A}"/>
    <cellStyle name="Normal 2 4 5 2 5 2 3" xfId="11886" xr:uid="{B81CB195-730F-4238-9906-3BC30FD4BD4A}"/>
    <cellStyle name="Normal 2 4 5 2 5 3" xfId="5524" xr:uid="{00000000-0005-0000-0000-00007A100000}"/>
    <cellStyle name="Normal 2 4 5 2 5 3 2" xfId="13959" xr:uid="{E74B26B1-2993-4B36-9888-81F5F75DF3DF}"/>
    <cellStyle name="Normal 2 4 5 2 5 4" xfId="9741" xr:uid="{B93F6FD9-345B-40EB-83EA-A7AA3670FD64}"/>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BA63BEC3-46BC-47CE-833B-32B147640AB5}"/>
    <cellStyle name="Normal 2 4 5 2 6 2 3" xfId="12299" xr:uid="{A4D81C31-15BA-49ED-A225-623AEC2D9D85}"/>
    <cellStyle name="Normal 2 4 5 2 6 3" xfId="5937" xr:uid="{00000000-0005-0000-0000-00007E100000}"/>
    <cellStyle name="Normal 2 4 5 2 6 3 2" xfId="14372" xr:uid="{0043E39E-B5BC-4740-9B83-6F23CAEECDE3}"/>
    <cellStyle name="Normal 2 4 5 2 6 4" xfId="10154" xr:uid="{47020E3F-A27D-476F-85EA-A106114D8784}"/>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D7EA6675-EB45-4DA8-BFCE-2EF289585D4C}"/>
    <cellStyle name="Normal 2 4 5 2 7 2 3" xfId="12712" xr:uid="{8E8BFBE0-2924-4466-B9BD-6AB49C8A3633}"/>
    <cellStyle name="Normal 2 4 5 2 7 3" xfId="6350" xr:uid="{00000000-0005-0000-0000-000082100000}"/>
    <cellStyle name="Normal 2 4 5 2 7 3 2" xfId="14785" xr:uid="{2C3C7911-4687-42E7-B656-0B5F5CFA1147}"/>
    <cellStyle name="Normal 2 4 5 2 7 4" xfId="10567" xr:uid="{7F9F5C91-3464-45EA-8836-50273AE120C2}"/>
    <cellStyle name="Normal 2 4 5 2 8" xfId="2479" xr:uid="{00000000-0005-0000-0000-000083100000}"/>
    <cellStyle name="Normal 2 4 5 2 8 2" xfId="6763" xr:uid="{00000000-0005-0000-0000-000084100000}"/>
    <cellStyle name="Normal 2 4 5 2 8 2 2" xfId="15198" xr:uid="{B476CC65-686C-45E9-A571-490716747899}"/>
    <cellStyle name="Normal 2 4 5 2 8 3" xfId="10980" xr:uid="{EC97E113-47D0-4E8C-B278-0C4A2397FFE2}"/>
    <cellStyle name="Normal 2 4 5 2 9" xfId="4697" xr:uid="{00000000-0005-0000-0000-000085100000}"/>
    <cellStyle name="Normal 2 4 5 2 9 2" xfId="13132" xr:uid="{9648B410-2FF9-47AF-BC90-65986A1284D1}"/>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7F6F74CE-1393-40E1-A411-E80782F4F750}"/>
    <cellStyle name="Normal 2 4 5 3 2 2 2 3" xfId="11478" xr:uid="{69911B2F-1AC3-48C5-A282-4ED4E4FBC965}"/>
    <cellStyle name="Normal 2 4 5 3 2 2 3" xfId="5116" xr:uid="{00000000-0005-0000-0000-00008B100000}"/>
    <cellStyle name="Normal 2 4 5 3 2 2 3 2" xfId="13551" xr:uid="{7CE4D753-03FA-4023-A53D-22B61F7EBCDC}"/>
    <cellStyle name="Normal 2 4 5 3 2 2 4" xfId="9333" xr:uid="{BFB6B099-E430-4AA3-83DA-131EB401795B}"/>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2EB7AB4A-637A-4338-BEDD-47489454C15C}"/>
    <cellStyle name="Normal 2 4 5 3 2 3 2 3" xfId="11891" xr:uid="{314A8631-44C6-4207-B359-FC2FE1E60509}"/>
    <cellStyle name="Normal 2 4 5 3 2 3 3" xfId="5529" xr:uid="{00000000-0005-0000-0000-00008F100000}"/>
    <cellStyle name="Normal 2 4 5 3 2 3 3 2" xfId="13964" xr:uid="{787F490D-05B7-443A-A8A5-3E36B935D9C0}"/>
    <cellStyle name="Normal 2 4 5 3 2 3 4" xfId="9746" xr:uid="{C7C4F235-215B-45AE-B8EB-687B90A367B3}"/>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0FF20585-426D-4D30-A7D2-127F0956952E}"/>
    <cellStyle name="Normal 2 4 5 3 2 4 2 3" xfId="12304" xr:uid="{A6B58092-5DC6-4712-A9AC-1C8B8B1C6A6D}"/>
    <cellStyle name="Normal 2 4 5 3 2 4 3" xfId="5942" xr:uid="{00000000-0005-0000-0000-000093100000}"/>
    <cellStyle name="Normal 2 4 5 3 2 4 3 2" xfId="14377" xr:uid="{A7BBDD90-57D8-487A-9ECF-2285E21A53BC}"/>
    <cellStyle name="Normal 2 4 5 3 2 4 4" xfId="10159" xr:uid="{B2F3191D-3527-4E74-B807-DC1D665A6178}"/>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649EA533-0786-4661-BD86-8B3B950978CB}"/>
    <cellStyle name="Normal 2 4 5 3 2 5 2 3" xfId="12717" xr:uid="{92513C3A-5360-43D2-B578-536645D1841E}"/>
    <cellStyle name="Normal 2 4 5 3 2 5 3" xfId="6355" xr:uid="{00000000-0005-0000-0000-000097100000}"/>
    <cellStyle name="Normal 2 4 5 3 2 5 3 2" xfId="14790" xr:uid="{5A8B47DF-250B-401E-B02A-5183497D8960}"/>
    <cellStyle name="Normal 2 4 5 3 2 5 4" xfId="10572" xr:uid="{9F253116-2C71-4410-8F9A-AFB6F2441A37}"/>
    <cellStyle name="Normal 2 4 5 3 2 6" xfId="2484" xr:uid="{00000000-0005-0000-0000-000098100000}"/>
    <cellStyle name="Normal 2 4 5 3 2 6 2" xfId="6768" xr:uid="{00000000-0005-0000-0000-000099100000}"/>
    <cellStyle name="Normal 2 4 5 3 2 6 2 2" xfId="15203" xr:uid="{F5814E1F-D755-4E8E-87A8-EAF0591E1252}"/>
    <cellStyle name="Normal 2 4 5 3 2 6 3" xfId="10985" xr:uid="{3B4AB8E3-DA0D-495D-AE72-8AB94EAA0EA4}"/>
    <cellStyle name="Normal 2 4 5 3 2 7" xfId="4702" xr:uid="{00000000-0005-0000-0000-00009A100000}"/>
    <cellStyle name="Normal 2 4 5 3 2 7 2" xfId="13137" xr:uid="{F4C91F52-C8AE-4479-B27A-CBA7D14D9DD4}"/>
    <cellStyle name="Normal 2 4 5 3 2 8" xfId="8919" xr:uid="{AB850C66-D99F-46DB-9A61-BC982264F3CC}"/>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8581FA02-1E52-458F-9E5A-911D79071895}"/>
    <cellStyle name="Normal 2 4 5 3 3 2 3" xfId="11477" xr:uid="{6A1C7C91-08EC-4577-920C-C59D6DA7C698}"/>
    <cellStyle name="Normal 2 4 5 3 3 3" xfId="5115" xr:uid="{00000000-0005-0000-0000-00009E100000}"/>
    <cellStyle name="Normal 2 4 5 3 3 3 2" xfId="13550" xr:uid="{F6950A75-E52F-4FA4-A8FC-D5D51ECB3134}"/>
    <cellStyle name="Normal 2 4 5 3 3 4" xfId="9332" xr:uid="{AB2AA553-1041-464F-9883-549D7599D23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08A2A165-7EC1-4B5E-B99E-C1A08A9F57A0}"/>
    <cellStyle name="Normal 2 4 5 3 4 2 3" xfId="11890" xr:uid="{01828DA7-F89C-4349-B8BB-C61454B6B75F}"/>
    <cellStyle name="Normal 2 4 5 3 4 3" xfId="5528" xr:uid="{00000000-0005-0000-0000-0000A2100000}"/>
    <cellStyle name="Normal 2 4 5 3 4 3 2" xfId="13963" xr:uid="{8835F9E0-133D-4951-B44E-C20238A656B5}"/>
    <cellStyle name="Normal 2 4 5 3 4 4" xfId="9745" xr:uid="{F298BB24-81E9-42FC-BC0E-00CC702D9211}"/>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0DD70CD9-C230-4B40-A242-6B189354E035}"/>
    <cellStyle name="Normal 2 4 5 3 5 2 3" xfId="12303" xr:uid="{B7440BBE-A687-4BF8-BE12-114085BA9810}"/>
    <cellStyle name="Normal 2 4 5 3 5 3" xfId="5941" xr:uid="{00000000-0005-0000-0000-0000A6100000}"/>
    <cellStyle name="Normal 2 4 5 3 5 3 2" xfId="14376" xr:uid="{551EB265-B25E-4224-BE63-8909FA06A3D6}"/>
    <cellStyle name="Normal 2 4 5 3 5 4" xfId="10158" xr:uid="{6C586EEC-C66A-4EB9-930C-5281A344AC1F}"/>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3EC5DD36-20C0-4E5B-8E77-E67EA101D047}"/>
    <cellStyle name="Normal 2 4 5 3 6 2 3" xfId="12716" xr:uid="{D8799C92-8BCE-49EB-B855-DD30A8068DCF}"/>
    <cellStyle name="Normal 2 4 5 3 6 3" xfId="6354" xr:uid="{00000000-0005-0000-0000-0000AA100000}"/>
    <cellStyle name="Normal 2 4 5 3 6 3 2" xfId="14789" xr:uid="{07E4051D-7BEE-4558-AAD1-44E07C38A482}"/>
    <cellStyle name="Normal 2 4 5 3 6 4" xfId="10571" xr:uid="{415D3BDC-D37D-4CC9-A06A-9B6FA32FABAC}"/>
    <cellStyle name="Normal 2 4 5 3 7" xfId="2483" xr:uid="{00000000-0005-0000-0000-0000AB100000}"/>
    <cellStyle name="Normal 2 4 5 3 7 2" xfId="6767" xr:uid="{00000000-0005-0000-0000-0000AC100000}"/>
    <cellStyle name="Normal 2 4 5 3 7 2 2" xfId="15202" xr:uid="{EFCCC960-54C2-49F5-B8A7-DB032E7787BD}"/>
    <cellStyle name="Normal 2 4 5 3 7 3" xfId="10984" xr:uid="{3D0C0D54-5C9F-4044-98C3-FEE1DD9AAB94}"/>
    <cellStyle name="Normal 2 4 5 3 8" xfId="4701" xr:uid="{00000000-0005-0000-0000-0000AD100000}"/>
    <cellStyle name="Normal 2 4 5 3 8 2" xfId="13136" xr:uid="{94B74381-8B7D-4F97-8322-D66CCA9F1212}"/>
    <cellStyle name="Normal 2 4 5 3 9" xfId="8918" xr:uid="{F31924B4-39C3-4C1C-9FC8-CD01B757CC42}"/>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8E8FFC11-4448-46B3-A3FD-F9DE9D5A9797}"/>
    <cellStyle name="Normal 2 4 5 4 2 2 3" xfId="11479" xr:uid="{A4C80F72-F045-4DDD-884E-E15037FD23E0}"/>
    <cellStyle name="Normal 2 4 5 4 2 3" xfId="5117" xr:uid="{00000000-0005-0000-0000-0000B2100000}"/>
    <cellStyle name="Normal 2 4 5 4 2 3 2" xfId="13552" xr:uid="{BB36AEC4-2304-4AAB-84BE-3BFCCECF1909}"/>
    <cellStyle name="Normal 2 4 5 4 2 4" xfId="9334" xr:uid="{C5154E54-7A85-46F8-90DD-7E8DD4435EF3}"/>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9FAAC794-AE5B-4C4A-86CC-55451651C40A}"/>
    <cellStyle name="Normal 2 4 5 4 3 2 3" xfId="11892" xr:uid="{E5A356C5-5AF9-45A3-A854-A4D7E88959F4}"/>
    <cellStyle name="Normal 2 4 5 4 3 3" xfId="5530" xr:uid="{00000000-0005-0000-0000-0000B6100000}"/>
    <cellStyle name="Normal 2 4 5 4 3 3 2" xfId="13965" xr:uid="{B0CB7A84-464D-40D5-AA4E-363D1E995382}"/>
    <cellStyle name="Normal 2 4 5 4 3 4" xfId="9747" xr:uid="{36AB63D6-6A4A-47D7-ADC7-983A69AF97C1}"/>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F60BB52B-446F-4454-8D6A-CC77FE90FD83}"/>
    <cellStyle name="Normal 2 4 5 4 4 2 3" xfId="12305" xr:uid="{F412000F-50C4-4280-AEA7-2DF1ECC0FADE}"/>
    <cellStyle name="Normal 2 4 5 4 4 3" xfId="5943" xr:uid="{00000000-0005-0000-0000-0000BA100000}"/>
    <cellStyle name="Normal 2 4 5 4 4 3 2" xfId="14378" xr:uid="{53611273-CB79-495C-A77E-4EEB36181323}"/>
    <cellStyle name="Normal 2 4 5 4 4 4" xfId="10160" xr:uid="{B8FF0751-D40A-45FA-AEE6-174B555E4472}"/>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55FE102F-76F9-45DE-9B7E-78880B90DD59}"/>
    <cellStyle name="Normal 2 4 5 4 5 2 3" xfId="12718" xr:uid="{D5C1ABDC-39BF-4D96-8FD2-58CF133ADD8C}"/>
    <cellStyle name="Normal 2 4 5 4 5 3" xfId="6356" xr:uid="{00000000-0005-0000-0000-0000BE100000}"/>
    <cellStyle name="Normal 2 4 5 4 5 3 2" xfId="14791" xr:uid="{150A5E18-FE50-45CE-91B6-489C048CD625}"/>
    <cellStyle name="Normal 2 4 5 4 5 4" xfId="10573" xr:uid="{88FE1FCD-C0B1-450D-B848-6FC874AB4AF6}"/>
    <cellStyle name="Normal 2 4 5 4 6" xfId="2485" xr:uid="{00000000-0005-0000-0000-0000BF100000}"/>
    <cellStyle name="Normal 2 4 5 4 6 2" xfId="6769" xr:uid="{00000000-0005-0000-0000-0000C0100000}"/>
    <cellStyle name="Normal 2 4 5 4 6 2 2" xfId="15204" xr:uid="{3078D379-F072-4809-BBCA-96B8D18EF059}"/>
    <cellStyle name="Normal 2 4 5 4 6 3" xfId="10986" xr:uid="{20A767A6-86FD-4CA0-B008-A93A9219E32B}"/>
    <cellStyle name="Normal 2 4 5 4 7" xfId="4703" xr:uid="{00000000-0005-0000-0000-0000C1100000}"/>
    <cellStyle name="Normal 2 4 5 4 7 2" xfId="13138" xr:uid="{4D4AB35F-F529-431A-A472-F65EC62105EC}"/>
    <cellStyle name="Normal 2 4 5 4 8" xfId="8920" xr:uid="{0CCA36F3-1F32-4344-BD1F-74CFA9F41837}"/>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53A07817-1D5E-4701-94C9-6D42BD4FEA14}"/>
    <cellStyle name="Normal 2 4 5 5 2 3" xfId="11472" xr:uid="{AC65DE46-C626-4349-9E3F-834E36AA7DB4}"/>
    <cellStyle name="Normal 2 4 5 5 3" xfId="5110" xr:uid="{00000000-0005-0000-0000-0000C5100000}"/>
    <cellStyle name="Normal 2 4 5 5 3 2" xfId="13545" xr:uid="{A14A90BC-2C0C-45A3-8840-1E1D1AE6B475}"/>
    <cellStyle name="Normal 2 4 5 5 4" xfId="9327" xr:uid="{1B21D314-0A87-47A9-9AD8-CDB5E3BCDC42}"/>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BBAB0128-6201-49D2-AB0C-C88B109A2975}"/>
    <cellStyle name="Normal 2 4 5 6 2 3" xfId="11885" xr:uid="{B45ECF1A-4E8B-4F17-8F1F-C0866B9B0427}"/>
    <cellStyle name="Normal 2 4 5 6 3" xfId="5523" xr:uid="{00000000-0005-0000-0000-0000C9100000}"/>
    <cellStyle name="Normal 2 4 5 6 3 2" xfId="13958" xr:uid="{9010E289-672D-4CBE-BBA9-4B58575B3ADE}"/>
    <cellStyle name="Normal 2 4 5 6 4" xfId="9740" xr:uid="{54D813B4-0606-4797-930E-8D6C7A4C4219}"/>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4F84203C-C826-4E5C-81A6-F64F87A52596}"/>
    <cellStyle name="Normal 2 4 5 7 2 3" xfId="12298" xr:uid="{ADF2922A-2B0E-45CB-AA66-12FE7CBCD499}"/>
    <cellStyle name="Normal 2 4 5 7 3" xfId="5936" xr:uid="{00000000-0005-0000-0000-0000CD100000}"/>
    <cellStyle name="Normal 2 4 5 7 3 2" xfId="14371" xr:uid="{49CFB98D-F1E1-45DF-AB8B-241C3DA49248}"/>
    <cellStyle name="Normal 2 4 5 7 4" xfId="10153" xr:uid="{6D0929EB-F078-4141-90A8-EA14CF3091D0}"/>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01D41778-6CAE-4B3B-A1D6-7080C6691A1E}"/>
    <cellStyle name="Normal 2 4 5 8 2 3" xfId="12711" xr:uid="{937B3A9B-F2FA-4CF7-B0F1-5644F01F95B8}"/>
    <cellStyle name="Normal 2 4 5 8 3" xfId="6349" xr:uid="{00000000-0005-0000-0000-0000D1100000}"/>
    <cellStyle name="Normal 2 4 5 8 3 2" xfId="14784" xr:uid="{DEEF2CA8-24B9-4F1F-94D5-A67D70C335AB}"/>
    <cellStyle name="Normal 2 4 5 8 4" xfId="10566" xr:uid="{B675B736-2B1B-42D8-9B8D-6F15F857496B}"/>
    <cellStyle name="Normal 2 4 5 9" xfId="2478" xr:uid="{00000000-0005-0000-0000-0000D2100000}"/>
    <cellStyle name="Normal 2 4 5 9 2" xfId="6762" xr:uid="{00000000-0005-0000-0000-0000D3100000}"/>
    <cellStyle name="Normal 2 4 5 9 2 2" xfId="15197" xr:uid="{2C89226A-3A42-4174-9FF0-E8A0B43E9DCF}"/>
    <cellStyle name="Normal 2 4 5 9 3" xfId="10979" xr:uid="{9EDB25FC-6F3F-45C2-A22B-4F7E8AD927E2}"/>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F993CBC7-DF68-4A6A-A90E-23CFC4DD41F3}"/>
    <cellStyle name="Normal 2 4 7 2 2 2 3" xfId="11481" xr:uid="{5D19C85D-C8EE-4A95-9EA0-8D6177A6F81D}"/>
    <cellStyle name="Normal 2 4 7 2 2 3" xfId="5119" xr:uid="{00000000-0005-0000-0000-0000DA100000}"/>
    <cellStyle name="Normal 2 4 7 2 2 3 2" xfId="13554" xr:uid="{86E334F3-62E5-44E9-B006-B811EF3E48BC}"/>
    <cellStyle name="Normal 2 4 7 2 2 4" xfId="9336" xr:uid="{A4F8847F-78C2-43D2-9270-AFE4E8DCCB95}"/>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A449D8EE-B941-4E5F-A034-39DE09F69BC9}"/>
    <cellStyle name="Normal 2 4 7 2 3 2 3" xfId="11894" xr:uid="{E4FF6717-9BBF-47BD-9212-3B640A92A0E8}"/>
    <cellStyle name="Normal 2 4 7 2 3 3" xfId="5532" xr:uid="{00000000-0005-0000-0000-0000DE100000}"/>
    <cellStyle name="Normal 2 4 7 2 3 3 2" xfId="13967" xr:uid="{7C1F2688-36CC-400E-955B-0A2CE78BC721}"/>
    <cellStyle name="Normal 2 4 7 2 3 4" xfId="9749" xr:uid="{14749987-0F90-4624-BDD1-97E2597717FB}"/>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29A0C147-77CD-4524-819B-B992F1499A3D}"/>
    <cellStyle name="Normal 2 4 7 2 4 2 3" xfId="12307" xr:uid="{6A5269EB-6B6E-44EA-9AA4-C9EE686A1E16}"/>
    <cellStyle name="Normal 2 4 7 2 4 3" xfId="5945" xr:uid="{00000000-0005-0000-0000-0000E2100000}"/>
    <cellStyle name="Normal 2 4 7 2 4 3 2" xfId="14380" xr:uid="{82B683A1-CBDC-4330-AC27-1AC105422514}"/>
    <cellStyle name="Normal 2 4 7 2 4 4" xfId="10162" xr:uid="{5B12E906-89E3-4B73-968F-FA2B7BDA3AAB}"/>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14270324-620A-491A-BE36-5FAA65DDCD1F}"/>
    <cellStyle name="Normal 2 4 7 2 5 2 3" xfId="12720" xr:uid="{90E0AC27-D395-419E-8D5E-69378E3DDC93}"/>
    <cellStyle name="Normal 2 4 7 2 5 3" xfId="6358" xr:uid="{00000000-0005-0000-0000-0000E6100000}"/>
    <cellStyle name="Normal 2 4 7 2 5 3 2" xfId="14793" xr:uid="{A55F6720-048A-4914-AA08-5D288005BC48}"/>
    <cellStyle name="Normal 2 4 7 2 5 4" xfId="10575" xr:uid="{BADC599B-8B36-49CC-ABE5-BDC503B85D03}"/>
    <cellStyle name="Normal 2 4 7 2 6" xfId="2487" xr:uid="{00000000-0005-0000-0000-0000E7100000}"/>
    <cellStyle name="Normal 2 4 7 2 6 2" xfId="6771" xr:uid="{00000000-0005-0000-0000-0000E8100000}"/>
    <cellStyle name="Normal 2 4 7 2 6 2 2" xfId="15206" xr:uid="{21655CCF-B53A-4AFE-9CE4-46889C2EFE13}"/>
    <cellStyle name="Normal 2 4 7 2 6 3" xfId="10988" xr:uid="{28DCA547-95C2-400C-A690-2095CB8CF781}"/>
    <cellStyle name="Normal 2 4 7 2 7" xfId="4705" xr:uid="{00000000-0005-0000-0000-0000E9100000}"/>
    <cellStyle name="Normal 2 4 7 2 7 2" xfId="13140" xr:uid="{930B740C-D096-46EA-BBFB-8967A3EA03B4}"/>
    <cellStyle name="Normal 2 4 7 2 8" xfId="8922" xr:uid="{078C1439-D388-4225-8ABE-91A0F4666420}"/>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D049EF00-A9EA-4893-91A5-116D759E7B95}"/>
    <cellStyle name="Normal 2 4 7 3 2 3" xfId="11480" xr:uid="{3ACA7D0F-6669-4C01-BAE1-F9B6ED89B0DC}"/>
    <cellStyle name="Normal 2 4 7 3 3" xfId="5118" xr:uid="{00000000-0005-0000-0000-0000ED100000}"/>
    <cellStyle name="Normal 2 4 7 3 3 2" xfId="13553" xr:uid="{46A6983B-E323-4883-A777-3D3FE4E702EF}"/>
    <cellStyle name="Normal 2 4 7 3 4" xfId="9335" xr:uid="{C548CBD3-369B-44C7-A2F2-D8B6AA856887}"/>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E0BEC841-7BD5-4A4D-959C-6EDA56FB3931}"/>
    <cellStyle name="Normal 2 4 7 4 2 3" xfId="11893" xr:uid="{C17D6422-3B70-4454-927C-F115CEBAD9DA}"/>
    <cellStyle name="Normal 2 4 7 4 3" xfId="5531" xr:uid="{00000000-0005-0000-0000-0000F1100000}"/>
    <cellStyle name="Normal 2 4 7 4 3 2" xfId="13966" xr:uid="{C2580909-7930-4684-BDA6-1ABA7955BB64}"/>
    <cellStyle name="Normal 2 4 7 4 4" xfId="9748" xr:uid="{CE503104-5054-4E16-91F7-06A6AF045AD2}"/>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17076A6B-0AFA-4F44-AA9E-49BF8A91ED7C}"/>
    <cellStyle name="Normal 2 4 7 5 2 3" xfId="12306" xr:uid="{1DA2551E-8E18-4F84-A23A-44B7FDEC773E}"/>
    <cellStyle name="Normal 2 4 7 5 3" xfId="5944" xr:uid="{00000000-0005-0000-0000-0000F5100000}"/>
    <cellStyle name="Normal 2 4 7 5 3 2" xfId="14379" xr:uid="{5AE36E24-A1A3-4A63-98F7-B01F90180B7C}"/>
    <cellStyle name="Normal 2 4 7 5 4" xfId="10161" xr:uid="{94B5A4FD-FE94-4003-9A07-CF35662EF2C1}"/>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5B62719B-C810-4088-B7C4-E8E324B43089}"/>
    <cellStyle name="Normal 2 4 7 6 2 3" xfId="12719" xr:uid="{0D14E6D2-98F4-48F3-B4EF-20E9C7A655C1}"/>
    <cellStyle name="Normal 2 4 7 6 3" xfId="6357" xr:uid="{00000000-0005-0000-0000-0000F9100000}"/>
    <cellStyle name="Normal 2 4 7 6 3 2" xfId="14792" xr:uid="{818E4712-DFA2-4D13-89BF-AE1D77EE5FE2}"/>
    <cellStyle name="Normal 2 4 7 6 4" xfId="10574" xr:uid="{F5B81593-1733-4420-BF95-BC0C7C7F0ED9}"/>
    <cellStyle name="Normal 2 4 7 7" xfId="2486" xr:uid="{00000000-0005-0000-0000-0000FA100000}"/>
    <cellStyle name="Normal 2 4 7 7 2" xfId="6770" xr:uid="{00000000-0005-0000-0000-0000FB100000}"/>
    <cellStyle name="Normal 2 4 7 7 2 2" xfId="15205" xr:uid="{18B9D5F2-EA25-4390-B198-FEDFCE007654}"/>
    <cellStyle name="Normal 2 4 7 7 3" xfId="10987" xr:uid="{86054F9B-CD93-45E1-A6B7-8C9FE024F274}"/>
    <cellStyle name="Normal 2 4 7 8" xfId="4704" xr:uid="{00000000-0005-0000-0000-0000FC100000}"/>
    <cellStyle name="Normal 2 4 7 8 2" xfId="13139" xr:uid="{63B9AF0B-7224-441C-BDF5-9465C6C7F5B4}"/>
    <cellStyle name="Normal 2 4 7 9" xfId="8921" xr:uid="{7BCD7A2A-4130-4990-8F42-9232AC615025}"/>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F692BE15-25C5-43C8-AE16-150336A90C95}"/>
    <cellStyle name="Normal 2 4 8 2 2 3" xfId="11482" xr:uid="{3AE95735-0295-4776-B1BC-3BE1D2C53863}"/>
    <cellStyle name="Normal 2 4 8 2 3" xfId="5120" xr:uid="{00000000-0005-0000-0000-000001110000}"/>
    <cellStyle name="Normal 2 4 8 2 3 2" xfId="13555" xr:uid="{57D290D9-03C6-475D-B6B5-44719F114534}"/>
    <cellStyle name="Normal 2 4 8 2 4" xfId="9337" xr:uid="{5CE33B9E-7ABB-4C0F-9E74-8F541DBCD4D6}"/>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3781F4B1-C7FA-4AE7-B8C4-84DCFD345014}"/>
    <cellStyle name="Normal 2 4 8 3 2 3" xfId="11895" xr:uid="{8D48FAD6-1895-4162-9CFB-C413A8539F4B}"/>
    <cellStyle name="Normal 2 4 8 3 3" xfId="5533" xr:uid="{00000000-0005-0000-0000-000005110000}"/>
    <cellStyle name="Normal 2 4 8 3 3 2" xfId="13968" xr:uid="{8C6D4BAB-C85D-443F-B4EE-9A7B676EA364}"/>
    <cellStyle name="Normal 2 4 8 3 4" xfId="9750" xr:uid="{B2BBF747-C759-4202-A93F-6CCD18800336}"/>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98411FDB-901D-4A08-A2C4-E051997BCC5F}"/>
    <cellStyle name="Normal 2 4 8 4 2 3" xfId="12308" xr:uid="{C26E8059-111A-4644-850F-BE3F9A3B26A4}"/>
    <cellStyle name="Normal 2 4 8 4 3" xfId="5946" xr:uid="{00000000-0005-0000-0000-000009110000}"/>
    <cellStyle name="Normal 2 4 8 4 3 2" xfId="14381" xr:uid="{9DF75894-AEB7-4088-AABF-D17892A8AA1A}"/>
    <cellStyle name="Normal 2 4 8 4 4" xfId="10163" xr:uid="{5D68A6BD-29A9-4C45-A1BB-EE6AE3A2595A}"/>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9AA19EA6-48D0-4FC2-BA1D-599F801E4EFF}"/>
    <cellStyle name="Normal 2 4 8 5 2 3" xfId="12721" xr:uid="{ABF3D83E-F333-4CAD-A1F0-133DF5205B08}"/>
    <cellStyle name="Normal 2 4 8 5 3" xfId="6359" xr:uid="{00000000-0005-0000-0000-00000D110000}"/>
    <cellStyle name="Normal 2 4 8 5 3 2" xfId="14794" xr:uid="{E2E0B82B-C43B-4FEF-8471-E13FCD208AED}"/>
    <cellStyle name="Normal 2 4 8 5 4" xfId="10576" xr:uid="{5B6450AE-0782-479E-B4D4-0E78F79FDF56}"/>
    <cellStyle name="Normal 2 4 8 6" xfId="2488" xr:uid="{00000000-0005-0000-0000-00000E110000}"/>
    <cellStyle name="Normal 2 4 8 6 2" xfId="6772" xr:uid="{00000000-0005-0000-0000-00000F110000}"/>
    <cellStyle name="Normal 2 4 8 6 2 2" xfId="15207" xr:uid="{E6302C95-42F6-4403-A0CC-7DEC43735819}"/>
    <cellStyle name="Normal 2 4 8 6 3" xfId="10989" xr:uid="{B92A5FBD-2C36-45FA-AD14-953E2A4CAF0D}"/>
    <cellStyle name="Normal 2 4 8 7" xfId="4706" xr:uid="{00000000-0005-0000-0000-000010110000}"/>
    <cellStyle name="Normal 2 4 8 7 2" xfId="13141" xr:uid="{0C31F918-4C25-432F-88D8-6FEFA94547EC}"/>
    <cellStyle name="Normal 2 4 8 8" xfId="8923" xr:uid="{4863AD67-FF6F-4543-8F19-DF6077852120}"/>
    <cellStyle name="Normal 2 5" xfId="315" xr:uid="{00000000-0005-0000-0000-000011110000}"/>
    <cellStyle name="Normal 2 5 10" xfId="4707" xr:uid="{00000000-0005-0000-0000-000012110000}"/>
    <cellStyle name="Normal 2 5 10 2" xfId="13142" xr:uid="{424874AE-7BC6-4BF4-B23D-DDE205FD08B1}"/>
    <cellStyle name="Normal 2 5 11" xfId="8924" xr:uid="{52FB78E3-DF18-4EEE-B3B3-FB66BA70FD2A}"/>
    <cellStyle name="Normal 2 5 2" xfId="316" xr:uid="{00000000-0005-0000-0000-000013110000}"/>
    <cellStyle name="Normal 2 5 3" xfId="317" xr:uid="{00000000-0005-0000-0000-000014110000}"/>
    <cellStyle name="Normal 2 5 4" xfId="318" xr:uid="{00000000-0005-0000-0000-000015110000}"/>
    <cellStyle name="Normal 2 5 4 10" xfId="8925" xr:uid="{397ABB97-4FB8-41E5-B3E8-5742A09CD82C}"/>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F49B7435-DB0C-4F0B-9905-998BB7603467}"/>
    <cellStyle name="Normal 2 5 4 2 2 2 2 3" xfId="11486" xr:uid="{971B1622-63EA-4E9B-B76C-5FB92FBBDED4}"/>
    <cellStyle name="Normal 2 5 4 2 2 2 3" xfId="5124" xr:uid="{00000000-0005-0000-0000-00001B110000}"/>
    <cellStyle name="Normal 2 5 4 2 2 2 3 2" xfId="13559" xr:uid="{0494C88B-EFAA-4C8A-B4BF-5EF9EA287602}"/>
    <cellStyle name="Normal 2 5 4 2 2 2 4" xfId="9341" xr:uid="{E454A473-B10B-4A53-B63B-20A6335392ED}"/>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83AAE7C9-1728-4218-976F-B7965BF60A0D}"/>
    <cellStyle name="Normal 2 5 4 2 2 3 2 3" xfId="11899" xr:uid="{3009608F-F6B2-4F7E-9BE2-889F69C10C0D}"/>
    <cellStyle name="Normal 2 5 4 2 2 3 3" xfId="5537" xr:uid="{00000000-0005-0000-0000-00001F110000}"/>
    <cellStyle name="Normal 2 5 4 2 2 3 3 2" xfId="13972" xr:uid="{9AD351D0-368E-413D-A810-046E3380EE8B}"/>
    <cellStyle name="Normal 2 5 4 2 2 3 4" xfId="9754" xr:uid="{A31E6BB7-1663-4C3E-9F36-8B4B718323EF}"/>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8FB4ECB1-A08F-4039-858A-CE41F3AA32CB}"/>
    <cellStyle name="Normal 2 5 4 2 2 4 2 3" xfId="12312" xr:uid="{2DDB252D-F672-465C-BFF3-A289AEB7B607}"/>
    <cellStyle name="Normal 2 5 4 2 2 4 3" xfId="5950" xr:uid="{00000000-0005-0000-0000-000023110000}"/>
    <cellStyle name="Normal 2 5 4 2 2 4 3 2" xfId="14385" xr:uid="{120FE3F5-CB4F-4482-AC7F-486AA61BFDFB}"/>
    <cellStyle name="Normal 2 5 4 2 2 4 4" xfId="10167" xr:uid="{C81B0470-902F-439F-B37B-20C4377AF734}"/>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3876323F-88AC-4BEE-A53B-5E072555596F}"/>
    <cellStyle name="Normal 2 5 4 2 2 5 2 3" xfId="12725" xr:uid="{272AF7F3-8FA1-4635-8D93-D3BDBFBA5F74}"/>
    <cellStyle name="Normal 2 5 4 2 2 5 3" xfId="6363" xr:uid="{00000000-0005-0000-0000-000027110000}"/>
    <cellStyle name="Normal 2 5 4 2 2 5 3 2" xfId="14798" xr:uid="{2C034E49-8021-4B60-B623-EEC005DFE162}"/>
    <cellStyle name="Normal 2 5 4 2 2 5 4" xfId="10580" xr:uid="{63F93DDB-24FA-41EA-B519-49F554A2ED96}"/>
    <cellStyle name="Normal 2 5 4 2 2 6" xfId="2492" xr:uid="{00000000-0005-0000-0000-000028110000}"/>
    <cellStyle name="Normal 2 5 4 2 2 6 2" xfId="6776" xr:uid="{00000000-0005-0000-0000-000029110000}"/>
    <cellStyle name="Normal 2 5 4 2 2 6 2 2" xfId="15211" xr:uid="{70C43BCF-1466-42DC-BF53-762D3C48089E}"/>
    <cellStyle name="Normal 2 5 4 2 2 6 3" xfId="10993" xr:uid="{A349F112-655E-4D3B-9D34-8616A86C32A0}"/>
    <cellStyle name="Normal 2 5 4 2 2 7" xfId="4710" xr:uid="{00000000-0005-0000-0000-00002A110000}"/>
    <cellStyle name="Normal 2 5 4 2 2 7 2" xfId="13145" xr:uid="{F77EB1DC-E656-4ECF-A19B-2BE5E5BD1200}"/>
    <cellStyle name="Normal 2 5 4 2 2 8" xfId="8927" xr:uid="{8279849A-F16F-4422-87E8-3D82B49E0A6D}"/>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013CD775-ACB5-448E-B38E-F3583388307E}"/>
    <cellStyle name="Normal 2 5 4 2 3 2 3" xfId="11485" xr:uid="{858E33CD-B395-4762-B728-862E81F36394}"/>
    <cellStyle name="Normal 2 5 4 2 3 3" xfId="5123" xr:uid="{00000000-0005-0000-0000-00002E110000}"/>
    <cellStyle name="Normal 2 5 4 2 3 3 2" xfId="13558" xr:uid="{BC08677D-D9F7-4D8B-A826-3F5DE7E07604}"/>
    <cellStyle name="Normal 2 5 4 2 3 4" xfId="9340" xr:uid="{6B782703-B84A-4087-B658-32A9EB5B6B2E}"/>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03875DB8-E0EF-41F2-9561-8D2828353B02}"/>
    <cellStyle name="Normal 2 5 4 2 4 2 3" xfId="11898" xr:uid="{F3E88B9E-4710-45CB-8087-F8765542DEA9}"/>
    <cellStyle name="Normal 2 5 4 2 4 3" xfId="5536" xr:uid="{00000000-0005-0000-0000-000032110000}"/>
    <cellStyle name="Normal 2 5 4 2 4 3 2" xfId="13971" xr:uid="{2508EE2F-DEC9-415E-8D33-BDDF7432F32B}"/>
    <cellStyle name="Normal 2 5 4 2 4 4" xfId="9753" xr:uid="{BDDAF49F-F50F-4C30-97AE-6D89F3600B7F}"/>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1E92D381-06F4-49D8-AF5A-E0A45DCE05BB}"/>
    <cellStyle name="Normal 2 5 4 2 5 2 3" xfId="12311" xr:uid="{18F005AB-9BF3-4651-8234-671D35FDB4A9}"/>
    <cellStyle name="Normal 2 5 4 2 5 3" xfId="5949" xr:uid="{00000000-0005-0000-0000-000036110000}"/>
    <cellStyle name="Normal 2 5 4 2 5 3 2" xfId="14384" xr:uid="{39D74B5B-728D-4985-BADC-DAB1AE302352}"/>
    <cellStyle name="Normal 2 5 4 2 5 4" xfId="10166" xr:uid="{853FDA18-75DF-4B6E-8B3F-2EC21B86D197}"/>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6DED33DF-4F7A-42DD-A4ED-DA5287BFA430}"/>
    <cellStyle name="Normal 2 5 4 2 6 2 3" xfId="12724" xr:uid="{2B49F613-81C7-48D8-AE40-D5D7A95E9EA4}"/>
    <cellStyle name="Normal 2 5 4 2 6 3" xfId="6362" xr:uid="{00000000-0005-0000-0000-00003A110000}"/>
    <cellStyle name="Normal 2 5 4 2 6 3 2" xfId="14797" xr:uid="{8F39F527-3F9F-40C7-8242-70212D9690C3}"/>
    <cellStyle name="Normal 2 5 4 2 6 4" xfId="10579" xr:uid="{FA7551C7-CF6B-448D-9C61-FD0B9BE63A15}"/>
    <cellStyle name="Normal 2 5 4 2 7" xfId="2491" xr:uid="{00000000-0005-0000-0000-00003B110000}"/>
    <cellStyle name="Normal 2 5 4 2 7 2" xfId="6775" xr:uid="{00000000-0005-0000-0000-00003C110000}"/>
    <cellStyle name="Normal 2 5 4 2 7 2 2" xfId="15210" xr:uid="{CE3B86FD-EEEF-4F9F-AF56-35B37F7922BA}"/>
    <cellStyle name="Normal 2 5 4 2 7 3" xfId="10992" xr:uid="{D06C2307-A3B3-4C19-BB5F-99EDBBF07EE8}"/>
    <cellStyle name="Normal 2 5 4 2 8" xfId="4709" xr:uid="{00000000-0005-0000-0000-00003D110000}"/>
    <cellStyle name="Normal 2 5 4 2 8 2" xfId="13144" xr:uid="{70911B96-28E2-4EEA-BE94-FDD2396C3283}"/>
    <cellStyle name="Normal 2 5 4 2 9" xfId="8926" xr:uid="{106AA95B-F189-457A-B777-1BFB0F9B7795}"/>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A88AAC03-F80E-424F-BAF9-30DD8BAA19B7}"/>
    <cellStyle name="Normal 2 5 4 3 2 2 3" xfId="11487" xr:uid="{5DBECF92-9A0D-4B1C-99C7-EDC333BD2B2F}"/>
    <cellStyle name="Normal 2 5 4 3 2 3" xfId="5125" xr:uid="{00000000-0005-0000-0000-000042110000}"/>
    <cellStyle name="Normal 2 5 4 3 2 3 2" xfId="13560" xr:uid="{53D96CF4-735E-4EA4-AD80-0660A64C5483}"/>
    <cellStyle name="Normal 2 5 4 3 2 4" xfId="9342" xr:uid="{9AAFAD45-D5D0-4D19-8C23-01AB4F7E1FA9}"/>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DFEB5FC0-7628-4BF3-91B7-C70EF5951B6B}"/>
    <cellStyle name="Normal 2 5 4 3 3 2 3" xfId="11900" xr:uid="{592CC9CC-1763-4041-9939-9C7DB1E797A3}"/>
    <cellStyle name="Normal 2 5 4 3 3 3" xfId="5538" xr:uid="{00000000-0005-0000-0000-000046110000}"/>
    <cellStyle name="Normal 2 5 4 3 3 3 2" xfId="13973" xr:uid="{D611FA2F-5010-4AD1-80D7-78D2B8C520C5}"/>
    <cellStyle name="Normal 2 5 4 3 3 4" xfId="9755" xr:uid="{0F74FD98-7675-470C-8796-64ACFE63DF9A}"/>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D185FCF5-D29F-4622-9270-22B402B811C4}"/>
    <cellStyle name="Normal 2 5 4 3 4 2 3" xfId="12313" xr:uid="{B9217565-EAB9-4EC9-BDE5-B7B26D4AA248}"/>
    <cellStyle name="Normal 2 5 4 3 4 3" xfId="5951" xr:uid="{00000000-0005-0000-0000-00004A110000}"/>
    <cellStyle name="Normal 2 5 4 3 4 3 2" xfId="14386" xr:uid="{80DDEB84-A586-49BF-9EE3-04956FE6F7E9}"/>
    <cellStyle name="Normal 2 5 4 3 4 4" xfId="10168" xr:uid="{32DEACF4-2347-48B8-9A0B-D8CB8724FBD7}"/>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61A511D2-1C6D-47D6-B61F-B10E33EEDE86}"/>
    <cellStyle name="Normal 2 5 4 3 5 2 3" xfId="12726" xr:uid="{DF4A5D7E-5EBB-421E-A62C-243D400093A5}"/>
    <cellStyle name="Normal 2 5 4 3 5 3" xfId="6364" xr:uid="{00000000-0005-0000-0000-00004E110000}"/>
    <cellStyle name="Normal 2 5 4 3 5 3 2" xfId="14799" xr:uid="{715BC78D-FA6B-43B4-B801-315DF2E34F3C}"/>
    <cellStyle name="Normal 2 5 4 3 5 4" xfId="10581" xr:uid="{0ED7BC68-40C6-40FC-A6D0-31E608C24C5E}"/>
    <cellStyle name="Normal 2 5 4 3 6" xfId="2493" xr:uid="{00000000-0005-0000-0000-00004F110000}"/>
    <cellStyle name="Normal 2 5 4 3 6 2" xfId="6777" xr:uid="{00000000-0005-0000-0000-000050110000}"/>
    <cellStyle name="Normal 2 5 4 3 6 2 2" xfId="15212" xr:uid="{59D31649-E9C3-4A06-8FA4-A2D618903210}"/>
    <cellStyle name="Normal 2 5 4 3 6 3" xfId="10994" xr:uid="{7F5B082F-38A3-4007-90C2-9D1E2B0D347F}"/>
    <cellStyle name="Normal 2 5 4 3 7" xfId="4711" xr:uid="{00000000-0005-0000-0000-000051110000}"/>
    <cellStyle name="Normal 2 5 4 3 7 2" xfId="13146" xr:uid="{A7D4DAD9-5C2A-486E-956E-AECE4A00437C}"/>
    <cellStyle name="Normal 2 5 4 3 8" xfId="8928" xr:uid="{1F4E5BE6-D88E-4F7E-BCAF-0E789EFE06C5}"/>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F85676D7-9650-4E5A-8864-982A9262A56A}"/>
    <cellStyle name="Normal 2 5 4 4 2 3" xfId="11484" xr:uid="{1F322B21-6879-44D7-82F4-A8960B5803F0}"/>
    <cellStyle name="Normal 2 5 4 4 3" xfId="5122" xr:uid="{00000000-0005-0000-0000-000055110000}"/>
    <cellStyle name="Normal 2 5 4 4 3 2" xfId="13557" xr:uid="{9F0D2FC8-CDC0-4B77-A7B2-182F5D409512}"/>
    <cellStyle name="Normal 2 5 4 4 4" xfId="9339" xr:uid="{8961A609-21F2-4254-87F0-EF5C9A419745}"/>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E509F87B-6189-43B2-B5BE-0915C03EF903}"/>
    <cellStyle name="Normal 2 5 4 5 2 3" xfId="11897" xr:uid="{0BE33466-E524-4BBE-A0D6-12633FC68146}"/>
    <cellStyle name="Normal 2 5 4 5 3" xfId="5535" xr:uid="{00000000-0005-0000-0000-000059110000}"/>
    <cellStyle name="Normal 2 5 4 5 3 2" xfId="13970" xr:uid="{E430FB8C-5E1D-462C-B1BA-96EAC727CDF0}"/>
    <cellStyle name="Normal 2 5 4 5 4" xfId="9752" xr:uid="{EBB3EC5A-68C7-456C-9E7E-CD98B67A09E3}"/>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B6E35A8A-F56B-4DAD-A0E6-07EAE0A183A7}"/>
    <cellStyle name="Normal 2 5 4 6 2 3" xfId="12310" xr:uid="{90769ED6-8F8F-4486-AA60-509E8BEA1F67}"/>
    <cellStyle name="Normal 2 5 4 6 3" xfId="5948" xr:uid="{00000000-0005-0000-0000-00005D110000}"/>
    <cellStyle name="Normal 2 5 4 6 3 2" xfId="14383" xr:uid="{B6B15198-A372-4E67-8E26-C98E40D4D737}"/>
    <cellStyle name="Normal 2 5 4 6 4" xfId="10165" xr:uid="{83B3DC6C-DF4E-4263-A9BD-3549C809CE76}"/>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D6F9BD2D-5130-4EA1-B075-AE8ABBB3AA01}"/>
    <cellStyle name="Normal 2 5 4 7 2 3" xfId="12723" xr:uid="{2055F77C-1923-4072-810F-F41CEE76D349}"/>
    <cellStyle name="Normal 2 5 4 7 3" xfId="6361" xr:uid="{00000000-0005-0000-0000-000061110000}"/>
    <cellStyle name="Normal 2 5 4 7 3 2" xfId="14796" xr:uid="{534C8EF7-7385-45FE-A95B-57EB3A0F51B2}"/>
    <cellStyle name="Normal 2 5 4 7 4" xfId="10578" xr:uid="{858A75C4-E248-4C50-9A07-007D56B9296A}"/>
    <cellStyle name="Normal 2 5 4 8" xfId="2490" xr:uid="{00000000-0005-0000-0000-000062110000}"/>
    <cellStyle name="Normal 2 5 4 8 2" xfId="6774" xr:uid="{00000000-0005-0000-0000-000063110000}"/>
    <cellStyle name="Normal 2 5 4 8 2 2" xfId="15209" xr:uid="{493A1D1A-1B22-4751-BD62-0AF95CF6C810}"/>
    <cellStyle name="Normal 2 5 4 8 3" xfId="10991" xr:uid="{66D38C2B-B81A-4411-B967-2796FDAC5654}"/>
    <cellStyle name="Normal 2 5 4 9" xfId="4708" xr:uid="{00000000-0005-0000-0000-000064110000}"/>
    <cellStyle name="Normal 2 5 4 9 2" xfId="13143" xr:uid="{18F705C8-B7C3-4C4C-838F-145814622AA8}"/>
    <cellStyle name="Normal 2 5 5" xfId="804" xr:uid="{00000000-0005-0000-0000-000065110000}"/>
    <cellStyle name="Normal 2 5 5 2" xfId="3043" xr:uid="{00000000-0005-0000-0000-000066110000}"/>
    <cellStyle name="Normal 2 5 5 2 2" xfId="7266" xr:uid="{00000000-0005-0000-0000-000067110000}"/>
    <cellStyle name="Normal 2 5 5 2 2 2" xfId="15701" xr:uid="{5B59FEAA-7C1F-4F2D-BA4C-B72EC48B6262}"/>
    <cellStyle name="Normal 2 5 5 2 3" xfId="11483" xr:uid="{82F6297E-9FD4-4BCD-B493-576D28D280C0}"/>
    <cellStyle name="Normal 2 5 5 3" xfId="5121" xr:uid="{00000000-0005-0000-0000-000068110000}"/>
    <cellStyle name="Normal 2 5 5 3 2" xfId="13556" xr:uid="{35F9B206-BA2D-4343-B0B2-6C329AEB5F61}"/>
    <cellStyle name="Normal 2 5 5 4" xfId="9338" xr:uid="{A66AFDA7-9F8B-4822-B93B-93BC8990081E}"/>
    <cellStyle name="Normal 2 5 6" xfId="1226" xr:uid="{00000000-0005-0000-0000-000069110000}"/>
    <cellStyle name="Normal 2 5 6 2" xfId="3456" xr:uid="{00000000-0005-0000-0000-00006A110000}"/>
    <cellStyle name="Normal 2 5 6 2 2" xfId="7679" xr:uid="{00000000-0005-0000-0000-00006B110000}"/>
    <cellStyle name="Normal 2 5 6 2 2 2" xfId="16114" xr:uid="{9524DF3C-882F-4138-845E-317FB76A73BB}"/>
    <cellStyle name="Normal 2 5 6 2 3" xfId="11896" xr:uid="{655E233E-4515-486B-9D01-FB11460E3EC6}"/>
    <cellStyle name="Normal 2 5 6 3" xfId="5534" xr:uid="{00000000-0005-0000-0000-00006C110000}"/>
    <cellStyle name="Normal 2 5 6 3 2" xfId="13969" xr:uid="{D60D7196-9E83-4628-865F-0C4F79A521AF}"/>
    <cellStyle name="Normal 2 5 6 4" xfId="9751" xr:uid="{6136D3F8-76A0-42C9-A12B-3EEA34C90F42}"/>
    <cellStyle name="Normal 2 5 7" xfId="1639" xr:uid="{00000000-0005-0000-0000-00006D110000}"/>
    <cellStyle name="Normal 2 5 7 2" xfId="3869" xr:uid="{00000000-0005-0000-0000-00006E110000}"/>
    <cellStyle name="Normal 2 5 7 2 2" xfId="8092" xr:uid="{00000000-0005-0000-0000-00006F110000}"/>
    <cellStyle name="Normal 2 5 7 2 2 2" xfId="16527" xr:uid="{B356BF55-FDD3-416E-83AA-45C1B7C6FC32}"/>
    <cellStyle name="Normal 2 5 7 2 3" xfId="12309" xr:uid="{03478743-94FA-44C9-B8AA-B7BBA7AA8DB0}"/>
    <cellStyle name="Normal 2 5 7 3" xfId="5947" xr:uid="{00000000-0005-0000-0000-000070110000}"/>
    <cellStyle name="Normal 2 5 7 3 2" xfId="14382" xr:uid="{438F0D68-04E6-4237-82E1-AC92EA948FCA}"/>
    <cellStyle name="Normal 2 5 7 4" xfId="10164" xr:uid="{69D96EDC-2A4C-4E80-9589-C03E007624F7}"/>
    <cellStyle name="Normal 2 5 8" xfId="2053" xr:uid="{00000000-0005-0000-0000-000071110000}"/>
    <cellStyle name="Normal 2 5 8 2" xfId="4282" xr:uid="{00000000-0005-0000-0000-000072110000}"/>
    <cellStyle name="Normal 2 5 8 2 2" xfId="8505" xr:uid="{00000000-0005-0000-0000-000073110000}"/>
    <cellStyle name="Normal 2 5 8 2 2 2" xfId="16940" xr:uid="{D00C8BDD-A65B-4682-B8E0-332EC71A9B0C}"/>
    <cellStyle name="Normal 2 5 8 2 3" xfId="12722" xr:uid="{A6B6D6FA-7AE4-4792-9EF2-1416D4B9DEC7}"/>
    <cellStyle name="Normal 2 5 8 3" xfId="6360" xr:uid="{00000000-0005-0000-0000-000074110000}"/>
    <cellStyle name="Normal 2 5 8 3 2" xfId="14795" xr:uid="{C85E801F-684C-46AC-8931-AEC1382A23CA}"/>
    <cellStyle name="Normal 2 5 8 4" xfId="10577" xr:uid="{0BB8F985-9E09-4DA0-8128-A7A62F73AD85}"/>
    <cellStyle name="Normal 2 5 9" xfId="2489" xr:uid="{00000000-0005-0000-0000-000075110000}"/>
    <cellStyle name="Normal 2 5 9 2" xfId="6773" xr:uid="{00000000-0005-0000-0000-000076110000}"/>
    <cellStyle name="Normal 2 5 9 2 2" xfId="15208" xr:uid="{B20FA5C4-9DA5-4FC9-A55F-D5D39E4D96A2}"/>
    <cellStyle name="Normal 2 5 9 3" xfId="10990" xr:uid="{0F29B408-9D29-466B-90C8-2D3F5F683DF3}"/>
    <cellStyle name="Normal 2 6" xfId="322" xr:uid="{00000000-0005-0000-0000-000077110000}"/>
    <cellStyle name="Normal 2 7" xfId="770" xr:uid="{00000000-0005-0000-0000-000078110000}"/>
    <cellStyle name="Normal 2 8" xfId="4496" xr:uid="{00000000-0005-0000-0000-000079110000}"/>
    <cellStyle name="Normal 2 8 2" xfId="12934" xr:uid="{F7CDC283-05F2-4CA9-8923-E61224F1FF51}"/>
    <cellStyle name="Normal 3" xfId="323" xr:uid="{00000000-0005-0000-0000-00007A110000}"/>
    <cellStyle name="Normal 3 2" xfId="324" xr:uid="{00000000-0005-0000-0000-00007B110000}"/>
    <cellStyle name="Normal 3 2 10" xfId="8929" xr:uid="{B109B1EF-6850-46B9-88FF-589D762039E3}"/>
    <cellStyle name="Normal 3 2 2" xfId="325" xr:uid="{00000000-0005-0000-0000-00007C110000}"/>
    <cellStyle name="Normal 3 2 2 2" xfId="811" xr:uid="{00000000-0005-0000-0000-00007D110000}"/>
    <cellStyle name="Normal 3 2 3" xfId="326" xr:uid="{00000000-0005-0000-0000-00007E110000}"/>
    <cellStyle name="Normal 3 2 3 10" xfId="8930" xr:uid="{4F920D6A-9E0E-4B00-95EE-3C60854403E9}"/>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FB2F626B-AAAB-4CFF-B0E9-42D7D634D350}"/>
    <cellStyle name="Normal 3 2 3 2 2 2 2 3" xfId="11491" xr:uid="{F4EB2394-949D-4837-8C43-316C2EE9299C}"/>
    <cellStyle name="Normal 3 2 3 2 2 2 3" xfId="5129" xr:uid="{00000000-0005-0000-0000-000084110000}"/>
    <cellStyle name="Normal 3 2 3 2 2 2 3 2" xfId="13564" xr:uid="{7E5A11E5-D1E7-4515-9572-D18649B0D867}"/>
    <cellStyle name="Normal 3 2 3 2 2 2 4" xfId="9346" xr:uid="{7714D816-70AF-45D5-B0BA-422712635BD9}"/>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52C07D04-D381-4479-8B4A-D7D5CC1B3D67}"/>
    <cellStyle name="Normal 3 2 3 2 2 3 2 3" xfId="11904" xr:uid="{6EA1B8ED-EFFE-493A-A9F7-4A6ED3D082B2}"/>
    <cellStyle name="Normal 3 2 3 2 2 3 3" xfId="5542" xr:uid="{00000000-0005-0000-0000-000088110000}"/>
    <cellStyle name="Normal 3 2 3 2 2 3 3 2" xfId="13977" xr:uid="{5C61072B-D489-4FA6-BEC0-A06EB6F35B50}"/>
    <cellStyle name="Normal 3 2 3 2 2 3 4" xfId="9759" xr:uid="{3D7F7337-7AAB-4C5A-9CD4-E2DBED0E8C31}"/>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25D77C76-BC79-4C7E-8477-495E45C548F4}"/>
    <cellStyle name="Normal 3 2 3 2 2 4 2 3" xfId="12317" xr:uid="{E43887E2-63D8-4B4F-92E4-BD3813432F27}"/>
    <cellStyle name="Normal 3 2 3 2 2 4 3" xfId="5955" xr:uid="{00000000-0005-0000-0000-00008C110000}"/>
    <cellStyle name="Normal 3 2 3 2 2 4 3 2" xfId="14390" xr:uid="{679B52AD-0970-4678-A72E-6A6294DE0DDA}"/>
    <cellStyle name="Normal 3 2 3 2 2 4 4" xfId="10172" xr:uid="{272B231F-DFA1-4AE9-9330-FEC5D039801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7D34654E-9C0B-4E35-81BA-8AD3EBCE12F2}"/>
    <cellStyle name="Normal 3 2 3 2 2 5 2 3" xfId="12730" xr:uid="{D068706C-3428-407E-A63F-A042FDAD463A}"/>
    <cellStyle name="Normal 3 2 3 2 2 5 3" xfId="6368" xr:uid="{00000000-0005-0000-0000-000090110000}"/>
    <cellStyle name="Normal 3 2 3 2 2 5 3 2" xfId="14803" xr:uid="{6BBDCD31-C06A-4A3E-8890-E2E67EBE0673}"/>
    <cellStyle name="Normal 3 2 3 2 2 5 4" xfId="10585" xr:uid="{ADA23E05-3C64-4319-849D-45684F120D4F}"/>
    <cellStyle name="Normal 3 2 3 2 2 6" xfId="2497" xr:uid="{00000000-0005-0000-0000-000091110000}"/>
    <cellStyle name="Normal 3 2 3 2 2 6 2" xfId="6781" xr:uid="{00000000-0005-0000-0000-000092110000}"/>
    <cellStyle name="Normal 3 2 3 2 2 6 2 2" xfId="15216" xr:uid="{C2D59B09-3C02-4A2E-827F-47A504F7DDCC}"/>
    <cellStyle name="Normal 3 2 3 2 2 6 3" xfId="10998" xr:uid="{91B7FAB4-706A-4F83-A70A-37503B3B5C39}"/>
    <cellStyle name="Normal 3 2 3 2 2 7" xfId="4715" xr:uid="{00000000-0005-0000-0000-000093110000}"/>
    <cellStyle name="Normal 3 2 3 2 2 7 2" xfId="13150" xr:uid="{91CCFFDB-836F-4C82-83DD-3B3D96EF9E93}"/>
    <cellStyle name="Normal 3 2 3 2 2 8" xfId="8932" xr:uid="{34C2A1CB-460C-4DC1-B5F9-9DC18E27B154}"/>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B261E805-B7C0-4587-A4ED-04E4D6A6D9AC}"/>
    <cellStyle name="Normal 3 2 3 2 3 2 3" xfId="11490" xr:uid="{8A34B51A-8A82-4269-B377-04AE86274178}"/>
    <cellStyle name="Normal 3 2 3 2 3 3" xfId="5128" xr:uid="{00000000-0005-0000-0000-000097110000}"/>
    <cellStyle name="Normal 3 2 3 2 3 3 2" xfId="13563" xr:uid="{5BF10139-C02E-4F82-AF79-07C1A296B127}"/>
    <cellStyle name="Normal 3 2 3 2 3 4" xfId="9345" xr:uid="{3E9792B4-EFAF-491B-AE88-BEE0FFBD61DA}"/>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395BC329-E878-48E6-9BF2-F6F28FA3A8B4}"/>
    <cellStyle name="Normal 3 2 3 2 4 2 3" xfId="11903" xr:uid="{FACDF6D8-0795-430E-A46B-B53A15A94CCC}"/>
    <cellStyle name="Normal 3 2 3 2 4 3" xfId="5541" xr:uid="{00000000-0005-0000-0000-00009B110000}"/>
    <cellStyle name="Normal 3 2 3 2 4 3 2" xfId="13976" xr:uid="{EBF85DF9-89D2-4F82-90BD-2D0BFC309096}"/>
    <cellStyle name="Normal 3 2 3 2 4 4" xfId="9758" xr:uid="{1FD829E9-3FD1-4F79-B811-7661B6107AF8}"/>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D3C6230C-0288-45AE-8E26-F72643BA101E}"/>
    <cellStyle name="Normal 3 2 3 2 5 2 3" xfId="12316" xr:uid="{F22FC1F5-83E8-4DF7-B8B3-BE1B0B0AD5B2}"/>
    <cellStyle name="Normal 3 2 3 2 5 3" xfId="5954" xr:uid="{00000000-0005-0000-0000-00009F110000}"/>
    <cellStyle name="Normal 3 2 3 2 5 3 2" xfId="14389" xr:uid="{DFDC0E65-4C01-46EE-814C-479CA796702F}"/>
    <cellStyle name="Normal 3 2 3 2 5 4" xfId="10171" xr:uid="{E8170323-90AC-40AE-8857-0A0D36747111}"/>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C5A4A61B-2693-4D7A-A3E5-65EDDE5EAACA}"/>
    <cellStyle name="Normal 3 2 3 2 6 2 3" xfId="12729" xr:uid="{57471B61-5932-45F7-8D54-580E44D58C3D}"/>
    <cellStyle name="Normal 3 2 3 2 6 3" xfId="6367" xr:uid="{00000000-0005-0000-0000-0000A3110000}"/>
    <cellStyle name="Normal 3 2 3 2 6 3 2" xfId="14802" xr:uid="{9B5E4DD7-D9CE-49E9-B3B0-34F007BD3AEC}"/>
    <cellStyle name="Normal 3 2 3 2 6 4" xfId="10584" xr:uid="{F3684E72-254E-4F59-A968-83BF64BDB7FE}"/>
    <cellStyle name="Normal 3 2 3 2 7" xfId="2496" xr:uid="{00000000-0005-0000-0000-0000A4110000}"/>
    <cellStyle name="Normal 3 2 3 2 7 2" xfId="6780" xr:uid="{00000000-0005-0000-0000-0000A5110000}"/>
    <cellStyle name="Normal 3 2 3 2 7 2 2" xfId="15215" xr:uid="{76413503-FA3A-4C8B-8A02-6DC70A8986A8}"/>
    <cellStyle name="Normal 3 2 3 2 7 3" xfId="10997" xr:uid="{8E5C8977-F5D3-46D8-B126-CCBE01139E47}"/>
    <cellStyle name="Normal 3 2 3 2 8" xfId="4714" xr:uid="{00000000-0005-0000-0000-0000A6110000}"/>
    <cellStyle name="Normal 3 2 3 2 8 2" xfId="13149" xr:uid="{8AB698C6-251E-4C92-A801-BF09355BCC0C}"/>
    <cellStyle name="Normal 3 2 3 2 9" xfId="8931" xr:uid="{38CB3AC8-74C2-421A-9CEE-B1EABFD1B571}"/>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2D7BB7A0-6737-47A0-BF5A-4F6B2FE96753}"/>
    <cellStyle name="Normal 3 2 3 3 2 2 3" xfId="11492" xr:uid="{A851298A-E9A3-4F80-BAE0-A15561E2681E}"/>
    <cellStyle name="Normal 3 2 3 3 2 3" xfId="5130" xr:uid="{00000000-0005-0000-0000-0000AB110000}"/>
    <cellStyle name="Normal 3 2 3 3 2 3 2" xfId="13565" xr:uid="{236012D2-9382-4A15-B764-08614C10CF0C}"/>
    <cellStyle name="Normal 3 2 3 3 2 4" xfId="9347" xr:uid="{09205323-186A-4E05-A709-E36B615E6471}"/>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37227E76-D455-4CEB-8018-122313766269}"/>
    <cellStyle name="Normal 3 2 3 3 3 2 3" xfId="11905" xr:uid="{3DEA7D94-4E63-4F6E-8BAC-2ACF1757B5F2}"/>
    <cellStyle name="Normal 3 2 3 3 3 3" xfId="5543" xr:uid="{00000000-0005-0000-0000-0000AF110000}"/>
    <cellStyle name="Normal 3 2 3 3 3 3 2" xfId="13978" xr:uid="{22FEC897-610B-452F-90D5-585D24F7694A}"/>
    <cellStyle name="Normal 3 2 3 3 3 4" xfId="9760" xr:uid="{62285D58-3529-45D1-A703-884C98E88F30}"/>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7BA9B5AF-6FF8-4442-B931-6183323477A7}"/>
    <cellStyle name="Normal 3 2 3 3 4 2 3" xfId="12318" xr:uid="{C13A8977-8970-41EB-A60E-18CC5E582336}"/>
    <cellStyle name="Normal 3 2 3 3 4 3" xfId="5956" xr:uid="{00000000-0005-0000-0000-0000B3110000}"/>
    <cellStyle name="Normal 3 2 3 3 4 3 2" xfId="14391" xr:uid="{E104A279-31C9-4AF0-931E-70BA9D1B5914}"/>
    <cellStyle name="Normal 3 2 3 3 4 4" xfId="10173" xr:uid="{C0BF48AE-5967-4AA6-9243-21BF88218872}"/>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717A3CA0-C550-45CC-85FB-EF5589CF1859}"/>
    <cellStyle name="Normal 3 2 3 3 5 2 3" xfId="12731" xr:uid="{3B63F755-DD7A-417F-BAF2-345285F38316}"/>
    <cellStyle name="Normal 3 2 3 3 5 3" xfId="6369" xr:uid="{00000000-0005-0000-0000-0000B7110000}"/>
    <cellStyle name="Normal 3 2 3 3 5 3 2" xfId="14804" xr:uid="{AA4E66BA-590A-42F4-B32F-B8BB080DF8EB}"/>
    <cellStyle name="Normal 3 2 3 3 5 4" xfId="10586" xr:uid="{68E96673-D586-440C-8555-524C5A5B3B77}"/>
    <cellStyle name="Normal 3 2 3 3 6" xfId="2498" xr:uid="{00000000-0005-0000-0000-0000B8110000}"/>
    <cellStyle name="Normal 3 2 3 3 6 2" xfId="6782" xr:uid="{00000000-0005-0000-0000-0000B9110000}"/>
    <cellStyle name="Normal 3 2 3 3 6 2 2" xfId="15217" xr:uid="{528AFF8E-C44A-4513-AF52-25E76238304D}"/>
    <cellStyle name="Normal 3 2 3 3 6 3" xfId="10999" xr:uid="{3A37916C-E966-47FE-A79E-0FF9438152E8}"/>
    <cellStyle name="Normal 3 2 3 3 7" xfId="4716" xr:uid="{00000000-0005-0000-0000-0000BA110000}"/>
    <cellStyle name="Normal 3 2 3 3 7 2" xfId="13151" xr:uid="{11460F89-0312-41C6-A475-A85979801639}"/>
    <cellStyle name="Normal 3 2 3 3 8" xfId="8933" xr:uid="{60480CE3-2A2C-4518-881C-22D441965E41}"/>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FC0B587E-2E80-4914-AA3C-4C6D6791F7A5}"/>
    <cellStyle name="Normal 3 2 3 4 2 3" xfId="11489" xr:uid="{965E4327-312E-4046-BE72-28B7A2965F65}"/>
    <cellStyle name="Normal 3 2 3 4 3" xfId="5127" xr:uid="{00000000-0005-0000-0000-0000BE110000}"/>
    <cellStyle name="Normal 3 2 3 4 3 2" xfId="13562" xr:uid="{4F0D6390-4D04-4531-9CEF-A5D20AB37AA3}"/>
    <cellStyle name="Normal 3 2 3 4 4" xfId="9344" xr:uid="{719E8D66-C86E-4FB7-9606-8C1CBA456464}"/>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842356D0-E8F8-4CEA-AF45-CF30DA2924D6}"/>
    <cellStyle name="Normal 3 2 3 5 2 3" xfId="11902" xr:uid="{BCA3BA6C-48AA-4922-9CBE-2755361B32B0}"/>
    <cellStyle name="Normal 3 2 3 5 3" xfId="5540" xr:uid="{00000000-0005-0000-0000-0000C2110000}"/>
    <cellStyle name="Normal 3 2 3 5 3 2" xfId="13975" xr:uid="{76976A66-1A74-4C2E-9B27-7A3A124BDCF7}"/>
    <cellStyle name="Normal 3 2 3 5 4" xfId="9757" xr:uid="{27E65AF5-1AD9-40AD-983F-DEA05EC1BF6E}"/>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BEAECE01-E639-4CE6-80CD-52461D1E03DC}"/>
    <cellStyle name="Normal 3 2 3 6 2 3" xfId="12315" xr:uid="{8D73430F-4CCC-499C-B45C-EB7CB95A1030}"/>
    <cellStyle name="Normal 3 2 3 6 3" xfId="5953" xr:uid="{00000000-0005-0000-0000-0000C6110000}"/>
    <cellStyle name="Normal 3 2 3 6 3 2" xfId="14388" xr:uid="{096844EA-A425-4959-BA19-647D4C0ED5D7}"/>
    <cellStyle name="Normal 3 2 3 6 4" xfId="10170" xr:uid="{E138F2B6-2577-4DCD-9118-418FEA657C38}"/>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F386D3DE-4E4D-4F84-BB92-46BF650D67AD}"/>
    <cellStyle name="Normal 3 2 3 7 2 3" xfId="12728" xr:uid="{1630531C-C1BF-4195-B9B9-D95CECECD7DE}"/>
    <cellStyle name="Normal 3 2 3 7 3" xfId="6366" xr:uid="{00000000-0005-0000-0000-0000CA110000}"/>
    <cellStyle name="Normal 3 2 3 7 3 2" xfId="14801" xr:uid="{0E522AEA-0CFC-44A5-B164-B7FFC45ADC9B}"/>
    <cellStyle name="Normal 3 2 3 7 4" xfId="10583" xr:uid="{F6A33250-0444-4DA8-A5BF-25ABE07E411F}"/>
    <cellStyle name="Normal 3 2 3 8" xfId="2495" xr:uid="{00000000-0005-0000-0000-0000CB110000}"/>
    <cellStyle name="Normal 3 2 3 8 2" xfId="6779" xr:uid="{00000000-0005-0000-0000-0000CC110000}"/>
    <cellStyle name="Normal 3 2 3 8 2 2" xfId="15214" xr:uid="{BD83E568-0AD2-4016-B2E7-579BAD0355D8}"/>
    <cellStyle name="Normal 3 2 3 8 3" xfId="10996" xr:uid="{3191BDE1-79E5-43D1-8348-86A0A73C51DE}"/>
    <cellStyle name="Normal 3 2 3 9" xfId="4713" xr:uid="{00000000-0005-0000-0000-0000CD110000}"/>
    <cellStyle name="Normal 3 2 3 9 2" xfId="13148" xr:uid="{44EC7D2A-D173-42A1-85E4-851B1AFE2348}"/>
    <cellStyle name="Normal 3 2 4" xfId="810" xr:uid="{00000000-0005-0000-0000-0000CE110000}"/>
    <cellStyle name="Normal 3 2 4 2" xfId="3048" xr:uid="{00000000-0005-0000-0000-0000CF110000}"/>
    <cellStyle name="Normal 3 2 4 2 2" xfId="7271" xr:uid="{00000000-0005-0000-0000-0000D0110000}"/>
    <cellStyle name="Normal 3 2 4 2 2 2" xfId="15706" xr:uid="{D68BA908-0E81-4720-846F-6AF03EC529BE}"/>
    <cellStyle name="Normal 3 2 4 2 3" xfId="11488" xr:uid="{37E50DCD-D3F9-4037-9C2E-4EE487035E0D}"/>
    <cellStyle name="Normal 3 2 4 3" xfId="5126" xr:uid="{00000000-0005-0000-0000-0000D1110000}"/>
    <cellStyle name="Normal 3 2 4 3 2" xfId="13561" xr:uid="{B227B23E-DCAA-4506-882B-47D0FD106D94}"/>
    <cellStyle name="Normal 3 2 4 4" xfId="9343" xr:uid="{74475B65-A4E0-4E63-BC71-58A65D2346BE}"/>
    <cellStyle name="Normal 3 2 5" xfId="1231" xr:uid="{00000000-0005-0000-0000-0000D2110000}"/>
    <cellStyle name="Normal 3 2 5 2" xfId="3461" xr:uid="{00000000-0005-0000-0000-0000D3110000}"/>
    <cellStyle name="Normal 3 2 5 2 2" xfId="7684" xr:uid="{00000000-0005-0000-0000-0000D4110000}"/>
    <cellStyle name="Normal 3 2 5 2 2 2" xfId="16119" xr:uid="{5FDCC241-5D72-4FC3-B100-EB1689477CBE}"/>
    <cellStyle name="Normal 3 2 5 2 3" xfId="11901" xr:uid="{87F891B4-4962-4BAC-ABDF-2EDBDFA86E0F}"/>
    <cellStyle name="Normal 3 2 5 3" xfId="5539" xr:uid="{00000000-0005-0000-0000-0000D5110000}"/>
    <cellStyle name="Normal 3 2 5 3 2" xfId="13974" xr:uid="{85D678B1-D333-4DC2-96D3-D6CD24527EE0}"/>
    <cellStyle name="Normal 3 2 5 4" xfId="9756" xr:uid="{386F571A-DD0B-4AA9-80D9-92868CBB5D56}"/>
    <cellStyle name="Normal 3 2 6" xfId="1644" xr:uid="{00000000-0005-0000-0000-0000D6110000}"/>
    <cellStyle name="Normal 3 2 6 2" xfId="3874" xr:uid="{00000000-0005-0000-0000-0000D7110000}"/>
    <cellStyle name="Normal 3 2 6 2 2" xfId="8097" xr:uid="{00000000-0005-0000-0000-0000D8110000}"/>
    <cellStyle name="Normal 3 2 6 2 2 2" xfId="16532" xr:uid="{7592A93B-6C07-4B4F-A118-8B6741307C3C}"/>
    <cellStyle name="Normal 3 2 6 2 3" xfId="12314" xr:uid="{69D7AFAA-1F68-4513-9133-FAF27CD001D7}"/>
    <cellStyle name="Normal 3 2 6 3" xfId="5952" xr:uid="{00000000-0005-0000-0000-0000D9110000}"/>
    <cellStyle name="Normal 3 2 6 3 2" xfId="14387" xr:uid="{95511A1F-86FC-40B6-AABA-D4B597AD2C1B}"/>
    <cellStyle name="Normal 3 2 6 4" xfId="10169" xr:uid="{20F349F3-5AF7-4637-BBE4-E4943F3DDF57}"/>
    <cellStyle name="Normal 3 2 7" xfId="2058" xr:uid="{00000000-0005-0000-0000-0000DA110000}"/>
    <cellStyle name="Normal 3 2 7 2" xfId="4287" xr:uid="{00000000-0005-0000-0000-0000DB110000}"/>
    <cellStyle name="Normal 3 2 7 2 2" xfId="8510" xr:uid="{00000000-0005-0000-0000-0000DC110000}"/>
    <cellStyle name="Normal 3 2 7 2 2 2" xfId="16945" xr:uid="{5856419D-69BA-4C1A-BBC4-DF7A7A683298}"/>
    <cellStyle name="Normal 3 2 7 2 3" xfId="12727" xr:uid="{6CA6241C-7FB6-4B6B-8C70-9F819E2A2E77}"/>
    <cellStyle name="Normal 3 2 7 3" xfId="6365" xr:uid="{00000000-0005-0000-0000-0000DD110000}"/>
    <cellStyle name="Normal 3 2 7 3 2" xfId="14800" xr:uid="{DFE2E466-B249-4EA2-B050-44EF0D48D69A}"/>
    <cellStyle name="Normal 3 2 7 4" xfId="10582" xr:uid="{23C5EE3D-2F6E-4516-8B0F-93FBDD1E2C31}"/>
    <cellStyle name="Normal 3 2 8" xfId="2494" xr:uid="{00000000-0005-0000-0000-0000DE110000}"/>
    <cellStyle name="Normal 3 2 8 2" xfId="6778" xr:uid="{00000000-0005-0000-0000-0000DF110000}"/>
    <cellStyle name="Normal 3 2 8 2 2" xfId="15213" xr:uid="{90191F3D-337E-4969-9DB3-8611B279FAEC}"/>
    <cellStyle name="Normal 3 2 8 3" xfId="10995" xr:uid="{C205C29A-C6D7-4324-AE87-F26B597AA955}"/>
    <cellStyle name="Normal 3 2 9" xfId="4712" xr:uid="{00000000-0005-0000-0000-0000E0110000}"/>
    <cellStyle name="Normal 3 2 9 2" xfId="13147" xr:uid="{7ED3C5D2-155F-40AC-96F0-C5FE8CAE6A8D}"/>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14D53BE5-179D-427E-8AD3-68163B7FAD83}"/>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A2BB93C2-A882-4FBD-82F0-BCE35FB87D1F}"/>
    <cellStyle name="Normal 4 2 2 10 2 3" xfId="12732" xr:uid="{563A4120-AABE-4C4E-9C16-8D9A8423C6E2}"/>
    <cellStyle name="Normal 4 2 2 10 3" xfId="6370" xr:uid="{00000000-0005-0000-0000-0000ED110000}"/>
    <cellStyle name="Normal 4 2 2 10 3 2" xfId="14805" xr:uid="{0AB19FED-09B2-4D33-A1BF-E0A7AB53CE96}"/>
    <cellStyle name="Normal 4 2 2 10 4" xfId="10587" xr:uid="{E8FD4AA7-FEC3-4D43-9988-FDDA09EA4AC2}"/>
    <cellStyle name="Normal 4 2 2 11" xfId="2499" xr:uid="{00000000-0005-0000-0000-0000EE110000}"/>
    <cellStyle name="Normal 4 2 2 11 2" xfId="6783" xr:uid="{00000000-0005-0000-0000-0000EF110000}"/>
    <cellStyle name="Normal 4 2 2 11 2 2" xfId="15218" xr:uid="{6540CBBD-2CB5-488F-A4BB-18BB6286D95C}"/>
    <cellStyle name="Normal 4 2 2 11 3" xfId="11000" xr:uid="{3FBA5399-6653-46DE-B395-4ABD0262B112}"/>
    <cellStyle name="Normal 4 2 2 12" xfId="4718" xr:uid="{00000000-0005-0000-0000-0000F0110000}"/>
    <cellStyle name="Normal 4 2 2 12 2" xfId="13153" xr:uid="{186D6A3A-A8F4-4E74-AA56-A0AC4019AE41}"/>
    <cellStyle name="Normal 4 2 2 13" xfId="8935" xr:uid="{E9E202A1-2C68-403F-A1C3-29D52C13D2EB}"/>
    <cellStyle name="Normal 4 2 2 2" xfId="338" xr:uid="{00000000-0005-0000-0000-0000F1110000}"/>
    <cellStyle name="Normal 4 2 2 3" xfId="339" xr:uid="{00000000-0005-0000-0000-0000F2110000}"/>
    <cellStyle name="Normal 4 2 2 3 10" xfId="4719" xr:uid="{00000000-0005-0000-0000-0000F3110000}"/>
    <cellStyle name="Normal 4 2 2 3 10 2" xfId="13154" xr:uid="{47FD64D9-A85A-4081-BF25-D22044AF0643}"/>
    <cellStyle name="Normal 4 2 2 3 11" xfId="8936" xr:uid="{C7295A9E-1BF9-4AB8-9F40-07038A3EFF00}"/>
    <cellStyle name="Normal 4 2 2 3 2" xfId="340" xr:uid="{00000000-0005-0000-0000-0000F4110000}"/>
    <cellStyle name="Normal 4 2 2 3 2 10" xfId="8937" xr:uid="{854369B3-D091-43EA-9E73-C0DB616D2689}"/>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3ED74878-0F8C-423A-B0BB-3E8E1387041B}"/>
    <cellStyle name="Normal 4 2 2 3 2 2 2 2 2 3" xfId="11497" xr:uid="{2EBF1FF4-46CD-4943-8378-46881EB8560C}"/>
    <cellStyle name="Normal 4 2 2 3 2 2 2 2 3" xfId="5135" xr:uid="{00000000-0005-0000-0000-0000FA110000}"/>
    <cellStyle name="Normal 4 2 2 3 2 2 2 2 3 2" xfId="13570" xr:uid="{9A907BB3-84C0-4FCB-9B5D-1DC0076628AA}"/>
    <cellStyle name="Normal 4 2 2 3 2 2 2 2 4" xfId="9352" xr:uid="{4AA4008F-AE8E-45B9-B095-8A35AD1E298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C9884C2D-2CD9-4FAD-9819-AEB49C6DA068}"/>
    <cellStyle name="Normal 4 2 2 3 2 2 2 3 2 3" xfId="11910" xr:uid="{5414193C-AB18-4FF7-8ACE-486A659E2504}"/>
    <cellStyle name="Normal 4 2 2 3 2 2 2 3 3" xfId="5548" xr:uid="{00000000-0005-0000-0000-0000FE110000}"/>
    <cellStyle name="Normal 4 2 2 3 2 2 2 3 3 2" xfId="13983" xr:uid="{01A8C2D4-84BA-44F2-8E12-B1C377845029}"/>
    <cellStyle name="Normal 4 2 2 3 2 2 2 3 4" xfId="9765" xr:uid="{8AF248DC-7130-4C3A-82A9-26F3611C0591}"/>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34B7AAD9-3FFE-473B-8CF3-90C4BED1FEDD}"/>
    <cellStyle name="Normal 4 2 2 3 2 2 2 4 2 3" xfId="12323" xr:uid="{5998FB27-D1B6-449A-A016-7713F184B926}"/>
    <cellStyle name="Normal 4 2 2 3 2 2 2 4 3" xfId="5961" xr:uid="{00000000-0005-0000-0000-000002120000}"/>
    <cellStyle name="Normal 4 2 2 3 2 2 2 4 3 2" xfId="14396" xr:uid="{EB0D7764-F59F-4A6E-B6D8-91658A7ADBBB}"/>
    <cellStyle name="Normal 4 2 2 3 2 2 2 4 4" xfId="10178" xr:uid="{8FDAD9C5-447B-4019-A971-933ED38697C2}"/>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EA5CD169-A44F-4838-80B4-00C94C281CC3}"/>
    <cellStyle name="Normal 4 2 2 3 2 2 2 5 2 3" xfId="12736" xr:uid="{0607DD42-4349-412B-91F0-A8E0B579987C}"/>
    <cellStyle name="Normal 4 2 2 3 2 2 2 5 3" xfId="6374" xr:uid="{00000000-0005-0000-0000-000006120000}"/>
    <cellStyle name="Normal 4 2 2 3 2 2 2 5 3 2" xfId="14809" xr:uid="{653A9D24-EF23-43A1-891F-334B17E41A58}"/>
    <cellStyle name="Normal 4 2 2 3 2 2 2 5 4" xfId="10591" xr:uid="{2E533514-01E0-475C-A03A-C77600D1E7EE}"/>
    <cellStyle name="Normal 4 2 2 3 2 2 2 6" xfId="2503" xr:uid="{00000000-0005-0000-0000-000007120000}"/>
    <cellStyle name="Normal 4 2 2 3 2 2 2 6 2" xfId="6787" xr:uid="{00000000-0005-0000-0000-000008120000}"/>
    <cellStyle name="Normal 4 2 2 3 2 2 2 6 2 2" xfId="15222" xr:uid="{139E6201-EABD-4D54-BF8A-80CCEA3E6953}"/>
    <cellStyle name="Normal 4 2 2 3 2 2 2 6 3" xfId="11004" xr:uid="{C1DE738B-4083-4E6C-A9D9-9E6812F42E59}"/>
    <cellStyle name="Normal 4 2 2 3 2 2 2 7" xfId="4722" xr:uid="{00000000-0005-0000-0000-000009120000}"/>
    <cellStyle name="Normal 4 2 2 3 2 2 2 7 2" xfId="13157" xr:uid="{4E1041D2-FBF2-48F3-9575-BA77179E2DE0}"/>
    <cellStyle name="Normal 4 2 2 3 2 2 2 8" xfId="8939" xr:uid="{FF8C485F-7CCA-4BCD-B395-CD03C390467D}"/>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18E2E93B-68DA-47A4-A73F-891C11E5731C}"/>
    <cellStyle name="Normal 4 2 2 3 2 2 3 2 3" xfId="11496" xr:uid="{8927EA0F-BECB-462C-8D33-1C054018D6DE}"/>
    <cellStyle name="Normal 4 2 2 3 2 2 3 3" xfId="5134" xr:uid="{00000000-0005-0000-0000-00000D120000}"/>
    <cellStyle name="Normal 4 2 2 3 2 2 3 3 2" xfId="13569" xr:uid="{E3206705-2A7A-4157-871B-F4AF7B23F044}"/>
    <cellStyle name="Normal 4 2 2 3 2 2 3 4" xfId="9351" xr:uid="{A494AB45-C5A4-4C4E-BE6D-3B3105DEEF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8BAD86C8-7BFE-4110-AC07-0E256280DAB3}"/>
    <cellStyle name="Normal 4 2 2 3 2 2 4 2 3" xfId="11909" xr:uid="{4890E81D-D1A1-434B-BE2B-60AE81E41C21}"/>
    <cellStyle name="Normal 4 2 2 3 2 2 4 3" xfId="5547" xr:uid="{00000000-0005-0000-0000-000011120000}"/>
    <cellStyle name="Normal 4 2 2 3 2 2 4 3 2" xfId="13982" xr:uid="{B57346CA-7940-4AA7-BB19-620450E9334E}"/>
    <cellStyle name="Normal 4 2 2 3 2 2 4 4" xfId="9764" xr:uid="{735F6191-4898-404B-8ED8-AFFD5E10FD42}"/>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D0F405AD-F997-4C10-8933-9BA4135EFD65}"/>
    <cellStyle name="Normal 4 2 2 3 2 2 5 2 3" xfId="12322" xr:uid="{3EE4EF8D-7BEC-47AD-989F-0C77E91665B5}"/>
    <cellStyle name="Normal 4 2 2 3 2 2 5 3" xfId="5960" xr:uid="{00000000-0005-0000-0000-000015120000}"/>
    <cellStyle name="Normal 4 2 2 3 2 2 5 3 2" xfId="14395" xr:uid="{FE16E89F-DA5D-4F3C-9DD5-885251D1F26F}"/>
    <cellStyle name="Normal 4 2 2 3 2 2 5 4" xfId="10177" xr:uid="{B30D0508-668A-47D4-AF62-DF4430F915C3}"/>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C5A3DA7C-0DA4-4BFF-A912-0805E1EC124C}"/>
    <cellStyle name="Normal 4 2 2 3 2 2 6 2 3" xfId="12735" xr:uid="{438DD390-A526-4FD3-B7BD-FD40225F0AAF}"/>
    <cellStyle name="Normal 4 2 2 3 2 2 6 3" xfId="6373" xr:uid="{00000000-0005-0000-0000-000019120000}"/>
    <cellStyle name="Normal 4 2 2 3 2 2 6 3 2" xfId="14808" xr:uid="{6CFC1A79-D745-4EF4-B4D7-83075FD998E8}"/>
    <cellStyle name="Normal 4 2 2 3 2 2 6 4" xfId="10590" xr:uid="{03C945D2-4647-424F-9510-2ABDFF8A6B7B}"/>
    <cellStyle name="Normal 4 2 2 3 2 2 7" xfId="2502" xr:uid="{00000000-0005-0000-0000-00001A120000}"/>
    <cellStyle name="Normal 4 2 2 3 2 2 7 2" xfId="6786" xr:uid="{00000000-0005-0000-0000-00001B120000}"/>
    <cellStyle name="Normal 4 2 2 3 2 2 7 2 2" xfId="15221" xr:uid="{4B76BD1B-A65B-4B6F-98B5-5C26EC12620E}"/>
    <cellStyle name="Normal 4 2 2 3 2 2 7 3" xfId="11003" xr:uid="{B793A493-CFC5-4D57-8AD6-65DECD2695E4}"/>
    <cellStyle name="Normal 4 2 2 3 2 2 8" xfId="4721" xr:uid="{00000000-0005-0000-0000-00001C120000}"/>
    <cellStyle name="Normal 4 2 2 3 2 2 8 2" xfId="13156" xr:uid="{457FB02B-2F12-42D0-B32D-1C30FB31682E}"/>
    <cellStyle name="Normal 4 2 2 3 2 2 9" xfId="8938" xr:uid="{8C873ED7-9FE4-4CC9-BCA4-946477CD80F5}"/>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8BC24EC6-A76C-4B4D-94DF-8D17CA7E9BF6}"/>
    <cellStyle name="Normal 4 2 2 3 2 3 2 2 3" xfId="11498" xr:uid="{DCDB20E7-B7E1-4F62-AA98-603CE8550226}"/>
    <cellStyle name="Normal 4 2 2 3 2 3 2 3" xfId="5136" xr:uid="{00000000-0005-0000-0000-000021120000}"/>
    <cellStyle name="Normal 4 2 2 3 2 3 2 3 2" xfId="13571" xr:uid="{DD075238-5AB8-4C30-A044-A32D15364753}"/>
    <cellStyle name="Normal 4 2 2 3 2 3 2 4" xfId="9353" xr:uid="{63A144BB-1E1D-45D1-BED5-765D9C061175}"/>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06DC1326-4495-475B-BA40-85BF807A8226}"/>
    <cellStyle name="Normal 4 2 2 3 2 3 3 2 3" xfId="11911" xr:uid="{91BFF56F-6929-48A4-8B67-B78191296F21}"/>
    <cellStyle name="Normal 4 2 2 3 2 3 3 3" xfId="5549" xr:uid="{00000000-0005-0000-0000-000025120000}"/>
    <cellStyle name="Normal 4 2 2 3 2 3 3 3 2" xfId="13984" xr:uid="{F701EB75-B43D-4DDE-8698-9FFC070EA282}"/>
    <cellStyle name="Normal 4 2 2 3 2 3 3 4" xfId="9766" xr:uid="{F04B3588-8DFC-434E-9622-2ACBD70C71B4}"/>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DB256EDB-6D3D-48A9-B514-FEFB12F87509}"/>
    <cellStyle name="Normal 4 2 2 3 2 3 4 2 3" xfId="12324" xr:uid="{0D41B538-D9BE-401C-8564-7B76A19AA9E8}"/>
    <cellStyle name="Normal 4 2 2 3 2 3 4 3" xfId="5962" xr:uid="{00000000-0005-0000-0000-000029120000}"/>
    <cellStyle name="Normal 4 2 2 3 2 3 4 3 2" xfId="14397" xr:uid="{95098137-2271-420A-9356-1BA417DB361E}"/>
    <cellStyle name="Normal 4 2 2 3 2 3 4 4" xfId="10179" xr:uid="{6162CBBB-8FC3-4CF8-90DD-3533C8D07DA6}"/>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2C1DAB4D-EEAE-4E31-AF40-307F8B706757}"/>
    <cellStyle name="Normal 4 2 2 3 2 3 5 2 3" xfId="12737" xr:uid="{173E1BC7-C95E-45B3-BAA2-D337262D41AF}"/>
    <cellStyle name="Normal 4 2 2 3 2 3 5 3" xfId="6375" xr:uid="{00000000-0005-0000-0000-00002D120000}"/>
    <cellStyle name="Normal 4 2 2 3 2 3 5 3 2" xfId="14810" xr:uid="{D21CC173-B214-48A1-8875-34D227145D07}"/>
    <cellStyle name="Normal 4 2 2 3 2 3 5 4" xfId="10592" xr:uid="{3287E5F2-50A1-43F2-9EB5-809ABB593688}"/>
    <cellStyle name="Normal 4 2 2 3 2 3 6" xfId="2504" xr:uid="{00000000-0005-0000-0000-00002E120000}"/>
    <cellStyle name="Normal 4 2 2 3 2 3 6 2" xfId="6788" xr:uid="{00000000-0005-0000-0000-00002F120000}"/>
    <cellStyle name="Normal 4 2 2 3 2 3 6 2 2" xfId="15223" xr:uid="{C040A682-C625-4FC6-91D0-3CA59B9BA62A}"/>
    <cellStyle name="Normal 4 2 2 3 2 3 6 3" xfId="11005" xr:uid="{0AF8140E-266F-40FC-8217-468EC8FCE270}"/>
    <cellStyle name="Normal 4 2 2 3 2 3 7" xfId="4723" xr:uid="{00000000-0005-0000-0000-000030120000}"/>
    <cellStyle name="Normal 4 2 2 3 2 3 7 2" xfId="13158" xr:uid="{41322A95-827F-484E-B854-6E09FE17F99D}"/>
    <cellStyle name="Normal 4 2 2 3 2 3 8" xfId="8940" xr:uid="{C9E7E2FB-7521-467F-BDB6-FA3AEF22520D}"/>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EB51D474-5AAF-41D9-8CE7-6D8C762E0BC4}"/>
    <cellStyle name="Normal 4 2 2 3 2 4 2 3" xfId="11495" xr:uid="{093E6F4D-41BC-401E-8637-41EB82156640}"/>
    <cellStyle name="Normal 4 2 2 3 2 4 3" xfId="5133" xr:uid="{00000000-0005-0000-0000-000034120000}"/>
    <cellStyle name="Normal 4 2 2 3 2 4 3 2" xfId="13568" xr:uid="{27C12705-5160-4836-8A80-42C37DC0A816}"/>
    <cellStyle name="Normal 4 2 2 3 2 4 4" xfId="9350" xr:uid="{FB83C690-B98F-451C-8ECD-AA5045B28F83}"/>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98BB97A7-1536-472C-BC76-D80F5CD1D854}"/>
    <cellStyle name="Normal 4 2 2 3 2 5 2 3" xfId="11908" xr:uid="{7F15BF73-D262-4E6E-BA2A-D56D2DB464F8}"/>
    <cellStyle name="Normal 4 2 2 3 2 5 3" xfId="5546" xr:uid="{00000000-0005-0000-0000-000038120000}"/>
    <cellStyle name="Normal 4 2 2 3 2 5 3 2" xfId="13981" xr:uid="{5430A080-C1EB-4CC5-8CD0-E9612B8C7067}"/>
    <cellStyle name="Normal 4 2 2 3 2 5 4" xfId="9763" xr:uid="{D1255B2E-170A-429B-AD43-193FC0A9226E}"/>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A8F276CD-FDD0-4B90-A666-A01BDD4DED71}"/>
    <cellStyle name="Normal 4 2 2 3 2 6 2 3" xfId="12321" xr:uid="{AC045600-9965-4E04-A5E7-0D59FFAC6E3F}"/>
    <cellStyle name="Normal 4 2 2 3 2 6 3" xfId="5959" xr:uid="{00000000-0005-0000-0000-00003C120000}"/>
    <cellStyle name="Normal 4 2 2 3 2 6 3 2" xfId="14394" xr:uid="{FA6E4C33-BC65-45FF-B7B8-A1A5B2E1B606}"/>
    <cellStyle name="Normal 4 2 2 3 2 6 4" xfId="10176" xr:uid="{2D6401E5-0310-49A9-8AF2-BE95FCB4DCBE}"/>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481D7C7B-A3CE-412A-B41A-0D489AD41549}"/>
    <cellStyle name="Normal 4 2 2 3 2 7 2 3" xfId="12734" xr:uid="{89ABEB72-F8B2-4083-B7EF-36E0DA575323}"/>
    <cellStyle name="Normal 4 2 2 3 2 7 3" xfId="6372" xr:uid="{00000000-0005-0000-0000-000040120000}"/>
    <cellStyle name="Normal 4 2 2 3 2 7 3 2" xfId="14807" xr:uid="{56D10939-90AE-4692-91A3-323A62F611F6}"/>
    <cellStyle name="Normal 4 2 2 3 2 7 4" xfId="10589" xr:uid="{04D9F6DE-D729-44ED-A9DA-479BE65D1A80}"/>
    <cellStyle name="Normal 4 2 2 3 2 8" xfId="2501" xr:uid="{00000000-0005-0000-0000-000041120000}"/>
    <cellStyle name="Normal 4 2 2 3 2 8 2" xfId="6785" xr:uid="{00000000-0005-0000-0000-000042120000}"/>
    <cellStyle name="Normal 4 2 2 3 2 8 2 2" xfId="15220" xr:uid="{BC98B0AB-D55D-4AAB-8008-BC7DA2196683}"/>
    <cellStyle name="Normal 4 2 2 3 2 8 3" xfId="11002" xr:uid="{3A4FFF94-5CD1-4ACF-A1D3-52B8E99BCF88}"/>
    <cellStyle name="Normal 4 2 2 3 2 9" xfId="4720" xr:uid="{00000000-0005-0000-0000-000043120000}"/>
    <cellStyle name="Normal 4 2 2 3 2 9 2" xfId="13155" xr:uid="{4FC1311A-62A3-4145-8C62-4CC2CD073046}"/>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F8ADDBE6-8A8D-45C0-99EE-893B507C8CA2}"/>
    <cellStyle name="Normal 4 2 2 3 3 2 2 2 3" xfId="11500" xr:uid="{60F77334-F176-4763-9554-FE0944F106DD}"/>
    <cellStyle name="Normal 4 2 2 3 3 2 2 3" xfId="5138" xr:uid="{00000000-0005-0000-0000-000049120000}"/>
    <cellStyle name="Normal 4 2 2 3 3 2 2 3 2" xfId="13573" xr:uid="{4B1D1CDE-55E0-494C-86E9-85175317C836}"/>
    <cellStyle name="Normal 4 2 2 3 3 2 2 4" xfId="9355" xr:uid="{E26B2392-841B-4DDC-9BB2-0CFA86928D0D}"/>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54267D43-C6B9-4F43-AB3E-9DBBCF568710}"/>
    <cellStyle name="Normal 4 2 2 3 3 2 3 2 3" xfId="11913" xr:uid="{0C78631E-98A5-44D2-8EF9-E3A56299DC16}"/>
    <cellStyle name="Normal 4 2 2 3 3 2 3 3" xfId="5551" xr:uid="{00000000-0005-0000-0000-00004D120000}"/>
    <cellStyle name="Normal 4 2 2 3 3 2 3 3 2" xfId="13986" xr:uid="{61D3B981-7257-4EF1-A4E7-499EBF0814EC}"/>
    <cellStyle name="Normal 4 2 2 3 3 2 3 4" xfId="9768" xr:uid="{AAE8492E-1992-4B68-AAEE-388BAAF1EAF9}"/>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79C5A424-7837-4954-ABB6-54557720251D}"/>
    <cellStyle name="Normal 4 2 2 3 3 2 4 2 3" xfId="12326" xr:uid="{877A4CA5-2B5E-4318-8787-4B52332A12EA}"/>
    <cellStyle name="Normal 4 2 2 3 3 2 4 3" xfId="5964" xr:uid="{00000000-0005-0000-0000-000051120000}"/>
    <cellStyle name="Normal 4 2 2 3 3 2 4 3 2" xfId="14399" xr:uid="{2BA9C628-715B-45D6-88ED-0DB1C1AACAD7}"/>
    <cellStyle name="Normal 4 2 2 3 3 2 4 4" xfId="10181" xr:uid="{EEA34A32-6654-4404-B560-4EA8753DEB2E}"/>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82966C67-A55C-4C86-91C0-32804333F47B}"/>
    <cellStyle name="Normal 4 2 2 3 3 2 5 2 3" xfId="12739" xr:uid="{AF538DE7-EE35-463F-81E8-A268C7BE36B2}"/>
    <cellStyle name="Normal 4 2 2 3 3 2 5 3" xfId="6377" xr:uid="{00000000-0005-0000-0000-000055120000}"/>
    <cellStyle name="Normal 4 2 2 3 3 2 5 3 2" xfId="14812" xr:uid="{3F79A807-94BB-41E5-93B0-34D362443843}"/>
    <cellStyle name="Normal 4 2 2 3 3 2 5 4" xfId="10594" xr:uid="{50941A66-9ABD-4A1A-B382-0DDA92861B63}"/>
    <cellStyle name="Normal 4 2 2 3 3 2 6" xfId="2506" xr:uid="{00000000-0005-0000-0000-000056120000}"/>
    <cellStyle name="Normal 4 2 2 3 3 2 6 2" xfId="6790" xr:uid="{00000000-0005-0000-0000-000057120000}"/>
    <cellStyle name="Normal 4 2 2 3 3 2 6 2 2" xfId="15225" xr:uid="{F56CFF0A-F932-4AA8-B64F-9E1DEDAB4CB7}"/>
    <cellStyle name="Normal 4 2 2 3 3 2 6 3" xfId="11007" xr:uid="{9E9FB3F5-1C42-4CEF-88E5-9529A709E539}"/>
    <cellStyle name="Normal 4 2 2 3 3 2 7" xfId="4725" xr:uid="{00000000-0005-0000-0000-000058120000}"/>
    <cellStyle name="Normal 4 2 2 3 3 2 7 2" xfId="13160" xr:uid="{C8764259-300D-490F-B296-3991241511BC}"/>
    <cellStyle name="Normal 4 2 2 3 3 2 8" xfId="8942" xr:uid="{0DEBAE3A-44B7-4EFA-B9E1-43512C495895}"/>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FC1BC9E2-91B2-4ACB-A225-51C53726004A}"/>
    <cellStyle name="Normal 4 2 2 3 3 3 2 3" xfId="11499" xr:uid="{96719250-970D-4CF3-9113-282DF8EA1652}"/>
    <cellStyle name="Normal 4 2 2 3 3 3 3" xfId="5137" xr:uid="{00000000-0005-0000-0000-00005C120000}"/>
    <cellStyle name="Normal 4 2 2 3 3 3 3 2" xfId="13572" xr:uid="{1F86D6B9-0B39-47C0-A1A5-DFFD93A9B345}"/>
    <cellStyle name="Normal 4 2 2 3 3 3 4" xfId="9354" xr:uid="{B2A065BC-210E-44A2-9D34-2C2740822DF1}"/>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B5E1057B-CF2D-4AAB-B802-D298F223A1E2}"/>
    <cellStyle name="Normal 4 2 2 3 3 4 2 3" xfId="11912" xr:uid="{8BE40695-1931-4603-9AF0-847F03A5A357}"/>
    <cellStyle name="Normal 4 2 2 3 3 4 3" xfId="5550" xr:uid="{00000000-0005-0000-0000-000060120000}"/>
    <cellStyle name="Normal 4 2 2 3 3 4 3 2" xfId="13985" xr:uid="{47D3DBA4-C637-4551-8778-2892BC2379C1}"/>
    <cellStyle name="Normal 4 2 2 3 3 4 4" xfId="9767" xr:uid="{475E3312-A172-4930-AA45-EF470DC003A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4663B768-6A03-4AF6-ACC2-DD365B7D7A96}"/>
    <cellStyle name="Normal 4 2 2 3 3 5 2 3" xfId="12325" xr:uid="{C89F07FE-EA40-4AE6-B00B-5E5EC4555A5A}"/>
    <cellStyle name="Normal 4 2 2 3 3 5 3" xfId="5963" xr:uid="{00000000-0005-0000-0000-000064120000}"/>
    <cellStyle name="Normal 4 2 2 3 3 5 3 2" xfId="14398" xr:uid="{998640CD-B757-41BF-AD30-978CB61A2446}"/>
    <cellStyle name="Normal 4 2 2 3 3 5 4" xfId="10180" xr:uid="{75F86DD7-CC1D-47E0-A111-8DF56193C271}"/>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5B8C1B49-DAA8-4D7F-9A8A-B08F547889D9}"/>
    <cellStyle name="Normal 4 2 2 3 3 6 2 3" xfId="12738" xr:uid="{85717EAD-A26A-463D-912B-7CC17A849027}"/>
    <cellStyle name="Normal 4 2 2 3 3 6 3" xfId="6376" xr:uid="{00000000-0005-0000-0000-000068120000}"/>
    <cellStyle name="Normal 4 2 2 3 3 6 3 2" xfId="14811" xr:uid="{B394B2A2-C133-4960-B36F-80F2770BBB2D}"/>
    <cellStyle name="Normal 4 2 2 3 3 6 4" xfId="10593" xr:uid="{EFC18CEC-9FB5-494C-8CA4-DFC6056C8C4C}"/>
    <cellStyle name="Normal 4 2 2 3 3 7" xfId="2505" xr:uid="{00000000-0005-0000-0000-000069120000}"/>
    <cellStyle name="Normal 4 2 2 3 3 7 2" xfId="6789" xr:uid="{00000000-0005-0000-0000-00006A120000}"/>
    <cellStyle name="Normal 4 2 2 3 3 7 2 2" xfId="15224" xr:uid="{EF7E070E-89BF-46D9-BBBC-112EE5028540}"/>
    <cellStyle name="Normal 4 2 2 3 3 7 3" xfId="11006" xr:uid="{5AB42644-BB06-4E06-B0BB-D5651A488736}"/>
    <cellStyle name="Normal 4 2 2 3 3 8" xfId="4724" xr:uid="{00000000-0005-0000-0000-00006B120000}"/>
    <cellStyle name="Normal 4 2 2 3 3 8 2" xfId="13159" xr:uid="{F2C949A2-5B1E-4759-BBB4-5AFB766A6CCE}"/>
    <cellStyle name="Normal 4 2 2 3 3 9" xfId="8941" xr:uid="{D6FBE5EF-0923-4EFB-95AB-CCBF1C0AC1DD}"/>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0AEF3B2D-262A-42EB-B108-79573AB36163}"/>
    <cellStyle name="Normal 4 2 2 3 4 2 2 3" xfId="11501" xr:uid="{3D508F81-49CA-4920-B0A8-D6A52B561361}"/>
    <cellStyle name="Normal 4 2 2 3 4 2 3" xfId="5139" xr:uid="{00000000-0005-0000-0000-000070120000}"/>
    <cellStyle name="Normal 4 2 2 3 4 2 3 2" xfId="13574" xr:uid="{8497CE2C-042E-41AB-97C5-2F3829AD0A03}"/>
    <cellStyle name="Normal 4 2 2 3 4 2 4" xfId="9356" xr:uid="{1CC61105-B1FB-4A9D-AB71-D30111CF74DB}"/>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8369F3D8-8A88-44DA-AF82-4FC50176B7BE}"/>
    <cellStyle name="Normal 4 2 2 3 4 3 2 3" xfId="11914" xr:uid="{58AA0271-04F1-48F9-A1D0-92880E6F3111}"/>
    <cellStyle name="Normal 4 2 2 3 4 3 3" xfId="5552" xr:uid="{00000000-0005-0000-0000-000074120000}"/>
    <cellStyle name="Normal 4 2 2 3 4 3 3 2" xfId="13987" xr:uid="{AF4A27E6-D802-4529-B0DE-44205AD8BC20}"/>
    <cellStyle name="Normal 4 2 2 3 4 3 4" xfId="9769" xr:uid="{CFE62F35-C888-4A5A-A754-0404E02D51D1}"/>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6A3FA931-7D5E-460C-B374-F297E3BAFE1E}"/>
    <cellStyle name="Normal 4 2 2 3 4 4 2 3" xfId="12327" xr:uid="{F8340628-631B-4425-90B7-15FAE85C8470}"/>
    <cellStyle name="Normal 4 2 2 3 4 4 3" xfId="5965" xr:uid="{00000000-0005-0000-0000-000078120000}"/>
    <cellStyle name="Normal 4 2 2 3 4 4 3 2" xfId="14400" xr:uid="{B76EB1B9-B73F-4191-A5C3-B4BE51935CC1}"/>
    <cellStyle name="Normal 4 2 2 3 4 4 4" xfId="10182" xr:uid="{D18908EF-E0E4-4ACA-936C-D6A4D562ACC9}"/>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D0CB4A72-9B4E-4260-928D-2546347389C2}"/>
    <cellStyle name="Normal 4 2 2 3 4 5 2 3" xfId="12740" xr:uid="{2E89E554-5526-4BE5-A98A-B1A42F40B71C}"/>
    <cellStyle name="Normal 4 2 2 3 4 5 3" xfId="6378" xr:uid="{00000000-0005-0000-0000-00007C120000}"/>
    <cellStyle name="Normal 4 2 2 3 4 5 3 2" xfId="14813" xr:uid="{3BD9897E-9EC4-40D4-9495-3F59CC83BB97}"/>
    <cellStyle name="Normal 4 2 2 3 4 5 4" xfId="10595" xr:uid="{5800EF17-FF49-44A4-8A25-CF72C91069E1}"/>
    <cellStyle name="Normal 4 2 2 3 4 6" xfId="2507" xr:uid="{00000000-0005-0000-0000-00007D120000}"/>
    <cellStyle name="Normal 4 2 2 3 4 6 2" xfId="6791" xr:uid="{00000000-0005-0000-0000-00007E120000}"/>
    <cellStyle name="Normal 4 2 2 3 4 6 2 2" xfId="15226" xr:uid="{9E2BC8F0-E065-44CC-A053-E45CD8A37800}"/>
    <cellStyle name="Normal 4 2 2 3 4 6 3" xfId="11008" xr:uid="{12E8F276-8FEE-4A14-B401-27B0EC75A79A}"/>
    <cellStyle name="Normal 4 2 2 3 4 7" xfId="4726" xr:uid="{00000000-0005-0000-0000-00007F120000}"/>
    <cellStyle name="Normal 4 2 2 3 4 7 2" xfId="13161" xr:uid="{F24C2A08-3631-4DA5-A9F2-70DC65B8A60D}"/>
    <cellStyle name="Normal 4 2 2 3 4 8" xfId="8943" xr:uid="{32636D0D-74C0-4E6C-A752-B7593DADB0DC}"/>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A4E820B0-FE35-42A2-9B40-EB8BFF37D5EF}"/>
    <cellStyle name="Normal 4 2 2 3 5 2 3" xfId="11494" xr:uid="{CA6B700D-D928-4AC6-A60A-208CD2D8B466}"/>
    <cellStyle name="Normal 4 2 2 3 5 3" xfId="5132" xr:uid="{00000000-0005-0000-0000-000083120000}"/>
    <cellStyle name="Normal 4 2 2 3 5 3 2" xfId="13567" xr:uid="{101CFA5E-650D-482D-8F5C-95391246B093}"/>
    <cellStyle name="Normal 4 2 2 3 5 4" xfId="9349" xr:uid="{D5D8E880-EC7E-43BD-A5B9-D56982F745B7}"/>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7C0FEDAE-6C72-4409-8F30-652E25445EBA}"/>
    <cellStyle name="Normal 4 2 2 3 6 2 3" xfId="11907" xr:uid="{5299FFB6-1DD0-4AB9-BA8D-863C8243CA96}"/>
    <cellStyle name="Normal 4 2 2 3 6 3" xfId="5545" xr:uid="{00000000-0005-0000-0000-000087120000}"/>
    <cellStyle name="Normal 4 2 2 3 6 3 2" xfId="13980" xr:uid="{80C7F34B-32FA-4B62-94E5-9189539785D6}"/>
    <cellStyle name="Normal 4 2 2 3 6 4" xfId="9762" xr:uid="{1F3CC2F9-55CC-4725-8667-CEB89641867A}"/>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C70565E2-4A4F-44B9-88C5-A90F22BE436D}"/>
    <cellStyle name="Normal 4 2 2 3 7 2 3" xfId="12320" xr:uid="{7EBB3AFD-85BD-449C-A402-2DDF89BA5416}"/>
    <cellStyle name="Normal 4 2 2 3 7 3" xfId="5958" xr:uid="{00000000-0005-0000-0000-00008B120000}"/>
    <cellStyle name="Normal 4 2 2 3 7 3 2" xfId="14393" xr:uid="{9D10C2CC-E387-41A1-BD9B-8BF9AE91AA81}"/>
    <cellStyle name="Normal 4 2 2 3 7 4" xfId="10175" xr:uid="{B6A2A71A-B4FC-4FF3-AAD0-9C4E0388B9E0}"/>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155DB013-B18A-4384-ABEC-02CFCF093E04}"/>
    <cellStyle name="Normal 4 2 2 3 8 2 3" xfId="12733" xr:uid="{19AE993C-9798-4736-B85B-3257E2E2E216}"/>
    <cellStyle name="Normal 4 2 2 3 8 3" xfId="6371" xr:uid="{00000000-0005-0000-0000-00008F120000}"/>
    <cellStyle name="Normal 4 2 2 3 8 3 2" xfId="14806" xr:uid="{AC1069F5-FBF8-4604-96D0-2FD0A1C04D22}"/>
    <cellStyle name="Normal 4 2 2 3 8 4" xfId="10588" xr:uid="{65CFBE85-FA87-4EE8-B237-8CB93E36F863}"/>
    <cellStyle name="Normal 4 2 2 3 9" xfId="2500" xr:uid="{00000000-0005-0000-0000-000090120000}"/>
    <cellStyle name="Normal 4 2 2 3 9 2" xfId="6784" xr:uid="{00000000-0005-0000-0000-000091120000}"/>
    <cellStyle name="Normal 4 2 2 3 9 2 2" xfId="15219" xr:uid="{C47EDF10-51DF-43C6-B6B2-47DBE7D77BC8}"/>
    <cellStyle name="Normal 4 2 2 3 9 3" xfId="11001" xr:uid="{6F112D58-FACA-457F-A764-7C9236165EAE}"/>
    <cellStyle name="Normal 4 2 2 4" xfId="347" xr:uid="{00000000-0005-0000-0000-000092120000}"/>
    <cellStyle name="Normal 4 2 2 4 10" xfId="8944" xr:uid="{826E60D9-6E05-4BB9-8724-0B36966699AE}"/>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990AB067-0ABB-4467-834F-C824645CD5D5}"/>
    <cellStyle name="Normal 4 2 2 4 2 2 2 2 3" xfId="11504" xr:uid="{2FCE23B6-7CC5-40E5-A8B8-69BF1C43FA4E}"/>
    <cellStyle name="Normal 4 2 2 4 2 2 2 3" xfId="5142" xr:uid="{00000000-0005-0000-0000-000098120000}"/>
    <cellStyle name="Normal 4 2 2 4 2 2 2 3 2" xfId="13577" xr:uid="{6B38EA9B-75C2-44EF-A746-49F8823D63C9}"/>
    <cellStyle name="Normal 4 2 2 4 2 2 2 4" xfId="9359" xr:uid="{9AD785E3-0B53-485F-BD51-CD6D3EFC93C1}"/>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15A093D9-34A5-4230-B505-7306DF205C87}"/>
    <cellStyle name="Normal 4 2 2 4 2 2 3 2 3" xfId="11917" xr:uid="{13F7EA92-4E45-420E-A660-44A5FFC911A5}"/>
    <cellStyle name="Normal 4 2 2 4 2 2 3 3" xfId="5555" xr:uid="{00000000-0005-0000-0000-00009C120000}"/>
    <cellStyle name="Normal 4 2 2 4 2 2 3 3 2" xfId="13990" xr:uid="{E6413B2F-4573-4EAE-919A-3F3395B82564}"/>
    <cellStyle name="Normal 4 2 2 4 2 2 3 4" xfId="9772" xr:uid="{20E07B90-8F13-4B80-85D2-AD9317301754}"/>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E217606E-376F-4A5A-A599-24E788BAB3A3}"/>
    <cellStyle name="Normal 4 2 2 4 2 2 4 2 3" xfId="12330" xr:uid="{8EFD6E15-60A0-4EA9-BC29-B5422841A72A}"/>
    <cellStyle name="Normal 4 2 2 4 2 2 4 3" xfId="5968" xr:uid="{00000000-0005-0000-0000-0000A0120000}"/>
    <cellStyle name="Normal 4 2 2 4 2 2 4 3 2" xfId="14403" xr:uid="{1BC53F7F-31A3-44D2-8B00-A790CD61FF03}"/>
    <cellStyle name="Normal 4 2 2 4 2 2 4 4" xfId="10185" xr:uid="{139ADCB7-7555-430D-A9D5-72F3AA27EB25}"/>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7349F057-79C3-4082-903F-84A2F90510A4}"/>
    <cellStyle name="Normal 4 2 2 4 2 2 5 2 3" xfId="12743" xr:uid="{64B90851-4B1C-4DDB-ACAD-EDBF719DAE37}"/>
    <cellStyle name="Normal 4 2 2 4 2 2 5 3" xfId="6381" xr:uid="{00000000-0005-0000-0000-0000A4120000}"/>
    <cellStyle name="Normal 4 2 2 4 2 2 5 3 2" xfId="14816" xr:uid="{B42A36AA-A574-47A0-8E75-92398347168A}"/>
    <cellStyle name="Normal 4 2 2 4 2 2 5 4" xfId="10598" xr:uid="{678729EE-8681-429A-B25D-3940252D9961}"/>
    <cellStyle name="Normal 4 2 2 4 2 2 6" xfId="2510" xr:uid="{00000000-0005-0000-0000-0000A5120000}"/>
    <cellStyle name="Normal 4 2 2 4 2 2 6 2" xfId="6794" xr:uid="{00000000-0005-0000-0000-0000A6120000}"/>
    <cellStyle name="Normal 4 2 2 4 2 2 6 2 2" xfId="15229" xr:uid="{9BC3146C-79CB-43AA-8842-3B9C4ABD7F60}"/>
    <cellStyle name="Normal 4 2 2 4 2 2 6 3" xfId="11011" xr:uid="{D1C20897-1E8F-4F81-86EB-53BF3FA19E6E}"/>
    <cellStyle name="Normal 4 2 2 4 2 2 7" xfId="4729" xr:uid="{00000000-0005-0000-0000-0000A7120000}"/>
    <cellStyle name="Normal 4 2 2 4 2 2 7 2" xfId="13164" xr:uid="{CE61D4F3-4B01-4D15-9676-317370D6AA09}"/>
    <cellStyle name="Normal 4 2 2 4 2 2 8" xfId="8946" xr:uid="{2C8A4B2B-62F0-426A-BC8F-3686566232C9}"/>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237E665F-403E-4AA2-BEE3-7904E9C5C63B}"/>
    <cellStyle name="Normal 4 2 2 4 2 3 2 3" xfId="11503" xr:uid="{589565F7-2875-4A84-9870-09DA882A55A5}"/>
    <cellStyle name="Normal 4 2 2 4 2 3 3" xfId="5141" xr:uid="{00000000-0005-0000-0000-0000AB120000}"/>
    <cellStyle name="Normal 4 2 2 4 2 3 3 2" xfId="13576" xr:uid="{F7A92C69-EDC8-4E29-8DDA-CECB8CE286D4}"/>
    <cellStyle name="Normal 4 2 2 4 2 3 4" xfId="9358" xr:uid="{3E060531-1C5B-4435-98DD-0F0CA6E3B1C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C7168D61-EECB-4F96-94AD-9FBB1A3AA67A}"/>
    <cellStyle name="Normal 4 2 2 4 2 4 2 3" xfId="11916" xr:uid="{1CE04321-5F55-4743-9F0C-D1083FCD929F}"/>
    <cellStyle name="Normal 4 2 2 4 2 4 3" xfId="5554" xr:uid="{00000000-0005-0000-0000-0000AF120000}"/>
    <cellStyle name="Normal 4 2 2 4 2 4 3 2" xfId="13989" xr:uid="{DACBC3ED-F282-4AF1-AF03-1CCCA5B4D464}"/>
    <cellStyle name="Normal 4 2 2 4 2 4 4" xfId="9771" xr:uid="{4CFC38A2-5092-4928-A686-6E3F7A5A0E37}"/>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880C2848-40AC-419B-8CEF-321A76E9939A}"/>
    <cellStyle name="Normal 4 2 2 4 2 5 2 3" xfId="12329" xr:uid="{E1A90516-E38F-432B-B738-AB549526F9FB}"/>
    <cellStyle name="Normal 4 2 2 4 2 5 3" xfId="5967" xr:uid="{00000000-0005-0000-0000-0000B3120000}"/>
    <cellStyle name="Normal 4 2 2 4 2 5 3 2" xfId="14402" xr:uid="{D0B36864-DC96-41EA-972D-F21F0057F5E4}"/>
    <cellStyle name="Normal 4 2 2 4 2 5 4" xfId="10184" xr:uid="{0384F968-6069-4A92-A46D-077411E1FBDC}"/>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D79DB250-9DED-4080-A5F1-B371B21E1B9D}"/>
    <cellStyle name="Normal 4 2 2 4 2 6 2 3" xfId="12742" xr:uid="{07924C48-A28D-4D74-AFE9-F3C6D92848A6}"/>
    <cellStyle name="Normal 4 2 2 4 2 6 3" xfId="6380" xr:uid="{00000000-0005-0000-0000-0000B7120000}"/>
    <cellStyle name="Normal 4 2 2 4 2 6 3 2" xfId="14815" xr:uid="{AA49EF85-9E9B-45FF-A962-F5CFC0C0991D}"/>
    <cellStyle name="Normal 4 2 2 4 2 6 4" xfId="10597" xr:uid="{A85AD674-E820-4E7A-94FC-24CEFF42B10F}"/>
    <cellStyle name="Normal 4 2 2 4 2 7" xfId="2509" xr:uid="{00000000-0005-0000-0000-0000B8120000}"/>
    <cellStyle name="Normal 4 2 2 4 2 7 2" xfId="6793" xr:uid="{00000000-0005-0000-0000-0000B9120000}"/>
    <cellStyle name="Normal 4 2 2 4 2 7 2 2" xfId="15228" xr:uid="{094A51FE-1760-4B46-8122-A1184CF5F7BA}"/>
    <cellStyle name="Normal 4 2 2 4 2 7 3" xfId="11010" xr:uid="{031EDBC3-E27F-4B05-A181-331129E0713B}"/>
    <cellStyle name="Normal 4 2 2 4 2 8" xfId="4728" xr:uid="{00000000-0005-0000-0000-0000BA120000}"/>
    <cellStyle name="Normal 4 2 2 4 2 8 2" xfId="13163" xr:uid="{034C0D2B-8E4C-4F3B-9508-2C22E5886A71}"/>
    <cellStyle name="Normal 4 2 2 4 2 9" xfId="8945" xr:uid="{F3799FD1-2EEB-417A-8472-E6802B87690E}"/>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21D10DF8-A29B-43A3-83E7-18347179FD67}"/>
    <cellStyle name="Normal 4 2 2 4 3 2 2 3" xfId="11505" xr:uid="{C9E63D72-A26E-4952-8CF0-68ACFE38C625}"/>
    <cellStyle name="Normal 4 2 2 4 3 2 3" xfId="5143" xr:uid="{00000000-0005-0000-0000-0000BF120000}"/>
    <cellStyle name="Normal 4 2 2 4 3 2 3 2" xfId="13578" xr:uid="{C289C2E8-734B-445F-866C-BF67B295404F}"/>
    <cellStyle name="Normal 4 2 2 4 3 2 4" xfId="9360" xr:uid="{3CD18731-C395-444A-AA42-5E289D99519E}"/>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AFEA89FD-67B9-499E-BD1B-A8852B1C0C00}"/>
    <cellStyle name="Normal 4 2 2 4 3 3 2 3" xfId="11918" xr:uid="{F560D2BF-F1FA-42FA-8D2B-3ACFE2864479}"/>
    <cellStyle name="Normal 4 2 2 4 3 3 3" xfId="5556" xr:uid="{00000000-0005-0000-0000-0000C3120000}"/>
    <cellStyle name="Normal 4 2 2 4 3 3 3 2" xfId="13991" xr:uid="{D5F15E06-A568-48CF-AAAC-EF0956297AC5}"/>
    <cellStyle name="Normal 4 2 2 4 3 3 4" xfId="9773" xr:uid="{CEB82022-3B3D-4D1B-8675-18287ECBA01F}"/>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55AA3AE7-D834-49E5-9173-EBF88DE300E7}"/>
    <cellStyle name="Normal 4 2 2 4 3 4 2 3" xfId="12331" xr:uid="{3C81A5CB-0BA3-4A67-8344-EA7AF433AFC5}"/>
    <cellStyle name="Normal 4 2 2 4 3 4 3" xfId="5969" xr:uid="{00000000-0005-0000-0000-0000C7120000}"/>
    <cellStyle name="Normal 4 2 2 4 3 4 3 2" xfId="14404" xr:uid="{05267942-9B35-405B-890D-4642092C3F61}"/>
    <cellStyle name="Normal 4 2 2 4 3 4 4" xfId="10186" xr:uid="{E8931F92-3212-43D3-85C8-54A48497AF7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A7456F17-BBCC-492A-8249-21634BECB06B}"/>
    <cellStyle name="Normal 4 2 2 4 3 5 2 3" xfId="12744" xr:uid="{F99F9631-29DA-49CC-B44B-6089C1005321}"/>
    <cellStyle name="Normal 4 2 2 4 3 5 3" xfId="6382" xr:uid="{00000000-0005-0000-0000-0000CB120000}"/>
    <cellStyle name="Normal 4 2 2 4 3 5 3 2" xfId="14817" xr:uid="{46F77694-9A00-4993-8403-E567E3D9BD65}"/>
    <cellStyle name="Normal 4 2 2 4 3 5 4" xfId="10599" xr:uid="{D664DC91-0A5A-4925-A9AF-8DB4FB84FB21}"/>
    <cellStyle name="Normal 4 2 2 4 3 6" xfId="2511" xr:uid="{00000000-0005-0000-0000-0000CC120000}"/>
    <cellStyle name="Normal 4 2 2 4 3 6 2" xfId="6795" xr:uid="{00000000-0005-0000-0000-0000CD120000}"/>
    <cellStyle name="Normal 4 2 2 4 3 6 2 2" xfId="15230" xr:uid="{7B287F42-569E-47EC-94FE-196BFDE0119B}"/>
    <cellStyle name="Normal 4 2 2 4 3 6 3" xfId="11012" xr:uid="{392758C5-9B0E-42C3-9CFC-3088F4EAFB97}"/>
    <cellStyle name="Normal 4 2 2 4 3 7" xfId="4730" xr:uid="{00000000-0005-0000-0000-0000CE120000}"/>
    <cellStyle name="Normal 4 2 2 4 3 7 2" xfId="13165" xr:uid="{B9A19B4D-453A-4211-9785-8B6D8DF318A7}"/>
    <cellStyle name="Normal 4 2 2 4 3 8" xfId="8947" xr:uid="{6DF73CA1-BC26-4EA6-BAA5-29B6D40FB68E}"/>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E5B6A7D2-9818-4B63-B4E9-D1D9F7DFFF78}"/>
    <cellStyle name="Normal 4 2 2 4 4 2 3" xfId="11502" xr:uid="{13335CDA-F2C0-4E8E-91CE-21BA3D9B340F}"/>
    <cellStyle name="Normal 4 2 2 4 4 3" xfId="5140" xr:uid="{00000000-0005-0000-0000-0000D2120000}"/>
    <cellStyle name="Normal 4 2 2 4 4 3 2" xfId="13575" xr:uid="{57B9560E-4239-418A-88AF-01165D285C8D}"/>
    <cellStyle name="Normal 4 2 2 4 4 4" xfId="9357" xr:uid="{82145970-3F91-4DF5-85C6-9FC150AE535C}"/>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3C3DE193-1003-4371-B99C-7F77B96CCEAA}"/>
    <cellStyle name="Normal 4 2 2 4 5 2 3" xfId="11915" xr:uid="{0B6794C1-BA56-4208-9D5A-CA752B0B1717}"/>
    <cellStyle name="Normal 4 2 2 4 5 3" xfId="5553" xr:uid="{00000000-0005-0000-0000-0000D6120000}"/>
    <cellStyle name="Normal 4 2 2 4 5 3 2" xfId="13988" xr:uid="{37B899EE-8B58-48C3-A8F6-34A78E3ED9A8}"/>
    <cellStyle name="Normal 4 2 2 4 5 4" xfId="9770" xr:uid="{88497FC8-FFAC-4059-808D-205078E6126E}"/>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835E768C-3C94-4104-BBCC-E2EDD2B37E36}"/>
    <cellStyle name="Normal 4 2 2 4 6 2 3" xfId="12328" xr:uid="{CD3CE2B7-740C-4D50-9E90-6AC3C8AC27C1}"/>
    <cellStyle name="Normal 4 2 2 4 6 3" xfId="5966" xr:uid="{00000000-0005-0000-0000-0000DA120000}"/>
    <cellStyle name="Normal 4 2 2 4 6 3 2" xfId="14401" xr:uid="{0A2DAE9F-54CC-4444-B434-D073E2891554}"/>
    <cellStyle name="Normal 4 2 2 4 6 4" xfId="10183" xr:uid="{1DD00727-7837-466E-BCAE-246B91A988D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B3F30F91-0FAC-4F15-9DAD-C19AB372D531}"/>
    <cellStyle name="Normal 4 2 2 4 7 2 3" xfId="12741" xr:uid="{FB015E64-05E6-4B1C-AA3E-206BD1831C01}"/>
    <cellStyle name="Normal 4 2 2 4 7 3" xfId="6379" xr:uid="{00000000-0005-0000-0000-0000DE120000}"/>
    <cellStyle name="Normal 4 2 2 4 7 3 2" xfId="14814" xr:uid="{19E4A2C2-7F7C-45E5-AF8B-E4D7526DA5DF}"/>
    <cellStyle name="Normal 4 2 2 4 7 4" xfId="10596" xr:uid="{3C74C44E-4A3F-49E3-B71E-74A21787D69F}"/>
    <cellStyle name="Normal 4 2 2 4 8" xfId="2508" xr:uid="{00000000-0005-0000-0000-0000DF120000}"/>
    <cellStyle name="Normal 4 2 2 4 8 2" xfId="6792" xr:uid="{00000000-0005-0000-0000-0000E0120000}"/>
    <cellStyle name="Normal 4 2 2 4 8 2 2" xfId="15227" xr:uid="{0707FE4D-EDFC-4400-8123-2BD5B93F25E3}"/>
    <cellStyle name="Normal 4 2 2 4 8 3" xfId="11009" xr:uid="{6E98560B-57F1-4C45-9C81-8A50434E1BA7}"/>
    <cellStyle name="Normal 4 2 2 4 9" xfId="4727" xr:uid="{00000000-0005-0000-0000-0000E1120000}"/>
    <cellStyle name="Normal 4 2 2 4 9 2" xfId="13162" xr:uid="{40198A76-65BF-4315-8072-64BFDF1CC83E}"/>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F66206F8-3E50-4650-8488-F69045D7C9FB}"/>
    <cellStyle name="Normal 4 2 2 5 2 2 2 3" xfId="11507" xr:uid="{054023CD-1CCC-49C6-80F5-580EACAFF9DD}"/>
    <cellStyle name="Normal 4 2 2 5 2 2 3" xfId="5145" xr:uid="{00000000-0005-0000-0000-0000E7120000}"/>
    <cellStyle name="Normal 4 2 2 5 2 2 3 2" xfId="13580" xr:uid="{9588C5EB-38DB-43E5-AD25-B8E0157DCD98}"/>
    <cellStyle name="Normal 4 2 2 5 2 2 4" xfId="9362" xr:uid="{3EF7ED32-677B-4936-86FA-C5AAAA71F79A}"/>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EA6C1AB6-1628-4033-88BE-DF602EDCF85B}"/>
    <cellStyle name="Normal 4 2 2 5 2 3 2 3" xfId="11920" xr:uid="{EC84E26C-8A38-4E2E-9653-0D9A9FA4E4FF}"/>
    <cellStyle name="Normal 4 2 2 5 2 3 3" xfId="5558" xr:uid="{00000000-0005-0000-0000-0000EB120000}"/>
    <cellStyle name="Normal 4 2 2 5 2 3 3 2" xfId="13993" xr:uid="{C6E34D7C-E93C-4677-8E80-BF42F0629B9C}"/>
    <cellStyle name="Normal 4 2 2 5 2 3 4" xfId="9775" xr:uid="{29734C57-9834-4B67-92FD-42908064F6D6}"/>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6B272A3B-96D5-4A1E-A23C-5D3CEC278105}"/>
    <cellStyle name="Normal 4 2 2 5 2 4 2 3" xfId="12333" xr:uid="{F2C7032F-EB21-4752-9D26-D072EB065163}"/>
    <cellStyle name="Normal 4 2 2 5 2 4 3" xfId="5971" xr:uid="{00000000-0005-0000-0000-0000EF120000}"/>
    <cellStyle name="Normal 4 2 2 5 2 4 3 2" xfId="14406" xr:uid="{A8A1E2A8-379F-4743-9062-DFD6CF2E8B13}"/>
    <cellStyle name="Normal 4 2 2 5 2 4 4" xfId="10188" xr:uid="{316B503A-C709-4A98-BC88-B4FD06D3BA59}"/>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3EE636B5-452E-4F36-8C97-7A8E1BBFCAEE}"/>
    <cellStyle name="Normal 4 2 2 5 2 5 2 3" xfId="12746" xr:uid="{3737716A-4D1F-4EB7-9E2B-319DE3E6DBDF}"/>
    <cellStyle name="Normal 4 2 2 5 2 5 3" xfId="6384" xr:uid="{00000000-0005-0000-0000-0000F3120000}"/>
    <cellStyle name="Normal 4 2 2 5 2 5 3 2" xfId="14819" xr:uid="{0893C5FC-B4E3-4AFC-B3C5-B1807FE7D240}"/>
    <cellStyle name="Normal 4 2 2 5 2 5 4" xfId="10601" xr:uid="{3A3ED068-35A2-4BB9-9A6C-DF24F35C1177}"/>
    <cellStyle name="Normal 4 2 2 5 2 6" xfId="2513" xr:uid="{00000000-0005-0000-0000-0000F4120000}"/>
    <cellStyle name="Normal 4 2 2 5 2 6 2" xfId="6797" xr:uid="{00000000-0005-0000-0000-0000F5120000}"/>
    <cellStyle name="Normal 4 2 2 5 2 6 2 2" xfId="15232" xr:uid="{3B7BF1F5-7745-4592-8D71-AD62E0C4A0A7}"/>
    <cellStyle name="Normal 4 2 2 5 2 6 3" xfId="11014" xr:uid="{97E36153-A6D2-438C-95C5-DC63BC740507}"/>
    <cellStyle name="Normal 4 2 2 5 2 7" xfId="4732" xr:uid="{00000000-0005-0000-0000-0000F6120000}"/>
    <cellStyle name="Normal 4 2 2 5 2 7 2" xfId="13167" xr:uid="{D598F911-22F7-4049-B696-DD5BCAA994DD}"/>
    <cellStyle name="Normal 4 2 2 5 2 8" xfId="8949" xr:uid="{1C6DD43A-86B0-4D57-86AD-51E385A99291}"/>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D0AD2BF0-DAF6-400C-A3B8-E507BBAF52AA}"/>
    <cellStyle name="Normal 4 2 2 5 3 2 3" xfId="11506" xr:uid="{AA7A4FB6-5180-480A-89E4-3FFD18EAC785}"/>
    <cellStyle name="Normal 4 2 2 5 3 3" xfId="5144" xr:uid="{00000000-0005-0000-0000-0000FA120000}"/>
    <cellStyle name="Normal 4 2 2 5 3 3 2" xfId="13579" xr:uid="{9A093D91-B66A-4A88-93D9-F8106BA1CCDC}"/>
    <cellStyle name="Normal 4 2 2 5 3 4" xfId="9361" xr:uid="{0CF57768-D3F0-43FC-9FF1-A8DC1F5B8AE3}"/>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7F98F374-A1BF-4652-B04D-F2B417672E1A}"/>
    <cellStyle name="Normal 4 2 2 5 4 2 3" xfId="11919" xr:uid="{EC5740F9-5FAE-42B8-8030-D7D5DD6FBF26}"/>
    <cellStyle name="Normal 4 2 2 5 4 3" xfId="5557" xr:uid="{00000000-0005-0000-0000-0000FE120000}"/>
    <cellStyle name="Normal 4 2 2 5 4 3 2" xfId="13992" xr:uid="{EE50DD98-A366-4E06-926B-DA80E3BA6051}"/>
    <cellStyle name="Normal 4 2 2 5 4 4" xfId="9774" xr:uid="{CAF71045-F604-4CAD-B0DF-E287BB73F22B}"/>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A2BACBDF-2BBE-4DBA-917E-EDB4DB156732}"/>
    <cellStyle name="Normal 4 2 2 5 5 2 3" xfId="12332" xr:uid="{4D627130-F2FA-4542-AB96-B78AB0C7F3D3}"/>
    <cellStyle name="Normal 4 2 2 5 5 3" xfId="5970" xr:uid="{00000000-0005-0000-0000-000002130000}"/>
    <cellStyle name="Normal 4 2 2 5 5 3 2" xfId="14405" xr:uid="{BFD5FAA0-52E0-4E94-AC9B-7061570CF42D}"/>
    <cellStyle name="Normal 4 2 2 5 5 4" xfId="10187" xr:uid="{A0929E21-7C5C-4B1E-A4C9-C2641C50B69A}"/>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680783BA-BFFA-4B78-8570-5521292BD679}"/>
    <cellStyle name="Normal 4 2 2 5 6 2 3" xfId="12745" xr:uid="{55AAF9AF-D50A-4812-9767-9CE3D4A577A3}"/>
    <cellStyle name="Normal 4 2 2 5 6 3" xfId="6383" xr:uid="{00000000-0005-0000-0000-000006130000}"/>
    <cellStyle name="Normal 4 2 2 5 6 3 2" xfId="14818" xr:uid="{FBF692D4-6C6E-4776-B596-73B4229E4CAD}"/>
    <cellStyle name="Normal 4 2 2 5 6 4" xfId="10600" xr:uid="{F2AEADC8-06E2-4C81-A859-8ECF63121EE9}"/>
    <cellStyle name="Normal 4 2 2 5 7" xfId="2512" xr:uid="{00000000-0005-0000-0000-000007130000}"/>
    <cellStyle name="Normal 4 2 2 5 7 2" xfId="6796" xr:uid="{00000000-0005-0000-0000-000008130000}"/>
    <cellStyle name="Normal 4 2 2 5 7 2 2" xfId="15231" xr:uid="{EE13AC2D-B8E1-413B-82CF-C8F70981071A}"/>
    <cellStyle name="Normal 4 2 2 5 7 3" xfId="11013" xr:uid="{0BAFDE5A-75E1-4935-AB08-82733CA5574D}"/>
    <cellStyle name="Normal 4 2 2 5 8" xfId="4731" xr:uid="{00000000-0005-0000-0000-000009130000}"/>
    <cellStyle name="Normal 4 2 2 5 8 2" xfId="13166" xr:uid="{0E9D5B81-7A9F-4E2E-B535-F3E1BCE08F71}"/>
    <cellStyle name="Normal 4 2 2 5 9" xfId="8948" xr:uid="{0D63ED4C-9246-422C-BC83-50ECF38FFDD2}"/>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0DD1B035-6225-4811-AEF9-D8D746C209D8}"/>
    <cellStyle name="Normal 4 2 2 6 2 2 3" xfId="11508" xr:uid="{DEE30E80-0EAC-474F-9AC1-B655EF4D7982}"/>
    <cellStyle name="Normal 4 2 2 6 2 3" xfId="5146" xr:uid="{00000000-0005-0000-0000-00000E130000}"/>
    <cellStyle name="Normal 4 2 2 6 2 3 2" xfId="13581" xr:uid="{0B146C72-8477-4928-8C6B-65631D6FFF4F}"/>
    <cellStyle name="Normal 4 2 2 6 2 4" xfId="9363" xr:uid="{A1A73657-E15D-4F55-8E80-CDC987DA9097}"/>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9D8947AB-D416-42CC-AC53-2DEF982C24AB}"/>
    <cellStyle name="Normal 4 2 2 6 3 2 3" xfId="11921" xr:uid="{0CFC2F54-8AD0-4CFC-8A2E-320590D2D853}"/>
    <cellStyle name="Normal 4 2 2 6 3 3" xfId="5559" xr:uid="{00000000-0005-0000-0000-000012130000}"/>
    <cellStyle name="Normal 4 2 2 6 3 3 2" xfId="13994" xr:uid="{BC84E913-C7F3-48E6-90FF-DB7C805922BB}"/>
    <cellStyle name="Normal 4 2 2 6 3 4" xfId="9776" xr:uid="{8016E98A-451B-443F-A2AA-9B8E56756034}"/>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8D475CD1-F775-449A-8362-2E843D06297A}"/>
    <cellStyle name="Normal 4 2 2 6 4 2 3" xfId="12334" xr:uid="{E27BE29A-84AF-4C60-AE92-1AD8C9387FAB}"/>
    <cellStyle name="Normal 4 2 2 6 4 3" xfId="5972" xr:uid="{00000000-0005-0000-0000-000016130000}"/>
    <cellStyle name="Normal 4 2 2 6 4 3 2" xfId="14407" xr:uid="{11D11FC5-CAA1-48FD-B4A1-6368193587A8}"/>
    <cellStyle name="Normal 4 2 2 6 4 4" xfId="10189" xr:uid="{14A259E5-9755-4C62-A9A7-7634E97262A3}"/>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24841982-179A-422D-8E18-41B5EDBE65B9}"/>
    <cellStyle name="Normal 4 2 2 6 5 2 3" xfId="12747" xr:uid="{C3A585D7-3FCD-4DDE-9E7C-73DB3FB59C0D}"/>
    <cellStyle name="Normal 4 2 2 6 5 3" xfId="6385" xr:uid="{00000000-0005-0000-0000-00001A130000}"/>
    <cellStyle name="Normal 4 2 2 6 5 3 2" xfId="14820" xr:uid="{473565D2-361F-48B2-AE44-6B71B234CB79}"/>
    <cellStyle name="Normal 4 2 2 6 5 4" xfId="10602" xr:uid="{2F5662AD-7323-4455-9733-081BBA552A1E}"/>
    <cellStyle name="Normal 4 2 2 6 6" xfId="2514" xr:uid="{00000000-0005-0000-0000-00001B130000}"/>
    <cellStyle name="Normal 4 2 2 6 6 2" xfId="6798" xr:uid="{00000000-0005-0000-0000-00001C130000}"/>
    <cellStyle name="Normal 4 2 2 6 6 2 2" xfId="15233" xr:uid="{C0D84177-4788-4601-A911-150136DCEF82}"/>
    <cellStyle name="Normal 4 2 2 6 6 3" xfId="11015" xr:uid="{38E1146B-376B-4690-829A-A76B71359658}"/>
    <cellStyle name="Normal 4 2 2 6 7" xfId="4733" xr:uid="{00000000-0005-0000-0000-00001D130000}"/>
    <cellStyle name="Normal 4 2 2 6 7 2" xfId="13168" xr:uid="{21E3217A-1D36-4BFA-93AE-417E3FF1D349}"/>
    <cellStyle name="Normal 4 2 2 6 8" xfId="8950" xr:uid="{550432F4-2F28-407D-B74B-61CB2D5EE08C}"/>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A61133C0-4D91-453C-94D5-F468DFD7800F}"/>
    <cellStyle name="Normal 4 2 2 7 2 3" xfId="11493" xr:uid="{A4FAD7D1-8AB4-4AE2-AAD0-53D4C3E9859C}"/>
    <cellStyle name="Normal 4 2 2 7 3" xfId="5131" xr:uid="{00000000-0005-0000-0000-000021130000}"/>
    <cellStyle name="Normal 4 2 2 7 3 2" xfId="13566" xr:uid="{F1752769-8A3D-4B57-A66D-050B99D4B19E}"/>
    <cellStyle name="Normal 4 2 2 7 4" xfId="9348" xr:uid="{5C24E58F-1238-4292-94E5-5A170A76A4CE}"/>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7B998A73-3BE2-4D8D-A231-057F7B2AD911}"/>
    <cellStyle name="Normal 4 2 2 8 2 3" xfId="11906" xr:uid="{E6C42BB5-096B-496F-8647-BBEB13DF39A4}"/>
    <cellStyle name="Normal 4 2 2 8 3" xfId="5544" xr:uid="{00000000-0005-0000-0000-000025130000}"/>
    <cellStyle name="Normal 4 2 2 8 3 2" xfId="13979" xr:uid="{4F34146F-F6C4-441A-9B9D-AC364ACF786A}"/>
    <cellStyle name="Normal 4 2 2 8 4" xfId="9761" xr:uid="{2EBF99A9-A4DD-4C70-B5DE-A45B80B99139}"/>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CDE24240-6E1A-4F95-AB63-4CCB66B617D5}"/>
    <cellStyle name="Normal 4 2 2 9 2 3" xfId="12319" xr:uid="{A4B0CB48-9FF5-4BB4-A891-A800C09D0BBC}"/>
    <cellStyle name="Normal 4 2 2 9 3" xfId="5957" xr:uid="{00000000-0005-0000-0000-000029130000}"/>
    <cellStyle name="Normal 4 2 2 9 3 2" xfId="14392" xr:uid="{B990B6AB-E457-457C-8570-6ED38277E37F}"/>
    <cellStyle name="Normal 4 2 2 9 4" xfId="10174" xr:uid="{9B0AD653-D9B7-4E9F-9571-3B701FB3E072}"/>
    <cellStyle name="Normal 4 2 3" xfId="354" xr:uid="{00000000-0005-0000-0000-00002A130000}"/>
    <cellStyle name="Normal 4 2 4" xfId="355" xr:uid="{00000000-0005-0000-0000-00002B130000}"/>
    <cellStyle name="Normal 4 2 4 10" xfId="4734" xr:uid="{00000000-0005-0000-0000-00002C130000}"/>
    <cellStyle name="Normal 4 2 4 10 2" xfId="13169" xr:uid="{35419EE6-91FF-4513-87FD-7AC40CD26260}"/>
    <cellStyle name="Normal 4 2 4 11" xfId="8951" xr:uid="{12F3A824-CCA4-4719-BADA-879860DD4B5E}"/>
    <cellStyle name="Normal 4 2 4 2" xfId="356" xr:uid="{00000000-0005-0000-0000-00002D130000}"/>
    <cellStyle name="Normal 4 2 4 2 10" xfId="8952" xr:uid="{FB2D110B-FAB6-4BB1-ADDF-A3BBC65D6973}"/>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06FF95D5-EC31-49C5-AB84-4394698106A6}"/>
    <cellStyle name="Normal 4 2 4 2 2 2 2 2 3" xfId="11512" xr:uid="{88CF0E2A-645B-4431-96D8-C08D4CE71B54}"/>
    <cellStyle name="Normal 4 2 4 2 2 2 2 3" xfId="5150" xr:uid="{00000000-0005-0000-0000-000033130000}"/>
    <cellStyle name="Normal 4 2 4 2 2 2 2 3 2" xfId="13585" xr:uid="{5761BCEE-21E3-4E0F-AE01-325F42530653}"/>
    <cellStyle name="Normal 4 2 4 2 2 2 2 4" xfId="9367" xr:uid="{C30BCDA4-B719-4A6A-A843-4B055E090356}"/>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7C8BBD2E-A27D-41B4-8E51-0598EC3305AD}"/>
    <cellStyle name="Normal 4 2 4 2 2 2 3 2 3" xfId="11925" xr:uid="{6E98D5BA-2C1D-4EC3-8F7B-A39882E51DAF}"/>
    <cellStyle name="Normal 4 2 4 2 2 2 3 3" xfId="5563" xr:uid="{00000000-0005-0000-0000-000037130000}"/>
    <cellStyle name="Normal 4 2 4 2 2 2 3 3 2" xfId="13998" xr:uid="{15352760-6665-4D5A-A9EB-418D531A5869}"/>
    <cellStyle name="Normal 4 2 4 2 2 2 3 4" xfId="9780" xr:uid="{7FDDE1BF-8693-4FCE-BC06-28FA9003A556}"/>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F47AA8AF-6635-4E65-B4FE-A695D40DCB6F}"/>
    <cellStyle name="Normal 4 2 4 2 2 2 4 2 3" xfId="12338" xr:uid="{2CCCDA33-C23C-4878-90DC-7E430C79D5D4}"/>
    <cellStyle name="Normal 4 2 4 2 2 2 4 3" xfId="5976" xr:uid="{00000000-0005-0000-0000-00003B130000}"/>
    <cellStyle name="Normal 4 2 4 2 2 2 4 3 2" xfId="14411" xr:uid="{2EEDC6C3-20C3-4318-8237-594A11994800}"/>
    <cellStyle name="Normal 4 2 4 2 2 2 4 4" xfId="10193" xr:uid="{28333E7F-5060-4B99-B9BC-FA75D378EDAE}"/>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F3BC0FF5-A907-4260-BECB-C311CBA724B4}"/>
    <cellStyle name="Normal 4 2 4 2 2 2 5 2 3" xfId="12751" xr:uid="{6417FE37-1506-4592-ABCE-3E7D323F79D3}"/>
    <cellStyle name="Normal 4 2 4 2 2 2 5 3" xfId="6389" xr:uid="{00000000-0005-0000-0000-00003F130000}"/>
    <cellStyle name="Normal 4 2 4 2 2 2 5 3 2" xfId="14824" xr:uid="{75EEE2DA-6112-4252-86BD-886F3300E7AA}"/>
    <cellStyle name="Normal 4 2 4 2 2 2 5 4" xfId="10606" xr:uid="{95868AF1-9332-45CA-B0D7-564354EC6145}"/>
    <cellStyle name="Normal 4 2 4 2 2 2 6" xfId="2518" xr:uid="{00000000-0005-0000-0000-000040130000}"/>
    <cellStyle name="Normal 4 2 4 2 2 2 6 2" xfId="6802" xr:uid="{00000000-0005-0000-0000-000041130000}"/>
    <cellStyle name="Normal 4 2 4 2 2 2 6 2 2" xfId="15237" xr:uid="{D228E012-DEDB-4BEE-A89C-267B7395CE76}"/>
    <cellStyle name="Normal 4 2 4 2 2 2 6 3" xfId="11019" xr:uid="{106E0EB0-E8BA-499D-8CC5-996B1EAAEB82}"/>
    <cellStyle name="Normal 4 2 4 2 2 2 7" xfId="4737" xr:uid="{00000000-0005-0000-0000-000042130000}"/>
    <cellStyle name="Normal 4 2 4 2 2 2 7 2" xfId="13172" xr:uid="{8F982792-54A9-4485-BD53-615A8CCAFBFC}"/>
    <cellStyle name="Normal 4 2 4 2 2 2 8" xfId="8954" xr:uid="{C690D9AB-EFEC-41F3-8B2C-C8931F3343FD}"/>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752B6B56-C628-4983-9AE6-FE6FB135B7D6}"/>
    <cellStyle name="Normal 4 2 4 2 2 3 2 3" xfId="11511" xr:uid="{E4173005-985A-4AFA-B9E7-19E3BF75130C}"/>
    <cellStyle name="Normal 4 2 4 2 2 3 3" xfId="5149" xr:uid="{00000000-0005-0000-0000-000046130000}"/>
    <cellStyle name="Normal 4 2 4 2 2 3 3 2" xfId="13584" xr:uid="{203FD16F-196B-404D-AEC2-C836A01D283E}"/>
    <cellStyle name="Normal 4 2 4 2 2 3 4" xfId="9366" xr:uid="{50615DA0-AE84-40F8-8503-218114880499}"/>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8A041FBD-881F-4B04-826E-8BF3A70BB44B}"/>
    <cellStyle name="Normal 4 2 4 2 2 4 2 3" xfId="11924" xr:uid="{1A1EA368-310D-4A73-9136-154E0065CAC3}"/>
    <cellStyle name="Normal 4 2 4 2 2 4 3" xfId="5562" xr:uid="{00000000-0005-0000-0000-00004A130000}"/>
    <cellStyle name="Normal 4 2 4 2 2 4 3 2" xfId="13997" xr:uid="{523D69DA-F304-4F27-B65D-DD2400551ADC}"/>
    <cellStyle name="Normal 4 2 4 2 2 4 4" xfId="9779" xr:uid="{5086460F-76F7-48D4-92E3-DD30024ABD39}"/>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239CE25B-C1B4-4208-8A77-4F1AEF1847F1}"/>
    <cellStyle name="Normal 4 2 4 2 2 5 2 3" xfId="12337" xr:uid="{1E0C444F-9E61-48E7-AD62-7A869890ED9E}"/>
    <cellStyle name="Normal 4 2 4 2 2 5 3" xfId="5975" xr:uid="{00000000-0005-0000-0000-00004E130000}"/>
    <cellStyle name="Normal 4 2 4 2 2 5 3 2" xfId="14410" xr:uid="{04C88677-F15E-41E0-A314-690797A5BCB9}"/>
    <cellStyle name="Normal 4 2 4 2 2 5 4" xfId="10192" xr:uid="{3CC98E06-EAFB-4C46-8B07-3E0FA04D8835}"/>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266ADE1D-D3BE-4B59-B054-9535C1EB3254}"/>
    <cellStyle name="Normal 4 2 4 2 2 6 2 3" xfId="12750" xr:uid="{680A830F-8E58-4110-BD6F-C1672F066DD8}"/>
    <cellStyle name="Normal 4 2 4 2 2 6 3" xfId="6388" xr:uid="{00000000-0005-0000-0000-000052130000}"/>
    <cellStyle name="Normal 4 2 4 2 2 6 3 2" xfId="14823" xr:uid="{5FB3E99E-842D-48DC-85FA-3329DC478097}"/>
    <cellStyle name="Normal 4 2 4 2 2 6 4" xfId="10605" xr:uid="{119E0AD9-AAC1-41DC-AAE7-0C0B5AFCD352}"/>
    <cellStyle name="Normal 4 2 4 2 2 7" xfId="2517" xr:uid="{00000000-0005-0000-0000-000053130000}"/>
    <cellStyle name="Normal 4 2 4 2 2 7 2" xfId="6801" xr:uid="{00000000-0005-0000-0000-000054130000}"/>
    <cellStyle name="Normal 4 2 4 2 2 7 2 2" xfId="15236" xr:uid="{3A6885FF-48CC-40B6-B62F-86AB380C679F}"/>
    <cellStyle name="Normal 4 2 4 2 2 7 3" xfId="11018" xr:uid="{806B6CCA-FF52-44F0-87D5-0A74CE26C1D3}"/>
    <cellStyle name="Normal 4 2 4 2 2 8" xfId="4736" xr:uid="{00000000-0005-0000-0000-000055130000}"/>
    <cellStyle name="Normal 4 2 4 2 2 8 2" xfId="13171" xr:uid="{272C9280-80AD-4CE9-87FB-FF1518E5DC70}"/>
    <cellStyle name="Normal 4 2 4 2 2 9" xfId="8953" xr:uid="{F175504F-45E4-45E3-BECF-1C3AE11BC99B}"/>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11116059-3B4D-4D70-AD54-01CA46502D79}"/>
    <cellStyle name="Normal 4 2 4 2 3 2 2 3" xfId="11513" xr:uid="{741548F6-9B63-4368-AE1B-BB0233B78AAA}"/>
    <cellStyle name="Normal 4 2 4 2 3 2 3" xfId="5151" xr:uid="{00000000-0005-0000-0000-00005A130000}"/>
    <cellStyle name="Normal 4 2 4 2 3 2 3 2" xfId="13586" xr:uid="{F31AEF4A-C227-4985-AD2C-BAAA26886D17}"/>
    <cellStyle name="Normal 4 2 4 2 3 2 4" xfId="9368" xr:uid="{5F021024-0419-45E0-9CB0-1F2674C8C9FE}"/>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85FACC2B-4C32-4E21-88AD-5ECAC54CEDD4}"/>
    <cellStyle name="Normal 4 2 4 2 3 3 2 3" xfId="11926" xr:uid="{B4C77565-F8EE-44FC-B069-84B64A51C42B}"/>
    <cellStyle name="Normal 4 2 4 2 3 3 3" xfId="5564" xr:uid="{00000000-0005-0000-0000-00005E130000}"/>
    <cellStyle name="Normal 4 2 4 2 3 3 3 2" xfId="13999" xr:uid="{13DA858D-ADF5-46F9-8EED-C7AD50F40B8C}"/>
    <cellStyle name="Normal 4 2 4 2 3 3 4" xfId="9781" xr:uid="{7D89BA2F-6F2B-401A-A19B-CC757DD516B9}"/>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7C30E520-996F-4883-BA21-1880BAA7531B}"/>
    <cellStyle name="Normal 4 2 4 2 3 4 2 3" xfId="12339" xr:uid="{D92814A0-021F-4E23-B8D9-F0831A86000A}"/>
    <cellStyle name="Normal 4 2 4 2 3 4 3" xfId="5977" xr:uid="{00000000-0005-0000-0000-000062130000}"/>
    <cellStyle name="Normal 4 2 4 2 3 4 3 2" xfId="14412" xr:uid="{78086690-9339-4BF5-A544-7DDF3C3F78D1}"/>
    <cellStyle name="Normal 4 2 4 2 3 4 4" xfId="10194" xr:uid="{528E66C8-8F98-4B9E-B237-795ECF8D7028}"/>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CED8B8F6-9E51-468A-876C-7DBCEAA267FA}"/>
    <cellStyle name="Normal 4 2 4 2 3 5 2 3" xfId="12752" xr:uid="{7FC4E89E-A077-4C7A-A5B9-9BCE03DABAF3}"/>
    <cellStyle name="Normal 4 2 4 2 3 5 3" xfId="6390" xr:uid="{00000000-0005-0000-0000-000066130000}"/>
    <cellStyle name="Normal 4 2 4 2 3 5 3 2" xfId="14825" xr:uid="{0FB4797F-B4A0-4409-A700-7E58365C3C7F}"/>
    <cellStyle name="Normal 4 2 4 2 3 5 4" xfId="10607" xr:uid="{74D314C1-5E68-4462-8320-4701E4E8AE43}"/>
    <cellStyle name="Normal 4 2 4 2 3 6" xfId="2519" xr:uid="{00000000-0005-0000-0000-000067130000}"/>
    <cellStyle name="Normal 4 2 4 2 3 6 2" xfId="6803" xr:uid="{00000000-0005-0000-0000-000068130000}"/>
    <cellStyle name="Normal 4 2 4 2 3 6 2 2" xfId="15238" xr:uid="{D1EDCFC4-81BB-43D8-A611-D1593DDF2239}"/>
    <cellStyle name="Normal 4 2 4 2 3 6 3" xfId="11020" xr:uid="{86E40232-550D-4B9B-83FA-61B4A371CC49}"/>
    <cellStyle name="Normal 4 2 4 2 3 7" xfId="4738" xr:uid="{00000000-0005-0000-0000-000069130000}"/>
    <cellStyle name="Normal 4 2 4 2 3 7 2" xfId="13173" xr:uid="{F2DB18ED-D18C-4B47-8D26-8E61FC32C369}"/>
    <cellStyle name="Normal 4 2 4 2 3 8" xfId="8955" xr:uid="{135EE2FC-37B4-4312-A828-B32A31DDFE8F}"/>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41D071D6-8951-4860-B0E3-11FAA7B3A714}"/>
    <cellStyle name="Normal 4 2 4 2 4 2 3" xfId="11510" xr:uid="{E9DEDF4B-7C98-426E-9A6F-43E5E256EFAD}"/>
    <cellStyle name="Normal 4 2 4 2 4 3" xfId="5148" xr:uid="{00000000-0005-0000-0000-00006D130000}"/>
    <cellStyle name="Normal 4 2 4 2 4 3 2" xfId="13583" xr:uid="{08516417-A1AC-4FC2-B5A5-56D86C2FF74E}"/>
    <cellStyle name="Normal 4 2 4 2 4 4" xfId="9365" xr:uid="{03636ECC-F967-4938-A7EB-DD488884083E}"/>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188B0D0F-C96F-4380-B85C-E2A63C5183A7}"/>
    <cellStyle name="Normal 4 2 4 2 5 2 3" xfId="11923" xr:uid="{25932114-5BE8-4C8A-ACDB-11AED7C2A64A}"/>
    <cellStyle name="Normal 4 2 4 2 5 3" xfId="5561" xr:uid="{00000000-0005-0000-0000-000071130000}"/>
    <cellStyle name="Normal 4 2 4 2 5 3 2" xfId="13996" xr:uid="{34A2D135-F25E-4CAD-8166-EB4E759A65D9}"/>
    <cellStyle name="Normal 4 2 4 2 5 4" xfId="9778" xr:uid="{80B5A60A-E46F-4824-847B-D3706DC699DB}"/>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08A67A3C-8D9F-4BF1-A0E4-96F408563295}"/>
    <cellStyle name="Normal 4 2 4 2 6 2 3" xfId="12336" xr:uid="{D8B21936-7487-4A93-AB83-8271C5CF3A55}"/>
    <cellStyle name="Normal 4 2 4 2 6 3" xfId="5974" xr:uid="{00000000-0005-0000-0000-000075130000}"/>
    <cellStyle name="Normal 4 2 4 2 6 3 2" xfId="14409" xr:uid="{5C7FB73E-9764-40F5-8677-BB7BD555B382}"/>
    <cellStyle name="Normal 4 2 4 2 6 4" xfId="10191" xr:uid="{53CDAE73-C6CD-4A85-9FDE-1E0A7EBB3ABD}"/>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569EC4E4-6F4C-43CA-BDD8-045D57080B32}"/>
    <cellStyle name="Normal 4 2 4 2 7 2 3" xfId="12749" xr:uid="{89D1E0E2-6D45-4C0E-A0E3-F44B66CD3266}"/>
    <cellStyle name="Normal 4 2 4 2 7 3" xfId="6387" xr:uid="{00000000-0005-0000-0000-000079130000}"/>
    <cellStyle name="Normal 4 2 4 2 7 3 2" xfId="14822" xr:uid="{A9BE25CB-9474-4D2A-AE18-88BD461FCAA3}"/>
    <cellStyle name="Normal 4 2 4 2 7 4" xfId="10604" xr:uid="{6A6E966B-E02F-43C3-ABA8-914F76199F4C}"/>
    <cellStyle name="Normal 4 2 4 2 8" xfId="2516" xr:uid="{00000000-0005-0000-0000-00007A130000}"/>
    <cellStyle name="Normal 4 2 4 2 8 2" xfId="6800" xr:uid="{00000000-0005-0000-0000-00007B130000}"/>
    <cellStyle name="Normal 4 2 4 2 8 2 2" xfId="15235" xr:uid="{C1EC6918-5084-476E-9CC0-50C7FA3F047C}"/>
    <cellStyle name="Normal 4 2 4 2 8 3" xfId="11017" xr:uid="{A9933A4D-C030-4FDB-8B68-3EF6D32F1E8B}"/>
    <cellStyle name="Normal 4 2 4 2 9" xfId="4735" xr:uid="{00000000-0005-0000-0000-00007C130000}"/>
    <cellStyle name="Normal 4 2 4 2 9 2" xfId="13170" xr:uid="{D9806593-48FB-47E9-8D8D-83E9D02A875C}"/>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2F3DC983-620E-44DA-826D-E25214DBF79C}"/>
    <cellStyle name="Normal 4 2 4 3 2 2 2 3" xfId="11515" xr:uid="{D09C535B-AED7-4B1B-BB35-7EEF7C9D03FE}"/>
    <cellStyle name="Normal 4 2 4 3 2 2 3" xfId="5153" xr:uid="{00000000-0005-0000-0000-000082130000}"/>
    <cellStyle name="Normal 4 2 4 3 2 2 3 2" xfId="13588" xr:uid="{F234CFAA-D1A7-40EF-BF63-D7DDCE0A98BB}"/>
    <cellStyle name="Normal 4 2 4 3 2 2 4" xfId="9370" xr:uid="{FA4EACF3-127C-4DC4-AC6B-25A1AC62B43D}"/>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850BD1FA-A8F0-4BE0-A749-11E7BBAC2356}"/>
    <cellStyle name="Normal 4 2 4 3 2 3 2 3" xfId="11928" xr:uid="{F6CF74D3-7B1A-4915-81ED-8D0C7E44225A}"/>
    <cellStyle name="Normal 4 2 4 3 2 3 3" xfId="5566" xr:uid="{00000000-0005-0000-0000-000086130000}"/>
    <cellStyle name="Normal 4 2 4 3 2 3 3 2" xfId="14001" xr:uid="{445B2D33-5122-4118-AEB6-49E9DB0E1E37}"/>
    <cellStyle name="Normal 4 2 4 3 2 3 4" xfId="9783" xr:uid="{5E1D1DD4-9D89-4951-AEB1-B4D6B341911A}"/>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55784942-F3B5-4398-8382-0455DE9C04B3}"/>
    <cellStyle name="Normal 4 2 4 3 2 4 2 3" xfId="12341" xr:uid="{B95234A7-6690-48D6-91A2-A44330DFBBC4}"/>
    <cellStyle name="Normal 4 2 4 3 2 4 3" xfId="5979" xr:uid="{00000000-0005-0000-0000-00008A130000}"/>
    <cellStyle name="Normal 4 2 4 3 2 4 3 2" xfId="14414" xr:uid="{4D83BF19-C68A-4D3C-8655-CE6BA73FBCEA}"/>
    <cellStyle name="Normal 4 2 4 3 2 4 4" xfId="10196" xr:uid="{0943872D-12E4-4BBC-AE69-67587C5B3092}"/>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502F6505-FD57-4C3F-BD56-A1052B845257}"/>
    <cellStyle name="Normal 4 2 4 3 2 5 2 3" xfId="12754" xr:uid="{2819317A-81AA-4ABE-B441-03DAFB8DD972}"/>
    <cellStyle name="Normal 4 2 4 3 2 5 3" xfId="6392" xr:uid="{00000000-0005-0000-0000-00008E130000}"/>
    <cellStyle name="Normal 4 2 4 3 2 5 3 2" xfId="14827" xr:uid="{BB525AE0-5E3C-405B-8160-73DF38F04383}"/>
    <cellStyle name="Normal 4 2 4 3 2 5 4" xfId="10609" xr:uid="{34243B68-B186-4F24-AC17-22B0DA955A19}"/>
    <cellStyle name="Normal 4 2 4 3 2 6" xfId="2521" xr:uid="{00000000-0005-0000-0000-00008F130000}"/>
    <cellStyle name="Normal 4 2 4 3 2 6 2" xfId="6805" xr:uid="{00000000-0005-0000-0000-000090130000}"/>
    <cellStyle name="Normal 4 2 4 3 2 6 2 2" xfId="15240" xr:uid="{3402F805-5996-4FC6-9547-332AD6D394FB}"/>
    <cellStyle name="Normal 4 2 4 3 2 6 3" xfId="11022" xr:uid="{8F03338C-AAA6-455C-A003-07909067D2B8}"/>
    <cellStyle name="Normal 4 2 4 3 2 7" xfId="4740" xr:uid="{00000000-0005-0000-0000-000091130000}"/>
    <cellStyle name="Normal 4 2 4 3 2 7 2" xfId="13175" xr:uid="{1DD23BCA-AF91-4B1A-8D41-7B0083B37BC5}"/>
    <cellStyle name="Normal 4 2 4 3 2 8" xfId="8957" xr:uid="{F01B251F-39E7-4C96-9420-8E776CDD0901}"/>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229C2A44-19DD-4EDA-B190-2C91115A6185}"/>
    <cellStyle name="Normal 4 2 4 3 3 2 3" xfId="11514" xr:uid="{1D124DE1-9732-44C0-93E8-8DFA00904CFE}"/>
    <cellStyle name="Normal 4 2 4 3 3 3" xfId="5152" xr:uid="{00000000-0005-0000-0000-000095130000}"/>
    <cellStyle name="Normal 4 2 4 3 3 3 2" xfId="13587" xr:uid="{F53A973A-C184-4D9C-80F5-C5B046C0B106}"/>
    <cellStyle name="Normal 4 2 4 3 3 4" xfId="9369" xr:uid="{C2084892-83D6-4473-AC63-79A9D61F0F4F}"/>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CFB64EDF-9CA9-4AA9-A6D2-C26D777240F3}"/>
    <cellStyle name="Normal 4 2 4 3 4 2 3" xfId="11927" xr:uid="{9D243671-1209-4E0F-AFF3-05FF03050ED1}"/>
    <cellStyle name="Normal 4 2 4 3 4 3" xfId="5565" xr:uid="{00000000-0005-0000-0000-000099130000}"/>
    <cellStyle name="Normal 4 2 4 3 4 3 2" xfId="14000" xr:uid="{50F8E0A7-5E7B-461D-8708-674E90D424BF}"/>
    <cellStyle name="Normal 4 2 4 3 4 4" xfId="9782" xr:uid="{C55D4D1F-3BD9-42C9-950A-A7230C649D52}"/>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8B000E72-A4A7-4EE9-A8BA-4C19AC6306BA}"/>
    <cellStyle name="Normal 4 2 4 3 5 2 3" xfId="12340" xr:uid="{76A51E9D-AD30-41F4-ACCB-F980005FFF1A}"/>
    <cellStyle name="Normal 4 2 4 3 5 3" xfId="5978" xr:uid="{00000000-0005-0000-0000-00009D130000}"/>
    <cellStyle name="Normal 4 2 4 3 5 3 2" xfId="14413" xr:uid="{6B511DFC-176C-4ED2-AA15-2776EE26F906}"/>
    <cellStyle name="Normal 4 2 4 3 5 4" xfId="10195" xr:uid="{840AA938-C492-4331-B7FE-EF3F6361B06C}"/>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0967555C-5D54-4552-9312-91444512F2E5}"/>
    <cellStyle name="Normal 4 2 4 3 6 2 3" xfId="12753" xr:uid="{73587908-2BBF-42DE-A6BE-CB9D4E6093F8}"/>
    <cellStyle name="Normal 4 2 4 3 6 3" xfId="6391" xr:uid="{00000000-0005-0000-0000-0000A1130000}"/>
    <cellStyle name="Normal 4 2 4 3 6 3 2" xfId="14826" xr:uid="{67A00A3F-3685-4B22-B6FA-E9C2EB3D0906}"/>
    <cellStyle name="Normal 4 2 4 3 6 4" xfId="10608" xr:uid="{91A16BBD-44AB-41CC-9CFF-9F8DE074CD9E}"/>
    <cellStyle name="Normal 4 2 4 3 7" xfId="2520" xr:uid="{00000000-0005-0000-0000-0000A2130000}"/>
    <cellStyle name="Normal 4 2 4 3 7 2" xfId="6804" xr:uid="{00000000-0005-0000-0000-0000A3130000}"/>
    <cellStyle name="Normal 4 2 4 3 7 2 2" xfId="15239" xr:uid="{A8BF9563-7635-4878-B09F-960744073688}"/>
    <cellStyle name="Normal 4 2 4 3 7 3" xfId="11021" xr:uid="{EE8F7713-FBFD-4E30-8510-9B733D1B1988}"/>
    <cellStyle name="Normal 4 2 4 3 8" xfId="4739" xr:uid="{00000000-0005-0000-0000-0000A4130000}"/>
    <cellStyle name="Normal 4 2 4 3 8 2" xfId="13174" xr:uid="{889DE020-68B5-49AB-BA82-1B2BA70C6315}"/>
    <cellStyle name="Normal 4 2 4 3 9" xfId="8956" xr:uid="{FEF74EEE-52F8-422C-B16B-3770CF057913}"/>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4CFE274B-A937-4512-AC4E-F1688700E556}"/>
    <cellStyle name="Normal 4 2 4 4 2 2 3" xfId="11516" xr:uid="{B41F6502-74F3-4FC7-B6F0-C11FA72A4A2C}"/>
    <cellStyle name="Normal 4 2 4 4 2 3" xfId="5154" xr:uid="{00000000-0005-0000-0000-0000A9130000}"/>
    <cellStyle name="Normal 4 2 4 4 2 3 2" xfId="13589" xr:uid="{AF636DFE-1821-4B90-B86D-D1889970E1D2}"/>
    <cellStyle name="Normal 4 2 4 4 2 4" xfId="9371" xr:uid="{04C5984F-3A55-4C77-A86E-770CFE675851}"/>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55BD2478-1C3C-4AE3-A0F2-E44352E3E319}"/>
    <cellStyle name="Normal 4 2 4 4 3 2 3" xfId="11929" xr:uid="{95D77B36-EDF0-4218-8B37-AC2290657AAF}"/>
    <cellStyle name="Normal 4 2 4 4 3 3" xfId="5567" xr:uid="{00000000-0005-0000-0000-0000AD130000}"/>
    <cellStyle name="Normal 4 2 4 4 3 3 2" xfId="14002" xr:uid="{68BDA865-9BE8-4774-80F7-ADA6DEE74C7E}"/>
    <cellStyle name="Normal 4 2 4 4 3 4" xfId="9784" xr:uid="{338D250B-03D4-4D53-800D-F31E0250D478}"/>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17C734BB-E6D0-4F4C-A124-1334A40BA673}"/>
    <cellStyle name="Normal 4 2 4 4 4 2 3" xfId="12342" xr:uid="{DF805FDF-C545-49D4-80C6-48D476EEAD78}"/>
    <cellStyle name="Normal 4 2 4 4 4 3" xfId="5980" xr:uid="{00000000-0005-0000-0000-0000B1130000}"/>
    <cellStyle name="Normal 4 2 4 4 4 3 2" xfId="14415" xr:uid="{F2B33045-5E2A-46D4-A13A-349E1B45A561}"/>
    <cellStyle name="Normal 4 2 4 4 4 4" xfId="10197" xr:uid="{31D2F41F-350D-44E1-8035-51C92BDC60D6}"/>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2D6825F9-4D65-480F-B31D-9D4A0EDBF91F}"/>
    <cellStyle name="Normal 4 2 4 4 5 2 3" xfId="12755" xr:uid="{068CDB96-CA30-4EC0-9839-04D2C26B7BF1}"/>
    <cellStyle name="Normal 4 2 4 4 5 3" xfId="6393" xr:uid="{00000000-0005-0000-0000-0000B5130000}"/>
    <cellStyle name="Normal 4 2 4 4 5 3 2" xfId="14828" xr:uid="{32A04F29-237F-409E-A6AC-34B7C111ED1F}"/>
    <cellStyle name="Normal 4 2 4 4 5 4" xfId="10610" xr:uid="{9888BEF8-952D-4024-97A5-5EE674FD3387}"/>
    <cellStyle name="Normal 4 2 4 4 6" xfId="2522" xr:uid="{00000000-0005-0000-0000-0000B6130000}"/>
    <cellStyle name="Normal 4 2 4 4 6 2" xfId="6806" xr:uid="{00000000-0005-0000-0000-0000B7130000}"/>
    <cellStyle name="Normal 4 2 4 4 6 2 2" xfId="15241" xr:uid="{D93DD301-0860-4CD2-92B4-370B53AD37BB}"/>
    <cellStyle name="Normal 4 2 4 4 6 3" xfId="11023" xr:uid="{C4376193-A901-43C0-A6F3-2B199CFF24C2}"/>
    <cellStyle name="Normal 4 2 4 4 7" xfId="4741" xr:uid="{00000000-0005-0000-0000-0000B8130000}"/>
    <cellStyle name="Normal 4 2 4 4 7 2" xfId="13176" xr:uid="{0A3AF481-9EA1-425D-85D1-37511C7166D4}"/>
    <cellStyle name="Normal 4 2 4 4 8" xfId="8958" xr:uid="{4EAA251C-C0CC-464E-A861-1F79C5F35137}"/>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6947718E-A245-4224-86D3-8BC4DA2964AD}"/>
    <cellStyle name="Normal 4 2 4 5 2 3" xfId="11509" xr:uid="{12232F76-5950-4ABD-9CBE-6A54E3BAAC09}"/>
    <cellStyle name="Normal 4 2 4 5 3" xfId="5147" xr:uid="{00000000-0005-0000-0000-0000BC130000}"/>
    <cellStyle name="Normal 4 2 4 5 3 2" xfId="13582" xr:uid="{14C5C4D5-B56B-42A6-A6BA-9BF824506957}"/>
    <cellStyle name="Normal 4 2 4 5 4" xfId="9364" xr:uid="{72F4CA6F-3F0D-4B6F-AF59-F83670D56A5B}"/>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33116295-458C-48EA-AF90-9FAC4AF05725}"/>
    <cellStyle name="Normal 4 2 4 6 2 3" xfId="11922" xr:uid="{FFAA8D0B-4D26-47F3-AB3F-76E81624C87A}"/>
    <cellStyle name="Normal 4 2 4 6 3" xfId="5560" xr:uid="{00000000-0005-0000-0000-0000C0130000}"/>
    <cellStyle name="Normal 4 2 4 6 3 2" xfId="13995" xr:uid="{19332071-6178-4140-9EAA-26504CBB1F11}"/>
    <cellStyle name="Normal 4 2 4 6 4" xfId="9777" xr:uid="{872D07D4-D674-4244-BA27-E23CBC4B3611}"/>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363E54C2-88B2-407D-963A-5D8518EC00DE}"/>
    <cellStyle name="Normal 4 2 4 7 2 3" xfId="12335" xr:uid="{16A69C7A-8CF4-40C1-88BC-5D94EE3FEE9A}"/>
    <cellStyle name="Normal 4 2 4 7 3" xfId="5973" xr:uid="{00000000-0005-0000-0000-0000C4130000}"/>
    <cellStyle name="Normal 4 2 4 7 3 2" xfId="14408" xr:uid="{E1A81FA9-9644-4C10-B033-54BED16FA540}"/>
    <cellStyle name="Normal 4 2 4 7 4" xfId="10190" xr:uid="{721DFB2C-681A-49C3-B9DA-CA56433A407E}"/>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E3D8FF41-5999-4F72-8871-B7CE5E75DBB4}"/>
    <cellStyle name="Normal 4 2 4 8 2 3" xfId="12748" xr:uid="{6BC8FA2B-CF11-4FC2-862F-DA5D9F3FE51B}"/>
    <cellStyle name="Normal 4 2 4 8 3" xfId="6386" xr:uid="{00000000-0005-0000-0000-0000C8130000}"/>
    <cellStyle name="Normal 4 2 4 8 3 2" xfId="14821" xr:uid="{0F3CEB9D-777C-4827-8629-AEE3A80C9461}"/>
    <cellStyle name="Normal 4 2 4 8 4" xfId="10603" xr:uid="{A26A7B09-21F6-47EC-AECE-E7ADA2FDC78B}"/>
    <cellStyle name="Normal 4 2 4 9" xfId="2515" xr:uid="{00000000-0005-0000-0000-0000C9130000}"/>
    <cellStyle name="Normal 4 2 4 9 2" xfId="6799" xr:uid="{00000000-0005-0000-0000-0000CA130000}"/>
    <cellStyle name="Normal 4 2 4 9 2 2" xfId="15234" xr:uid="{3E5DE363-A62F-4B2A-BCF9-6A1297E4DA28}"/>
    <cellStyle name="Normal 4 2 4 9 3" xfId="11016" xr:uid="{5F23762E-DED7-45BD-A2E4-C7DD619A0088}"/>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A3E3A7E4-0EEC-4C2A-830F-1F67D8FD26D5}"/>
    <cellStyle name="Normal 4 2 5 2 2 2 3" xfId="11518" xr:uid="{29C1FD14-858F-4E52-9E8D-75D6D805B6EC}"/>
    <cellStyle name="Normal 4 2 5 2 2 3" xfId="5156" xr:uid="{00000000-0005-0000-0000-0000D0130000}"/>
    <cellStyle name="Normal 4 2 5 2 2 3 2" xfId="13591" xr:uid="{A63A8574-F2C3-4B10-9524-20603AF902D7}"/>
    <cellStyle name="Normal 4 2 5 2 2 4" xfId="9373" xr:uid="{E3A09422-F170-4614-A9E5-70D5AC965C70}"/>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F77F4D6D-1A10-4041-A691-854C9A0DCAD8}"/>
    <cellStyle name="Normal 4 2 5 2 3 2 3" xfId="11931" xr:uid="{BC49EBAC-0076-4F8D-9D8C-4EAAF71BB98F}"/>
    <cellStyle name="Normal 4 2 5 2 3 3" xfId="5569" xr:uid="{00000000-0005-0000-0000-0000D4130000}"/>
    <cellStyle name="Normal 4 2 5 2 3 3 2" xfId="14004" xr:uid="{FFCF5DDE-EC32-4320-99CB-3950476E4B00}"/>
    <cellStyle name="Normal 4 2 5 2 3 4" xfId="9786" xr:uid="{4002E778-B389-4445-B88A-8E2A5CEC5925}"/>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F321B199-D334-4F05-8291-866671188086}"/>
    <cellStyle name="Normal 4 2 5 2 4 2 3" xfId="12344" xr:uid="{DDFF123E-B6AF-4CEB-B562-2CA3952FCD24}"/>
    <cellStyle name="Normal 4 2 5 2 4 3" xfId="5982" xr:uid="{00000000-0005-0000-0000-0000D8130000}"/>
    <cellStyle name="Normal 4 2 5 2 4 3 2" xfId="14417" xr:uid="{8281265B-702A-4DFC-BD45-650866002FE0}"/>
    <cellStyle name="Normal 4 2 5 2 4 4" xfId="10199" xr:uid="{151D4431-7CEE-492D-A506-7121C87B9AA1}"/>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0E37E491-AA61-4120-9054-07EDC686ECB6}"/>
    <cellStyle name="Normal 4 2 5 2 5 2 3" xfId="12757" xr:uid="{1B0AAF26-462C-4FF6-9F3D-29A239ED70A8}"/>
    <cellStyle name="Normal 4 2 5 2 5 3" xfId="6395" xr:uid="{00000000-0005-0000-0000-0000DC130000}"/>
    <cellStyle name="Normal 4 2 5 2 5 3 2" xfId="14830" xr:uid="{857CD14B-C434-4D70-B8C8-F5309FEFEC03}"/>
    <cellStyle name="Normal 4 2 5 2 5 4" xfId="10612" xr:uid="{0A33E49E-BB3A-4E58-A90C-71FFDDE5BAF5}"/>
    <cellStyle name="Normal 4 2 5 2 6" xfId="2524" xr:uid="{00000000-0005-0000-0000-0000DD130000}"/>
    <cellStyle name="Normal 4 2 5 2 6 2" xfId="6808" xr:uid="{00000000-0005-0000-0000-0000DE130000}"/>
    <cellStyle name="Normal 4 2 5 2 6 2 2" xfId="15243" xr:uid="{4667A7A9-3226-41EA-8BBA-DD2F56CAF0C7}"/>
    <cellStyle name="Normal 4 2 5 2 6 3" xfId="11025" xr:uid="{91DCB295-DCE2-404A-96F9-1F81182608A9}"/>
    <cellStyle name="Normal 4 2 5 2 7" xfId="4743" xr:uid="{00000000-0005-0000-0000-0000DF130000}"/>
    <cellStyle name="Normal 4 2 5 2 7 2" xfId="13178" xr:uid="{CE842835-2132-4C37-A407-78CF1D0EBFD4}"/>
    <cellStyle name="Normal 4 2 5 2 8" xfId="8960" xr:uid="{8D0D3C47-DD92-4A30-8F83-E82EBFD33828}"/>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BC554BA2-7E67-415C-B818-FB80C20CF667}"/>
    <cellStyle name="Normal 4 2 5 3 2 3" xfId="11517" xr:uid="{18DACBC2-F2AC-4B42-B2C1-9368BB94A391}"/>
    <cellStyle name="Normal 4 2 5 3 3" xfId="5155" xr:uid="{00000000-0005-0000-0000-0000E3130000}"/>
    <cellStyle name="Normal 4 2 5 3 3 2" xfId="13590" xr:uid="{E04A411F-8173-4C98-8141-990518169BEA}"/>
    <cellStyle name="Normal 4 2 5 3 4" xfId="9372" xr:uid="{073BA38D-E573-4C67-85FB-3F212DEA9407}"/>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A9E7256E-47D0-4949-AA66-1746CB1E3713}"/>
    <cellStyle name="Normal 4 2 5 4 2 3" xfId="11930" xr:uid="{2DBE728D-CC6C-4387-9D82-872A92F1128E}"/>
    <cellStyle name="Normal 4 2 5 4 3" xfId="5568" xr:uid="{00000000-0005-0000-0000-0000E7130000}"/>
    <cellStyle name="Normal 4 2 5 4 3 2" xfId="14003" xr:uid="{B40F50B8-1D57-4172-A48B-DA704860E7BA}"/>
    <cellStyle name="Normal 4 2 5 4 4" xfId="9785" xr:uid="{5B91692E-ECF7-4B5F-83E8-CF697050A2A3}"/>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D73BE020-C2FE-4292-A82B-54DF8782FFDD}"/>
    <cellStyle name="Normal 4 2 5 5 2 3" xfId="12343" xr:uid="{D1977A6C-145B-44DE-A6F9-2155E248AA66}"/>
    <cellStyle name="Normal 4 2 5 5 3" xfId="5981" xr:uid="{00000000-0005-0000-0000-0000EB130000}"/>
    <cellStyle name="Normal 4 2 5 5 3 2" xfId="14416" xr:uid="{3D3A23A5-0062-4763-B841-0A8EAC72676A}"/>
    <cellStyle name="Normal 4 2 5 5 4" xfId="10198" xr:uid="{30612187-8877-4F3B-A192-7B14087BDD7A}"/>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0E168936-F76E-4CC9-91D5-1EC4E1EB28D2}"/>
    <cellStyle name="Normal 4 2 5 6 2 3" xfId="12756" xr:uid="{6EBC1E22-1541-4CA1-9696-7B55742CE2F3}"/>
    <cellStyle name="Normal 4 2 5 6 3" xfId="6394" xr:uid="{00000000-0005-0000-0000-0000EF130000}"/>
    <cellStyle name="Normal 4 2 5 6 3 2" xfId="14829" xr:uid="{1B65CB51-05AC-4A41-AAE7-049D73A2E844}"/>
    <cellStyle name="Normal 4 2 5 6 4" xfId="10611" xr:uid="{5190EA84-952B-4D08-9B8C-849D5816D47E}"/>
    <cellStyle name="Normal 4 2 5 7" xfId="2523" xr:uid="{00000000-0005-0000-0000-0000F0130000}"/>
    <cellStyle name="Normal 4 2 5 7 2" xfId="6807" xr:uid="{00000000-0005-0000-0000-0000F1130000}"/>
    <cellStyle name="Normal 4 2 5 7 2 2" xfId="15242" xr:uid="{1B45C7B4-1789-495E-A94F-69498A96932C}"/>
    <cellStyle name="Normal 4 2 5 7 3" xfId="11024" xr:uid="{7BD8F004-BE17-49AA-9D90-5B1CA6330B10}"/>
    <cellStyle name="Normal 4 2 5 8" xfId="4742" xr:uid="{00000000-0005-0000-0000-0000F2130000}"/>
    <cellStyle name="Normal 4 2 5 8 2" xfId="13177" xr:uid="{A143F553-9A7C-4550-B867-4A4DBF4A3F1C}"/>
    <cellStyle name="Normal 4 2 5 9" xfId="8959" xr:uid="{4F786CE1-954B-463B-A682-B2BECCEC6332}"/>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7A34C456-E7B5-41C1-A544-816B550AC037}"/>
    <cellStyle name="Normal 4 2 6 2 2 3" xfId="11519" xr:uid="{C2A20916-7371-4D91-8646-48EE590DB395}"/>
    <cellStyle name="Normal 4 2 6 2 3" xfId="5157" xr:uid="{00000000-0005-0000-0000-0000F7130000}"/>
    <cellStyle name="Normal 4 2 6 2 3 2" xfId="13592" xr:uid="{1E33BB99-D3CE-4829-AC59-9F30E1820303}"/>
    <cellStyle name="Normal 4 2 6 2 4" xfId="9374" xr:uid="{B3C81620-FDB5-40DD-BDC0-4B500B7F1D92}"/>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654F6DCC-CF2B-4470-9AA0-25B6784737CA}"/>
    <cellStyle name="Normal 4 2 6 3 2 3" xfId="11932" xr:uid="{891EFB5E-62EE-4871-8757-547B4031A467}"/>
    <cellStyle name="Normal 4 2 6 3 3" xfId="5570" xr:uid="{00000000-0005-0000-0000-0000FB130000}"/>
    <cellStyle name="Normal 4 2 6 3 3 2" xfId="14005" xr:uid="{802CD7E1-AC59-4D72-92B9-CAC912DD2CB7}"/>
    <cellStyle name="Normal 4 2 6 3 4" xfId="9787" xr:uid="{F6340D90-6F6F-4F3F-8B4C-CA60E93426BC}"/>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1287E2C5-165A-496A-8BF0-11F20A2DDE54}"/>
    <cellStyle name="Normal 4 2 6 4 2 3" xfId="12345" xr:uid="{1EED1508-6FB7-48A6-8707-71AB7970AF80}"/>
    <cellStyle name="Normal 4 2 6 4 3" xfId="5983" xr:uid="{00000000-0005-0000-0000-0000FF130000}"/>
    <cellStyle name="Normal 4 2 6 4 3 2" xfId="14418" xr:uid="{A5EF80F7-7225-4916-B035-0EB79AED628E}"/>
    <cellStyle name="Normal 4 2 6 4 4" xfId="10200" xr:uid="{A7E631F4-A831-4874-892A-3AAA72713BE1}"/>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7C3A9715-8C3D-41FA-A6F6-730A98976CED}"/>
    <cellStyle name="Normal 4 2 6 5 2 3" xfId="12758" xr:uid="{A2101CB9-5E48-4B9D-AB2F-96C7312C5526}"/>
    <cellStyle name="Normal 4 2 6 5 3" xfId="6396" xr:uid="{00000000-0005-0000-0000-000003140000}"/>
    <cellStyle name="Normal 4 2 6 5 3 2" xfId="14831" xr:uid="{AD85345E-67C1-462F-A2C6-7F86E9F0407D}"/>
    <cellStyle name="Normal 4 2 6 5 4" xfId="10613" xr:uid="{94D19C80-D66E-43D7-9F03-A6CE3D799A1A}"/>
    <cellStyle name="Normal 4 2 6 6" xfId="2525" xr:uid="{00000000-0005-0000-0000-000004140000}"/>
    <cellStyle name="Normal 4 2 6 6 2" xfId="6809" xr:uid="{00000000-0005-0000-0000-000005140000}"/>
    <cellStyle name="Normal 4 2 6 6 2 2" xfId="15244" xr:uid="{A3F95169-5DC6-4F2E-86A3-5A8AE79F6BDA}"/>
    <cellStyle name="Normal 4 2 6 6 3" xfId="11026" xr:uid="{95A27BF7-AC9E-4239-89E2-FCA7E1487D37}"/>
    <cellStyle name="Normal 4 2 6 7" xfId="4744" xr:uid="{00000000-0005-0000-0000-000006140000}"/>
    <cellStyle name="Normal 4 2 6 7 2" xfId="13179" xr:uid="{20C7F00C-2414-42B1-BC4D-29750CB12E25}"/>
    <cellStyle name="Normal 4 2 6 8" xfId="8961" xr:uid="{A1EE1E89-CEEA-4A49-938B-38AD3CD27937}"/>
    <cellStyle name="Normal 4 3" xfId="366" xr:uid="{00000000-0005-0000-0000-000007140000}"/>
    <cellStyle name="Normal 4 3 10" xfId="8962" xr:uid="{5A01D36D-11FB-4EB9-A202-8CD6CD5A490F}"/>
    <cellStyle name="Normal 4 3 2" xfId="367" xr:uid="{00000000-0005-0000-0000-000008140000}"/>
    <cellStyle name="Normal 4 3 2 2" xfId="368" xr:uid="{00000000-0005-0000-0000-000009140000}"/>
    <cellStyle name="Normal 4 3 2 2 2" xfId="369" xr:uid="{00000000-0005-0000-0000-00000A140000}"/>
    <cellStyle name="Normal 4 3 2 2 2 10" xfId="8963" xr:uid="{2137D936-6692-4CD1-B62A-3D6F6971D65E}"/>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5CCE8BC5-7BD1-4C0D-8046-C28873846E07}"/>
    <cellStyle name="Normal 4 3 2 2 2 2 2 2 2 3" xfId="11523" xr:uid="{0B633685-E8E1-49EF-9103-A10E554B3DCC}"/>
    <cellStyle name="Normal 4 3 2 2 2 2 2 2 3" xfId="5161" xr:uid="{00000000-0005-0000-0000-000010140000}"/>
    <cellStyle name="Normal 4 3 2 2 2 2 2 2 3 2" xfId="13596" xr:uid="{0083CCB8-D830-41DB-9AC8-E1308B52AB7E}"/>
    <cellStyle name="Normal 4 3 2 2 2 2 2 2 4" xfId="9378" xr:uid="{56B17E57-F893-4543-A1C4-2D1A488CF97C}"/>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1CD78AED-125F-456A-A594-43FE95916F71}"/>
    <cellStyle name="Normal 4 3 2 2 2 2 2 3 2 3" xfId="11936" xr:uid="{B422DFF6-1E12-4506-93B5-0C45AD650945}"/>
    <cellStyle name="Normal 4 3 2 2 2 2 2 3 3" xfId="5574" xr:uid="{00000000-0005-0000-0000-000014140000}"/>
    <cellStyle name="Normal 4 3 2 2 2 2 2 3 3 2" xfId="14009" xr:uid="{32DA442D-4FB9-412C-B37B-572AADF1F069}"/>
    <cellStyle name="Normal 4 3 2 2 2 2 2 3 4" xfId="9791" xr:uid="{7E839DF2-5C1A-4AE8-93F1-EDD0BB6B06B1}"/>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5492AD05-E077-458A-B3AF-FCF241197C0E}"/>
    <cellStyle name="Normal 4 3 2 2 2 2 2 4 2 3" xfId="12349" xr:uid="{92B83B4C-3FC1-4B08-973F-FB9C9E31A0B1}"/>
    <cellStyle name="Normal 4 3 2 2 2 2 2 4 3" xfId="5987" xr:uid="{00000000-0005-0000-0000-000018140000}"/>
    <cellStyle name="Normal 4 3 2 2 2 2 2 4 3 2" xfId="14422" xr:uid="{AE10EC9D-458C-481A-B827-90EC64437FE0}"/>
    <cellStyle name="Normal 4 3 2 2 2 2 2 4 4" xfId="10204" xr:uid="{6B6D13A6-0CF1-40C0-813C-30845128040F}"/>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A3F03DA9-1989-4CD7-B970-51A7246739A7}"/>
    <cellStyle name="Normal 4 3 2 2 2 2 2 5 2 3" xfId="12762" xr:uid="{6BC5C465-5D84-4FAB-94B2-4A19EFED3409}"/>
    <cellStyle name="Normal 4 3 2 2 2 2 2 5 3" xfId="6400" xr:uid="{00000000-0005-0000-0000-00001C140000}"/>
    <cellStyle name="Normal 4 3 2 2 2 2 2 5 3 2" xfId="14835" xr:uid="{E4609AB1-0BFF-4529-9DD7-2E26AA678280}"/>
    <cellStyle name="Normal 4 3 2 2 2 2 2 5 4" xfId="10617" xr:uid="{8AB401C6-E981-42A3-A72B-19685ABCD067}"/>
    <cellStyle name="Normal 4 3 2 2 2 2 2 6" xfId="2529" xr:uid="{00000000-0005-0000-0000-00001D140000}"/>
    <cellStyle name="Normal 4 3 2 2 2 2 2 6 2" xfId="6813" xr:uid="{00000000-0005-0000-0000-00001E140000}"/>
    <cellStyle name="Normal 4 3 2 2 2 2 2 6 2 2" xfId="15248" xr:uid="{031C96E6-DAB3-42FC-B0AE-7D023C230B53}"/>
    <cellStyle name="Normal 4 3 2 2 2 2 2 6 3" xfId="11030" xr:uid="{94B3BDDB-7739-4E8C-874C-FECF6DDABA41}"/>
    <cellStyle name="Normal 4 3 2 2 2 2 2 7" xfId="4748" xr:uid="{00000000-0005-0000-0000-00001F140000}"/>
    <cellStyle name="Normal 4 3 2 2 2 2 2 7 2" xfId="13183" xr:uid="{DF497A24-4077-456E-8CF3-D122DF22DF58}"/>
    <cellStyle name="Normal 4 3 2 2 2 2 2 8" xfId="8965" xr:uid="{FE040D9E-399E-400A-95C1-51D6C5EA8482}"/>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13ECF076-713D-4290-9569-B444C3DEC4AA}"/>
    <cellStyle name="Normal 4 3 2 2 2 2 3 2 3" xfId="11522" xr:uid="{416484C1-570E-4A29-945F-A846932E2F22}"/>
    <cellStyle name="Normal 4 3 2 2 2 2 3 3" xfId="5160" xr:uid="{00000000-0005-0000-0000-000023140000}"/>
    <cellStyle name="Normal 4 3 2 2 2 2 3 3 2" xfId="13595" xr:uid="{C79766EA-5CF3-4D84-8A54-0DF82D329C4A}"/>
    <cellStyle name="Normal 4 3 2 2 2 2 3 4" xfId="9377" xr:uid="{971095E0-8BB3-4883-B5B3-CD5985C98A82}"/>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70776174-FEDC-4082-8F20-6FE1140D256D}"/>
    <cellStyle name="Normal 4 3 2 2 2 2 4 2 3" xfId="11935" xr:uid="{8BE6212F-6AEE-42E0-99D0-CDE4BD122A71}"/>
    <cellStyle name="Normal 4 3 2 2 2 2 4 3" xfId="5573" xr:uid="{00000000-0005-0000-0000-000027140000}"/>
    <cellStyle name="Normal 4 3 2 2 2 2 4 3 2" xfId="14008" xr:uid="{6E9C9646-8120-4ECD-8065-6CEB20276990}"/>
    <cellStyle name="Normal 4 3 2 2 2 2 4 4" xfId="9790" xr:uid="{2B77CCAB-91D6-412D-80B4-5F81CE681CFF}"/>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E9BCB217-EE58-44CF-AC4E-614454D1B67B}"/>
    <cellStyle name="Normal 4 3 2 2 2 2 5 2 3" xfId="12348" xr:uid="{6201BBB4-86C1-4BA6-B01A-53BB042F59E7}"/>
    <cellStyle name="Normal 4 3 2 2 2 2 5 3" xfId="5986" xr:uid="{00000000-0005-0000-0000-00002B140000}"/>
    <cellStyle name="Normal 4 3 2 2 2 2 5 3 2" xfId="14421" xr:uid="{E60C0F2D-FE65-4CED-9FAA-6A8FB8D2E72B}"/>
    <cellStyle name="Normal 4 3 2 2 2 2 5 4" xfId="10203" xr:uid="{D566B507-91F4-41EF-A65E-86586DF49F6A}"/>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847C98D8-3527-49E3-A410-E6A020747B8E}"/>
    <cellStyle name="Normal 4 3 2 2 2 2 6 2 3" xfId="12761" xr:uid="{87130806-48B5-4F18-B765-DD673054E0AC}"/>
    <cellStyle name="Normal 4 3 2 2 2 2 6 3" xfId="6399" xr:uid="{00000000-0005-0000-0000-00002F140000}"/>
    <cellStyle name="Normal 4 3 2 2 2 2 6 3 2" xfId="14834" xr:uid="{426C2CF6-E712-4728-91CC-388CCCA574B6}"/>
    <cellStyle name="Normal 4 3 2 2 2 2 6 4" xfId="10616" xr:uid="{B7A29CED-029B-4740-826C-8A28164D33B7}"/>
    <cellStyle name="Normal 4 3 2 2 2 2 7" xfId="2528" xr:uid="{00000000-0005-0000-0000-000030140000}"/>
    <cellStyle name="Normal 4 3 2 2 2 2 7 2" xfId="6812" xr:uid="{00000000-0005-0000-0000-000031140000}"/>
    <cellStyle name="Normal 4 3 2 2 2 2 7 2 2" xfId="15247" xr:uid="{053368ED-B2ED-4430-8559-70D65883D1AA}"/>
    <cellStyle name="Normal 4 3 2 2 2 2 7 3" xfId="11029" xr:uid="{FB26589E-2198-40AB-8769-FDFFE8EB1DDC}"/>
    <cellStyle name="Normal 4 3 2 2 2 2 8" xfId="4747" xr:uid="{00000000-0005-0000-0000-000032140000}"/>
    <cellStyle name="Normal 4 3 2 2 2 2 8 2" xfId="13182" xr:uid="{8A8A4053-E96C-4204-92C7-1C14E5EA6447}"/>
    <cellStyle name="Normal 4 3 2 2 2 2 9" xfId="8964" xr:uid="{62EB053A-8FC5-4A46-8367-6E98D8B4846C}"/>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753DBABD-7E91-4F21-BBA9-3ACFF8E40A82}"/>
    <cellStyle name="Normal 4 3 2 2 2 3 2 2 3" xfId="11524" xr:uid="{9B525380-36F7-4867-B928-79574E2C0A36}"/>
    <cellStyle name="Normal 4 3 2 2 2 3 2 3" xfId="5162" xr:uid="{00000000-0005-0000-0000-000037140000}"/>
    <cellStyle name="Normal 4 3 2 2 2 3 2 3 2" xfId="13597" xr:uid="{51B12DAA-98CD-49DA-BDBE-E2922A3A0F08}"/>
    <cellStyle name="Normal 4 3 2 2 2 3 2 4" xfId="9379" xr:uid="{D8C6FE86-2318-4247-A128-56FC0F622B37}"/>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BAA2579D-22DA-4C1C-9871-ABC2B5B2325B}"/>
    <cellStyle name="Normal 4 3 2 2 2 3 3 2 3" xfId="11937" xr:uid="{949C928F-B0F3-46C4-9D11-5C75EB9DBB80}"/>
    <cellStyle name="Normal 4 3 2 2 2 3 3 3" xfId="5575" xr:uid="{00000000-0005-0000-0000-00003B140000}"/>
    <cellStyle name="Normal 4 3 2 2 2 3 3 3 2" xfId="14010" xr:uid="{B41F95AC-065C-413C-9396-E4B670563049}"/>
    <cellStyle name="Normal 4 3 2 2 2 3 3 4" xfId="9792" xr:uid="{DF5140A8-2F62-4B73-93C6-5A140483552A}"/>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53C6D2DC-F374-4C7E-9FF6-96FBDFD03DE7}"/>
    <cellStyle name="Normal 4 3 2 2 2 3 4 2 3" xfId="12350" xr:uid="{31723D34-A676-49FA-9378-2D7A2BFE0DB7}"/>
    <cellStyle name="Normal 4 3 2 2 2 3 4 3" xfId="5988" xr:uid="{00000000-0005-0000-0000-00003F140000}"/>
    <cellStyle name="Normal 4 3 2 2 2 3 4 3 2" xfId="14423" xr:uid="{A9A11EBC-BD8F-4D91-9427-0B264F8A5EEC}"/>
    <cellStyle name="Normal 4 3 2 2 2 3 4 4" xfId="10205" xr:uid="{EF96AD8B-5518-42D7-A2B2-74A104264C1F}"/>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1A557CAE-D306-43C1-9F7D-B4E9DAFA164A}"/>
    <cellStyle name="Normal 4 3 2 2 2 3 5 2 3" xfId="12763" xr:uid="{9EF29D12-DEBE-445A-9118-0D5DCAD6EBFA}"/>
    <cellStyle name="Normal 4 3 2 2 2 3 5 3" xfId="6401" xr:uid="{00000000-0005-0000-0000-000043140000}"/>
    <cellStyle name="Normal 4 3 2 2 2 3 5 3 2" xfId="14836" xr:uid="{B59ED5B6-502E-44E7-81CE-BD43EA03020B}"/>
    <cellStyle name="Normal 4 3 2 2 2 3 5 4" xfId="10618" xr:uid="{294D9741-02ED-4652-BBC8-837539EABA3D}"/>
    <cellStyle name="Normal 4 3 2 2 2 3 6" xfId="2530" xr:uid="{00000000-0005-0000-0000-000044140000}"/>
    <cellStyle name="Normal 4 3 2 2 2 3 6 2" xfId="6814" xr:uid="{00000000-0005-0000-0000-000045140000}"/>
    <cellStyle name="Normal 4 3 2 2 2 3 6 2 2" xfId="15249" xr:uid="{14F9F499-2AB8-4098-B81A-A39FFDF40889}"/>
    <cellStyle name="Normal 4 3 2 2 2 3 6 3" xfId="11031" xr:uid="{9DC61A78-E588-4AE7-8CDA-F9E4A2A65A76}"/>
    <cellStyle name="Normal 4 3 2 2 2 3 7" xfId="4749" xr:uid="{00000000-0005-0000-0000-000046140000}"/>
    <cellStyle name="Normal 4 3 2 2 2 3 7 2" xfId="13184" xr:uid="{D2AF26C5-D924-4274-9DFF-6EB63CC9188F}"/>
    <cellStyle name="Normal 4 3 2 2 2 3 8" xfId="8966" xr:uid="{2180E853-AD4D-4950-862F-F5C35958C625}"/>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5DA297C3-EED1-43B1-9780-AD6DB4BB9AD6}"/>
    <cellStyle name="Normal 4 3 2 2 2 4 2 3" xfId="11521" xr:uid="{40DEAA8E-DD1F-432F-B705-CFDA75FD4085}"/>
    <cellStyle name="Normal 4 3 2 2 2 4 3" xfId="5159" xr:uid="{00000000-0005-0000-0000-00004A140000}"/>
    <cellStyle name="Normal 4 3 2 2 2 4 3 2" xfId="13594" xr:uid="{979989C4-BFA1-4866-AE49-4A7E2FA44860}"/>
    <cellStyle name="Normal 4 3 2 2 2 4 4" xfId="9376" xr:uid="{9901962F-382F-4281-A076-6F8C9CCF998D}"/>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1D13066D-DAF3-411E-A37A-C0D928471582}"/>
    <cellStyle name="Normal 4 3 2 2 2 5 2 3" xfId="11934" xr:uid="{E1D6D22A-059E-42A1-8962-B5696F1A49FA}"/>
    <cellStyle name="Normal 4 3 2 2 2 5 3" xfId="5572" xr:uid="{00000000-0005-0000-0000-00004E140000}"/>
    <cellStyle name="Normal 4 3 2 2 2 5 3 2" xfId="14007" xr:uid="{A7818139-CB05-4614-AAD6-E9CF85F0E58B}"/>
    <cellStyle name="Normal 4 3 2 2 2 5 4" xfId="9789" xr:uid="{C1C79120-A044-4A07-AD75-401A24B5948D}"/>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2D60581E-5CAB-43DE-932D-0C761ED144AA}"/>
    <cellStyle name="Normal 4 3 2 2 2 6 2 3" xfId="12347" xr:uid="{B4B1CE39-C660-4040-8196-AFD0633F2863}"/>
    <cellStyle name="Normal 4 3 2 2 2 6 3" xfId="5985" xr:uid="{00000000-0005-0000-0000-000052140000}"/>
    <cellStyle name="Normal 4 3 2 2 2 6 3 2" xfId="14420" xr:uid="{9D3D9DB7-F17B-4E8D-A140-555326785C5A}"/>
    <cellStyle name="Normal 4 3 2 2 2 6 4" xfId="10202" xr:uid="{9F44ABE4-DEB0-4DE0-85F4-46331DEF4EA3}"/>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235CEECC-3CCE-450B-8205-CEDDB5C71CF7}"/>
    <cellStyle name="Normal 4 3 2 2 2 7 2 3" xfId="12760" xr:uid="{911D5B8B-A77C-48CB-9F52-E4418D293BB9}"/>
    <cellStyle name="Normal 4 3 2 2 2 7 3" xfId="6398" xr:uid="{00000000-0005-0000-0000-000056140000}"/>
    <cellStyle name="Normal 4 3 2 2 2 7 3 2" xfId="14833" xr:uid="{F7E556C9-DBB6-4BE1-B012-D2A79E95E6F8}"/>
    <cellStyle name="Normal 4 3 2 2 2 7 4" xfId="10615" xr:uid="{E0C16406-F6AE-4AC1-A2AA-E3F3FA0A326A}"/>
    <cellStyle name="Normal 4 3 2 2 2 8" xfId="2527" xr:uid="{00000000-0005-0000-0000-000057140000}"/>
    <cellStyle name="Normal 4 3 2 2 2 8 2" xfId="6811" xr:uid="{00000000-0005-0000-0000-000058140000}"/>
    <cellStyle name="Normal 4 3 2 2 2 8 2 2" xfId="15246" xr:uid="{F1359C43-B635-4B7B-9D63-66C2CAFECD90}"/>
    <cellStyle name="Normal 4 3 2 2 2 8 3" xfId="11028" xr:uid="{D0885A99-5060-4B69-A5F6-23788AFC62B6}"/>
    <cellStyle name="Normal 4 3 2 2 2 9" xfId="4746" xr:uid="{00000000-0005-0000-0000-000059140000}"/>
    <cellStyle name="Normal 4 3 2 2 2 9 2" xfId="13181" xr:uid="{C7305357-1869-4B54-ABC9-688F8BD52619}"/>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8967" xr:uid="{C8CCA905-0E2B-4D2F-ABDD-F46499BF5231}"/>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9708EC23-0F2F-4BEA-B106-A70A7250F54F}"/>
    <cellStyle name="Normal 4 3 3 2 2 2 2 3" xfId="11527" xr:uid="{038EFF68-FC4A-4034-9963-2FBE72E853CA}"/>
    <cellStyle name="Normal 4 3 3 2 2 2 3" xfId="5165" xr:uid="{00000000-0005-0000-0000-000063140000}"/>
    <cellStyle name="Normal 4 3 3 2 2 2 3 2" xfId="13600" xr:uid="{05CEFF72-805B-473E-86BF-24929B04AEAE}"/>
    <cellStyle name="Normal 4 3 3 2 2 2 4" xfId="9382" xr:uid="{3479EBC7-67B7-43C8-8485-ED494919A92B}"/>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B65CE3DE-40FC-4061-876B-0F4B3ADFF8E0}"/>
    <cellStyle name="Normal 4 3 3 2 2 3 2 3" xfId="11940" xr:uid="{CA0D3FC6-6782-4E74-9653-AB348A86F3C4}"/>
    <cellStyle name="Normal 4 3 3 2 2 3 3" xfId="5578" xr:uid="{00000000-0005-0000-0000-000067140000}"/>
    <cellStyle name="Normal 4 3 3 2 2 3 3 2" xfId="14013" xr:uid="{3C5AE9C9-3571-4B75-B78A-352C7C87B743}"/>
    <cellStyle name="Normal 4 3 3 2 2 3 4" xfId="9795" xr:uid="{32F5ED48-B6FD-446C-A86E-5C8615A64CE4}"/>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17794F25-FDB9-47A4-8A32-E5B604848698}"/>
    <cellStyle name="Normal 4 3 3 2 2 4 2 3" xfId="12353" xr:uid="{03896428-9A0B-483A-A511-04064561D5B3}"/>
    <cellStyle name="Normal 4 3 3 2 2 4 3" xfId="5991" xr:uid="{00000000-0005-0000-0000-00006B140000}"/>
    <cellStyle name="Normal 4 3 3 2 2 4 3 2" xfId="14426" xr:uid="{5D3D1547-C280-4009-97E2-C64E7FEC21C9}"/>
    <cellStyle name="Normal 4 3 3 2 2 4 4" xfId="10208" xr:uid="{53946180-5F2E-4164-A77E-21CB9D20B1A8}"/>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28019ADF-D392-4DA0-B28F-10B9E29C6AD2}"/>
    <cellStyle name="Normal 4 3 3 2 2 5 2 3" xfId="12766" xr:uid="{84459EF3-6754-4664-941C-325FCC7E7470}"/>
    <cellStyle name="Normal 4 3 3 2 2 5 3" xfId="6404" xr:uid="{00000000-0005-0000-0000-00006F140000}"/>
    <cellStyle name="Normal 4 3 3 2 2 5 3 2" xfId="14839" xr:uid="{D59208C8-AAB5-4D33-A281-25F150A4686D}"/>
    <cellStyle name="Normal 4 3 3 2 2 5 4" xfId="10621" xr:uid="{8E863A3C-8FD5-4E3B-B02C-68DA78E22796}"/>
    <cellStyle name="Normal 4 3 3 2 2 6" xfId="2533" xr:uid="{00000000-0005-0000-0000-000070140000}"/>
    <cellStyle name="Normal 4 3 3 2 2 6 2" xfId="6817" xr:uid="{00000000-0005-0000-0000-000071140000}"/>
    <cellStyle name="Normal 4 3 3 2 2 6 2 2" xfId="15252" xr:uid="{5F367A8E-48FA-4EF3-A6E0-1BA1A358C4AE}"/>
    <cellStyle name="Normal 4 3 3 2 2 6 3" xfId="11034" xr:uid="{AA2A6026-8B5C-483D-AD3B-76756DC54706}"/>
    <cellStyle name="Normal 4 3 3 2 2 7" xfId="4752" xr:uid="{00000000-0005-0000-0000-000072140000}"/>
    <cellStyle name="Normal 4 3 3 2 2 7 2" xfId="13187" xr:uid="{FB7020D5-40F6-4DB5-89C8-94BC657A5FDC}"/>
    <cellStyle name="Normal 4 3 3 2 2 8" xfId="8969" xr:uid="{58414B60-0A7C-4E07-A8F0-9B7037014E99}"/>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707CE0CF-0648-4106-B701-79068462A641}"/>
    <cellStyle name="Normal 4 3 3 2 3 2 3" xfId="11526" xr:uid="{C6C73816-98D9-4E6D-9841-60A242C240C8}"/>
    <cellStyle name="Normal 4 3 3 2 3 3" xfId="5164" xr:uid="{00000000-0005-0000-0000-000076140000}"/>
    <cellStyle name="Normal 4 3 3 2 3 3 2" xfId="13599" xr:uid="{D8F1B9D7-93DB-40B8-BC69-0C5875D59098}"/>
    <cellStyle name="Normal 4 3 3 2 3 4" xfId="9381" xr:uid="{5F3F0242-3D84-4790-BC44-F9EE2DEBA3F1}"/>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6EBD7294-82E5-4C8D-B6A7-694222EA4427}"/>
    <cellStyle name="Normal 4 3 3 2 4 2 3" xfId="11939" xr:uid="{69AECD06-0520-4C60-939C-5E1E36DE90B5}"/>
    <cellStyle name="Normal 4 3 3 2 4 3" xfId="5577" xr:uid="{00000000-0005-0000-0000-00007A140000}"/>
    <cellStyle name="Normal 4 3 3 2 4 3 2" xfId="14012" xr:uid="{64B067B7-5F47-4CFC-AC3C-E5DC88784B04}"/>
    <cellStyle name="Normal 4 3 3 2 4 4" xfId="9794" xr:uid="{74061CD1-AD7C-4653-B2C6-0B72630FD201}"/>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51CFD92F-A2DE-488F-B2C3-32146703E06C}"/>
    <cellStyle name="Normal 4 3 3 2 5 2 3" xfId="12352" xr:uid="{64A83027-A86A-47BC-BAB6-B159B01B54B2}"/>
    <cellStyle name="Normal 4 3 3 2 5 3" xfId="5990" xr:uid="{00000000-0005-0000-0000-00007E140000}"/>
    <cellStyle name="Normal 4 3 3 2 5 3 2" xfId="14425" xr:uid="{16EE18BF-63A5-41B6-89E7-23419B1542F5}"/>
    <cellStyle name="Normal 4 3 3 2 5 4" xfId="10207" xr:uid="{5A8B8334-7A62-4EE2-BF80-CD237C706BE9}"/>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3788010E-5781-4A77-902B-997051BF05DD}"/>
    <cellStyle name="Normal 4 3 3 2 6 2 3" xfId="12765" xr:uid="{856A06DD-F46F-4345-9E34-41B6696210F2}"/>
    <cellStyle name="Normal 4 3 3 2 6 3" xfId="6403" xr:uid="{00000000-0005-0000-0000-000082140000}"/>
    <cellStyle name="Normal 4 3 3 2 6 3 2" xfId="14838" xr:uid="{CE083F3C-A95E-4A23-BB00-72E9869463A7}"/>
    <cellStyle name="Normal 4 3 3 2 6 4" xfId="10620" xr:uid="{31985847-2EBD-4A7E-870D-50F8266F1561}"/>
    <cellStyle name="Normal 4 3 3 2 7" xfId="2532" xr:uid="{00000000-0005-0000-0000-000083140000}"/>
    <cellStyle name="Normal 4 3 3 2 7 2" xfId="6816" xr:uid="{00000000-0005-0000-0000-000084140000}"/>
    <cellStyle name="Normal 4 3 3 2 7 2 2" xfId="15251" xr:uid="{372578C7-14BC-499E-8878-C21D22ACB4F8}"/>
    <cellStyle name="Normal 4 3 3 2 7 3" xfId="11033" xr:uid="{B7655C00-8CAC-41DF-B6E6-A8865352F3DF}"/>
    <cellStyle name="Normal 4 3 3 2 8" xfId="4751" xr:uid="{00000000-0005-0000-0000-000085140000}"/>
    <cellStyle name="Normal 4 3 3 2 8 2" xfId="13186" xr:uid="{ACA12906-B30E-4F7E-9D38-24925BEE627C}"/>
    <cellStyle name="Normal 4 3 3 2 9" xfId="8968" xr:uid="{5D01D421-1CC6-47EC-B3BE-5EFD7AC792AD}"/>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87A627BE-8915-4E62-85C7-48227E50C9FE}"/>
    <cellStyle name="Normal 4 3 3 3 2 2 3" xfId="11528" xr:uid="{D14F6C07-84E0-4FBE-9D48-B4C722A56C09}"/>
    <cellStyle name="Normal 4 3 3 3 2 3" xfId="5166" xr:uid="{00000000-0005-0000-0000-00008A140000}"/>
    <cellStyle name="Normal 4 3 3 3 2 3 2" xfId="13601" xr:uid="{FCFF6130-3DDA-47F0-BE2A-A25546429FAB}"/>
    <cellStyle name="Normal 4 3 3 3 2 4" xfId="9383" xr:uid="{E2E0091B-EE37-4951-9FC8-80C5604B5EA8}"/>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7E14B16C-78C3-4E1B-B326-B462E99655E8}"/>
    <cellStyle name="Normal 4 3 3 3 3 2 3" xfId="11941" xr:uid="{17586779-4717-44B3-9C7E-55B01006EA46}"/>
    <cellStyle name="Normal 4 3 3 3 3 3" xfId="5579" xr:uid="{00000000-0005-0000-0000-00008E140000}"/>
    <cellStyle name="Normal 4 3 3 3 3 3 2" xfId="14014" xr:uid="{A3AF1A8F-872B-43B4-ADDF-CE54D9E872D2}"/>
    <cellStyle name="Normal 4 3 3 3 3 4" xfId="9796" xr:uid="{E5E8578A-7566-4224-B080-46F0121F3376}"/>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8150A9D5-F385-46E5-B421-42700E0FF5B7}"/>
    <cellStyle name="Normal 4 3 3 3 4 2 3" xfId="12354" xr:uid="{7D3406F6-7A2B-4CB5-81E8-335A31621013}"/>
    <cellStyle name="Normal 4 3 3 3 4 3" xfId="5992" xr:uid="{00000000-0005-0000-0000-000092140000}"/>
    <cellStyle name="Normal 4 3 3 3 4 3 2" xfId="14427" xr:uid="{40EB17B3-9DE3-462D-98D6-5047D57915D5}"/>
    <cellStyle name="Normal 4 3 3 3 4 4" xfId="10209" xr:uid="{212B9517-15DF-4A51-938B-E0B680102318}"/>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2E59295B-D931-4F92-AE64-B39F54246603}"/>
    <cellStyle name="Normal 4 3 3 3 5 2 3" xfId="12767" xr:uid="{826DD78E-AB47-450D-898E-06125C41CF1B}"/>
    <cellStyle name="Normal 4 3 3 3 5 3" xfId="6405" xr:uid="{00000000-0005-0000-0000-000096140000}"/>
    <cellStyle name="Normal 4 3 3 3 5 3 2" xfId="14840" xr:uid="{D098AC8D-17E3-4238-A333-101E197D339C}"/>
    <cellStyle name="Normal 4 3 3 3 5 4" xfId="10622" xr:uid="{DB39A3E1-619E-4D9E-A41E-E8912B0D117A}"/>
    <cellStyle name="Normal 4 3 3 3 6" xfId="2534" xr:uid="{00000000-0005-0000-0000-000097140000}"/>
    <cellStyle name="Normal 4 3 3 3 6 2" xfId="6818" xr:uid="{00000000-0005-0000-0000-000098140000}"/>
    <cellStyle name="Normal 4 3 3 3 6 2 2" xfId="15253" xr:uid="{75BD1FFC-D306-4906-964A-B9AD4EE053FE}"/>
    <cellStyle name="Normal 4 3 3 3 6 3" xfId="11035" xr:uid="{D5906459-7CE0-4892-AE53-BD3F335C53D3}"/>
    <cellStyle name="Normal 4 3 3 3 7" xfId="4753" xr:uid="{00000000-0005-0000-0000-000099140000}"/>
    <cellStyle name="Normal 4 3 3 3 7 2" xfId="13188" xr:uid="{120E8190-3848-4D8A-A450-EEE0D377ED42}"/>
    <cellStyle name="Normal 4 3 3 3 8" xfId="8970" xr:uid="{41BD6987-0680-4ECF-9721-40C35B8C0A61}"/>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75F33AA6-91DD-4D2D-B1BB-B2EA879C3BFC}"/>
    <cellStyle name="Normal 4 3 3 4 2 3" xfId="11525" xr:uid="{1B010429-092B-4F96-A79B-2FAF37369272}"/>
    <cellStyle name="Normal 4 3 3 4 3" xfId="5163" xr:uid="{00000000-0005-0000-0000-00009D140000}"/>
    <cellStyle name="Normal 4 3 3 4 3 2" xfId="13598" xr:uid="{5D17027E-E491-41C0-89D0-F525AD9393BD}"/>
    <cellStyle name="Normal 4 3 3 4 4" xfId="9380" xr:uid="{68C130B2-6081-46F0-8BA9-56D73A9AE405}"/>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E36C299C-EDF7-4425-85D1-8AD2E5202F06}"/>
    <cellStyle name="Normal 4 3 3 5 2 3" xfId="11938" xr:uid="{6DBDD9FF-A68C-45CE-ADF6-1ACAA9A30E48}"/>
    <cellStyle name="Normal 4 3 3 5 3" xfId="5576" xr:uid="{00000000-0005-0000-0000-0000A1140000}"/>
    <cellStyle name="Normal 4 3 3 5 3 2" xfId="14011" xr:uid="{7FA1FE19-595F-45D7-9E99-F04FE396FD39}"/>
    <cellStyle name="Normal 4 3 3 5 4" xfId="9793" xr:uid="{5E0523FE-A39D-4CDD-930B-DD1C1367C21A}"/>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F5838387-C1C5-4080-9FF0-B44E70DF3C9A}"/>
    <cellStyle name="Normal 4 3 3 6 2 3" xfId="12351" xr:uid="{05B6D4B3-B77E-4497-8E11-B12FE25C6564}"/>
    <cellStyle name="Normal 4 3 3 6 3" xfId="5989" xr:uid="{00000000-0005-0000-0000-0000A5140000}"/>
    <cellStyle name="Normal 4 3 3 6 3 2" xfId="14424" xr:uid="{94E8C7C0-7126-40B9-B3D1-DBBD0735CBDC}"/>
    <cellStyle name="Normal 4 3 3 6 4" xfId="10206" xr:uid="{B1D33031-CFC8-4A24-8927-67AC198E8710}"/>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010ECB43-DCE0-45C5-9A05-B745F537A41D}"/>
    <cellStyle name="Normal 4 3 3 7 2 3" xfId="12764" xr:uid="{7EE06D49-6826-4B6E-96BC-CBA2F3B7D2CF}"/>
    <cellStyle name="Normal 4 3 3 7 3" xfId="6402" xr:uid="{00000000-0005-0000-0000-0000A9140000}"/>
    <cellStyle name="Normal 4 3 3 7 3 2" xfId="14837" xr:uid="{BFA2667E-E80E-49D6-BAA6-523D38DB8952}"/>
    <cellStyle name="Normal 4 3 3 7 4" xfId="10619" xr:uid="{046246C9-3D84-4593-A12D-050BB508CBA3}"/>
    <cellStyle name="Normal 4 3 3 8" xfId="2531" xr:uid="{00000000-0005-0000-0000-0000AA140000}"/>
    <cellStyle name="Normal 4 3 3 8 2" xfId="6815" xr:uid="{00000000-0005-0000-0000-0000AB140000}"/>
    <cellStyle name="Normal 4 3 3 8 2 2" xfId="15250" xr:uid="{2A7CDDF6-15E5-4A08-8B7D-DE1E48A057B4}"/>
    <cellStyle name="Normal 4 3 3 8 3" xfId="11032" xr:uid="{CA133D77-D119-4418-8D7A-01CCB4CC236D}"/>
    <cellStyle name="Normal 4 3 3 9" xfId="4750" xr:uid="{00000000-0005-0000-0000-0000AC140000}"/>
    <cellStyle name="Normal 4 3 3 9 2" xfId="13185" xr:uid="{146ABCA9-953C-43D7-8A2F-39156BB21D70}"/>
    <cellStyle name="Normal 4 3 4" xfId="843" xr:uid="{00000000-0005-0000-0000-0000AD140000}"/>
    <cellStyle name="Normal 4 3 4 2" xfId="3080" xr:uid="{00000000-0005-0000-0000-0000AE140000}"/>
    <cellStyle name="Normal 4 3 4 2 2" xfId="7303" xr:uid="{00000000-0005-0000-0000-0000AF140000}"/>
    <cellStyle name="Normal 4 3 4 2 2 2" xfId="15738" xr:uid="{C044FDA5-033B-429D-B688-94B31FEED0F4}"/>
    <cellStyle name="Normal 4 3 4 2 3" xfId="11520" xr:uid="{F51CD3DC-0CE8-48F7-8BB7-FDF005655433}"/>
    <cellStyle name="Normal 4 3 4 3" xfId="5158" xr:uid="{00000000-0005-0000-0000-0000B0140000}"/>
    <cellStyle name="Normal 4 3 4 3 2" xfId="13593" xr:uid="{AAE5C5AA-CF71-4300-AE7B-4D5763BA25DB}"/>
    <cellStyle name="Normal 4 3 4 4" xfId="9375" xr:uid="{17C0EEC7-C350-4D47-B269-C26CB8C0626F}"/>
    <cellStyle name="Normal 4 3 5" xfId="1263" xr:uid="{00000000-0005-0000-0000-0000B1140000}"/>
    <cellStyle name="Normal 4 3 5 2" xfId="3493" xr:uid="{00000000-0005-0000-0000-0000B2140000}"/>
    <cellStyle name="Normal 4 3 5 2 2" xfId="7716" xr:uid="{00000000-0005-0000-0000-0000B3140000}"/>
    <cellStyle name="Normal 4 3 5 2 2 2" xfId="16151" xr:uid="{0DA11C46-3986-47D4-86A1-F5491CCC57CA}"/>
    <cellStyle name="Normal 4 3 5 2 3" xfId="11933" xr:uid="{7FFF6E36-261E-4B4B-8A2C-0631D80E86A2}"/>
    <cellStyle name="Normal 4 3 5 3" xfId="5571" xr:uid="{00000000-0005-0000-0000-0000B4140000}"/>
    <cellStyle name="Normal 4 3 5 3 2" xfId="14006" xr:uid="{E348C4FD-A70F-4DA4-957F-A98190DBAF77}"/>
    <cellStyle name="Normal 4 3 5 4" xfId="9788" xr:uid="{79200AD1-F581-47F4-AC12-E35FA525A76B}"/>
    <cellStyle name="Normal 4 3 6" xfId="1676" xr:uid="{00000000-0005-0000-0000-0000B5140000}"/>
    <cellStyle name="Normal 4 3 6 2" xfId="3906" xr:uid="{00000000-0005-0000-0000-0000B6140000}"/>
    <cellStyle name="Normal 4 3 6 2 2" xfId="8129" xr:uid="{00000000-0005-0000-0000-0000B7140000}"/>
    <cellStyle name="Normal 4 3 6 2 2 2" xfId="16564" xr:uid="{BDFB6704-0577-44A4-B271-F221B4E92C65}"/>
    <cellStyle name="Normal 4 3 6 2 3" xfId="12346" xr:uid="{68A824C5-390C-42B3-B6B2-ABC151D880D5}"/>
    <cellStyle name="Normal 4 3 6 3" xfId="5984" xr:uid="{00000000-0005-0000-0000-0000B8140000}"/>
    <cellStyle name="Normal 4 3 6 3 2" xfId="14419" xr:uid="{7A002603-8979-4997-ABD1-C22ADB2E6059}"/>
    <cellStyle name="Normal 4 3 6 4" xfId="10201" xr:uid="{391403A2-25C6-4F1F-BC45-2AD0EF647C69}"/>
    <cellStyle name="Normal 4 3 7" xfId="2090" xr:uid="{00000000-0005-0000-0000-0000B9140000}"/>
    <cellStyle name="Normal 4 3 7 2" xfId="4319" xr:uid="{00000000-0005-0000-0000-0000BA140000}"/>
    <cellStyle name="Normal 4 3 7 2 2" xfId="8542" xr:uid="{00000000-0005-0000-0000-0000BB140000}"/>
    <cellStyle name="Normal 4 3 7 2 2 2" xfId="16977" xr:uid="{EFFCF22F-70BF-4E06-BD25-FBA3376DAD18}"/>
    <cellStyle name="Normal 4 3 7 2 3" xfId="12759" xr:uid="{F45D242C-90E0-4D7E-938D-DB03FED948B0}"/>
    <cellStyle name="Normal 4 3 7 3" xfId="6397" xr:uid="{00000000-0005-0000-0000-0000BC140000}"/>
    <cellStyle name="Normal 4 3 7 3 2" xfId="14832" xr:uid="{4E9AA1B8-4D93-4854-8E35-BADAC630433C}"/>
    <cellStyle name="Normal 4 3 7 4" xfId="10614" xr:uid="{12CBCDBE-C7D3-4E20-BE15-EC5C355DF593}"/>
    <cellStyle name="Normal 4 3 8" xfId="2526" xr:uid="{00000000-0005-0000-0000-0000BD140000}"/>
    <cellStyle name="Normal 4 3 8 2" xfId="6810" xr:uid="{00000000-0005-0000-0000-0000BE140000}"/>
    <cellStyle name="Normal 4 3 8 2 2" xfId="15245" xr:uid="{68829B0C-1E37-43C0-9CD7-E0E31E4F774E}"/>
    <cellStyle name="Normal 4 3 8 3" xfId="11027" xr:uid="{FCED96A6-5BAA-416C-9B82-E071585639BF}"/>
    <cellStyle name="Normal 4 3 9" xfId="4745" xr:uid="{00000000-0005-0000-0000-0000BF140000}"/>
    <cellStyle name="Normal 4 3 9 2" xfId="13180" xr:uid="{D19C32AC-4BBE-403B-A1DC-5E6CE8F0531C}"/>
    <cellStyle name="Normal 4 4" xfId="378" xr:uid="{00000000-0005-0000-0000-0000C0140000}"/>
    <cellStyle name="Normal 4 4 10" xfId="2535" xr:uid="{00000000-0005-0000-0000-0000C1140000}"/>
    <cellStyle name="Normal 4 4 10 2" xfId="6819" xr:uid="{00000000-0005-0000-0000-0000C2140000}"/>
    <cellStyle name="Normal 4 4 10 2 2" xfId="15254" xr:uid="{64564F2C-9941-409B-9D34-F46011159E42}"/>
    <cellStyle name="Normal 4 4 10 3" xfId="11036" xr:uid="{B99D87F2-7B78-4728-9C72-42E6FD413D8A}"/>
    <cellStyle name="Normal 4 4 11" xfId="4754" xr:uid="{00000000-0005-0000-0000-0000C3140000}"/>
    <cellStyle name="Normal 4 4 11 2" xfId="13189" xr:uid="{4C709291-78C6-4A96-AE54-2F7C20092044}"/>
    <cellStyle name="Normal 4 4 12" xfId="8971" xr:uid="{62647131-D5CE-4F24-9058-65064092F4BD}"/>
    <cellStyle name="Normal 4 4 2" xfId="379" xr:uid="{00000000-0005-0000-0000-0000C4140000}"/>
    <cellStyle name="Normal 4 4 2 10" xfId="4755" xr:uid="{00000000-0005-0000-0000-0000C5140000}"/>
    <cellStyle name="Normal 4 4 2 10 2" xfId="13190" xr:uid="{BA21E7F6-5737-4A91-89B4-F6B6BD6DC78B}"/>
    <cellStyle name="Normal 4 4 2 11" xfId="8972" xr:uid="{7B2BBA9C-CFD5-48C8-8674-329149AA1286}"/>
    <cellStyle name="Normal 4 4 2 2" xfId="380" xr:uid="{00000000-0005-0000-0000-0000C6140000}"/>
    <cellStyle name="Normal 4 4 2 2 10" xfId="8973" xr:uid="{C183494E-8F50-4B1D-939B-42576D92D564}"/>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9E1A39CC-AC32-4C90-9C79-53B963B71412}"/>
    <cellStyle name="Normal 4 4 2 2 2 2 2 2 3" xfId="11533" xr:uid="{0CE1B911-8438-4205-8A50-6FA23F9F42AA}"/>
    <cellStyle name="Normal 4 4 2 2 2 2 2 3" xfId="5171" xr:uid="{00000000-0005-0000-0000-0000CC140000}"/>
    <cellStyle name="Normal 4 4 2 2 2 2 2 3 2" xfId="13606" xr:uid="{4F485057-5DA2-499C-875D-4878113FB5C1}"/>
    <cellStyle name="Normal 4 4 2 2 2 2 2 4" xfId="9388" xr:uid="{9869274C-13EF-4796-91CF-B9AE26C2C99D}"/>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4D62FAC0-323E-4328-851E-C7B0BB08709E}"/>
    <cellStyle name="Normal 4 4 2 2 2 2 3 2 3" xfId="11946" xr:uid="{BDFC67DB-0233-426A-A234-D98F9E0ACAFF}"/>
    <cellStyle name="Normal 4 4 2 2 2 2 3 3" xfId="5584" xr:uid="{00000000-0005-0000-0000-0000D0140000}"/>
    <cellStyle name="Normal 4 4 2 2 2 2 3 3 2" xfId="14019" xr:uid="{CF706BC8-251E-4402-910C-66726E9F2D24}"/>
    <cellStyle name="Normal 4 4 2 2 2 2 3 4" xfId="9801" xr:uid="{EB846BD6-D3B4-4A6F-B0AC-977713589E3C}"/>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0B06EB6C-C73E-4FCB-9F0A-32C37EC8F8F9}"/>
    <cellStyle name="Normal 4 4 2 2 2 2 4 2 3" xfId="12359" xr:uid="{384F99DB-8A0C-4C91-94C1-410666E8097F}"/>
    <cellStyle name="Normal 4 4 2 2 2 2 4 3" xfId="5997" xr:uid="{00000000-0005-0000-0000-0000D4140000}"/>
    <cellStyle name="Normal 4 4 2 2 2 2 4 3 2" xfId="14432" xr:uid="{D90568A7-8DF5-4732-943D-338F6BCC6C4E}"/>
    <cellStyle name="Normal 4 4 2 2 2 2 4 4" xfId="10214" xr:uid="{5A9D203F-F25B-4603-B4FA-104177C14656}"/>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D6DAC027-CCB8-411F-9F2C-17E2A16F9505}"/>
    <cellStyle name="Normal 4 4 2 2 2 2 5 2 3" xfId="12772" xr:uid="{4B2254B1-EFA5-4985-8EE8-E5A16B9DDF3C}"/>
    <cellStyle name="Normal 4 4 2 2 2 2 5 3" xfId="6410" xr:uid="{00000000-0005-0000-0000-0000D8140000}"/>
    <cellStyle name="Normal 4 4 2 2 2 2 5 3 2" xfId="14845" xr:uid="{6EA95E75-5608-47D5-9973-4EF3D05E685C}"/>
    <cellStyle name="Normal 4 4 2 2 2 2 5 4" xfId="10627" xr:uid="{DA512224-B95D-4D97-8B57-65931E9AAD91}"/>
    <cellStyle name="Normal 4 4 2 2 2 2 6" xfId="2539" xr:uid="{00000000-0005-0000-0000-0000D9140000}"/>
    <cellStyle name="Normal 4 4 2 2 2 2 6 2" xfId="6823" xr:uid="{00000000-0005-0000-0000-0000DA140000}"/>
    <cellStyle name="Normal 4 4 2 2 2 2 6 2 2" xfId="15258" xr:uid="{C0A992D9-7931-4DB6-BB23-1C0CF22C52F6}"/>
    <cellStyle name="Normal 4 4 2 2 2 2 6 3" xfId="11040" xr:uid="{B3A51300-6389-4205-B949-CB107495D053}"/>
    <cellStyle name="Normal 4 4 2 2 2 2 7" xfId="4758" xr:uid="{00000000-0005-0000-0000-0000DB140000}"/>
    <cellStyle name="Normal 4 4 2 2 2 2 7 2" xfId="13193" xr:uid="{5EAC8B8F-571C-4AA8-A4AF-6DB8AF6861A6}"/>
    <cellStyle name="Normal 4 4 2 2 2 2 8" xfId="8975" xr:uid="{1A597C88-B550-44E9-AD88-ADB1136118F9}"/>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C9332F7C-76A6-43AF-9A1B-2190DCCC0C7D}"/>
    <cellStyle name="Normal 4 4 2 2 2 3 2 3" xfId="11532" xr:uid="{FBFEE6EB-350A-4267-B53B-9957A6523CE3}"/>
    <cellStyle name="Normal 4 4 2 2 2 3 3" xfId="5170" xr:uid="{00000000-0005-0000-0000-0000DF140000}"/>
    <cellStyle name="Normal 4 4 2 2 2 3 3 2" xfId="13605" xr:uid="{F82A02CB-D9CE-4E89-B32C-82F0FCECCDA8}"/>
    <cellStyle name="Normal 4 4 2 2 2 3 4" xfId="9387" xr:uid="{F6C5AC05-736F-4FE7-8338-FC3DE1725E2B}"/>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4B6D6AE2-8212-4CDB-BC48-1C60DDDBA502}"/>
    <cellStyle name="Normal 4 4 2 2 2 4 2 3" xfId="11945" xr:uid="{90B4B1B1-FC95-4574-AF9B-D6C849B4FF90}"/>
    <cellStyle name="Normal 4 4 2 2 2 4 3" xfId="5583" xr:uid="{00000000-0005-0000-0000-0000E3140000}"/>
    <cellStyle name="Normal 4 4 2 2 2 4 3 2" xfId="14018" xr:uid="{95AC28FC-642D-46D6-96DC-B2A275E4685F}"/>
    <cellStyle name="Normal 4 4 2 2 2 4 4" xfId="9800" xr:uid="{3095F881-0EC5-4FE4-91E4-895505C10C62}"/>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00A9CD77-7C5A-4882-A5C8-CBBBED5AA2DC}"/>
    <cellStyle name="Normal 4 4 2 2 2 5 2 3" xfId="12358" xr:uid="{7A7F14B7-7E52-4B8A-A365-6A01D36878F1}"/>
    <cellStyle name="Normal 4 4 2 2 2 5 3" xfId="5996" xr:uid="{00000000-0005-0000-0000-0000E7140000}"/>
    <cellStyle name="Normal 4 4 2 2 2 5 3 2" xfId="14431" xr:uid="{57B8C2A4-0FE5-4718-A83C-914985F1D46A}"/>
    <cellStyle name="Normal 4 4 2 2 2 5 4" xfId="10213" xr:uid="{616D966F-E6C7-4B1B-A8E5-37322FE922DA}"/>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61122E40-09EE-4DFB-9CC7-1B02663CD1BC}"/>
    <cellStyle name="Normal 4 4 2 2 2 6 2 3" xfId="12771" xr:uid="{E4A5D44A-EC5D-4896-AE53-66CBD225A59F}"/>
    <cellStyle name="Normal 4 4 2 2 2 6 3" xfId="6409" xr:uid="{00000000-0005-0000-0000-0000EB140000}"/>
    <cellStyle name="Normal 4 4 2 2 2 6 3 2" xfId="14844" xr:uid="{8732877F-60B1-4928-B4A0-ACB1BC64216F}"/>
    <cellStyle name="Normal 4 4 2 2 2 6 4" xfId="10626" xr:uid="{29FE6440-6225-48EB-9523-A82284D50F07}"/>
    <cellStyle name="Normal 4 4 2 2 2 7" xfId="2538" xr:uid="{00000000-0005-0000-0000-0000EC140000}"/>
    <cellStyle name="Normal 4 4 2 2 2 7 2" xfId="6822" xr:uid="{00000000-0005-0000-0000-0000ED140000}"/>
    <cellStyle name="Normal 4 4 2 2 2 7 2 2" xfId="15257" xr:uid="{E1ADA0B7-4056-4A40-B443-23053451A1D6}"/>
    <cellStyle name="Normal 4 4 2 2 2 7 3" xfId="11039" xr:uid="{CC044FBA-6C79-4746-A818-6B2344D079DB}"/>
    <cellStyle name="Normal 4 4 2 2 2 8" xfId="4757" xr:uid="{00000000-0005-0000-0000-0000EE140000}"/>
    <cellStyle name="Normal 4 4 2 2 2 8 2" xfId="13192" xr:uid="{C11881D7-7688-4D3E-ADF5-DAE0D86133BA}"/>
    <cellStyle name="Normal 4 4 2 2 2 9" xfId="8974" xr:uid="{0E26109E-FFCB-40A7-B204-FEB574E70EAE}"/>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0B9C0D2F-C656-4803-9124-5C438C7E78FA}"/>
    <cellStyle name="Normal 4 4 2 2 3 2 2 3" xfId="11534" xr:uid="{B1A7C250-6BA9-4CC8-AAEF-4CBAF87D2D69}"/>
    <cellStyle name="Normal 4 4 2 2 3 2 3" xfId="5172" xr:uid="{00000000-0005-0000-0000-0000F3140000}"/>
    <cellStyle name="Normal 4 4 2 2 3 2 3 2" xfId="13607" xr:uid="{C50AFF5E-AA38-4123-BDA2-464AE23B3A09}"/>
    <cellStyle name="Normal 4 4 2 2 3 2 4" xfId="9389" xr:uid="{6D09B557-79ED-4945-92CD-DA2C7139B46C}"/>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BBF45D5A-5410-42BC-8B2F-00F269E0C97F}"/>
    <cellStyle name="Normal 4 4 2 2 3 3 2 3" xfId="11947" xr:uid="{1D50C5E5-B3B1-48D7-A23B-BB8B05DF7517}"/>
    <cellStyle name="Normal 4 4 2 2 3 3 3" xfId="5585" xr:uid="{00000000-0005-0000-0000-0000F7140000}"/>
    <cellStyle name="Normal 4 4 2 2 3 3 3 2" xfId="14020" xr:uid="{8389EBDA-D2E2-44B3-B1D2-719D52B85C78}"/>
    <cellStyle name="Normal 4 4 2 2 3 3 4" xfId="9802" xr:uid="{1C4CDE85-88EA-4714-AE1A-37B08507F22B}"/>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EA23F819-E1D8-440D-9A19-DC9CDE2A083A}"/>
    <cellStyle name="Normal 4 4 2 2 3 4 2 3" xfId="12360" xr:uid="{379FEE89-AC1E-4493-972D-13DFBFACC573}"/>
    <cellStyle name="Normal 4 4 2 2 3 4 3" xfId="5998" xr:uid="{00000000-0005-0000-0000-0000FB140000}"/>
    <cellStyle name="Normal 4 4 2 2 3 4 3 2" xfId="14433" xr:uid="{D7940AE3-08DC-4B5C-A886-6305593F6C47}"/>
    <cellStyle name="Normal 4 4 2 2 3 4 4" xfId="10215" xr:uid="{6B5F5562-6C7F-49EE-B083-77C2A855CFEB}"/>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EFB2A6C0-A35C-47F7-BD47-F708344904B6}"/>
    <cellStyle name="Normal 4 4 2 2 3 5 2 3" xfId="12773" xr:uid="{6B5B14C2-9FD1-4641-B65E-51EA4CC21723}"/>
    <cellStyle name="Normal 4 4 2 2 3 5 3" xfId="6411" xr:uid="{00000000-0005-0000-0000-0000FF140000}"/>
    <cellStyle name="Normal 4 4 2 2 3 5 3 2" xfId="14846" xr:uid="{221D9953-BCEE-4B93-B78C-78FABFCF8B9A}"/>
    <cellStyle name="Normal 4 4 2 2 3 5 4" xfId="10628" xr:uid="{E7F1ACD5-83E3-4966-BA2D-32EA5F9002BA}"/>
    <cellStyle name="Normal 4 4 2 2 3 6" xfId="2540" xr:uid="{00000000-0005-0000-0000-000000150000}"/>
    <cellStyle name="Normal 4 4 2 2 3 6 2" xfId="6824" xr:uid="{00000000-0005-0000-0000-000001150000}"/>
    <cellStyle name="Normal 4 4 2 2 3 6 2 2" xfId="15259" xr:uid="{79C77372-E889-4D72-8386-287B4D10DBD2}"/>
    <cellStyle name="Normal 4 4 2 2 3 6 3" xfId="11041" xr:uid="{150B86F1-5869-4E12-B44D-EB87AC0E9401}"/>
    <cellStyle name="Normal 4 4 2 2 3 7" xfId="4759" xr:uid="{00000000-0005-0000-0000-000002150000}"/>
    <cellStyle name="Normal 4 4 2 2 3 7 2" xfId="13194" xr:uid="{ED9DAE63-0A55-42A1-B512-C22B6B6B2669}"/>
    <cellStyle name="Normal 4 4 2 2 3 8" xfId="8976" xr:uid="{DCB157A2-A04B-41C5-8273-987D06992E62}"/>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827905B0-CBAB-4AD8-B75D-2A2D85220CBB}"/>
    <cellStyle name="Normal 4 4 2 2 4 2 3" xfId="11531" xr:uid="{09E8BE23-D038-4101-907B-D60A47519774}"/>
    <cellStyle name="Normal 4 4 2 2 4 3" xfId="5169" xr:uid="{00000000-0005-0000-0000-000006150000}"/>
    <cellStyle name="Normal 4 4 2 2 4 3 2" xfId="13604" xr:uid="{3A884E42-4B5A-447F-9DF6-270CD87B8832}"/>
    <cellStyle name="Normal 4 4 2 2 4 4" xfId="9386" xr:uid="{620E4E90-8DDF-4FBD-9842-2078CAA5DBB8}"/>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32BA023E-6E4E-4602-9FC7-0F2E0EA1A8E2}"/>
    <cellStyle name="Normal 4 4 2 2 5 2 3" xfId="11944" xr:uid="{641375FD-62C7-488B-8C78-7FA231097798}"/>
    <cellStyle name="Normal 4 4 2 2 5 3" xfId="5582" xr:uid="{00000000-0005-0000-0000-00000A150000}"/>
    <cellStyle name="Normal 4 4 2 2 5 3 2" xfId="14017" xr:uid="{25DFDC2F-3833-4544-B8D7-6C0535DE93A5}"/>
    <cellStyle name="Normal 4 4 2 2 5 4" xfId="9799" xr:uid="{59446F0B-1AF8-4DD2-8800-2CABD65E226A}"/>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85EE801E-777A-4F75-9F22-BD6603653637}"/>
    <cellStyle name="Normal 4 4 2 2 6 2 3" xfId="12357" xr:uid="{BB40D0D0-9136-4D9B-9691-E900068E16A3}"/>
    <cellStyle name="Normal 4 4 2 2 6 3" xfId="5995" xr:uid="{00000000-0005-0000-0000-00000E150000}"/>
    <cellStyle name="Normal 4 4 2 2 6 3 2" xfId="14430" xr:uid="{6FE38F54-2505-4324-A196-6C61DCE5FE65}"/>
    <cellStyle name="Normal 4 4 2 2 6 4" xfId="10212" xr:uid="{8EA7D26F-2813-4BCA-969D-68979EAD7915}"/>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E770552B-25E9-40B4-A9B4-6A65FDA1FF19}"/>
    <cellStyle name="Normal 4 4 2 2 7 2 3" xfId="12770" xr:uid="{E6ADDDE7-5AE9-44FE-924C-02C77D293F47}"/>
    <cellStyle name="Normal 4 4 2 2 7 3" xfId="6408" xr:uid="{00000000-0005-0000-0000-000012150000}"/>
    <cellStyle name="Normal 4 4 2 2 7 3 2" xfId="14843" xr:uid="{D5FA378E-4A89-4D60-BCAC-CA7A13EE3DD4}"/>
    <cellStyle name="Normal 4 4 2 2 7 4" xfId="10625" xr:uid="{0642642E-79FB-470B-83D3-28DEB5EF0245}"/>
    <cellStyle name="Normal 4 4 2 2 8" xfId="2537" xr:uid="{00000000-0005-0000-0000-000013150000}"/>
    <cellStyle name="Normal 4 4 2 2 8 2" xfId="6821" xr:uid="{00000000-0005-0000-0000-000014150000}"/>
    <cellStyle name="Normal 4 4 2 2 8 2 2" xfId="15256" xr:uid="{67AB5303-75D7-4B87-BF82-7DDA7783D751}"/>
    <cellStyle name="Normal 4 4 2 2 8 3" xfId="11038" xr:uid="{78862DD9-4BD9-461C-93D7-66572A953C29}"/>
    <cellStyle name="Normal 4 4 2 2 9" xfId="4756" xr:uid="{00000000-0005-0000-0000-000015150000}"/>
    <cellStyle name="Normal 4 4 2 2 9 2" xfId="13191" xr:uid="{CE8B2EB8-17A2-4A62-B3D3-373196291137}"/>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020BBF18-433C-4822-9D0D-5D6E08D5000E}"/>
    <cellStyle name="Normal 4 4 2 3 2 2 2 3" xfId="11536" xr:uid="{199DD9F1-479E-4253-AED8-BF4A6363C0E1}"/>
    <cellStyle name="Normal 4 4 2 3 2 2 3" xfId="5174" xr:uid="{00000000-0005-0000-0000-00001B150000}"/>
    <cellStyle name="Normal 4 4 2 3 2 2 3 2" xfId="13609" xr:uid="{3C028040-51C8-4C01-9A77-589C66383AFF}"/>
    <cellStyle name="Normal 4 4 2 3 2 2 4" xfId="9391" xr:uid="{28CB1372-537B-4BD5-8009-461369EA9099}"/>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A656B160-ABEE-4BC3-ADCD-790C0E689DAE}"/>
    <cellStyle name="Normal 4 4 2 3 2 3 2 3" xfId="11949" xr:uid="{04C70232-9E09-49FD-8F6B-541CB9202B9C}"/>
    <cellStyle name="Normal 4 4 2 3 2 3 3" xfId="5587" xr:uid="{00000000-0005-0000-0000-00001F150000}"/>
    <cellStyle name="Normal 4 4 2 3 2 3 3 2" xfId="14022" xr:uid="{42646B7F-67BA-49F4-A057-E30D0EB1B093}"/>
    <cellStyle name="Normal 4 4 2 3 2 3 4" xfId="9804" xr:uid="{9E3306C2-951A-4EB1-B0F2-B80146EBA459}"/>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14F19CA0-6BF3-4354-82A8-17F53D6CAFBB}"/>
    <cellStyle name="Normal 4 4 2 3 2 4 2 3" xfId="12362" xr:uid="{3E1C69C7-580E-4403-9518-705A9CCE1986}"/>
    <cellStyle name="Normal 4 4 2 3 2 4 3" xfId="6000" xr:uid="{00000000-0005-0000-0000-000023150000}"/>
    <cellStyle name="Normal 4 4 2 3 2 4 3 2" xfId="14435" xr:uid="{CE07069D-EE8D-4612-BBDF-53788CA0AD2D}"/>
    <cellStyle name="Normal 4 4 2 3 2 4 4" xfId="10217" xr:uid="{741F794E-4919-4B27-AF47-6FE475B1FE63}"/>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9A3DD438-C70A-4AC8-A77B-6E944363CC44}"/>
    <cellStyle name="Normal 4 4 2 3 2 5 2 3" xfId="12775" xr:uid="{0216C6E0-3CAB-40D7-8466-2A1DD91FC946}"/>
    <cellStyle name="Normal 4 4 2 3 2 5 3" xfId="6413" xr:uid="{00000000-0005-0000-0000-000027150000}"/>
    <cellStyle name="Normal 4 4 2 3 2 5 3 2" xfId="14848" xr:uid="{F9E5E810-0E69-4922-869C-D41A51053190}"/>
    <cellStyle name="Normal 4 4 2 3 2 5 4" xfId="10630" xr:uid="{8B36D3A4-6F27-40C6-8E45-2DC69D87301E}"/>
    <cellStyle name="Normal 4 4 2 3 2 6" xfId="2542" xr:uid="{00000000-0005-0000-0000-000028150000}"/>
    <cellStyle name="Normal 4 4 2 3 2 6 2" xfId="6826" xr:uid="{00000000-0005-0000-0000-000029150000}"/>
    <cellStyle name="Normal 4 4 2 3 2 6 2 2" xfId="15261" xr:uid="{5024F906-AFCC-4A5D-8C7C-67A579AB9B25}"/>
    <cellStyle name="Normal 4 4 2 3 2 6 3" xfId="11043" xr:uid="{9C6947BB-4249-42E4-868C-3E4AB584E9FD}"/>
    <cellStyle name="Normal 4 4 2 3 2 7" xfId="4761" xr:uid="{00000000-0005-0000-0000-00002A150000}"/>
    <cellStyle name="Normal 4 4 2 3 2 7 2" xfId="13196" xr:uid="{B7ED4D2E-246E-466C-A493-D8992EFF8FC1}"/>
    <cellStyle name="Normal 4 4 2 3 2 8" xfId="8978" xr:uid="{CB520CBD-5284-4238-9ACE-651983A46D85}"/>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3E0C8BA6-0137-48CA-8E0C-CD64DCC796C2}"/>
    <cellStyle name="Normal 4 4 2 3 3 2 3" xfId="11535" xr:uid="{E2F733BA-76E5-4370-90D2-8D4488BDDC34}"/>
    <cellStyle name="Normal 4 4 2 3 3 3" xfId="5173" xr:uid="{00000000-0005-0000-0000-00002E150000}"/>
    <cellStyle name="Normal 4 4 2 3 3 3 2" xfId="13608" xr:uid="{9623974D-FC92-4D58-9D8F-82896ECF7765}"/>
    <cellStyle name="Normal 4 4 2 3 3 4" xfId="9390" xr:uid="{27CCE941-8A3A-4590-B7A3-87F46DD19EB5}"/>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4DACCD55-C768-431B-8530-1BA96D7E8353}"/>
    <cellStyle name="Normal 4 4 2 3 4 2 3" xfId="11948" xr:uid="{16B2011F-DB60-42D5-95D5-FEF9A168AA2F}"/>
    <cellStyle name="Normal 4 4 2 3 4 3" xfId="5586" xr:uid="{00000000-0005-0000-0000-000032150000}"/>
    <cellStyle name="Normal 4 4 2 3 4 3 2" xfId="14021" xr:uid="{1A1EAE22-8664-49B8-8302-5372CEC4E35B}"/>
    <cellStyle name="Normal 4 4 2 3 4 4" xfId="9803" xr:uid="{A0D48236-308A-4E7C-9851-311D8F084F9A}"/>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9F5AF596-EE37-416C-84CA-F8833BD5B2B3}"/>
    <cellStyle name="Normal 4 4 2 3 5 2 3" xfId="12361" xr:uid="{4BAA2C77-F578-446B-BDDB-030E0B2EF985}"/>
    <cellStyle name="Normal 4 4 2 3 5 3" xfId="5999" xr:uid="{00000000-0005-0000-0000-000036150000}"/>
    <cellStyle name="Normal 4 4 2 3 5 3 2" xfId="14434" xr:uid="{0AD0E39E-0777-431C-AECB-6A8A979526EA}"/>
    <cellStyle name="Normal 4 4 2 3 5 4" xfId="10216" xr:uid="{B0E694E7-1405-406A-A227-02A5A68B9465}"/>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AE332327-CB03-4EC1-A887-B6E625772FEF}"/>
    <cellStyle name="Normal 4 4 2 3 6 2 3" xfId="12774" xr:uid="{A9F8A48B-A7E2-4DB2-837F-42891B567B21}"/>
    <cellStyle name="Normal 4 4 2 3 6 3" xfId="6412" xr:uid="{00000000-0005-0000-0000-00003A150000}"/>
    <cellStyle name="Normal 4 4 2 3 6 3 2" xfId="14847" xr:uid="{275217A1-6DB1-435E-817D-21B16F59FE8D}"/>
    <cellStyle name="Normal 4 4 2 3 6 4" xfId="10629" xr:uid="{A4892B9F-2CDA-4978-A378-28254C793E98}"/>
    <cellStyle name="Normal 4 4 2 3 7" xfId="2541" xr:uid="{00000000-0005-0000-0000-00003B150000}"/>
    <cellStyle name="Normal 4 4 2 3 7 2" xfId="6825" xr:uid="{00000000-0005-0000-0000-00003C150000}"/>
    <cellStyle name="Normal 4 4 2 3 7 2 2" xfId="15260" xr:uid="{EC131463-59C3-4CDD-AC9E-CF4E19B0A327}"/>
    <cellStyle name="Normal 4 4 2 3 7 3" xfId="11042" xr:uid="{50C22F05-2CE9-4A75-ACBB-077E72942B1F}"/>
    <cellStyle name="Normal 4 4 2 3 8" xfId="4760" xr:uid="{00000000-0005-0000-0000-00003D150000}"/>
    <cellStyle name="Normal 4 4 2 3 8 2" xfId="13195" xr:uid="{11DEE3BF-7EFD-45C0-B4C5-333317058B06}"/>
    <cellStyle name="Normal 4 4 2 3 9" xfId="8977" xr:uid="{B3ED782E-6AE0-4DD4-9435-E44EF99B947F}"/>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BD982D31-3C03-498B-B5D6-7802DDC21A8F}"/>
    <cellStyle name="Normal 4 4 2 4 2 2 3" xfId="11537" xr:uid="{5CE68FF8-95E5-4C84-BD2D-0661885375D1}"/>
    <cellStyle name="Normal 4 4 2 4 2 3" xfId="5175" xr:uid="{00000000-0005-0000-0000-000042150000}"/>
    <cellStyle name="Normal 4 4 2 4 2 3 2" xfId="13610" xr:uid="{39701E46-30DF-4AA7-8797-B392C41A00B5}"/>
    <cellStyle name="Normal 4 4 2 4 2 4" xfId="9392" xr:uid="{799799E4-FB7A-43B3-A00E-AE4D9D7B4C46}"/>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FEA0B74F-B254-47AD-94AC-FEEAF29397D1}"/>
    <cellStyle name="Normal 4 4 2 4 3 2 3" xfId="11950" xr:uid="{02DA7E82-45C8-475C-B09C-FFAAFB914C44}"/>
    <cellStyle name="Normal 4 4 2 4 3 3" xfId="5588" xr:uid="{00000000-0005-0000-0000-000046150000}"/>
    <cellStyle name="Normal 4 4 2 4 3 3 2" xfId="14023" xr:uid="{5C1B7BA9-3631-441C-AFA7-EAD9FD4DAFB7}"/>
    <cellStyle name="Normal 4 4 2 4 3 4" xfId="9805" xr:uid="{33780B67-5F82-487B-AE3C-036CBFBF21BD}"/>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BE806EA3-E7DB-4D0C-AA75-FBD032D27CAF}"/>
    <cellStyle name="Normal 4 4 2 4 4 2 3" xfId="12363" xr:uid="{4DB93A79-FA4F-4DE9-AF94-362FDD6C72DA}"/>
    <cellStyle name="Normal 4 4 2 4 4 3" xfId="6001" xr:uid="{00000000-0005-0000-0000-00004A150000}"/>
    <cellStyle name="Normal 4 4 2 4 4 3 2" xfId="14436" xr:uid="{C8E68AC5-ED72-4557-8C1D-871EFB2AE85B}"/>
    <cellStyle name="Normal 4 4 2 4 4 4" xfId="10218" xr:uid="{F20D8218-3828-4CA1-AD82-016662B375DF}"/>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2EF5EFF6-DFC6-45F9-A76F-7303D72BD522}"/>
    <cellStyle name="Normal 4 4 2 4 5 2 3" xfId="12776" xr:uid="{50D1E3BB-9289-4CD3-8806-2612CC9A8615}"/>
    <cellStyle name="Normal 4 4 2 4 5 3" xfId="6414" xr:uid="{00000000-0005-0000-0000-00004E150000}"/>
    <cellStyle name="Normal 4 4 2 4 5 3 2" xfId="14849" xr:uid="{95E496F7-CD6B-47A0-B3A1-793BA5C91E35}"/>
    <cellStyle name="Normal 4 4 2 4 5 4" xfId="10631" xr:uid="{16C77310-E397-4366-81A5-74F741664D53}"/>
    <cellStyle name="Normal 4 4 2 4 6" xfId="2543" xr:uid="{00000000-0005-0000-0000-00004F150000}"/>
    <cellStyle name="Normal 4 4 2 4 6 2" xfId="6827" xr:uid="{00000000-0005-0000-0000-000050150000}"/>
    <cellStyle name="Normal 4 4 2 4 6 2 2" xfId="15262" xr:uid="{19E44074-2356-47CE-B30F-3B1EBDC3F690}"/>
    <cellStyle name="Normal 4 4 2 4 6 3" xfId="11044" xr:uid="{C95F314E-E7BF-4E6A-9E12-6D78E629B86C}"/>
    <cellStyle name="Normal 4 4 2 4 7" xfId="4762" xr:uid="{00000000-0005-0000-0000-000051150000}"/>
    <cellStyle name="Normal 4 4 2 4 7 2" xfId="13197" xr:uid="{1A57D9EA-43C8-403D-A733-CA29CFC1EA9A}"/>
    <cellStyle name="Normal 4 4 2 4 8" xfId="8979" xr:uid="{E40EF0B8-DBEC-4F42-ACCE-DE51719474C3}"/>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F1FA70DC-7723-4643-AD5E-03A5DF039A35}"/>
    <cellStyle name="Normal 4 4 2 5 2 3" xfId="11530" xr:uid="{29F1F5B8-F474-4CF2-B5B9-ED680812721A}"/>
    <cellStyle name="Normal 4 4 2 5 3" xfId="5168" xr:uid="{00000000-0005-0000-0000-000055150000}"/>
    <cellStyle name="Normal 4 4 2 5 3 2" xfId="13603" xr:uid="{DABDA425-A467-450C-9E46-B91470ED7BDF}"/>
    <cellStyle name="Normal 4 4 2 5 4" xfId="9385" xr:uid="{B8E56231-C6BE-4805-919C-FEF902EA9C7B}"/>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70D63AFF-9D26-4075-BE71-F5F56F11A395}"/>
    <cellStyle name="Normal 4 4 2 6 2 3" xfId="11943" xr:uid="{605831E9-BA94-413F-B1F9-ECE811E813EC}"/>
    <cellStyle name="Normal 4 4 2 6 3" xfId="5581" xr:uid="{00000000-0005-0000-0000-000059150000}"/>
    <cellStyle name="Normal 4 4 2 6 3 2" xfId="14016" xr:uid="{123A3ADE-F2BA-4B58-BFBC-CC2A9C5B6F38}"/>
    <cellStyle name="Normal 4 4 2 6 4" xfId="9798" xr:uid="{90E1829B-BEAD-4D20-BBDE-532EB2B718AE}"/>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3FE95471-BF97-47FC-B790-B5CED2D2C1DE}"/>
    <cellStyle name="Normal 4 4 2 7 2 3" xfId="12356" xr:uid="{5BF1485A-B605-4E8B-9473-6C6C68247571}"/>
    <cellStyle name="Normal 4 4 2 7 3" xfId="5994" xr:uid="{00000000-0005-0000-0000-00005D150000}"/>
    <cellStyle name="Normal 4 4 2 7 3 2" xfId="14429" xr:uid="{2BC24992-2F6F-44FB-8BFE-4EA3D4023A1D}"/>
    <cellStyle name="Normal 4 4 2 7 4" xfId="10211" xr:uid="{A49A12BC-FDBA-4A54-88AD-E77FE21CC75A}"/>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1F81CCAA-8272-4236-9F24-C83AAC9712AD}"/>
    <cellStyle name="Normal 4 4 2 8 2 3" xfId="12769" xr:uid="{3A1E3619-83B6-4365-9EBA-FB03304154A8}"/>
    <cellStyle name="Normal 4 4 2 8 3" xfId="6407" xr:uid="{00000000-0005-0000-0000-000061150000}"/>
    <cellStyle name="Normal 4 4 2 8 3 2" xfId="14842" xr:uid="{ADE9FCF7-29DA-4887-9A88-DE98483F81C7}"/>
    <cellStyle name="Normal 4 4 2 8 4" xfId="10624" xr:uid="{8BEED201-3E66-4AA6-AEC4-7BB62CFE5B66}"/>
    <cellStyle name="Normal 4 4 2 9" xfId="2536" xr:uid="{00000000-0005-0000-0000-000062150000}"/>
    <cellStyle name="Normal 4 4 2 9 2" xfId="6820" xr:uid="{00000000-0005-0000-0000-000063150000}"/>
    <cellStyle name="Normal 4 4 2 9 2 2" xfId="15255" xr:uid="{ABBF7A2A-8ADA-4A51-B9F9-A3CCBD871875}"/>
    <cellStyle name="Normal 4 4 2 9 3" xfId="11037" xr:uid="{22F9CEF4-9183-46BA-8B05-0100B38EA8C2}"/>
    <cellStyle name="Normal 4 4 3" xfId="387" xr:uid="{00000000-0005-0000-0000-000064150000}"/>
    <cellStyle name="Normal 4 4 3 10" xfId="8980" xr:uid="{6840E500-6F85-4F33-8E6A-B8B601C9CC65}"/>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6926AADE-4D98-441C-9900-1B223824AC3B}"/>
    <cellStyle name="Normal 4 4 3 2 2 2 2 3" xfId="11540" xr:uid="{4B9A553C-2DDC-4877-B31B-1C5141FBF780}"/>
    <cellStyle name="Normal 4 4 3 2 2 2 3" xfId="5178" xr:uid="{00000000-0005-0000-0000-00006A150000}"/>
    <cellStyle name="Normal 4 4 3 2 2 2 3 2" xfId="13613" xr:uid="{A4449931-D28C-4C41-BB75-98965EE7DAB3}"/>
    <cellStyle name="Normal 4 4 3 2 2 2 4" xfId="9395" xr:uid="{02D24E7C-D22E-40A0-B796-3CBCCA5B5D84}"/>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A2CAD49C-84C9-47EC-B364-4D3FAE28C5DA}"/>
    <cellStyle name="Normal 4 4 3 2 2 3 2 3" xfId="11953" xr:uid="{8C3A7160-D494-4254-99EB-8EDE945198BC}"/>
    <cellStyle name="Normal 4 4 3 2 2 3 3" xfId="5591" xr:uid="{00000000-0005-0000-0000-00006E150000}"/>
    <cellStyle name="Normal 4 4 3 2 2 3 3 2" xfId="14026" xr:uid="{BFBC7ECD-E5F5-4380-B312-3579297BA8D7}"/>
    <cellStyle name="Normal 4 4 3 2 2 3 4" xfId="9808" xr:uid="{7ECC3D88-668B-4F18-B256-6D345BB0F7EA}"/>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A95E4639-3405-4D54-AE23-AB1F91366D7E}"/>
    <cellStyle name="Normal 4 4 3 2 2 4 2 3" xfId="12366" xr:uid="{98BD4321-39CD-419C-AE5D-8521A859C4C4}"/>
    <cellStyle name="Normal 4 4 3 2 2 4 3" xfId="6004" xr:uid="{00000000-0005-0000-0000-000072150000}"/>
    <cellStyle name="Normal 4 4 3 2 2 4 3 2" xfId="14439" xr:uid="{ABFB322B-BFC3-490A-9774-F035AB7F05F1}"/>
    <cellStyle name="Normal 4 4 3 2 2 4 4" xfId="10221" xr:uid="{F521D856-AAD8-43D8-A8AC-FB04351F9ADF}"/>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2F952617-7BAF-4307-BECD-B449F93AA43C}"/>
    <cellStyle name="Normal 4 4 3 2 2 5 2 3" xfId="12779" xr:uid="{BBF47201-9F88-49F3-B154-84CE7E278ABC}"/>
    <cellStyle name="Normal 4 4 3 2 2 5 3" xfId="6417" xr:uid="{00000000-0005-0000-0000-000076150000}"/>
    <cellStyle name="Normal 4 4 3 2 2 5 3 2" xfId="14852" xr:uid="{B6BA0300-E3FE-438B-9700-CB2AA66092C4}"/>
    <cellStyle name="Normal 4 4 3 2 2 5 4" xfId="10634" xr:uid="{292ED57A-0ACE-4419-8D0A-58EE0FB58141}"/>
    <cellStyle name="Normal 4 4 3 2 2 6" xfId="2546" xr:uid="{00000000-0005-0000-0000-000077150000}"/>
    <cellStyle name="Normal 4 4 3 2 2 6 2" xfId="6830" xr:uid="{00000000-0005-0000-0000-000078150000}"/>
    <cellStyle name="Normal 4 4 3 2 2 6 2 2" xfId="15265" xr:uid="{3031DEF8-2BE6-4AF8-BBDD-ED4169CF50B3}"/>
    <cellStyle name="Normal 4 4 3 2 2 6 3" xfId="11047" xr:uid="{15FAC025-9B84-41BE-B09C-09419F90EE5D}"/>
    <cellStyle name="Normal 4 4 3 2 2 7" xfId="4765" xr:uid="{00000000-0005-0000-0000-000079150000}"/>
    <cellStyle name="Normal 4 4 3 2 2 7 2" xfId="13200" xr:uid="{FDDCDDBB-AAA8-49E2-820F-0055B3203B97}"/>
    <cellStyle name="Normal 4 4 3 2 2 8" xfId="8982" xr:uid="{5F71736A-9211-4131-9E1A-2FDDC8619D4D}"/>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D7071151-9AC6-4587-9A19-A0E346E2C8B2}"/>
    <cellStyle name="Normal 4 4 3 2 3 2 3" xfId="11539" xr:uid="{F7DFE4A8-612C-406A-8043-66E6F62A2870}"/>
    <cellStyle name="Normal 4 4 3 2 3 3" xfId="5177" xr:uid="{00000000-0005-0000-0000-00007D150000}"/>
    <cellStyle name="Normal 4 4 3 2 3 3 2" xfId="13612" xr:uid="{6F0C5FEB-ECDA-4AF7-8B62-3DD4692B8DCC}"/>
    <cellStyle name="Normal 4 4 3 2 3 4" xfId="9394" xr:uid="{38F1348D-CE74-474A-BE81-E31DDDAA9C3E}"/>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2845C7A3-0ABE-4311-81BE-486295472604}"/>
    <cellStyle name="Normal 4 4 3 2 4 2 3" xfId="11952" xr:uid="{C3BD42AD-6F80-454C-BE9F-460F962A805E}"/>
    <cellStyle name="Normal 4 4 3 2 4 3" xfId="5590" xr:uid="{00000000-0005-0000-0000-000081150000}"/>
    <cellStyle name="Normal 4 4 3 2 4 3 2" xfId="14025" xr:uid="{1CA9E591-D6F7-4C54-9382-B8E2AA9FDAF4}"/>
    <cellStyle name="Normal 4 4 3 2 4 4" xfId="9807" xr:uid="{B912F9A9-5346-4FC6-8B27-E66BFB4376BE}"/>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076F1475-1C62-4BEC-A9D6-A791A82D3569}"/>
    <cellStyle name="Normal 4 4 3 2 5 2 3" xfId="12365" xr:uid="{A77F50F3-7E75-4376-9A1F-8E40F712EC93}"/>
    <cellStyle name="Normal 4 4 3 2 5 3" xfId="6003" xr:uid="{00000000-0005-0000-0000-000085150000}"/>
    <cellStyle name="Normal 4 4 3 2 5 3 2" xfId="14438" xr:uid="{E72516E1-5A71-45B8-A7DB-F7660121E3B2}"/>
    <cellStyle name="Normal 4 4 3 2 5 4" xfId="10220" xr:uid="{FFB04E58-5723-42AF-B9F8-6EFF257D9E13}"/>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3BC8CDE1-CDD4-47DF-A3BB-C54296A5CEED}"/>
    <cellStyle name="Normal 4 4 3 2 6 2 3" xfId="12778" xr:uid="{5B5FA33F-177B-4566-9B0C-632B494C1CDB}"/>
    <cellStyle name="Normal 4 4 3 2 6 3" xfId="6416" xr:uid="{00000000-0005-0000-0000-000089150000}"/>
    <cellStyle name="Normal 4 4 3 2 6 3 2" xfId="14851" xr:uid="{37440929-6188-4603-A57C-C62E2000C180}"/>
    <cellStyle name="Normal 4 4 3 2 6 4" xfId="10633" xr:uid="{4302B309-B456-4591-AB8E-41A08E4BAEA3}"/>
    <cellStyle name="Normal 4 4 3 2 7" xfId="2545" xr:uid="{00000000-0005-0000-0000-00008A150000}"/>
    <cellStyle name="Normal 4 4 3 2 7 2" xfId="6829" xr:uid="{00000000-0005-0000-0000-00008B150000}"/>
    <cellStyle name="Normal 4 4 3 2 7 2 2" xfId="15264" xr:uid="{3C5E4173-9908-408C-98B8-7C2341B29E4F}"/>
    <cellStyle name="Normal 4 4 3 2 7 3" xfId="11046" xr:uid="{461436E9-7832-4156-AC85-4738DC91D59C}"/>
    <cellStyle name="Normal 4 4 3 2 8" xfId="4764" xr:uid="{00000000-0005-0000-0000-00008C150000}"/>
    <cellStyle name="Normal 4 4 3 2 8 2" xfId="13199" xr:uid="{B9C27820-BF32-4F50-826F-AEA0EB8B87CF}"/>
    <cellStyle name="Normal 4 4 3 2 9" xfId="8981" xr:uid="{C0B3B07E-365D-4F62-AC98-A2E06CE17CF3}"/>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5D0873D0-BFB8-44B8-BC04-3C138C985E02}"/>
    <cellStyle name="Normal 4 4 3 3 2 2 3" xfId="11541" xr:uid="{D47BD55A-6EB0-44CE-A04B-8B58D218301A}"/>
    <cellStyle name="Normal 4 4 3 3 2 3" xfId="5179" xr:uid="{00000000-0005-0000-0000-000091150000}"/>
    <cellStyle name="Normal 4 4 3 3 2 3 2" xfId="13614" xr:uid="{337A1389-AAF2-4FF5-8058-0D17E6BA42D0}"/>
    <cellStyle name="Normal 4 4 3 3 2 4" xfId="9396" xr:uid="{B9AFF9D2-F9BD-4D25-9FC0-35C1D1AB7552}"/>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0489939B-0A84-4933-BCD9-484EF8804699}"/>
    <cellStyle name="Normal 4 4 3 3 3 2 3" xfId="11954" xr:uid="{4BF66B81-C14B-4B49-B73B-E1904951F51C}"/>
    <cellStyle name="Normal 4 4 3 3 3 3" xfId="5592" xr:uid="{00000000-0005-0000-0000-000095150000}"/>
    <cellStyle name="Normal 4 4 3 3 3 3 2" xfId="14027" xr:uid="{4853B2A8-A47D-45D0-9AB8-2A5EBC779E9D}"/>
    <cellStyle name="Normal 4 4 3 3 3 4" xfId="9809" xr:uid="{CC15F155-0902-4AC2-BCCD-6E4A15207991}"/>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A593CF11-A8CA-4E6D-9D7B-C1DDE79A404F}"/>
    <cellStyle name="Normal 4 4 3 3 4 2 3" xfId="12367" xr:uid="{4A9FD224-D49A-4572-B932-9927AD66EF26}"/>
    <cellStyle name="Normal 4 4 3 3 4 3" xfId="6005" xr:uid="{00000000-0005-0000-0000-000099150000}"/>
    <cellStyle name="Normal 4 4 3 3 4 3 2" xfId="14440" xr:uid="{9709D819-E475-4F4E-8BA0-D8A69DCD22EA}"/>
    <cellStyle name="Normal 4 4 3 3 4 4" xfId="10222" xr:uid="{015683D1-B425-4BDB-8125-022C4EF3DB32}"/>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3C29602C-A81B-4FC8-937A-4820C2D7BDC5}"/>
    <cellStyle name="Normal 4 4 3 3 5 2 3" xfId="12780" xr:uid="{02336C91-15E7-4C96-9F15-41A8F4927FCE}"/>
    <cellStyle name="Normal 4 4 3 3 5 3" xfId="6418" xr:uid="{00000000-0005-0000-0000-00009D150000}"/>
    <cellStyle name="Normal 4 4 3 3 5 3 2" xfId="14853" xr:uid="{D8BD7CF9-1C88-4357-A670-7D6705D56F05}"/>
    <cellStyle name="Normal 4 4 3 3 5 4" xfId="10635" xr:uid="{9DA899DC-566D-4038-B5C1-493C44CD4E22}"/>
    <cellStyle name="Normal 4 4 3 3 6" xfId="2547" xr:uid="{00000000-0005-0000-0000-00009E150000}"/>
    <cellStyle name="Normal 4 4 3 3 6 2" xfId="6831" xr:uid="{00000000-0005-0000-0000-00009F150000}"/>
    <cellStyle name="Normal 4 4 3 3 6 2 2" xfId="15266" xr:uid="{BECC4E3E-8F2C-4992-B244-62C968B27A0E}"/>
    <cellStyle name="Normal 4 4 3 3 6 3" xfId="11048" xr:uid="{B75C9774-B64F-4FB7-A4F6-22F63D5EA532}"/>
    <cellStyle name="Normal 4 4 3 3 7" xfId="4766" xr:uid="{00000000-0005-0000-0000-0000A0150000}"/>
    <cellStyle name="Normal 4 4 3 3 7 2" xfId="13201" xr:uid="{CD2459E3-A561-4121-A7B9-2747D844668F}"/>
    <cellStyle name="Normal 4 4 3 3 8" xfId="8983" xr:uid="{D667CB6C-A3B9-4798-B68A-C7855CB08FCC}"/>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EFB5EB72-85C4-4870-AAF7-A1E660ABB3CE}"/>
    <cellStyle name="Normal 4 4 3 4 2 3" xfId="11538" xr:uid="{7726C043-7AC8-4E58-B5C8-20A832B06D2A}"/>
    <cellStyle name="Normal 4 4 3 4 3" xfId="5176" xr:uid="{00000000-0005-0000-0000-0000A4150000}"/>
    <cellStyle name="Normal 4 4 3 4 3 2" xfId="13611" xr:uid="{8915A327-3B5A-4932-9974-B43AA0B55620}"/>
    <cellStyle name="Normal 4 4 3 4 4" xfId="9393" xr:uid="{1249EEFC-B1CF-42CC-B812-78ED21F212D8}"/>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B3680966-8E1A-43D1-9926-3B3A2B6C9D6F}"/>
    <cellStyle name="Normal 4 4 3 5 2 3" xfId="11951" xr:uid="{3F1FF72E-86B0-4B10-9B1F-A932B04DB787}"/>
    <cellStyle name="Normal 4 4 3 5 3" xfId="5589" xr:uid="{00000000-0005-0000-0000-0000A8150000}"/>
    <cellStyle name="Normal 4 4 3 5 3 2" xfId="14024" xr:uid="{CD024F71-D143-4C11-9BE9-F21BD87D711A}"/>
    <cellStyle name="Normal 4 4 3 5 4" xfId="9806" xr:uid="{E86422EA-ABF5-4A54-9F80-C2CBEC7D7ECB}"/>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81186BD8-52EF-4EA9-B334-E00343BFA3AD}"/>
    <cellStyle name="Normal 4 4 3 6 2 3" xfId="12364" xr:uid="{76899BC2-0DCE-4750-8A15-B8CDEBAD5774}"/>
    <cellStyle name="Normal 4 4 3 6 3" xfId="6002" xr:uid="{00000000-0005-0000-0000-0000AC150000}"/>
    <cellStyle name="Normal 4 4 3 6 3 2" xfId="14437" xr:uid="{2A1543EB-2E0F-4531-87A3-6744CD932204}"/>
    <cellStyle name="Normal 4 4 3 6 4" xfId="10219" xr:uid="{3941444D-7FBA-4B50-BE6E-3E7B7A953CBA}"/>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D974A6B1-8ECB-44D2-AD98-0E77E316D7C9}"/>
    <cellStyle name="Normal 4 4 3 7 2 3" xfId="12777" xr:uid="{8E514B33-D0CA-48A4-AF1A-907C9461DE9F}"/>
    <cellStyle name="Normal 4 4 3 7 3" xfId="6415" xr:uid="{00000000-0005-0000-0000-0000B0150000}"/>
    <cellStyle name="Normal 4 4 3 7 3 2" xfId="14850" xr:uid="{0D796DFF-6362-463F-A4D1-C5B7F1FE0EC5}"/>
    <cellStyle name="Normal 4 4 3 7 4" xfId="10632" xr:uid="{F6432BB3-73BB-4867-9A3E-10543EFD6C5C}"/>
    <cellStyle name="Normal 4 4 3 8" xfId="2544" xr:uid="{00000000-0005-0000-0000-0000B1150000}"/>
    <cellStyle name="Normal 4 4 3 8 2" xfId="6828" xr:uid="{00000000-0005-0000-0000-0000B2150000}"/>
    <cellStyle name="Normal 4 4 3 8 2 2" xfId="15263" xr:uid="{DA6F738B-37E9-4C6B-94E1-222B0AEB6A64}"/>
    <cellStyle name="Normal 4 4 3 8 3" xfId="11045" xr:uid="{51D46283-21B7-42FB-94F7-7499632139FF}"/>
    <cellStyle name="Normal 4 4 3 9" xfId="4763" xr:uid="{00000000-0005-0000-0000-0000B3150000}"/>
    <cellStyle name="Normal 4 4 3 9 2" xfId="13198" xr:uid="{8B46BE57-2FAC-4E3B-944D-6908FDCFB39F}"/>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5D75D232-FB5C-4A49-9BEC-B3AB3324C392}"/>
    <cellStyle name="Normal 4 4 4 2 2 2 3" xfId="11543" xr:uid="{C31DBD72-4B1E-48C3-8342-608012525B22}"/>
    <cellStyle name="Normal 4 4 4 2 2 3" xfId="5181" xr:uid="{00000000-0005-0000-0000-0000B9150000}"/>
    <cellStyle name="Normal 4 4 4 2 2 3 2" xfId="13616" xr:uid="{499C049A-3ECF-42CB-B971-59FBD8A565DE}"/>
    <cellStyle name="Normal 4 4 4 2 2 4" xfId="9398" xr:uid="{49DD654E-D6FB-4477-9633-B70851947652}"/>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A49A6C45-FFDE-404A-87BA-576EDFF8555A}"/>
    <cellStyle name="Normal 4 4 4 2 3 2 3" xfId="11956" xr:uid="{9F32C82F-EE16-48F0-B259-81F26747298E}"/>
    <cellStyle name="Normal 4 4 4 2 3 3" xfId="5594" xr:uid="{00000000-0005-0000-0000-0000BD150000}"/>
    <cellStyle name="Normal 4 4 4 2 3 3 2" xfId="14029" xr:uid="{2FE416FE-CD6A-4571-AD19-F5E647C33935}"/>
    <cellStyle name="Normal 4 4 4 2 3 4" xfId="9811" xr:uid="{04CF38DB-4C30-45FC-9F0D-96EE9C1E5401}"/>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EAB3BB9C-2041-47F3-A0B8-3E28036B4654}"/>
    <cellStyle name="Normal 4 4 4 2 4 2 3" xfId="12369" xr:uid="{AD47BF08-3F6B-4C7B-B7F9-ADAA58CF9CCA}"/>
    <cellStyle name="Normal 4 4 4 2 4 3" xfId="6007" xr:uid="{00000000-0005-0000-0000-0000C1150000}"/>
    <cellStyle name="Normal 4 4 4 2 4 3 2" xfId="14442" xr:uid="{BF358635-84CD-443A-B522-C56238A1B6D9}"/>
    <cellStyle name="Normal 4 4 4 2 4 4" xfId="10224" xr:uid="{23300C9D-5F4C-45E0-8AA9-F30A88F978F8}"/>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F9F6AAC3-CFBE-46CA-ADD2-068E7CEEF0E7}"/>
    <cellStyle name="Normal 4 4 4 2 5 2 3" xfId="12782" xr:uid="{B3D40A35-B3D8-4A8B-B92F-2881AC06275D}"/>
    <cellStyle name="Normal 4 4 4 2 5 3" xfId="6420" xr:uid="{00000000-0005-0000-0000-0000C5150000}"/>
    <cellStyle name="Normal 4 4 4 2 5 3 2" xfId="14855" xr:uid="{12C3F15A-0747-4D66-A657-5EE08460FB8E}"/>
    <cellStyle name="Normal 4 4 4 2 5 4" xfId="10637" xr:uid="{84E6CC72-A7C3-4310-9D8E-7BB7850A7602}"/>
    <cellStyle name="Normal 4 4 4 2 6" xfId="2549" xr:uid="{00000000-0005-0000-0000-0000C6150000}"/>
    <cellStyle name="Normal 4 4 4 2 6 2" xfId="6833" xr:uid="{00000000-0005-0000-0000-0000C7150000}"/>
    <cellStyle name="Normal 4 4 4 2 6 2 2" xfId="15268" xr:uid="{AD599585-0FD2-4CAA-84CC-0CCEE629AF59}"/>
    <cellStyle name="Normal 4 4 4 2 6 3" xfId="11050" xr:uid="{F5ABD3DD-DFED-4F2A-984C-1FF9BAA9E520}"/>
    <cellStyle name="Normal 4 4 4 2 7" xfId="4768" xr:uid="{00000000-0005-0000-0000-0000C8150000}"/>
    <cellStyle name="Normal 4 4 4 2 7 2" xfId="13203" xr:uid="{462DCAC8-93C2-4D77-81BB-D10A1BC44DAC}"/>
    <cellStyle name="Normal 4 4 4 2 8" xfId="8985" xr:uid="{CD51A3B0-6DA9-4424-AFF7-A993E8FAEFDD}"/>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C9F51CD4-F77F-4814-9CA4-00247FF5F5EA}"/>
    <cellStyle name="Normal 4 4 4 3 2 3" xfId="11542" xr:uid="{5D7652CD-BB01-45D4-BEBB-C129BB1C0F19}"/>
    <cellStyle name="Normal 4 4 4 3 3" xfId="5180" xr:uid="{00000000-0005-0000-0000-0000CC150000}"/>
    <cellStyle name="Normal 4 4 4 3 3 2" xfId="13615" xr:uid="{A72F08DB-7295-4434-88EF-F20CA9DB5001}"/>
    <cellStyle name="Normal 4 4 4 3 4" xfId="9397" xr:uid="{A60F1075-D7B4-4884-98C6-2BC69E3101B0}"/>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A2BF6602-B5BF-486E-8B6E-51403F2E0E15}"/>
    <cellStyle name="Normal 4 4 4 4 2 3" xfId="11955" xr:uid="{6F9E44D3-4EFC-4E4D-B9F9-32C356BA2C03}"/>
    <cellStyle name="Normal 4 4 4 4 3" xfId="5593" xr:uid="{00000000-0005-0000-0000-0000D0150000}"/>
    <cellStyle name="Normal 4 4 4 4 3 2" xfId="14028" xr:uid="{0C7D2657-87BB-4157-B539-995EB83A9F14}"/>
    <cellStyle name="Normal 4 4 4 4 4" xfId="9810" xr:uid="{4B37FEE6-1553-4F0D-81C3-EB1FC8DBAEE1}"/>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4A3ADDCD-A416-4F17-A022-91C23DCB3919}"/>
    <cellStyle name="Normal 4 4 4 5 2 3" xfId="12368" xr:uid="{6EE54A4C-84EA-4162-809B-C3A8B50A7E3C}"/>
    <cellStyle name="Normal 4 4 4 5 3" xfId="6006" xr:uid="{00000000-0005-0000-0000-0000D4150000}"/>
    <cellStyle name="Normal 4 4 4 5 3 2" xfId="14441" xr:uid="{EBAD7750-EC39-4859-A499-C3D783CB5525}"/>
    <cellStyle name="Normal 4 4 4 5 4" xfId="10223" xr:uid="{97FDADA5-8F6A-4323-B4FC-C6BE744F60BB}"/>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612B1B75-14CA-4919-94EE-D633C5D443F7}"/>
    <cellStyle name="Normal 4 4 4 6 2 3" xfId="12781" xr:uid="{5938D603-A4AD-4795-A3CE-42CB02BA8677}"/>
    <cellStyle name="Normal 4 4 4 6 3" xfId="6419" xr:uid="{00000000-0005-0000-0000-0000D8150000}"/>
    <cellStyle name="Normal 4 4 4 6 3 2" xfId="14854" xr:uid="{745B988A-5C7E-47E0-A89C-CD25796E2797}"/>
    <cellStyle name="Normal 4 4 4 6 4" xfId="10636" xr:uid="{CC5FBA13-84E0-4EE9-BF74-D1246E12DFD0}"/>
    <cellStyle name="Normal 4 4 4 7" xfId="2548" xr:uid="{00000000-0005-0000-0000-0000D9150000}"/>
    <cellStyle name="Normal 4 4 4 7 2" xfId="6832" xr:uid="{00000000-0005-0000-0000-0000DA150000}"/>
    <cellStyle name="Normal 4 4 4 7 2 2" xfId="15267" xr:uid="{05000B6D-75C3-442A-9C61-CEB65F4438FB}"/>
    <cellStyle name="Normal 4 4 4 7 3" xfId="11049" xr:uid="{DE0F36ED-9312-4B62-A678-18FE2EFC8ED6}"/>
    <cellStyle name="Normal 4 4 4 8" xfId="4767" xr:uid="{00000000-0005-0000-0000-0000DB150000}"/>
    <cellStyle name="Normal 4 4 4 8 2" xfId="13202" xr:uid="{6B1098AC-1D64-41E5-9DD3-DA3B0966E42A}"/>
    <cellStyle name="Normal 4 4 4 9" xfId="8984" xr:uid="{0F9FE381-EE05-4046-BDB7-D4D24B2DAEBB}"/>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00E7E251-51F3-4218-82D0-CDF98BE9D568}"/>
    <cellStyle name="Normal 4 4 5 2 2 3" xfId="11544" xr:uid="{B9074CD8-B6C8-4068-9C66-3C43BDD5AFFD}"/>
    <cellStyle name="Normal 4 4 5 2 3" xfId="5182" xr:uid="{00000000-0005-0000-0000-0000E0150000}"/>
    <cellStyle name="Normal 4 4 5 2 3 2" xfId="13617" xr:uid="{DFA51A93-927F-48C7-B478-AD0D1B2B060F}"/>
    <cellStyle name="Normal 4 4 5 2 4" xfId="9399" xr:uid="{BC85EC70-1034-4A8F-8110-9CC7B88CC258}"/>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0E92167B-9C27-4346-85EC-4C16EBD4C251}"/>
    <cellStyle name="Normal 4 4 5 3 2 3" xfId="11957" xr:uid="{C73C2076-1A82-4D19-9793-8DEA5BC12C90}"/>
    <cellStyle name="Normal 4 4 5 3 3" xfId="5595" xr:uid="{00000000-0005-0000-0000-0000E4150000}"/>
    <cellStyle name="Normal 4 4 5 3 3 2" xfId="14030" xr:uid="{652DE274-D2FF-482C-BA76-C8BB023FE3D3}"/>
    <cellStyle name="Normal 4 4 5 3 4" xfId="9812" xr:uid="{7B3172BD-AE14-4C71-A768-0582905FBABD}"/>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522C9852-C096-4D7E-8261-89AD101B408B}"/>
    <cellStyle name="Normal 4 4 5 4 2 3" xfId="12370" xr:uid="{6C92A74C-8EFB-4F14-A005-E332627DFC92}"/>
    <cellStyle name="Normal 4 4 5 4 3" xfId="6008" xr:uid="{00000000-0005-0000-0000-0000E8150000}"/>
    <cellStyle name="Normal 4 4 5 4 3 2" xfId="14443" xr:uid="{D6FB6D6B-6DA0-4937-82FF-31C1F1C451A9}"/>
    <cellStyle name="Normal 4 4 5 4 4" xfId="10225" xr:uid="{D9BBA613-C22E-426F-B7AE-B78E2728D816}"/>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1DF0731C-0524-4B32-A9FC-BE82CED18469}"/>
    <cellStyle name="Normal 4 4 5 5 2 3" xfId="12783" xr:uid="{C56D97AD-77D0-4229-8722-5E9CD0B1B109}"/>
    <cellStyle name="Normal 4 4 5 5 3" xfId="6421" xr:uid="{00000000-0005-0000-0000-0000EC150000}"/>
    <cellStyle name="Normal 4 4 5 5 3 2" xfId="14856" xr:uid="{ED537117-5FA3-4C5F-BD04-CD3E84074EF7}"/>
    <cellStyle name="Normal 4 4 5 5 4" xfId="10638" xr:uid="{364D2F04-3444-42C3-A192-C41D0A0D3B59}"/>
    <cellStyle name="Normal 4 4 5 6" xfId="2550" xr:uid="{00000000-0005-0000-0000-0000ED150000}"/>
    <cellStyle name="Normal 4 4 5 6 2" xfId="6834" xr:uid="{00000000-0005-0000-0000-0000EE150000}"/>
    <cellStyle name="Normal 4 4 5 6 2 2" xfId="15269" xr:uid="{87D64415-648E-4AC4-AEA3-FCD260542D3C}"/>
    <cellStyle name="Normal 4 4 5 6 3" xfId="11051" xr:uid="{A4D133E6-FE4B-42FB-B766-AC8EFF2BE43C}"/>
    <cellStyle name="Normal 4 4 5 7" xfId="4769" xr:uid="{00000000-0005-0000-0000-0000EF150000}"/>
    <cellStyle name="Normal 4 4 5 7 2" xfId="13204" xr:uid="{B6E8F067-678D-4BD1-863D-F10EC853F750}"/>
    <cellStyle name="Normal 4 4 5 8" xfId="8986" xr:uid="{C765BFC3-55A1-4E9F-B7D3-917BB7ECE51A}"/>
    <cellStyle name="Normal 4 4 6" xfId="854" xr:uid="{00000000-0005-0000-0000-0000F0150000}"/>
    <cellStyle name="Normal 4 4 6 2" xfId="3089" xr:uid="{00000000-0005-0000-0000-0000F1150000}"/>
    <cellStyle name="Normal 4 4 6 2 2" xfId="7312" xr:uid="{00000000-0005-0000-0000-0000F2150000}"/>
    <cellStyle name="Normal 4 4 6 2 2 2" xfId="15747" xr:uid="{D2BEAE42-C36E-45C3-B38B-FACA26C21403}"/>
    <cellStyle name="Normal 4 4 6 2 3" xfId="11529" xr:uid="{E03928AC-8A5F-474A-817F-4200DE89CB57}"/>
    <cellStyle name="Normal 4 4 6 3" xfId="5167" xr:uid="{00000000-0005-0000-0000-0000F3150000}"/>
    <cellStyle name="Normal 4 4 6 3 2" xfId="13602" xr:uid="{B0C9E27A-09C4-4456-9FAE-7A4E424D27D4}"/>
    <cellStyle name="Normal 4 4 6 4" xfId="9384" xr:uid="{95254AC9-8A84-4CFB-833E-236322AC3B13}"/>
    <cellStyle name="Normal 4 4 7" xfId="1272" xr:uid="{00000000-0005-0000-0000-0000F4150000}"/>
    <cellStyle name="Normal 4 4 7 2" xfId="3502" xr:uid="{00000000-0005-0000-0000-0000F5150000}"/>
    <cellStyle name="Normal 4 4 7 2 2" xfId="7725" xr:uid="{00000000-0005-0000-0000-0000F6150000}"/>
    <cellStyle name="Normal 4 4 7 2 2 2" xfId="16160" xr:uid="{3F8AB911-1E97-4AEE-B570-64E9A87E6072}"/>
    <cellStyle name="Normal 4 4 7 2 3" xfId="11942" xr:uid="{5C8A3503-0B66-4F97-A868-17E60619D177}"/>
    <cellStyle name="Normal 4 4 7 3" xfId="5580" xr:uid="{00000000-0005-0000-0000-0000F7150000}"/>
    <cellStyle name="Normal 4 4 7 3 2" xfId="14015" xr:uid="{16DBE0F3-4950-4DF6-A8C1-793C4DE88A5F}"/>
    <cellStyle name="Normal 4 4 7 4" xfId="9797" xr:uid="{CC36B8C1-1BDB-4AE1-BC62-F353C4252A9A}"/>
    <cellStyle name="Normal 4 4 8" xfId="1685" xr:uid="{00000000-0005-0000-0000-0000F8150000}"/>
    <cellStyle name="Normal 4 4 8 2" xfId="3915" xr:uid="{00000000-0005-0000-0000-0000F9150000}"/>
    <cellStyle name="Normal 4 4 8 2 2" xfId="8138" xr:uid="{00000000-0005-0000-0000-0000FA150000}"/>
    <cellStyle name="Normal 4 4 8 2 2 2" xfId="16573" xr:uid="{1B793A9E-161E-4E3B-8C61-DC3C955C76A5}"/>
    <cellStyle name="Normal 4 4 8 2 3" xfId="12355" xr:uid="{D46A7B7B-BACF-4196-8DC7-35DBFC505E4F}"/>
    <cellStyle name="Normal 4 4 8 3" xfId="5993" xr:uid="{00000000-0005-0000-0000-0000FB150000}"/>
    <cellStyle name="Normal 4 4 8 3 2" xfId="14428" xr:uid="{11B938E8-F0FB-4D9B-9B1C-F47F65EE5CB4}"/>
    <cellStyle name="Normal 4 4 8 4" xfId="10210" xr:uid="{A6C7D701-30A9-4291-AAC0-341FEFC9CD9A}"/>
    <cellStyle name="Normal 4 4 9" xfId="2099" xr:uid="{00000000-0005-0000-0000-0000FC150000}"/>
    <cellStyle name="Normal 4 4 9 2" xfId="4328" xr:uid="{00000000-0005-0000-0000-0000FD150000}"/>
    <cellStyle name="Normal 4 4 9 2 2" xfId="8551" xr:uid="{00000000-0005-0000-0000-0000FE150000}"/>
    <cellStyle name="Normal 4 4 9 2 2 2" xfId="16986" xr:uid="{B7C83C37-5A98-4135-9F47-091C37E4D222}"/>
    <cellStyle name="Normal 4 4 9 2 3" xfId="12768" xr:uid="{A5A2868E-0DE6-4854-ACA0-3E3333C9F807}"/>
    <cellStyle name="Normal 4 4 9 3" xfId="6406" xr:uid="{00000000-0005-0000-0000-0000FF150000}"/>
    <cellStyle name="Normal 4 4 9 3 2" xfId="14841" xr:uid="{3171A739-D11F-478D-B722-D5034B220ECD}"/>
    <cellStyle name="Normal 4 4 9 4" xfId="10623" xr:uid="{EEF9F0A7-355E-4AC8-B33A-CE6F5534D130}"/>
    <cellStyle name="Normal 4 5" xfId="394" xr:uid="{00000000-0005-0000-0000-000000160000}"/>
    <cellStyle name="Normal 4 6" xfId="395" xr:uid="{00000000-0005-0000-0000-000001160000}"/>
    <cellStyle name="Normal 4 6 10" xfId="4770" xr:uid="{00000000-0005-0000-0000-000002160000}"/>
    <cellStyle name="Normal 4 6 10 2" xfId="13205" xr:uid="{A6D48821-C755-46CB-86E5-D7857E863C2E}"/>
    <cellStyle name="Normal 4 6 11" xfId="8987" xr:uid="{7CEE8C65-58B4-4756-8BA1-BF91320B5C46}"/>
    <cellStyle name="Normal 4 6 2" xfId="396" xr:uid="{00000000-0005-0000-0000-000003160000}"/>
    <cellStyle name="Normal 4 6 2 10" xfId="8988" xr:uid="{632952CA-25C7-466F-8288-36273286B523}"/>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D498C21F-C4B8-47C9-BEB3-1C8BD65DCC64}"/>
    <cellStyle name="Normal 4 6 2 2 2 2 2 3" xfId="11548" xr:uid="{7219C19B-BCE9-43AD-9DA3-6120EFD199CC}"/>
    <cellStyle name="Normal 4 6 2 2 2 2 3" xfId="5186" xr:uid="{00000000-0005-0000-0000-000009160000}"/>
    <cellStyle name="Normal 4 6 2 2 2 2 3 2" xfId="13621" xr:uid="{C28E15BC-940E-4AF3-85BA-440B1E70BBC4}"/>
    <cellStyle name="Normal 4 6 2 2 2 2 4" xfId="9403" xr:uid="{F245E09A-795F-4FD6-84AF-AE6A36CD92EE}"/>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5A1F46A7-79C9-4911-B97A-FD497172ED55}"/>
    <cellStyle name="Normal 4 6 2 2 2 3 2 3" xfId="11961" xr:uid="{5A384ACF-5DF1-424D-8874-5DA5F27BB074}"/>
    <cellStyle name="Normal 4 6 2 2 2 3 3" xfId="5599" xr:uid="{00000000-0005-0000-0000-00000D160000}"/>
    <cellStyle name="Normal 4 6 2 2 2 3 3 2" xfId="14034" xr:uid="{80A205BE-757C-4C34-B950-B85201C469DD}"/>
    <cellStyle name="Normal 4 6 2 2 2 3 4" xfId="9816" xr:uid="{7528BDED-FC5F-4DD8-82A7-0A722FF276DB}"/>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04763326-CC01-4B3B-B113-063A2CC946B7}"/>
    <cellStyle name="Normal 4 6 2 2 2 4 2 3" xfId="12374" xr:uid="{E1E73474-167D-4DB6-B28C-2D9FD99C1EB1}"/>
    <cellStyle name="Normal 4 6 2 2 2 4 3" xfId="6012" xr:uid="{00000000-0005-0000-0000-000011160000}"/>
    <cellStyle name="Normal 4 6 2 2 2 4 3 2" xfId="14447" xr:uid="{8984C44D-97D9-46D2-8F2F-1972AEB5B636}"/>
    <cellStyle name="Normal 4 6 2 2 2 4 4" xfId="10229" xr:uid="{EED56C48-CD7D-4FF0-A9E1-E6E32D32C895}"/>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C3A27D72-E648-41F8-92FC-85C389E19A64}"/>
    <cellStyle name="Normal 4 6 2 2 2 5 2 3" xfId="12787" xr:uid="{56D2DEC9-733F-4F53-A244-83E863A05056}"/>
    <cellStyle name="Normal 4 6 2 2 2 5 3" xfId="6425" xr:uid="{00000000-0005-0000-0000-000015160000}"/>
    <cellStyle name="Normal 4 6 2 2 2 5 3 2" xfId="14860" xr:uid="{5E9CC8CD-BEFD-433C-BB00-DEAFFB7AEF9A}"/>
    <cellStyle name="Normal 4 6 2 2 2 5 4" xfId="10642" xr:uid="{228B9ED6-29B2-4C00-A718-E395587A3EB6}"/>
    <cellStyle name="Normal 4 6 2 2 2 6" xfId="2554" xr:uid="{00000000-0005-0000-0000-000016160000}"/>
    <cellStyle name="Normal 4 6 2 2 2 6 2" xfId="6838" xr:uid="{00000000-0005-0000-0000-000017160000}"/>
    <cellStyle name="Normal 4 6 2 2 2 6 2 2" xfId="15273" xr:uid="{17CF18FE-F00E-460D-A193-C18E0612107B}"/>
    <cellStyle name="Normal 4 6 2 2 2 6 3" xfId="11055" xr:uid="{C770E0C2-1632-4E38-9AAA-9A6A4D97FCFD}"/>
    <cellStyle name="Normal 4 6 2 2 2 7" xfId="4773" xr:uid="{00000000-0005-0000-0000-000018160000}"/>
    <cellStyle name="Normal 4 6 2 2 2 7 2" xfId="13208" xr:uid="{6453F8B9-E37F-4154-B07F-F120981E9834}"/>
    <cellStyle name="Normal 4 6 2 2 2 8" xfId="8990" xr:uid="{15D4432F-7133-46E2-84C6-4AE6B35A4E5B}"/>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D5776F60-2D13-4BD7-A4C6-5418DC195FCE}"/>
    <cellStyle name="Normal 4 6 2 2 3 2 3" xfId="11547" xr:uid="{3A22BADA-3803-4F1A-B723-A03BD0EDFBCB}"/>
    <cellStyle name="Normal 4 6 2 2 3 3" xfId="5185" xr:uid="{00000000-0005-0000-0000-00001C160000}"/>
    <cellStyle name="Normal 4 6 2 2 3 3 2" xfId="13620" xr:uid="{23E8A340-4939-418E-8B5E-B008F5735982}"/>
    <cellStyle name="Normal 4 6 2 2 3 4" xfId="9402" xr:uid="{418727E9-F3E5-4535-AAED-31DDEC140AAB}"/>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2A66F01E-5421-4809-86B9-9EEF21E29C70}"/>
    <cellStyle name="Normal 4 6 2 2 4 2 3" xfId="11960" xr:uid="{083F12B0-3711-4EA1-8250-6BB41D77301A}"/>
    <cellStyle name="Normal 4 6 2 2 4 3" xfId="5598" xr:uid="{00000000-0005-0000-0000-000020160000}"/>
    <cellStyle name="Normal 4 6 2 2 4 3 2" xfId="14033" xr:uid="{DBAE8570-938C-4C6F-BCAF-8507A9A3F1C5}"/>
    <cellStyle name="Normal 4 6 2 2 4 4" xfId="9815" xr:uid="{ECBCE36E-F121-4BA7-B325-0C3FAB22D106}"/>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D475C809-F605-4946-8C4C-E999195E6A1D}"/>
    <cellStyle name="Normal 4 6 2 2 5 2 3" xfId="12373" xr:uid="{A8A7246F-675A-4F88-AD2D-B5779100CE79}"/>
    <cellStyle name="Normal 4 6 2 2 5 3" xfId="6011" xr:uid="{00000000-0005-0000-0000-000024160000}"/>
    <cellStyle name="Normal 4 6 2 2 5 3 2" xfId="14446" xr:uid="{20BCE61D-D2F0-4E74-8CBC-640413C8D1AA}"/>
    <cellStyle name="Normal 4 6 2 2 5 4" xfId="10228" xr:uid="{6C71CC1D-3417-4F9B-B330-A7BA26A1E26E}"/>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E877510E-851B-4589-B198-AB64EB58E91E}"/>
    <cellStyle name="Normal 4 6 2 2 6 2 3" xfId="12786" xr:uid="{9AEB15EB-E1EA-468A-9432-FED8A580618F}"/>
    <cellStyle name="Normal 4 6 2 2 6 3" xfId="6424" xr:uid="{00000000-0005-0000-0000-000028160000}"/>
    <cellStyle name="Normal 4 6 2 2 6 3 2" xfId="14859" xr:uid="{16D191FD-506F-4AD5-A31E-47EB493B5313}"/>
    <cellStyle name="Normal 4 6 2 2 6 4" xfId="10641" xr:uid="{044CF8BF-3079-4BD7-A1C7-5F0B93C980C1}"/>
    <cellStyle name="Normal 4 6 2 2 7" xfId="2553" xr:uid="{00000000-0005-0000-0000-000029160000}"/>
    <cellStyle name="Normal 4 6 2 2 7 2" xfId="6837" xr:uid="{00000000-0005-0000-0000-00002A160000}"/>
    <cellStyle name="Normal 4 6 2 2 7 2 2" xfId="15272" xr:uid="{CDAFB9E7-5413-4B94-81DE-E4A5AB159E35}"/>
    <cellStyle name="Normal 4 6 2 2 7 3" xfId="11054" xr:uid="{91CB5D2C-6BC8-4A12-B256-D6C6F3EE50C0}"/>
    <cellStyle name="Normal 4 6 2 2 8" xfId="4772" xr:uid="{00000000-0005-0000-0000-00002B160000}"/>
    <cellStyle name="Normal 4 6 2 2 8 2" xfId="13207" xr:uid="{1BE93B60-52D0-4968-A8F0-A7EEC979092C}"/>
    <cellStyle name="Normal 4 6 2 2 9" xfId="8989" xr:uid="{EF22608B-9257-4EEA-BFC0-A5CC7280B087}"/>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3460E460-0AA6-4701-8327-9CABD57ADC0A}"/>
    <cellStyle name="Normal 4 6 2 3 2 2 3" xfId="11549" xr:uid="{57021BA3-471F-45BF-9447-DB1BCCC4EC56}"/>
    <cellStyle name="Normal 4 6 2 3 2 3" xfId="5187" xr:uid="{00000000-0005-0000-0000-000030160000}"/>
    <cellStyle name="Normal 4 6 2 3 2 3 2" xfId="13622" xr:uid="{935BB52E-64A4-4D60-9695-EDC234B4094E}"/>
    <cellStyle name="Normal 4 6 2 3 2 4" xfId="9404" xr:uid="{1A2E0B4E-3673-4DB0-B994-BE2B7707AA56}"/>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4B8361DA-FA4B-4549-BE77-DAC8BD95D44D}"/>
    <cellStyle name="Normal 4 6 2 3 3 2 3" xfId="11962" xr:uid="{BAB1A9EB-5A56-4EE9-A4DC-9F1F4AF57F50}"/>
    <cellStyle name="Normal 4 6 2 3 3 3" xfId="5600" xr:uid="{00000000-0005-0000-0000-000034160000}"/>
    <cellStyle name="Normal 4 6 2 3 3 3 2" xfId="14035" xr:uid="{5819794B-C463-4326-9540-3A4DF7E66027}"/>
    <cellStyle name="Normal 4 6 2 3 3 4" xfId="9817" xr:uid="{C3BF0862-C3C3-4421-ADA1-1B806DE47597}"/>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EA9E6836-DCFD-4CAB-AB83-92A23C3F0E8F}"/>
    <cellStyle name="Normal 4 6 2 3 4 2 3" xfId="12375" xr:uid="{0129CFB6-F1DA-4B12-BF4B-C7A3951F5403}"/>
    <cellStyle name="Normal 4 6 2 3 4 3" xfId="6013" xr:uid="{00000000-0005-0000-0000-000038160000}"/>
    <cellStyle name="Normal 4 6 2 3 4 3 2" xfId="14448" xr:uid="{59BCFE3F-E009-499C-BE6C-456D352E010C}"/>
    <cellStyle name="Normal 4 6 2 3 4 4" xfId="10230" xr:uid="{368253A0-A42C-4932-B382-A8AEE46D33BD}"/>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DEF7DD3C-0369-4EBF-916E-33E73A60B082}"/>
    <cellStyle name="Normal 4 6 2 3 5 2 3" xfId="12788" xr:uid="{A64E67D3-06FA-4526-AEAA-F60D9FE89BCE}"/>
    <cellStyle name="Normal 4 6 2 3 5 3" xfId="6426" xr:uid="{00000000-0005-0000-0000-00003C160000}"/>
    <cellStyle name="Normal 4 6 2 3 5 3 2" xfId="14861" xr:uid="{5B98CAF5-9B22-4876-8999-31EDC91FDE85}"/>
    <cellStyle name="Normal 4 6 2 3 5 4" xfId="10643" xr:uid="{5C46FBA9-DCA7-4ACB-B459-FAA844568568}"/>
    <cellStyle name="Normal 4 6 2 3 6" xfId="2555" xr:uid="{00000000-0005-0000-0000-00003D160000}"/>
    <cellStyle name="Normal 4 6 2 3 6 2" xfId="6839" xr:uid="{00000000-0005-0000-0000-00003E160000}"/>
    <cellStyle name="Normal 4 6 2 3 6 2 2" xfId="15274" xr:uid="{6E350B78-D722-42A5-A012-2B03A0CDEF93}"/>
    <cellStyle name="Normal 4 6 2 3 6 3" xfId="11056" xr:uid="{B77D2A8C-68B9-4898-B716-0169B7B9E98D}"/>
    <cellStyle name="Normal 4 6 2 3 7" xfId="4774" xr:uid="{00000000-0005-0000-0000-00003F160000}"/>
    <cellStyle name="Normal 4 6 2 3 7 2" xfId="13209" xr:uid="{28E86E9B-650A-40B2-A5ED-CDE1B998F619}"/>
    <cellStyle name="Normal 4 6 2 3 8" xfId="8991" xr:uid="{8129837B-FAC1-444B-8816-B0533CE4A2EC}"/>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A1AF08C8-7715-4978-B408-CCEC9956D802}"/>
    <cellStyle name="Normal 4 6 2 4 2 3" xfId="11546" xr:uid="{E6862DED-7DDE-4402-8080-247B2BB42800}"/>
    <cellStyle name="Normal 4 6 2 4 3" xfId="5184" xr:uid="{00000000-0005-0000-0000-000043160000}"/>
    <cellStyle name="Normal 4 6 2 4 3 2" xfId="13619" xr:uid="{E7F7341D-4068-4A1E-8DC7-F7C5C8756553}"/>
    <cellStyle name="Normal 4 6 2 4 4" xfId="9401" xr:uid="{FCA98362-17F2-4687-ADAB-36189EFC86C4}"/>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265190AE-2D47-4BCE-8F0D-79359E312C3B}"/>
    <cellStyle name="Normal 4 6 2 5 2 3" xfId="11959" xr:uid="{12317202-58AB-468D-BD18-20C38A178005}"/>
    <cellStyle name="Normal 4 6 2 5 3" xfId="5597" xr:uid="{00000000-0005-0000-0000-000047160000}"/>
    <cellStyle name="Normal 4 6 2 5 3 2" xfId="14032" xr:uid="{01095006-723C-410C-AB62-41C2378C61FE}"/>
    <cellStyle name="Normal 4 6 2 5 4" xfId="9814" xr:uid="{48A31077-8C45-471F-84E7-298983D5CFB9}"/>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87761586-1230-4878-8EB7-5F3F7C9456B8}"/>
    <cellStyle name="Normal 4 6 2 6 2 3" xfId="12372" xr:uid="{876799DC-A1B3-4988-BE22-B939034CE0A3}"/>
    <cellStyle name="Normal 4 6 2 6 3" xfId="6010" xr:uid="{00000000-0005-0000-0000-00004B160000}"/>
    <cellStyle name="Normal 4 6 2 6 3 2" xfId="14445" xr:uid="{9AE1FAEE-457B-43DA-B5A9-194336FB5438}"/>
    <cellStyle name="Normal 4 6 2 6 4" xfId="10227" xr:uid="{BA412F45-6509-4851-85AE-1E369B184A0F}"/>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6BD13B20-4FDD-4F70-8474-BCD9DB8453C6}"/>
    <cellStyle name="Normal 4 6 2 7 2 3" xfId="12785" xr:uid="{63218D2B-F099-4650-8760-1E0756A0AB0E}"/>
    <cellStyle name="Normal 4 6 2 7 3" xfId="6423" xr:uid="{00000000-0005-0000-0000-00004F160000}"/>
    <cellStyle name="Normal 4 6 2 7 3 2" xfId="14858" xr:uid="{E5B0CE91-089C-4D4A-AA57-E9778A27EB4B}"/>
    <cellStyle name="Normal 4 6 2 7 4" xfId="10640" xr:uid="{0B309A57-0E9C-47CD-96E7-17C4E712D38F}"/>
    <cellStyle name="Normal 4 6 2 8" xfId="2552" xr:uid="{00000000-0005-0000-0000-000050160000}"/>
    <cellStyle name="Normal 4 6 2 8 2" xfId="6836" xr:uid="{00000000-0005-0000-0000-000051160000}"/>
    <cellStyle name="Normal 4 6 2 8 2 2" xfId="15271" xr:uid="{11E99905-DB5E-4EDC-9708-6C8BEB9BEE2C}"/>
    <cellStyle name="Normal 4 6 2 8 3" xfId="11053" xr:uid="{216BE81D-BA89-4705-BB94-FD156D12D1C3}"/>
    <cellStyle name="Normal 4 6 2 9" xfId="4771" xr:uid="{00000000-0005-0000-0000-000052160000}"/>
    <cellStyle name="Normal 4 6 2 9 2" xfId="13206" xr:uid="{0AFFE23B-6341-4F45-B211-77B4E907B487}"/>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2F2BC039-8414-4744-A987-C6898EF9C072}"/>
    <cellStyle name="Normal 4 6 3 2 2 2 3" xfId="11551" xr:uid="{53D0D2A7-42B7-40B6-A342-5653A5CA6A5B}"/>
    <cellStyle name="Normal 4 6 3 2 2 3" xfId="5189" xr:uid="{00000000-0005-0000-0000-000058160000}"/>
    <cellStyle name="Normal 4 6 3 2 2 3 2" xfId="13624" xr:uid="{9AD25C34-C0E8-4A93-B945-1688D52A11E9}"/>
    <cellStyle name="Normal 4 6 3 2 2 4" xfId="9406" xr:uid="{3FFE2BB8-4D43-4B36-9058-37DC2EEE54BC}"/>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D2A2B499-88D6-43C4-BBDA-90B1C6F3270F}"/>
    <cellStyle name="Normal 4 6 3 2 3 2 3" xfId="11964" xr:uid="{F510B42C-62DA-4E28-97AF-6A96537C5E7C}"/>
    <cellStyle name="Normal 4 6 3 2 3 3" xfId="5602" xr:uid="{00000000-0005-0000-0000-00005C160000}"/>
    <cellStyle name="Normal 4 6 3 2 3 3 2" xfId="14037" xr:uid="{70F2EA49-6078-4D77-84E1-2BBCE963E965}"/>
    <cellStyle name="Normal 4 6 3 2 3 4" xfId="9819" xr:uid="{6A31F030-51EC-48BF-AE65-C78310A4B730}"/>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CA9C2D85-0F97-4ED0-BC21-95CEBC56BC70}"/>
    <cellStyle name="Normal 4 6 3 2 4 2 3" xfId="12377" xr:uid="{F934FDC7-B6C0-4814-929D-2B5089BFC8A2}"/>
    <cellStyle name="Normal 4 6 3 2 4 3" xfId="6015" xr:uid="{00000000-0005-0000-0000-000060160000}"/>
    <cellStyle name="Normal 4 6 3 2 4 3 2" xfId="14450" xr:uid="{BB54A521-2505-46B5-BE1C-1376EF8CF6F1}"/>
    <cellStyle name="Normal 4 6 3 2 4 4" xfId="10232" xr:uid="{C1F9CB79-8C2B-4D91-B46E-70936496060C}"/>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E000A2AD-F9F5-4FF0-A422-871DF4349AC3}"/>
    <cellStyle name="Normal 4 6 3 2 5 2 3" xfId="12790" xr:uid="{D056F59A-B3B1-4DD1-90C5-DFB99568E498}"/>
    <cellStyle name="Normal 4 6 3 2 5 3" xfId="6428" xr:uid="{00000000-0005-0000-0000-000064160000}"/>
    <cellStyle name="Normal 4 6 3 2 5 3 2" xfId="14863" xr:uid="{A3A16E96-1697-46AA-978B-476277F8B569}"/>
    <cellStyle name="Normal 4 6 3 2 5 4" xfId="10645" xr:uid="{79229298-22BF-4BD8-8BCC-BFD7A418DD75}"/>
    <cellStyle name="Normal 4 6 3 2 6" xfId="2557" xr:uid="{00000000-0005-0000-0000-000065160000}"/>
    <cellStyle name="Normal 4 6 3 2 6 2" xfId="6841" xr:uid="{00000000-0005-0000-0000-000066160000}"/>
    <cellStyle name="Normal 4 6 3 2 6 2 2" xfId="15276" xr:uid="{5F6B83A1-640B-4CB0-8F46-3AD84348488B}"/>
    <cellStyle name="Normal 4 6 3 2 6 3" xfId="11058" xr:uid="{F4681A84-1DA8-423C-AED7-FDFAE673960F}"/>
    <cellStyle name="Normal 4 6 3 2 7" xfId="4776" xr:uid="{00000000-0005-0000-0000-000067160000}"/>
    <cellStyle name="Normal 4 6 3 2 7 2" xfId="13211" xr:uid="{B8FDC4C4-DB5A-4276-9896-7C28787ACCCF}"/>
    <cellStyle name="Normal 4 6 3 2 8" xfId="8993" xr:uid="{315A90C9-9875-43C7-A4DF-072E0F7B4566}"/>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86442C6C-FF6A-44CB-8D29-1F40EA39D30D}"/>
    <cellStyle name="Normal 4 6 3 3 2 3" xfId="11550" xr:uid="{87F7B0FD-FAC3-42A4-8982-A803928D1242}"/>
    <cellStyle name="Normal 4 6 3 3 3" xfId="5188" xr:uid="{00000000-0005-0000-0000-00006B160000}"/>
    <cellStyle name="Normal 4 6 3 3 3 2" xfId="13623" xr:uid="{96EA4159-039F-42B4-BE83-9A1F708FEE19}"/>
    <cellStyle name="Normal 4 6 3 3 4" xfId="9405" xr:uid="{5BE09C38-BBFD-48E4-9F3A-323D1BBF854A}"/>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CBF8B172-C23E-4CAD-9284-48599F49239D}"/>
    <cellStyle name="Normal 4 6 3 4 2 3" xfId="11963" xr:uid="{08D03A38-E97C-4FA4-A4C5-1ECCBBF45E0D}"/>
    <cellStyle name="Normal 4 6 3 4 3" xfId="5601" xr:uid="{00000000-0005-0000-0000-00006F160000}"/>
    <cellStyle name="Normal 4 6 3 4 3 2" xfId="14036" xr:uid="{692C8785-05F7-43C9-909D-475C9A4EE647}"/>
    <cellStyle name="Normal 4 6 3 4 4" xfId="9818" xr:uid="{95CB20B2-66A5-46AA-B0BC-986E945123E5}"/>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5640F420-DE4B-47C8-B8DB-954ED0C52E10}"/>
    <cellStyle name="Normal 4 6 3 5 2 3" xfId="12376" xr:uid="{50B3AAA4-6D33-4BAE-BA9B-2763AD514A56}"/>
    <cellStyle name="Normal 4 6 3 5 3" xfId="6014" xr:uid="{00000000-0005-0000-0000-000073160000}"/>
    <cellStyle name="Normal 4 6 3 5 3 2" xfId="14449" xr:uid="{5CA53331-C9D8-47DD-8965-3D8B05EC8007}"/>
    <cellStyle name="Normal 4 6 3 5 4" xfId="10231" xr:uid="{9484E20A-493E-4871-A662-5DC1F1276675}"/>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37BAAC16-FCE2-4C40-8039-D695113A89E1}"/>
    <cellStyle name="Normal 4 6 3 6 2 3" xfId="12789" xr:uid="{22C487E9-18EB-47AE-B6B9-DC9013702714}"/>
    <cellStyle name="Normal 4 6 3 6 3" xfId="6427" xr:uid="{00000000-0005-0000-0000-000077160000}"/>
    <cellStyle name="Normal 4 6 3 6 3 2" xfId="14862" xr:uid="{FEA7B6AC-6C45-4CE5-A18F-9FBDABBCC1A0}"/>
    <cellStyle name="Normal 4 6 3 6 4" xfId="10644" xr:uid="{DAEB690C-8AEC-402F-A0DB-51479BD91367}"/>
    <cellStyle name="Normal 4 6 3 7" xfId="2556" xr:uid="{00000000-0005-0000-0000-000078160000}"/>
    <cellStyle name="Normal 4 6 3 7 2" xfId="6840" xr:uid="{00000000-0005-0000-0000-000079160000}"/>
    <cellStyle name="Normal 4 6 3 7 2 2" xfId="15275" xr:uid="{1D8C7600-F017-4D8C-9BC7-59E73ED8AF96}"/>
    <cellStyle name="Normal 4 6 3 7 3" xfId="11057" xr:uid="{2F965ECC-F548-4244-82B5-182E96BC9BF5}"/>
    <cellStyle name="Normal 4 6 3 8" xfId="4775" xr:uid="{00000000-0005-0000-0000-00007A160000}"/>
    <cellStyle name="Normal 4 6 3 8 2" xfId="13210" xr:uid="{E8F8082B-EC0B-44C1-9686-8EB8BBC13C09}"/>
    <cellStyle name="Normal 4 6 3 9" xfId="8992" xr:uid="{7D89A86E-8089-499C-8362-AB348AD0411D}"/>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ECC2032F-7F11-4278-B1BF-7AD33D83B5B6}"/>
    <cellStyle name="Normal 4 6 4 2 2 3" xfId="11552" xr:uid="{203DBD19-DB84-4D60-9DD8-BCC139487EDE}"/>
    <cellStyle name="Normal 4 6 4 2 3" xfId="5190" xr:uid="{00000000-0005-0000-0000-00007F160000}"/>
    <cellStyle name="Normal 4 6 4 2 3 2" xfId="13625" xr:uid="{C17E8D54-370F-4D5E-AAB2-56CDAB1DA84F}"/>
    <cellStyle name="Normal 4 6 4 2 4" xfId="9407" xr:uid="{E828A3B3-4A8E-4372-B5BA-44073067069C}"/>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AA2C1897-C162-4BD7-B291-771EB6050D49}"/>
    <cellStyle name="Normal 4 6 4 3 2 3" xfId="11965" xr:uid="{CCA033FE-65B2-4D68-8DB6-7C292FDFAD5B}"/>
    <cellStyle name="Normal 4 6 4 3 3" xfId="5603" xr:uid="{00000000-0005-0000-0000-000083160000}"/>
    <cellStyle name="Normal 4 6 4 3 3 2" xfId="14038" xr:uid="{AFCCE821-073C-4BFC-9B96-EC1B5FD6C4C5}"/>
    <cellStyle name="Normal 4 6 4 3 4" xfId="9820" xr:uid="{2579A476-993C-4E08-9BFE-A3C08EA3EE50}"/>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9BB1B545-A011-4443-80D8-95843B11FEC1}"/>
    <cellStyle name="Normal 4 6 4 4 2 3" xfId="12378" xr:uid="{45E8ABB6-C4E9-4856-A4E1-EDA96856F958}"/>
    <cellStyle name="Normal 4 6 4 4 3" xfId="6016" xr:uid="{00000000-0005-0000-0000-000087160000}"/>
    <cellStyle name="Normal 4 6 4 4 3 2" xfId="14451" xr:uid="{EDDA8304-DEC9-4A97-AC92-6E61AE774FEC}"/>
    <cellStyle name="Normal 4 6 4 4 4" xfId="10233" xr:uid="{4E88B504-99CD-4BE6-9B06-D6106F06B864}"/>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909F912E-6BB5-45AD-9109-17058C6799A5}"/>
    <cellStyle name="Normal 4 6 4 5 2 3" xfId="12791" xr:uid="{DA6B963B-9012-48DF-B60D-37B66C90A0FE}"/>
    <cellStyle name="Normal 4 6 4 5 3" xfId="6429" xr:uid="{00000000-0005-0000-0000-00008B160000}"/>
    <cellStyle name="Normal 4 6 4 5 3 2" xfId="14864" xr:uid="{C9FC4D36-EC18-4D20-92F9-272433095B6D}"/>
    <cellStyle name="Normal 4 6 4 5 4" xfId="10646" xr:uid="{43A63610-F731-4689-BA91-5B65FD791793}"/>
    <cellStyle name="Normal 4 6 4 6" xfId="2558" xr:uid="{00000000-0005-0000-0000-00008C160000}"/>
    <cellStyle name="Normal 4 6 4 6 2" xfId="6842" xr:uid="{00000000-0005-0000-0000-00008D160000}"/>
    <cellStyle name="Normal 4 6 4 6 2 2" xfId="15277" xr:uid="{D850776D-9B33-4908-8905-C09F5A0BE8B4}"/>
    <cellStyle name="Normal 4 6 4 6 3" xfId="11059" xr:uid="{7D899DDF-D7DC-4DD3-992B-824D6C3A2F30}"/>
    <cellStyle name="Normal 4 6 4 7" xfId="4777" xr:uid="{00000000-0005-0000-0000-00008E160000}"/>
    <cellStyle name="Normal 4 6 4 7 2" xfId="13212" xr:uid="{EF165BB7-8FE2-4274-9324-E47F591FA9C9}"/>
    <cellStyle name="Normal 4 6 4 8" xfId="8994" xr:uid="{AEAFBDDC-DA74-4324-A9F8-AA822E34DF9F}"/>
    <cellStyle name="Normal 4 6 5" xfId="870" xr:uid="{00000000-0005-0000-0000-00008F160000}"/>
    <cellStyle name="Normal 4 6 5 2" xfId="3105" xr:uid="{00000000-0005-0000-0000-000090160000}"/>
    <cellStyle name="Normal 4 6 5 2 2" xfId="7328" xr:uid="{00000000-0005-0000-0000-000091160000}"/>
    <cellStyle name="Normal 4 6 5 2 2 2" xfId="15763" xr:uid="{F3C45ADE-DD60-423F-8DEA-494B9CDB1F90}"/>
    <cellStyle name="Normal 4 6 5 2 3" xfId="11545" xr:uid="{A7044908-8F10-448F-B312-490679A4FEFA}"/>
    <cellStyle name="Normal 4 6 5 3" xfId="5183" xr:uid="{00000000-0005-0000-0000-000092160000}"/>
    <cellStyle name="Normal 4 6 5 3 2" xfId="13618" xr:uid="{CEEC5553-EEB7-4CE4-B034-4E66A0B57FBD}"/>
    <cellStyle name="Normal 4 6 5 4" xfId="9400" xr:uid="{D75C43B4-0A29-401C-B8BE-00A81AC3B31B}"/>
    <cellStyle name="Normal 4 6 6" xfId="1288" xr:uid="{00000000-0005-0000-0000-000093160000}"/>
    <cellStyle name="Normal 4 6 6 2" xfId="3518" xr:uid="{00000000-0005-0000-0000-000094160000}"/>
    <cellStyle name="Normal 4 6 6 2 2" xfId="7741" xr:uid="{00000000-0005-0000-0000-000095160000}"/>
    <cellStyle name="Normal 4 6 6 2 2 2" xfId="16176" xr:uid="{0450AEBC-A6B5-4310-A383-DE5D53AB2CF9}"/>
    <cellStyle name="Normal 4 6 6 2 3" xfId="11958" xr:uid="{4ACAC6EA-B308-4E88-81B8-3A95CFA42CE6}"/>
    <cellStyle name="Normal 4 6 6 3" xfId="5596" xr:uid="{00000000-0005-0000-0000-000096160000}"/>
    <cellStyle name="Normal 4 6 6 3 2" xfId="14031" xr:uid="{41C8C1CA-7460-411F-ACCA-0404380A81EB}"/>
    <cellStyle name="Normal 4 6 6 4" xfId="9813" xr:uid="{82C6C4F6-A6CB-4FB7-A6A3-10B794EAA689}"/>
    <cellStyle name="Normal 4 6 7" xfId="1701" xr:uid="{00000000-0005-0000-0000-000097160000}"/>
    <cellStyle name="Normal 4 6 7 2" xfId="3931" xr:uid="{00000000-0005-0000-0000-000098160000}"/>
    <cellStyle name="Normal 4 6 7 2 2" xfId="8154" xr:uid="{00000000-0005-0000-0000-000099160000}"/>
    <cellStyle name="Normal 4 6 7 2 2 2" xfId="16589" xr:uid="{023C5B9F-F2AC-4C0D-8B22-4C3FDD235EEB}"/>
    <cellStyle name="Normal 4 6 7 2 3" xfId="12371" xr:uid="{EFCE2D9F-348B-4F20-A7B0-C97C8CDAFB6B}"/>
    <cellStyle name="Normal 4 6 7 3" xfId="6009" xr:uid="{00000000-0005-0000-0000-00009A160000}"/>
    <cellStyle name="Normal 4 6 7 3 2" xfId="14444" xr:uid="{40D3406D-9F51-4DD9-80E2-5AE4018BF6EB}"/>
    <cellStyle name="Normal 4 6 7 4" xfId="10226" xr:uid="{386B0CAA-7D95-470D-A14F-B701D12B9571}"/>
    <cellStyle name="Normal 4 6 8" xfId="2115" xr:uid="{00000000-0005-0000-0000-00009B160000}"/>
    <cellStyle name="Normal 4 6 8 2" xfId="4344" xr:uid="{00000000-0005-0000-0000-00009C160000}"/>
    <cellStyle name="Normal 4 6 8 2 2" xfId="8567" xr:uid="{00000000-0005-0000-0000-00009D160000}"/>
    <cellStyle name="Normal 4 6 8 2 2 2" xfId="17002" xr:uid="{493D3F5C-6C7E-41B8-BDEF-181BFA690C64}"/>
    <cellStyle name="Normal 4 6 8 2 3" xfId="12784" xr:uid="{A6156500-18A9-4042-A3B5-BEE9DE41C70D}"/>
    <cellStyle name="Normal 4 6 8 3" xfId="6422" xr:uid="{00000000-0005-0000-0000-00009E160000}"/>
    <cellStyle name="Normal 4 6 8 3 2" xfId="14857" xr:uid="{2679A109-4114-4BEB-BA91-E3AD2770D69A}"/>
    <cellStyle name="Normal 4 6 8 4" xfId="10639" xr:uid="{29BC76A7-C470-436E-BFF2-05708D014DAD}"/>
    <cellStyle name="Normal 4 6 9" xfId="2551" xr:uid="{00000000-0005-0000-0000-00009F160000}"/>
    <cellStyle name="Normal 4 6 9 2" xfId="6835" xr:uid="{00000000-0005-0000-0000-0000A0160000}"/>
    <cellStyle name="Normal 4 6 9 2 2" xfId="15270" xr:uid="{261DBDE1-D4CC-4672-9D98-FCE45E65F5C0}"/>
    <cellStyle name="Normal 4 6 9 3" xfId="11052" xr:uid="{AA27C8A1-3EDE-4771-B9E2-DD25F5C056CB}"/>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2519DA9B-24D9-4236-BC3A-CBD142E218BE}"/>
    <cellStyle name="Normal 4 7 2 2 2 3" xfId="11554" xr:uid="{2A82BB15-3936-4680-BDC9-78D74B36DA50}"/>
    <cellStyle name="Normal 4 7 2 2 3" xfId="5192" xr:uid="{00000000-0005-0000-0000-0000A6160000}"/>
    <cellStyle name="Normal 4 7 2 2 3 2" xfId="13627" xr:uid="{A7A4DC8D-3C7B-485E-8EF2-968F0BCAB96B}"/>
    <cellStyle name="Normal 4 7 2 2 4" xfId="9409" xr:uid="{BF26E83D-EF3C-416C-BDCA-14737FF81054}"/>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A2EF534B-610A-426A-9ACA-730DCE06EA5F}"/>
    <cellStyle name="Normal 4 7 2 3 2 3" xfId="11967" xr:uid="{F4BF9619-B42A-4F69-8BC0-C41270AFBB83}"/>
    <cellStyle name="Normal 4 7 2 3 3" xfId="5605" xr:uid="{00000000-0005-0000-0000-0000AA160000}"/>
    <cellStyle name="Normal 4 7 2 3 3 2" xfId="14040" xr:uid="{44F15FA2-7A41-421F-9D35-389DA8C81B61}"/>
    <cellStyle name="Normal 4 7 2 3 4" xfId="9822" xr:uid="{4584F634-9EAD-46EA-A555-227A6E979171}"/>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FB7CE646-DC79-41BA-BE29-F57ED83E25EA}"/>
    <cellStyle name="Normal 4 7 2 4 2 3" xfId="12380" xr:uid="{7B7142BC-2CD3-40AA-B99A-0DCCF63C740F}"/>
    <cellStyle name="Normal 4 7 2 4 3" xfId="6018" xr:uid="{00000000-0005-0000-0000-0000AE160000}"/>
    <cellStyle name="Normal 4 7 2 4 3 2" xfId="14453" xr:uid="{8FDC8A89-C714-4773-9C2B-EB56FABC2552}"/>
    <cellStyle name="Normal 4 7 2 4 4" xfId="10235" xr:uid="{1F224275-AC99-4D4C-979E-51E0D35F5DC5}"/>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630353BE-4CDF-465E-A128-7A2F1D93038B}"/>
    <cellStyle name="Normal 4 7 2 5 2 3" xfId="12793" xr:uid="{04F5E7A2-B540-4839-B5AB-D6059CA40583}"/>
    <cellStyle name="Normal 4 7 2 5 3" xfId="6431" xr:uid="{00000000-0005-0000-0000-0000B2160000}"/>
    <cellStyle name="Normal 4 7 2 5 3 2" xfId="14866" xr:uid="{CFB2B0AC-7D16-487B-AE5E-04D6DB39DB9E}"/>
    <cellStyle name="Normal 4 7 2 5 4" xfId="10648" xr:uid="{769CA663-621B-4B34-8070-10118666EAAD}"/>
    <cellStyle name="Normal 4 7 2 6" xfId="2560" xr:uid="{00000000-0005-0000-0000-0000B3160000}"/>
    <cellStyle name="Normal 4 7 2 6 2" xfId="6844" xr:uid="{00000000-0005-0000-0000-0000B4160000}"/>
    <cellStyle name="Normal 4 7 2 6 2 2" xfId="15279" xr:uid="{F2FF35E7-A82E-4C10-9840-003E077F6257}"/>
    <cellStyle name="Normal 4 7 2 6 3" xfId="11061" xr:uid="{54F872EC-FF0F-43C5-9A62-67AD8209C25B}"/>
    <cellStyle name="Normal 4 7 2 7" xfId="4779" xr:uid="{00000000-0005-0000-0000-0000B5160000}"/>
    <cellStyle name="Normal 4 7 2 7 2" xfId="13214" xr:uid="{17C98FBD-A039-4FB6-82FE-31418A048346}"/>
    <cellStyle name="Normal 4 7 2 8" xfId="8996" xr:uid="{C7E7F036-3C0A-4938-9EDC-3F7D4DF24EE3}"/>
    <cellStyle name="Normal 4 7 3" xfId="878" xr:uid="{00000000-0005-0000-0000-0000B6160000}"/>
    <cellStyle name="Normal 4 7 3 2" xfId="3113" xr:uid="{00000000-0005-0000-0000-0000B7160000}"/>
    <cellStyle name="Normal 4 7 3 2 2" xfId="7336" xr:uid="{00000000-0005-0000-0000-0000B8160000}"/>
    <cellStyle name="Normal 4 7 3 2 2 2" xfId="15771" xr:uid="{5847623D-44CE-4337-A64F-83E6B97F8E10}"/>
    <cellStyle name="Normal 4 7 3 2 3" xfId="11553" xr:uid="{0E54884C-9F6B-417F-8207-7B686F7B1CE7}"/>
    <cellStyle name="Normal 4 7 3 3" xfId="5191" xr:uid="{00000000-0005-0000-0000-0000B9160000}"/>
    <cellStyle name="Normal 4 7 3 3 2" xfId="13626" xr:uid="{983110FE-CB3C-4E66-8B66-BE0766C18557}"/>
    <cellStyle name="Normal 4 7 3 4" xfId="9408" xr:uid="{42A21BA3-1145-4674-ACD6-E38209159E5F}"/>
    <cellStyle name="Normal 4 7 4" xfId="1296" xr:uid="{00000000-0005-0000-0000-0000BA160000}"/>
    <cellStyle name="Normal 4 7 4 2" xfId="3526" xr:uid="{00000000-0005-0000-0000-0000BB160000}"/>
    <cellStyle name="Normal 4 7 4 2 2" xfId="7749" xr:uid="{00000000-0005-0000-0000-0000BC160000}"/>
    <cellStyle name="Normal 4 7 4 2 2 2" xfId="16184" xr:uid="{FA69E665-0710-4B96-A4A7-F27DEB6E807B}"/>
    <cellStyle name="Normal 4 7 4 2 3" xfId="11966" xr:uid="{1C537224-AD23-494C-9203-4A5568664A12}"/>
    <cellStyle name="Normal 4 7 4 3" xfId="5604" xr:uid="{00000000-0005-0000-0000-0000BD160000}"/>
    <cellStyle name="Normal 4 7 4 3 2" xfId="14039" xr:uid="{A5285290-5D3D-4027-9263-8274424FC52C}"/>
    <cellStyle name="Normal 4 7 4 4" xfId="9821" xr:uid="{CC2A7B5F-5C22-40D3-828F-972189ED71C4}"/>
    <cellStyle name="Normal 4 7 5" xfId="1709" xr:uid="{00000000-0005-0000-0000-0000BE160000}"/>
    <cellStyle name="Normal 4 7 5 2" xfId="3939" xr:uid="{00000000-0005-0000-0000-0000BF160000}"/>
    <cellStyle name="Normal 4 7 5 2 2" xfId="8162" xr:uid="{00000000-0005-0000-0000-0000C0160000}"/>
    <cellStyle name="Normal 4 7 5 2 2 2" xfId="16597" xr:uid="{E9FF9900-E991-4F62-A1A3-B01ED8AE92A0}"/>
    <cellStyle name="Normal 4 7 5 2 3" xfId="12379" xr:uid="{FC30CBC2-23C2-4066-841F-1D9ABA539B4C}"/>
    <cellStyle name="Normal 4 7 5 3" xfId="6017" xr:uid="{00000000-0005-0000-0000-0000C1160000}"/>
    <cellStyle name="Normal 4 7 5 3 2" xfId="14452" xr:uid="{0FA4464E-714D-48DD-AA5D-1F76ECDA9FB3}"/>
    <cellStyle name="Normal 4 7 5 4" xfId="10234" xr:uid="{4A32AB7D-8B20-4308-A9B7-58FF739485F6}"/>
    <cellStyle name="Normal 4 7 6" xfId="2123" xr:uid="{00000000-0005-0000-0000-0000C2160000}"/>
    <cellStyle name="Normal 4 7 6 2" xfId="4352" xr:uid="{00000000-0005-0000-0000-0000C3160000}"/>
    <cellStyle name="Normal 4 7 6 2 2" xfId="8575" xr:uid="{00000000-0005-0000-0000-0000C4160000}"/>
    <cellStyle name="Normal 4 7 6 2 2 2" xfId="17010" xr:uid="{98C57E0A-4894-46F1-ADBF-769DF3A7460D}"/>
    <cellStyle name="Normal 4 7 6 2 3" xfId="12792" xr:uid="{3751D757-E9E6-405B-A342-07FE6434C7EE}"/>
    <cellStyle name="Normal 4 7 6 3" xfId="6430" xr:uid="{00000000-0005-0000-0000-0000C5160000}"/>
    <cellStyle name="Normal 4 7 6 3 2" xfId="14865" xr:uid="{2DC141A0-6726-4766-8809-49F0248D58E3}"/>
    <cellStyle name="Normal 4 7 6 4" xfId="10647" xr:uid="{74D295CF-7353-4D14-BC88-2D1E3748CC5E}"/>
    <cellStyle name="Normal 4 7 7" xfId="2559" xr:uid="{00000000-0005-0000-0000-0000C6160000}"/>
    <cellStyle name="Normal 4 7 7 2" xfId="6843" xr:uid="{00000000-0005-0000-0000-0000C7160000}"/>
    <cellStyle name="Normal 4 7 7 2 2" xfId="15278" xr:uid="{6F08B04B-3691-4250-B0F0-DB2A14A368EA}"/>
    <cellStyle name="Normal 4 7 7 3" xfId="11060" xr:uid="{DEDF0668-93B5-4EA0-B3E7-70595CA3957B}"/>
    <cellStyle name="Normal 4 7 8" xfId="4778" xr:uid="{00000000-0005-0000-0000-0000C8160000}"/>
    <cellStyle name="Normal 4 7 8 2" xfId="13213" xr:uid="{6C662FFF-D8C1-43FD-ABF3-754E2ECCA87D}"/>
    <cellStyle name="Normal 4 7 9" xfId="8995" xr:uid="{CB12B571-3FB5-4D1D-B63F-F17B06E6FF1A}"/>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417AEE24-7B6B-40B1-BAF1-9F2D44034869}"/>
    <cellStyle name="Normal 4 8 2 2 3" xfId="11555" xr:uid="{BB5933D3-38E1-4FB3-A955-5AF2742F84EB}"/>
    <cellStyle name="Normal 4 8 2 3" xfId="5193" xr:uid="{00000000-0005-0000-0000-0000CD160000}"/>
    <cellStyle name="Normal 4 8 2 3 2" xfId="13628" xr:uid="{5E0B2F29-D14A-4352-BA0F-E17C887840B3}"/>
    <cellStyle name="Normal 4 8 2 4" xfId="9410" xr:uid="{046D0CDE-AD3B-4EF7-8F6E-2D87032DBF3F}"/>
    <cellStyle name="Normal 4 8 3" xfId="1298" xr:uid="{00000000-0005-0000-0000-0000CE160000}"/>
    <cellStyle name="Normal 4 8 3 2" xfId="3528" xr:uid="{00000000-0005-0000-0000-0000CF160000}"/>
    <cellStyle name="Normal 4 8 3 2 2" xfId="7751" xr:uid="{00000000-0005-0000-0000-0000D0160000}"/>
    <cellStyle name="Normal 4 8 3 2 2 2" xfId="16186" xr:uid="{415C2CC3-0592-414D-9F6B-EAFC9092CBF5}"/>
    <cellStyle name="Normal 4 8 3 2 3" xfId="11968" xr:uid="{0B0B1F21-284F-4AE4-BDF1-53C5A1D19D0A}"/>
    <cellStyle name="Normal 4 8 3 3" xfId="5606" xr:uid="{00000000-0005-0000-0000-0000D1160000}"/>
    <cellStyle name="Normal 4 8 3 3 2" xfId="14041" xr:uid="{9EF1C69E-4E20-440D-B19A-17D1B0A27170}"/>
    <cellStyle name="Normal 4 8 3 4" xfId="9823" xr:uid="{E77665DC-BB4C-4DAF-8D85-EB4DBB9D0DA9}"/>
    <cellStyle name="Normal 4 8 4" xfId="1711" xr:uid="{00000000-0005-0000-0000-0000D2160000}"/>
    <cellStyle name="Normal 4 8 4 2" xfId="3941" xr:uid="{00000000-0005-0000-0000-0000D3160000}"/>
    <cellStyle name="Normal 4 8 4 2 2" xfId="8164" xr:uid="{00000000-0005-0000-0000-0000D4160000}"/>
    <cellStyle name="Normal 4 8 4 2 2 2" xfId="16599" xr:uid="{37C1E7A3-0A11-45FF-AB5F-E9B175147996}"/>
    <cellStyle name="Normal 4 8 4 2 3" xfId="12381" xr:uid="{8DDA5B84-3017-404F-9403-780DDBF479EA}"/>
    <cellStyle name="Normal 4 8 4 3" xfId="6019" xr:uid="{00000000-0005-0000-0000-0000D5160000}"/>
    <cellStyle name="Normal 4 8 4 3 2" xfId="14454" xr:uid="{5C985FAA-8DD8-4186-A01B-34F2AA05953E}"/>
    <cellStyle name="Normal 4 8 4 4" xfId="10236" xr:uid="{3AD35707-AD2F-48C2-9933-A20685C4B476}"/>
    <cellStyle name="Normal 4 8 5" xfId="2125" xr:uid="{00000000-0005-0000-0000-0000D6160000}"/>
    <cellStyle name="Normal 4 8 5 2" xfId="4354" xr:uid="{00000000-0005-0000-0000-0000D7160000}"/>
    <cellStyle name="Normal 4 8 5 2 2" xfId="8577" xr:uid="{00000000-0005-0000-0000-0000D8160000}"/>
    <cellStyle name="Normal 4 8 5 2 2 2" xfId="17012" xr:uid="{B30BCDF6-6AAF-4547-9718-A70263E41CD2}"/>
    <cellStyle name="Normal 4 8 5 2 3" xfId="12794" xr:uid="{8A415DFD-1CC0-4ECB-B3B4-FD3BA49B7E45}"/>
    <cellStyle name="Normal 4 8 5 3" xfId="6432" xr:uid="{00000000-0005-0000-0000-0000D9160000}"/>
    <cellStyle name="Normal 4 8 5 3 2" xfId="14867" xr:uid="{CC980FC3-12E2-48BE-B4A8-DBD698413B6F}"/>
    <cellStyle name="Normal 4 8 5 4" xfId="10649" xr:uid="{13324402-AD49-47FD-80C6-6E2052DA107B}"/>
    <cellStyle name="Normal 4 8 6" xfId="2561" xr:uid="{00000000-0005-0000-0000-0000DA160000}"/>
    <cellStyle name="Normal 4 8 6 2" xfId="6845" xr:uid="{00000000-0005-0000-0000-0000DB160000}"/>
    <cellStyle name="Normal 4 8 6 2 2" xfId="15280" xr:uid="{DFB7EC19-87BC-435E-BC35-492F2DA56640}"/>
    <cellStyle name="Normal 4 8 6 3" xfId="11062" xr:uid="{9B9770A3-78EF-471D-9371-381096ADB767}"/>
    <cellStyle name="Normal 4 8 7" xfId="4780" xr:uid="{00000000-0005-0000-0000-0000DC160000}"/>
    <cellStyle name="Normal 4 8 7 2" xfId="13215" xr:uid="{9D558F49-B272-415A-BED8-8B92451734F5}"/>
    <cellStyle name="Normal 4 8 8" xfId="8997" xr:uid="{2A2530B4-907A-455A-A904-558828E3C8DD}"/>
    <cellStyle name="Normal 4 9" xfId="4717" xr:uid="{00000000-0005-0000-0000-0000DD160000}"/>
    <cellStyle name="Normal 4 9 2" xfId="13152" xr:uid="{E1877192-97CF-42CC-8061-D1633A0E753D}"/>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B235571C-3CEE-4EBE-ADC9-25EF80194725}"/>
    <cellStyle name="Normal 5 10 2 3" xfId="12382" xr:uid="{38C8AA24-F078-4280-A42F-ED7E2DC7AFCD}"/>
    <cellStyle name="Normal 5 10 3" xfId="6020" xr:uid="{00000000-0005-0000-0000-0000E2160000}"/>
    <cellStyle name="Normal 5 10 3 2" xfId="14455" xr:uid="{998DB083-47F1-48D9-A41D-53216646D95E}"/>
    <cellStyle name="Normal 5 10 4" xfId="10237" xr:uid="{0A7C7C17-1D6A-47F5-A34E-23AAB7D497E6}"/>
    <cellStyle name="Normal 5 11" xfId="2126" xr:uid="{00000000-0005-0000-0000-0000E3160000}"/>
    <cellStyle name="Normal 5 11 2" xfId="4355" xr:uid="{00000000-0005-0000-0000-0000E4160000}"/>
    <cellStyle name="Normal 5 11 2 2" xfId="8578" xr:uid="{00000000-0005-0000-0000-0000E5160000}"/>
    <cellStyle name="Normal 5 11 2 2 2" xfId="17013" xr:uid="{391CCB42-DA5A-4DDE-A0B3-0763E1B1C072}"/>
    <cellStyle name="Normal 5 11 2 3" xfId="12795" xr:uid="{097C0981-C696-47AC-B249-C6C73D69BBFE}"/>
    <cellStyle name="Normal 5 11 3" xfId="6433" xr:uid="{00000000-0005-0000-0000-0000E6160000}"/>
    <cellStyle name="Normal 5 11 3 2" xfId="14868" xr:uid="{6FDD26AC-E710-4380-A2F2-5D42094DFB64}"/>
    <cellStyle name="Normal 5 11 4" xfId="10650" xr:uid="{2FF15ABB-3C7C-4893-B75F-715818A4D3E1}"/>
    <cellStyle name="Normal 5 12" xfId="2562" xr:uid="{00000000-0005-0000-0000-0000E7160000}"/>
    <cellStyle name="Normal 5 12 2" xfId="6846" xr:uid="{00000000-0005-0000-0000-0000E8160000}"/>
    <cellStyle name="Normal 5 12 2 2" xfId="15281" xr:uid="{89E95FFD-ED2F-4CD4-BA5C-96C84E469FF4}"/>
    <cellStyle name="Normal 5 12 3" xfId="11063" xr:uid="{A6229234-A76C-4411-B002-607B7669A9FD}"/>
    <cellStyle name="Normal 5 13" xfId="4781" xr:uid="{00000000-0005-0000-0000-0000E9160000}"/>
    <cellStyle name="Normal 5 13 2" xfId="13216" xr:uid="{F11D323D-B542-4C61-A2CF-8D58B124EF5C}"/>
    <cellStyle name="Normal 5 14" xfId="8998" xr:uid="{91031609-83EF-46D3-9A81-5EC23BBD06BB}"/>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15470F51-F896-4395-8CAF-8B9C8E95236F}"/>
    <cellStyle name="Normal 5 2 10 2 3" xfId="12796" xr:uid="{0695C750-3EF0-4058-8072-ABA05C86E2E8}"/>
    <cellStyle name="Normal 5 2 10 3" xfId="6434" xr:uid="{00000000-0005-0000-0000-0000EE160000}"/>
    <cellStyle name="Normal 5 2 10 3 2" xfId="14869" xr:uid="{24EF9255-8C19-4B41-B892-2709B4DDFDD1}"/>
    <cellStyle name="Normal 5 2 10 4" xfId="10651" xr:uid="{4ECF041F-52B3-40DE-BCB9-CC732D438916}"/>
    <cellStyle name="Normal 5 2 11" xfId="2563" xr:uid="{00000000-0005-0000-0000-0000EF160000}"/>
    <cellStyle name="Normal 5 2 11 2" xfId="6847" xr:uid="{00000000-0005-0000-0000-0000F0160000}"/>
    <cellStyle name="Normal 5 2 11 2 2" xfId="15282" xr:uid="{BF9A69E9-7450-4830-A28F-717C06F59D1B}"/>
    <cellStyle name="Normal 5 2 11 3" xfId="11064" xr:uid="{F3DBC367-CF6F-4157-AFF0-C542B87A3A3A}"/>
    <cellStyle name="Normal 5 2 12" xfId="4782" xr:uid="{00000000-0005-0000-0000-0000F1160000}"/>
    <cellStyle name="Normal 5 2 12 2" xfId="13217" xr:uid="{4821863D-631B-4A75-9956-028DD1A76DB2}"/>
    <cellStyle name="Normal 5 2 13" xfId="8999" xr:uid="{B5700FC9-0E15-4EC9-ABBD-3E81914E6456}"/>
    <cellStyle name="Normal 5 2 2" xfId="408" xr:uid="{00000000-0005-0000-0000-0000F2160000}"/>
    <cellStyle name="Normal 5 2 2 10" xfId="2564" xr:uid="{00000000-0005-0000-0000-0000F3160000}"/>
    <cellStyle name="Normal 5 2 2 10 2" xfId="6848" xr:uid="{00000000-0005-0000-0000-0000F4160000}"/>
    <cellStyle name="Normal 5 2 2 10 2 2" xfId="15283" xr:uid="{45EFB3CA-FA85-4929-BDDC-DF9D05F8363D}"/>
    <cellStyle name="Normal 5 2 2 10 3" xfId="11065" xr:uid="{8A98731D-4D05-4404-87A1-27D5F78C1753}"/>
    <cellStyle name="Normal 5 2 2 11" xfId="4783" xr:uid="{00000000-0005-0000-0000-0000F5160000}"/>
    <cellStyle name="Normal 5 2 2 11 2" xfId="13218" xr:uid="{30C3B2EB-03CF-47D8-BE3D-BC95DE32C30D}"/>
    <cellStyle name="Normal 5 2 2 12" xfId="9000" xr:uid="{7A07FCF7-9D5B-410A-A922-C95E88FFB9A7}"/>
    <cellStyle name="Normal 5 2 2 2" xfId="409" xr:uid="{00000000-0005-0000-0000-0000F6160000}"/>
    <cellStyle name="Normal 5 2 2 2 10" xfId="4784" xr:uid="{00000000-0005-0000-0000-0000F7160000}"/>
    <cellStyle name="Normal 5 2 2 2 10 2" xfId="13219" xr:uid="{49FA9164-A95A-42BB-A618-52858FA15CB6}"/>
    <cellStyle name="Normal 5 2 2 2 11" xfId="9001" xr:uid="{EE47951B-123E-483B-8575-DDCF1DA70148}"/>
    <cellStyle name="Normal 5 2 2 2 2" xfId="410" xr:uid="{00000000-0005-0000-0000-0000F8160000}"/>
    <cellStyle name="Normal 5 2 2 2 2 10" xfId="9002" xr:uid="{577FF730-05DD-4D05-A659-2683274E51DD}"/>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AD4D96D6-3493-4363-814E-0B858D397A92}"/>
    <cellStyle name="Normal 5 2 2 2 2 2 2 2 2 3" xfId="11562" xr:uid="{6BD15C5D-9D5C-4579-9AFE-F1AF8744978D}"/>
    <cellStyle name="Normal 5 2 2 2 2 2 2 2 3" xfId="5200" xr:uid="{00000000-0005-0000-0000-0000FE160000}"/>
    <cellStyle name="Normal 5 2 2 2 2 2 2 2 3 2" xfId="13635" xr:uid="{6FB16081-54C9-41B9-ADB3-A7B5FEF0490C}"/>
    <cellStyle name="Normal 5 2 2 2 2 2 2 2 4" xfId="9417" xr:uid="{C6B9B49A-7969-4917-B442-1FDC6796D539}"/>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A877A501-1408-4933-8FB4-0129235FA5F6}"/>
    <cellStyle name="Normal 5 2 2 2 2 2 2 3 2 3" xfId="11975" xr:uid="{BC05D29B-6A01-41B8-AA4F-C0B617053A4F}"/>
    <cellStyle name="Normal 5 2 2 2 2 2 2 3 3" xfId="5613" xr:uid="{00000000-0005-0000-0000-000002170000}"/>
    <cellStyle name="Normal 5 2 2 2 2 2 2 3 3 2" xfId="14048" xr:uid="{D41F6AAC-11C6-4E23-BB51-A3658DF5829A}"/>
    <cellStyle name="Normal 5 2 2 2 2 2 2 3 4" xfId="9830" xr:uid="{FC150AA8-F01E-4492-B269-D7BAF1C66308}"/>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14ED2621-B0A7-46AC-ABA5-FF6310DE3068}"/>
    <cellStyle name="Normal 5 2 2 2 2 2 2 4 2 3" xfId="12388" xr:uid="{7BAA3D26-79A5-4E4B-AA86-03E86296E387}"/>
    <cellStyle name="Normal 5 2 2 2 2 2 2 4 3" xfId="6026" xr:uid="{00000000-0005-0000-0000-000006170000}"/>
    <cellStyle name="Normal 5 2 2 2 2 2 2 4 3 2" xfId="14461" xr:uid="{FFE29FD8-7765-4894-B6C7-286DC8DD277F}"/>
    <cellStyle name="Normal 5 2 2 2 2 2 2 4 4" xfId="10243" xr:uid="{6D1794EB-AB82-46CE-A841-48F0A7D4EBA2}"/>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8F848FCF-ABCF-469F-8C9C-CB99BA4B7C30}"/>
    <cellStyle name="Normal 5 2 2 2 2 2 2 5 2 3" xfId="12801" xr:uid="{FB601AC1-DF9A-4E51-AD4C-FAF241220FBA}"/>
    <cellStyle name="Normal 5 2 2 2 2 2 2 5 3" xfId="6439" xr:uid="{00000000-0005-0000-0000-00000A170000}"/>
    <cellStyle name="Normal 5 2 2 2 2 2 2 5 3 2" xfId="14874" xr:uid="{E127498D-8A05-44C4-8017-0F69BBE812A3}"/>
    <cellStyle name="Normal 5 2 2 2 2 2 2 5 4" xfId="10656" xr:uid="{56EA461F-C7DA-4D2B-81CF-9C6018590D9E}"/>
    <cellStyle name="Normal 5 2 2 2 2 2 2 6" xfId="2568" xr:uid="{00000000-0005-0000-0000-00000B170000}"/>
    <cellStyle name="Normal 5 2 2 2 2 2 2 6 2" xfId="6852" xr:uid="{00000000-0005-0000-0000-00000C170000}"/>
    <cellStyle name="Normal 5 2 2 2 2 2 2 6 2 2" xfId="15287" xr:uid="{5FE08A68-C9AE-4865-BD4A-EC84C9BF7F90}"/>
    <cellStyle name="Normal 5 2 2 2 2 2 2 6 3" xfId="11069" xr:uid="{34E5B48A-6D3B-4240-9C4A-8988FC536F9E}"/>
    <cellStyle name="Normal 5 2 2 2 2 2 2 7" xfId="4787" xr:uid="{00000000-0005-0000-0000-00000D170000}"/>
    <cellStyle name="Normal 5 2 2 2 2 2 2 7 2" xfId="13222" xr:uid="{35BB7E0A-D656-425E-B4D1-75BA39BA982C}"/>
    <cellStyle name="Normal 5 2 2 2 2 2 2 8" xfId="9004" xr:uid="{432F7E29-69B9-4F04-BBDC-11639A4CBC71}"/>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8B5E0A12-3BEC-4554-96A5-4AF537EA1986}"/>
    <cellStyle name="Normal 5 2 2 2 2 2 3 2 3" xfId="11561" xr:uid="{FF5E14CE-55E6-4F53-AFDB-781FF0F27444}"/>
    <cellStyle name="Normal 5 2 2 2 2 2 3 3" xfId="5199" xr:uid="{00000000-0005-0000-0000-000011170000}"/>
    <cellStyle name="Normal 5 2 2 2 2 2 3 3 2" xfId="13634" xr:uid="{55585E24-997C-4B5C-B367-FE71486D9F33}"/>
    <cellStyle name="Normal 5 2 2 2 2 2 3 4" xfId="9416" xr:uid="{EE4160B3-6B90-4772-B2C4-1F2B597D2224}"/>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F77EC86B-978C-47C0-895F-3F7AA6B46AF7}"/>
    <cellStyle name="Normal 5 2 2 2 2 2 4 2 3" xfId="11974" xr:uid="{C88AF9E4-1228-41B3-B646-3F5E235735AD}"/>
    <cellStyle name="Normal 5 2 2 2 2 2 4 3" xfId="5612" xr:uid="{00000000-0005-0000-0000-000015170000}"/>
    <cellStyle name="Normal 5 2 2 2 2 2 4 3 2" xfId="14047" xr:uid="{A9B6D157-720B-4767-BAD6-9B4DF568550E}"/>
    <cellStyle name="Normal 5 2 2 2 2 2 4 4" xfId="9829" xr:uid="{94642496-AD54-4566-98EF-AB914FEAD088}"/>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728E8F67-C269-42DF-AE1E-FD4B9FE8422E}"/>
    <cellStyle name="Normal 5 2 2 2 2 2 5 2 3" xfId="12387" xr:uid="{7DFC9BC8-597F-4A6E-93C7-02F57502AC90}"/>
    <cellStyle name="Normal 5 2 2 2 2 2 5 3" xfId="6025" xr:uid="{00000000-0005-0000-0000-000019170000}"/>
    <cellStyle name="Normal 5 2 2 2 2 2 5 3 2" xfId="14460" xr:uid="{16565D82-83F2-48CB-BA83-56338F1A4BE2}"/>
    <cellStyle name="Normal 5 2 2 2 2 2 5 4" xfId="10242" xr:uid="{9AE10692-F3CA-4968-8B89-4F2B4E2C55C7}"/>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4B69DDBE-E528-4C38-A265-64F445254698}"/>
    <cellStyle name="Normal 5 2 2 2 2 2 6 2 3" xfId="12800" xr:uid="{C8DC5B2D-586C-4928-84D6-6D7C7F1512C3}"/>
    <cellStyle name="Normal 5 2 2 2 2 2 6 3" xfId="6438" xr:uid="{00000000-0005-0000-0000-00001D170000}"/>
    <cellStyle name="Normal 5 2 2 2 2 2 6 3 2" xfId="14873" xr:uid="{FBEC618E-F1B4-4E79-B1E4-B307DFEFF43F}"/>
    <cellStyle name="Normal 5 2 2 2 2 2 6 4" xfId="10655" xr:uid="{096EBAC8-74A0-496D-9C19-8492C7D7C615}"/>
    <cellStyle name="Normal 5 2 2 2 2 2 7" xfId="2567" xr:uid="{00000000-0005-0000-0000-00001E170000}"/>
    <cellStyle name="Normal 5 2 2 2 2 2 7 2" xfId="6851" xr:uid="{00000000-0005-0000-0000-00001F170000}"/>
    <cellStyle name="Normal 5 2 2 2 2 2 7 2 2" xfId="15286" xr:uid="{125FC02D-57D3-402B-9BA2-5CA5BFD96243}"/>
    <cellStyle name="Normal 5 2 2 2 2 2 7 3" xfId="11068" xr:uid="{FA2ED777-07C0-4E9D-B715-CC309D6A033F}"/>
    <cellStyle name="Normal 5 2 2 2 2 2 8" xfId="4786" xr:uid="{00000000-0005-0000-0000-000020170000}"/>
    <cellStyle name="Normal 5 2 2 2 2 2 8 2" xfId="13221" xr:uid="{939DA576-EC2A-4AB6-89CB-7055EC749602}"/>
    <cellStyle name="Normal 5 2 2 2 2 2 9" xfId="9003" xr:uid="{3A186906-2C6A-4A62-A2CD-BFF33B79F0C3}"/>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D18E5184-522E-4DDC-BD08-212EA68BA2F5}"/>
    <cellStyle name="Normal 5 2 2 2 2 3 2 2 3" xfId="11563" xr:uid="{FCB75F61-AC67-4E43-AC15-83E392D4D40D}"/>
    <cellStyle name="Normal 5 2 2 2 2 3 2 3" xfId="5201" xr:uid="{00000000-0005-0000-0000-000025170000}"/>
    <cellStyle name="Normal 5 2 2 2 2 3 2 3 2" xfId="13636" xr:uid="{262E021A-0B5F-4A8D-B32F-3C53BF809D8D}"/>
    <cellStyle name="Normal 5 2 2 2 2 3 2 4" xfId="9418" xr:uid="{E303FEC9-F68D-413A-9EBA-44954A371BB5}"/>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05D743AF-D997-43AE-A8E3-2E8C6170886F}"/>
    <cellStyle name="Normal 5 2 2 2 2 3 3 2 3" xfId="11976" xr:uid="{1C3EE8D6-CA60-4DEE-B050-FCF6CA5017D6}"/>
    <cellStyle name="Normal 5 2 2 2 2 3 3 3" xfId="5614" xr:uid="{00000000-0005-0000-0000-000029170000}"/>
    <cellStyle name="Normal 5 2 2 2 2 3 3 3 2" xfId="14049" xr:uid="{513F6A4D-6C35-4E99-9B34-910F612B1BAC}"/>
    <cellStyle name="Normal 5 2 2 2 2 3 3 4" xfId="9831" xr:uid="{7047E614-4DE0-4CE4-9EFF-904B71CEAFC2}"/>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F8B5A9A1-435C-413C-94A5-EBEDCE9EB9E7}"/>
    <cellStyle name="Normal 5 2 2 2 2 3 4 2 3" xfId="12389" xr:uid="{93F76938-C223-4E1B-9FF1-3D00AED15009}"/>
    <cellStyle name="Normal 5 2 2 2 2 3 4 3" xfId="6027" xr:uid="{00000000-0005-0000-0000-00002D170000}"/>
    <cellStyle name="Normal 5 2 2 2 2 3 4 3 2" xfId="14462" xr:uid="{501F39EB-E679-4934-9FD9-A0A2B82E0671}"/>
    <cellStyle name="Normal 5 2 2 2 2 3 4 4" xfId="10244" xr:uid="{125B4D0E-F4C4-4AD5-936F-DEEE2DDEE615}"/>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11C5A897-5D72-4043-96B2-21ACF2361E6C}"/>
    <cellStyle name="Normal 5 2 2 2 2 3 5 2 3" xfId="12802" xr:uid="{B5CE6ECE-AB65-40FA-9448-DE65758F3F1D}"/>
    <cellStyle name="Normal 5 2 2 2 2 3 5 3" xfId="6440" xr:uid="{00000000-0005-0000-0000-000031170000}"/>
    <cellStyle name="Normal 5 2 2 2 2 3 5 3 2" xfId="14875" xr:uid="{66691A40-90A7-43B6-A699-11885CCBD614}"/>
    <cellStyle name="Normal 5 2 2 2 2 3 5 4" xfId="10657" xr:uid="{FA0ECB50-DA47-4B3C-BA4E-A2BF647B7D09}"/>
    <cellStyle name="Normal 5 2 2 2 2 3 6" xfId="2569" xr:uid="{00000000-0005-0000-0000-000032170000}"/>
    <cellStyle name="Normal 5 2 2 2 2 3 6 2" xfId="6853" xr:uid="{00000000-0005-0000-0000-000033170000}"/>
    <cellStyle name="Normal 5 2 2 2 2 3 6 2 2" xfId="15288" xr:uid="{CDDD8C58-0460-44B4-AE0B-DDE16D36B48A}"/>
    <cellStyle name="Normal 5 2 2 2 2 3 6 3" xfId="11070" xr:uid="{295B390A-2384-4F70-B60C-4C7222DC90DC}"/>
    <cellStyle name="Normal 5 2 2 2 2 3 7" xfId="4788" xr:uid="{00000000-0005-0000-0000-000034170000}"/>
    <cellStyle name="Normal 5 2 2 2 2 3 7 2" xfId="13223" xr:uid="{D67636F4-5A07-49D2-8E0C-8F193D1C7D5B}"/>
    <cellStyle name="Normal 5 2 2 2 2 3 8" xfId="9005" xr:uid="{B83F4690-F8F9-4FCA-A985-6B721AEA493D}"/>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FD8F8CE2-16A2-4325-8EAD-8B2DD7917AE3}"/>
    <cellStyle name="Normal 5 2 2 2 2 4 2 3" xfId="11560" xr:uid="{082AF61A-F610-412E-AD44-3A74DEFEF5A8}"/>
    <cellStyle name="Normal 5 2 2 2 2 4 3" xfId="5198" xr:uid="{00000000-0005-0000-0000-000038170000}"/>
    <cellStyle name="Normal 5 2 2 2 2 4 3 2" xfId="13633" xr:uid="{39EB3602-6030-4D58-8AB1-1EBE571B92BE}"/>
    <cellStyle name="Normal 5 2 2 2 2 4 4" xfId="9415" xr:uid="{4CF68138-D07E-4F27-9C60-2A43AE4DC7A4}"/>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23C4AD9D-E587-4E00-A546-A7FBFDFBD89F}"/>
    <cellStyle name="Normal 5 2 2 2 2 5 2 3" xfId="11973" xr:uid="{D33B5EF9-0B35-44F9-B439-DC03BB78A84F}"/>
    <cellStyle name="Normal 5 2 2 2 2 5 3" xfId="5611" xr:uid="{00000000-0005-0000-0000-00003C170000}"/>
    <cellStyle name="Normal 5 2 2 2 2 5 3 2" xfId="14046" xr:uid="{B2D7AF35-7407-49B7-B00B-359685B84FE4}"/>
    <cellStyle name="Normal 5 2 2 2 2 5 4" xfId="9828" xr:uid="{3FCB707B-FECE-4ADF-B802-EF3B160BE01E}"/>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6ED5F8A3-DCA3-4313-B366-48E1D49100D9}"/>
    <cellStyle name="Normal 5 2 2 2 2 6 2 3" xfId="12386" xr:uid="{CEDE698A-D78C-40DE-BC4D-D2128B77C8F6}"/>
    <cellStyle name="Normal 5 2 2 2 2 6 3" xfId="6024" xr:uid="{00000000-0005-0000-0000-000040170000}"/>
    <cellStyle name="Normal 5 2 2 2 2 6 3 2" xfId="14459" xr:uid="{EE3AED3E-A7B0-47D0-85D7-882C67347788}"/>
    <cellStyle name="Normal 5 2 2 2 2 6 4" xfId="10241" xr:uid="{34608723-D5A5-4C7A-998B-7E5AA016C3A5}"/>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69F2CB04-B0D9-4EFC-A971-ED29460A6B41}"/>
    <cellStyle name="Normal 5 2 2 2 2 7 2 3" xfId="12799" xr:uid="{6AA49950-4CB3-450D-A64A-8A1F0EE87E1A}"/>
    <cellStyle name="Normal 5 2 2 2 2 7 3" xfId="6437" xr:uid="{00000000-0005-0000-0000-000044170000}"/>
    <cellStyle name="Normal 5 2 2 2 2 7 3 2" xfId="14872" xr:uid="{F380C4B3-9108-4AC9-86AB-1F88649104DB}"/>
    <cellStyle name="Normal 5 2 2 2 2 7 4" xfId="10654" xr:uid="{C9C2062D-D8CE-4697-A2C8-7648F21F9B8B}"/>
    <cellStyle name="Normal 5 2 2 2 2 8" xfId="2566" xr:uid="{00000000-0005-0000-0000-000045170000}"/>
    <cellStyle name="Normal 5 2 2 2 2 8 2" xfId="6850" xr:uid="{00000000-0005-0000-0000-000046170000}"/>
    <cellStyle name="Normal 5 2 2 2 2 8 2 2" xfId="15285" xr:uid="{78F50133-1296-4B79-AF3C-33C449A215D6}"/>
    <cellStyle name="Normal 5 2 2 2 2 8 3" xfId="11067" xr:uid="{F1A7EAC0-4261-44A7-8B88-EBBA205DEF27}"/>
    <cellStyle name="Normal 5 2 2 2 2 9" xfId="4785" xr:uid="{00000000-0005-0000-0000-000047170000}"/>
    <cellStyle name="Normal 5 2 2 2 2 9 2" xfId="13220" xr:uid="{5B380686-55B0-4955-B09B-CDFDE8EADBF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9F4E673D-5447-466F-A3B2-331B282E8218}"/>
    <cellStyle name="Normal 5 2 2 2 3 2 2 2 3" xfId="11565" xr:uid="{EC44AE6F-8CAA-4D99-AF43-C138DF3859D1}"/>
    <cellStyle name="Normal 5 2 2 2 3 2 2 3" xfId="5203" xr:uid="{00000000-0005-0000-0000-00004D170000}"/>
    <cellStyle name="Normal 5 2 2 2 3 2 2 3 2" xfId="13638" xr:uid="{1FE4C57E-675F-4C6E-A30D-1E58056CC50E}"/>
    <cellStyle name="Normal 5 2 2 2 3 2 2 4" xfId="9420" xr:uid="{11B70025-FB39-4497-AF5B-563DE1BCF8FF}"/>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802686A7-7FAF-469D-B821-23A51C87E5CC}"/>
    <cellStyle name="Normal 5 2 2 2 3 2 3 2 3" xfId="11978" xr:uid="{08E2CA8D-EC84-49A2-8956-7AA2EFCEB17C}"/>
    <cellStyle name="Normal 5 2 2 2 3 2 3 3" xfId="5616" xr:uid="{00000000-0005-0000-0000-000051170000}"/>
    <cellStyle name="Normal 5 2 2 2 3 2 3 3 2" xfId="14051" xr:uid="{10528EF7-D5F1-469A-B8A9-E3562FD2615F}"/>
    <cellStyle name="Normal 5 2 2 2 3 2 3 4" xfId="9833" xr:uid="{9B9CABAE-80DA-4296-9233-59F497B9E8F4}"/>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89D67F6C-419D-49B3-B42E-DE0697CF9DB3}"/>
    <cellStyle name="Normal 5 2 2 2 3 2 4 2 3" xfId="12391" xr:uid="{8EF323D9-AA58-4987-888F-C5E334FDE3F1}"/>
    <cellStyle name="Normal 5 2 2 2 3 2 4 3" xfId="6029" xr:uid="{00000000-0005-0000-0000-000055170000}"/>
    <cellStyle name="Normal 5 2 2 2 3 2 4 3 2" xfId="14464" xr:uid="{12D5E14C-BF1C-4562-88B4-01F968B94FFE}"/>
    <cellStyle name="Normal 5 2 2 2 3 2 4 4" xfId="10246" xr:uid="{5F18B2E7-B68A-4D30-8655-6452CBF289C7}"/>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72A9AC30-E584-4632-9958-F8BA834FD314}"/>
    <cellStyle name="Normal 5 2 2 2 3 2 5 2 3" xfId="12804" xr:uid="{63454889-A3E0-48D3-9E06-13C4EA9730A9}"/>
    <cellStyle name="Normal 5 2 2 2 3 2 5 3" xfId="6442" xr:uid="{00000000-0005-0000-0000-000059170000}"/>
    <cellStyle name="Normal 5 2 2 2 3 2 5 3 2" xfId="14877" xr:uid="{DF2D3894-A38F-41D0-98AC-2CCC22C6A025}"/>
    <cellStyle name="Normal 5 2 2 2 3 2 5 4" xfId="10659" xr:uid="{8B3C5E82-ECDE-4F64-8D3A-D12D1B187904}"/>
    <cellStyle name="Normal 5 2 2 2 3 2 6" xfId="2571" xr:uid="{00000000-0005-0000-0000-00005A170000}"/>
    <cellStyle name="Normal 5 2 2 2 3 2 6 2" xfId="6855" xr:uid="{00000000-0005-0000-0000-00005B170000}"/>
    <cellStyle name="Normal 5 2 2 2 3 2 6 2 2" xfId="15290" xr:uid="{F63B2027-F23F-42F5-8F15-A5DF6D258305}"/>
    <cellStyle name="Normal 5 2 2 2 3 2 6 3" xfId="11072" xr:uid="{83921222-84B5-4D73-A9E7-9687DAD4205A}"/>
    <cellStyle name="Normal 5 2 2 2 3 2 7" xfId="4790" xr:uid="{00000000-0005-0000-0000-00005C170000}"/>
    <cellStyle name="Normal 5 2 2 2 3 2 7 2" xfId="13225" xr:uid="{74BE6D1D-05C7-477F-ABC4-B8457B5281B3}"/>
    <cellStyle name="Normal 5 2 2 2 3 2 8" xfId="9007" xr:uid="{0140B223-0B6F-4834-99D9-28B28922660E}"/>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61F40E47-C1AB-47E2-A3A0-9C335E221328}"/>
    <cellStyle name="Normal 5 2 2 2 3 3 2 3" xfId="11564" xr:uid="{A5F65C40-6746-432C-9EBB-DEA2E35ADA10}"/>
    <cellStyle name="Normal 5 2 2 2 3 3 3" xfId="5202" xr:uid="{00000000-0005-0000-0000-000060170000}"/>
    <cellStyle name="Normal 5 2 2 2 3 3 3 2" xfId="13637" xr:uid="{DA34BB59-F2FE-4DB8-AB03-8E3DAFB79194}"/>
    <cellStyle name="Normal 5 2 2 2 3 3 4" xfId="9419" xr:uid="{29E02870-672F-4502-82C2-D91F8AA72DA6}"/>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CD6DA8D5-8B2E-4C56-BF1F-F178E16A8A3C}"/>
    <cellStyle name="Normal 5 2 2 2 3 4 2 3" xfId="11977" xr:uid="{271AE5AA-D13D-40DF-87BD-B9F652FAC666}"/>
    <cellStyle name="Normal 5 2 2 2 3 4 3" xfId="5615" xr:uid="{00000000-0005-0000-0000-000064170000}"/>
    <cellStyle name="Normal 5 2 2 2 3 4 3 2" xfId="14050" xr:uid="{BF3CD6D8-AE17-48A4-9C04-EFAA63258CF0}"/>
    <cellStyle name="Normal 5 2 2 2 3 4 4" xfId="9832" xr:uid="{8478F9D6-8DA0-4419-96E0-E777B07620CF}"/>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45CDD407-2DE5-4BB7-813D-9CC737B43FA4}"/>
    <cellStyle name="Normal 5 2 2 2 3 5 2 3" xfId="12390" xr:uid="{CDFEB651-0A56-438C-91E9-F98D21BFAC1C}"/>
    <cellStyle name="Normal 5 2 2 2 3 5 3" xfId="6028" xr:uid="{00000000-0005-0000-0000-000068170000}"/>
    <cellStyle name="Normal 5 2 2 2 3 5 3 2" xfId="14463" xr:uid="{8B924A90-AB32-4B33-BC75-A8BD0B9BA300}"/>
    <cellStyle name="Normal 5 2 2 2 3 5 4" xfId="10245" xr:uid="{033AA7F8-07F8-4214-881B-056BCA3F18F4}"/>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0C529E36-535C-4EFD-81C4-99F365AD90B2}"/>
    <cellStyle name="Normal 5 2 2 2 3 6 2 3" xfId="12803" xr:uid="{A0702B21-06FD-4C8A-B7E0-2604CA962105}"/>
    <cellStyle name="Normal 5 2 2 2 3 6 3" xfId="6441" xr:uid="{00000000-0005-0000-0000-00006C170000}"/>
    <cellStyle name="Normal 5 2 2 2 3 6 3 2" xfId="14876" xr:uid="{D0A2BD73-F02D-4465-89D7-DB1E88A3CC7B}"/>
    <cellStyle name="Normal 5 2 2 2 3 6 4" xfId="10658" xr:uid="{E00CC5BB-F054-4EA4-A3DC-D191CA9C3141}"/>
    <cellStyle name="Normal 5 2 2 2 3 7" xfId="2570" xr:uid="{00000000-0005-0000-0000-00006D170000}"/>
    <cellStyle name="Normal 5 2 2 2 3 7 2" xfId="6854" xr:uid="{00000000-0005-0000-0000-00006E170000}"/>
    <cellStyle name="Normal 5 2 2 2 3 7 2 2" xfId="15289" xr:uid="{D3585BEA-C06C-407D-9C90-8F987E2DB45B}"/>
    <cellStyle name="Normal 5 2 2 2 3 7 3" xfId="11071" xr:uid="{CE4CA030-F117-4FB1-B0B6-1F6D790EF38B}"/>
    <cellStyle name="Normal 5 2 2 2 3 8" xfId="4789" xr:uid="{00000000-0005-0000-0000-00006F170000}"/>
    <cellStyle name="Normal 5 2 2 2 3 8 2" xfId="13224" xr:uid="{C7EDB34E-24C9-4845-BDD8-4D00AB75BBCD}"/>
    <cellStyle name="Normal 5 2 2 2 3 9" xfId="9006" xr:uid="{15D4096F-6342-45FD-835D-BEE87075EF91}"/>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917B10D3-1924-449C-85E4-043942623886}"/>
    <cellStyle name="Normal 5 2 2 2 4 2 2 3" xfId="11566" xr:uid="{7277F3DE-F3F7-4F4A-9866-6E9CFE3938F9}"/>
    <cellStyle name="Normal 5 2 2 2 4 2 3" xfId="5204" xr:uid="{00000000-0005-0000-0000-000074170000}"/>
    <cellStyle name="Normal 5 2 2 2 4 2 3 2" xfId="13639" xr:uid="{EEE42DD2-58DA-4110-B193-AC7E2C87942E}"/>
    <cellStyle name="Normal 5 2 2 2 4 2 4" xfId="9421" xr:uid="{EB371723-503A-40BB-9ACA-5A5F99E789EE}"/>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03F139B4-50B6-4683-A2CF-F7516D4928EA}"/>
    <cellStyle name="Normal 5 2 2 2 4 3 2 3" xfId="11979" xr:uid="{83C2E960-F3C3-40A0-8D70-92F6F26CE970}"/>
    <cellStyle name="Normal 5 2 2 2 4 3 3" xfId="5617" xr:uid="{00000000-0005-0000-0000-000078170000}"/>
    <cellStyle name="Normal 5 2 2 2 4 3 3 2" xfId="14052" xr:uid="{43425DED-5E60-41DE-BEB0-095F46DB22CA}"/>
    <cellStyle name="Normal 5 2 2 2 4 3 4" xfId="9834" xr:uid="{A8047967-76C0-45EB-B8F0-0FE385053B9E}"/>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0D03A040-68D0-4ACF-A884-D3500A65A8C6}"/>
    <cellStyle name="Normal 5 2 2 2 4 4 2 3" xfId="12392" xr:uid="{B5CA1431-923C-4576-A246-E7BFE405F5ED}"/>
    <cellStyle name="Normal 5 2 2 2 4 4 3" xfId="6030" xr:uid="{00000000-0005-0000-0000-00007C170000}"/>
    <cellStyle name="Normal 5 2 2 2 4 4 3 2" xfId="14465" xr:uid="{BEA03B59-A326-4E3D-B79A-39FBA206B121}"/>
    <cellStyle name="Normal 5 2 2 2 4 4 4" xfId="10247" xr:uid="{6F2AD157-3C47-4341-B9D1-7376D5F68237}"/>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D51E699A-A6BE-40FA-B3AA-7AC69E944C61}"/>
    <cellStyle name="Normal 5 2 2 2 4 5 2 3" xfId="12805" xr:uid="{F80AFE1F-97C8-4D53-9540-16ABCC95C9ED}"/>
    <cellStyle name="Normal 5 2 2 2 4 5 3" xfId="6443" xr:uid="{00000000-0005-0000-0000-000080170000}"/>
    <cellStyle name="Normal 5 2 2 2 4 5 3 2" xfId="14878" xr:uid="{483A6294-1A4A-47F2-B819-CC6AEAED55A3}"/>
    <cellStyle name="Normal 5 2 2 2 4 5 4" xfId="10660" xr:uid="{65F5B03F-2C3A-4182-A8B0-9BE1975BBA91}"/>
    <cellStyle name="Normal 5 2 2 2 4 6" xfId="2572" xr:uid="{00000000-0005-0000-0000-000081170000}"/>
    <cellStyle name="Normal 5 2 2 2 4 6 2" xfId="6856" xr:uid="{00000000-0005-0000-0000-000082170000}"/>
    <cellStyle name="Normal 5 2 2 2 4 6 2 2" xfId="15291" xr:uid="{C9751623-D9B2-4058-901E-073532E9A831}"/>
    <cellStyle name="Normal 5 2 2 2 4 6 3" xfId="11073" xr:uid="{77DB3BB5-FFC3-4E08-8A5F-179D07134D57}"/>
    <cellStyle name="Normal 5 2 2 2 4 7" xfId="4791" xr:uid="{00000000-0005-0000-0000-000083170000}"/>
    <cellStyle name="Normal 5 2 2 2 4 7 2" xfId="13226" xr:uid="{D71C2B82-4944-4A61-A569-85629CC71C7C}"/>
    <cellStyle name="Normal 5 2 2 2 4 8" xfId="9008" xr:uid="{23A40A79-34A9-404C-8C03-7BCA5EB403F6}"/>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C66E965B-E8FD-48AB-9F17-70A93A20EBC2}"/>
    <cellStyle name="Normal 5 2 2 2 5 2 3" xfId="11559" xr:uid="{C31C7FAC-3B58-4372-83C1-4AFABC60BF29}"/>
    <cellStyle name="Normal 5 2 2 2 5 3" xfId="5197" xr:uid="{00000000-0005-0000-0000-000087170000}"/>
    <cellStyle name="Normal 5 2 2 2 5 3 2" xfId="13632" xr:uid="{212ECB98-C764-479F-8B0E-3AC223B43831}"/>
    <cellStyle name="Normal 5 2 2 2 5 4" xfId="9414" xr:uid="{9F637EF9-94D3-409D-B3BC-4CB8EB9B886D}"/>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2BF62D82-001B-4E28-A24F-993BDA205AD6}"/>
    <cellStyle name="Normal 5 2 2 2 6 2 3" xfId="11972" xr:uid="{033F80DE-6407-4E02-A472-128BDD84BAA3}"/>
    <cellStyle name="Normal 5 2 2 2 6 3" xfId="5610" xr:uid="{00000000-0005-0000-0000-00008B170000}"/>
    <cellStyle name="Normal 5 2 2 2 6 3 2" xfId="14045" xr:uid="{78160382-E25E-4B78-8BC1-1561267C3EB8}"/>
    <cellStyle name="Normal 5 2 2 2 6 4" xfId="9827" xr:uid="{53CF1807-6102-423F-A1E5-78AD53AEDD2F}"/>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A305EA83-3F25-4AF4-8E8C-F2EFD04C692F}"/>
    <cellStyle name="Normal 5 2 2 2 7 2 3" xfId="12385" xr:uid="{9FD6427A-7B1C-4D55-A519-A97D23DB5B56}"/>
    <cellStyle name="Normal 5 2 2 2 7 3" xfId="6023" xr:uid="{00000000-0005-0000-0000-00008F170000}"/>
    <cellStyle name="Normal 5 2 2 2 7 3 2" xfId="14458" xr:uid="{8F04F3C2-C5F4-4079-8EEB-AC622812BBE3}"/>
    <cellStyle name="Normal 5 2 2 2 7 4" xfId="10240" xr:uid="{AD31B17E-07EE-40EA-A4BB-7AE11B7B63BF}"/>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EB43D459-8C86-4AC0-A471-572BA21739DC}"/>
    <cellStyle name="Normal 5 2 2 2 8 2 3" xfId="12798" xr:uid="{5E6DE686-24C5-4CD9-8C63-522D30FF60DD}"/>
    <cellStyle name="Normal 5 2 2 2 8 3" xfId="6436" xr:uid="{00000000-0005-0000-0000-000093170000}"/>
    <cellStyle name="Normal 5 2 2 2 8 3 2" xfId="14871" xr:uid="{622076EC-EA0A-4801-97EF-5C1EDF806714}"/>
    <cellStyle name="Normal 5 2 2 2 8 4" xfId="10653" xr:uid="{E937DACD-BC5B-4990-86BD-CC3F6E52BC1F}"/>
    <cellStyle name="Normal 5 2 2 2 9" xfId="2565" xr:uid="{00000000-0005-0000-0000-000094170000}"/>
    <cellStyle name="Normal 5 2 2 2 9 2" xfId="6849" xr:uid="{00000000-0005-0000-0000-000095170000}"/>
    <cellStyle name="Normal 5 2 2 2 9 2 2" xfId="15284" xr:uid="{D9005C2E-F4E6-40F9-B756-BA78B392B856}"/>
    <cellStyle name="Normal 5 2 2 2 9 3" xfId="11066" xr:uid="{70FBFB04-078B-4256-ACE2-23C40E4C7446}"/>
    <cellStyle name="Normal 5 2 2 3" xfId="417" xr:uid="{00000000-0005-0000-0000-000096170000}"/>
    <cellStyle name="Normal 5 2 2 3 10" xfId="9009" xr:uid="{B573A291-C0D1-4AC7-810A-9C1B4554190E}"/>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3C703889-0832-4037-B342-773A483342EB}"/>
    <cellStyle name="Normal 5 2 2 3 2 2 2 2 3" xfId="11569" xr:uid="{1B2B9391-0269-494C-B2F1-A36C2BCEBD5D}"/>
    <cellStyle name="Normal 5 2 2 3 2 2 2 3" xfId="5207" xr:uid="{00000000-0005-0000-0000-00009C170000}"/>
    <cellStyle name="Normal 5 2 2 3 2 2 2 3 2" xfId="13642" xr:uid="{20B770A4-B2C2-412F-9CC5-87D41BC00E82}"/>
    <cellStyle name="Normal 5 2 2 3 2 2 2 4" xfId="9424" xr:uid="{C2E8F7F8-7F3D-4FC1-80CB-5D7F9A76D82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DC1C0D53-26D4-4A5E-B8E5-85ECA18D6AFB}"/>
    <cellStyle name="Normal 5 2 2 3 2 2 3 2 3" xfId="11982" xr:uid="{3FD6D49D-4BC0-4E8A-8012-CAEE1E883184}"/>
    <cellStyle name="Normal 5 2 2 3 2 2 3 3" xfId="5620" xr:uid="{00000000-0005-0000-0000-0000A0170000}"/>
    <cellStyle name="Normal 5 2 2 3 2 2 3 3 2" xfId="14055" xr:uid="{CA6DF108-5119-4750-94F0-1611A072B7FB}"/>
    <cellStyle name="Normal 5 2 2 3 2 2 3 4" xfId="9837" xr:uid="{E225BC75-4736-4434-8FA9-D3B61796F9AD}"/>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8B7127FA-3763-49DC-ACA6-E2C8D9A66ED1}"/>
    <cellStyle name="Normal 5 2 2 3 2 2 4 2 3" xfId="12395" xr:uid="{9A3BF517-A4A1-4FC9-BFF5-1BD68F68A9F9}"/>
    <cellStyle name="Normal 5 2 2 3 2 2 4 3" xfId="6033" xr:uid="{00000000-0005-0000-0000-0000A4170000}"/>
    <cellStyle name="Normal 5 2 2 3 2 2 4 3 2" xfId="14468" xr:uid="{6C8C1682-5762-49DD-A5FA-170E38341B61}"/>
    <cellStyle name="Normal 5 2 2 3 2 2 4 4" xfId="10250" xr:uid="{864D601E-67C6-4489-BD1E-D31D204D1D5C}"/>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E836BC99-194C-4A8A-8780-3887D03C4092}"/>
    <cellStyle name="Normal 5 2 2 3 2 2 5 2 3" xfId="12808" xr:uid="{0956FABC-8C49-46D5-933B-8BF15C378E64}"/>
    <cellStyle name="Normal 5 2 2 3 2 2 5 3" xfId="6446" xr:uid="{00000000-0005-0000-0000-0000A8170000}"/>
    <cellStyle name="Normal 5 2 2 3 2 2 5 3 2" xfId="14881" xr:uid="{7E1F0569-8EC9-42D5-8399-6997680A1A39}"/>
    <cellStyle name="Normal 5 2 2 3 2 2 5 4" xfId="10663" xr:uid="{5100AD3A-B8AA-4D7E-91F7-59F42D55809E}"/>
    <cellStyle name="Normal 5 2 2 3 2 2 6" xfId="2575" xr:uid="{00000000-0005-0000-0000-0000A9170000}"/>
    <cellStyle name="Normal 5 2 2 3 2 2 6 2" xfId="6859" xr:uid="{00000000-0005-0000-0000-0000AA170000}"/>
    <cellStyle name="Normal 5 2 2 3 2 2 6 2 2" xfId="15294" xr:uid="{61F01A6D-C64D-4978-B35F-586092AC7C17}"/>
    <cellStyle name="Normal 5 2 2 3 2 2 6 3" xfId="11076" xr:uid="{BF4120E6-4837-4BBD-BA74-58CC0E6B5448}"/>
    <cellStyle name="Normal 5 2 2 3 2 2 7" xfId="4794" xr:uid="{00000000-0005-0000-0000-0000AB170000}"/>
    <cellStyle name="Normal 5 2 2 3 2 2 7 2" xfId="13229" xr:uid="{F146FE43-3637-4625-A320-1CDF909AA7FB}"/>
    <cellStyle name="Normal 5 2 2 3 2 2 8" xfId="9011" xr:uid="{A9074301-FDD2-4C5E-8AB2-4D123A6809EA}"/>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D7E8CD9E-B95B-42EB-8A35-7430DD3F2C33}"/>
    <cellStyle name="Normal 5 2 2 3 2 3 2 3" xfId="11568" xr:uid="{B022B2D9-8787-4143-BB94-5B8D0C320A30}"/>
    <cellStyle name="Normal 5 2 2 3 2 3 3" xfId="5206" xr:uid="{00000000-0005-0000-0000-0000AF170000}"/>
    <cellStyle name="Normal 5 2 2 3 2 3 3 2" xfId="13641" xr:uid="{8E70F129-C44F-4DFE-9A97-01CE7BFA713D}"/>
    <cellStyle name="Normal 5 2 2 3 2 3 4" xfId="9423" xr:uid="{63121515-0D73-4101-BC70-18DA631FBA13}"/>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252FA511-F328-4ECA-875F-53391EAFE2A5}"/>
    <cellStyle name="Normal 5 2 2 3 2 4 2 3" xfId="11981" xr:uid="{F6D901FC-A386-4317-A0BF-7AEBCC0BF8E4}"/>
    <cellStyle name="Normal 5 2 2 3 2 4 3" xfId="5619" xr:uid="{00000000-0005-0000-0000-0000B3170000}"/>
    <cellStyle name="Normal 5 2 2 3 2 4 3 2" xfId="14054" xr:uid="{E392B679-32E1-43E5-8ACB-02C953D95987}"/>
    <cellStyle name="Normal 5 2 2 3 2 4 4" xfId="9836" xr:uid="{F11EB4F6-D138-4496-898C-4EF967DB83D5}"/>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5BF94DF4-5515-4C51-BBCE-20EFBDCF250C}"/>
    <cellStyle name="Normal 5 2 2 3 2 5 2 3" xfId="12394" xr:uid="{7D686CC3-9878-42E8-B813-554ACDBA740E}"/>
    <cellStyle name="Normal 5 2 2 3 2 5 3" xfId="6032" xr:uid="{00000000-0005-0000-0000-0000B7170000}"/>
    <cellStyle name="Normal 5 2 2 3 2 5 3 2" xfId="14467" xr:uid="{8FFEF73A-EB7D-4953-8125-2DEBBBEE64A4}"/>
    <cellStyle name="Normal 5 2 2 3 2 5 4" xfId="10249" xr:uid="{C5A8A242-CD41-4524-87E7-EBA01CDB5EB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FBF17AE2-C8FB-4CE5-93F3-1A08B39E68AF}"/>
    <cellStyle name="Normal 5 2 2 3 2 6 2 3" xfId="12807" xr:uid="{55E6102A-E4B4-48F1-BB44-89476E2D73A6}"/>
    <cellStyle name="Normal 5 2 2 3 2 6 3" xfId="6445" xr:uid="{00000000-0005-0000-0000-0000BB170000}"/>
    <cellStyle name="Normal 5 2 2 3 2 6 3 2" xfId="14880" xr:uid="{A05A471F-5FBD-4156-B9CA-5A88123FD0CF}"/>
    <cellStyle name="Normal 5 2 2 3 2 6 4" xfId="10662" xr:uid="{1585A4A5-A28C-49D0-BC51-CABF6E3AF007}"/>
    <cellStyle name="Normal 5 2 2 3 2 7" xfId="2574" xr:uid="{00000000-0005-0000-0000-0000BC170000}"/>
    <cellStyle name="Normal 5 2 2 3 2 7 2" xfId="6858" xr:uid="{00000000-0005-0000-0000-0000BD170000}"/>
    <cellStyle name="Normal 5 2 2 3 2 7 2 2" xfId="15293" xr:uid="{C70E4CA4-7F98-45A8-88C8-4131DC70A2DF}"/>
    <cellStyle name="Normal 5 2 2 3 2 7 3" xfId="11075" xr:uid="{6A30B7D9-2843-4DB3-8CC2-AB8EEE5CDE63}"/>
    <cellStyle name="Normal 5 2 2 3 2 8" xfId="4793" xr:uid="{00000000-0005-0000-0000-0000BE170000}"/>
    <cellStyle name="Normal 5 2 2 3 2 8 2" xfId="13228" xr:uid="{214FFC4A-6317-44D8-8616-1D745885D44C}"/>
    <cellStyle name="Normal 5 2 2 3 2 9" xfId="9010" xr:uid="{86C2DF29-14A9-44C9-B66E-0437B13375C8}"/>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9127D29D-2660-4271-B1D9-CEACD019E1D2}"/>
    <cellStyle name="Normal 5 2 2 3 3 2 2 3" xfId="11570" xr:uid="{30ED3CD3-4967-4ADF-9B2C-0DB410DB2E51}"/>
    <cellStyle name="Normal 5 2 2 3 3 2 3" xfId="5208" xr:uid="{00000000-0005-0000-0000-0000C3170000}"/>
    <cellStyle name="Normal 5 2 2 3 3 2 3 2" xfId="13643" xr:uid="{108B169F-9954-49C7-B041-A1B3F11CAEA9}"/>
    <cellStyle name="Normal 5 2 2 3 3 2 4" xfId="9425" xr:uid="{FBD2FC7A-33EC-48B6-A69C-7F10DD44258C}"/>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CD4E3441-60A9-47FE-BD01-DED1569BFB36}"/>
    <cellStyle name="Normal 5 2 2 3 3 3 2 3" xfId="11983" xr:uid="{EBBA3AAD-2A88-47D4-81D1-1A3A00D9337A}"/>
    <cellStyle name="Normal 5 2 2 3 3 3 3" xfId="5621" xr:uid="{00000000-0005-0000-0000-0000C7170000}"/>
    <cellStyle name="Normal 5 2 2 3 3 3 3 2" xfId="14056" xr:uid="{9A8009A6-6D89-48DC-9D7C-A8AC26782267}"/>
    <cellStyle name="Normal 5 2 2 3 3 3 4" xfId="9838" xr:uid="{86CEF2CE-901C-4D91-B344-241F6A547FA7}"/>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FDA5590D-4DB2-4C1D-A383-91310F9F4A99}"/>
    <cellStyle name="Normal 5 2 2 3 3 4 2 3" xfId="12396" xr:uid="{3A2A0AA8-0D49-48DC-B231-AEB3AF0B9830}"/>
    <cellStyle name="Normal 5 2 2 3 3 4 3" xfId="6034" xr:uid="{00000000-0005-0000-0000-0000CB170000}"/>
    <cellStyle name="Normal 5 2 2 3 3 4 3 2" xfId="14469" xr:uid="{AEB3C707-B0EF-4E61-8C72-6BE2193E0CA9}"/>
    <cellStyle name="Normal 5 2 2 3 3 4 4" xfId="10251" xr:uid="{B5117A59-A9D3-4493-8772-EA2C52828497}"/>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568E8DBA-3E3B-47B8-AB18-BE9A4EDE23E6}"/>
    <cellStyle name="Normal 5 2 2 3 3 5 2 3" xfId="12809" xr:uid="{DDFE6816-4277-4200-85F9-489445A21A27}"/>
    <cellStyle name="Normal 5 2 2 3 3 5 3" xfId="6447" xr:uid="{00000000-0005-0000-0000-0000CF170000}"/>
    <cellStyle name="Normal 5 2 2 3 3 5 3 2" xfId="14882" xr:uid="{F32864FB-3EEE-4F50-A188-CC1E15D81FB0}"/>
    <cellStyle name="Normal 5 2 2 3 3 5 4" xfId="10664" xr:uid="{16512F36-9525-4A38-8319-EA0BE8DCE2F1}"/>
    <cellStyle name="Normal 5 2 2 3 3 6" xfId="2576" xr:uid="{00000000-0005-0000-0000-0000D0170000}"/>
    <cellStyle name="Normal 5 2 2 3 3 6 2" xfId="6860" xr:uid="{00000000-0005-0000-0000-0000D1170000}"/>
    <cellStyle name="Normal 5 2 2 3 3 6 2 2" xfId="15295" xr:uid="{05943698-058B-4C00-B1F9-A9BBD63791EE}"/>
    <cellStyle name="Normal 5 2 2 3 3 6 3" xfId="11077" xr:uid="{4068AD75-1F34-4967-8D95-BB5C9258A7EC}"/>
    <cellStyle name="Normal 5 2 2 3 3 7" xfId="4795" xr:uid="{00000000-0005-0000-0000-0000D2170000}"/>
    <cellStyle name="Normal 5 2 2 3 3 7 2" xfId="13230" xr:uid="{230F6809-69F5-45AD-8A9F-B4A0421EC292}"/>
    <cellStyle name="Normal 5 2 2 3 3 8" xfId="9012" xr:uid="{382A060A-7083-4F1A-ACA6-D7F493D37F78}"/>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959358C8-FBA2-4B65-ADD6-AC26ABE09666}"/>
    <cellStyle name="Normal 5 2 2 3 4 2 3" xfId="11567" xr:uid="{BD3D2759-D087-4936-8665-22FBEC2D8F10}"/>
    <cellStyle name="Normal 5 2 2 3 4 3" xfId="5205" xr:uid="{00000000-0005-0000-0000-0000D6170000}"/>
    <cellStyle name="Normal 5 2 2 3 4 3 2" xfId="13640" xr:uid="{9D471FE5-FF6B-4A6F-932C-36247A124C74}"/>
    <cellStyle name="Normal 5 2 2 3 4 4" xfId="9422" xr:uid="{A2811B36-53EC-4ECB-9479-E9778E269F73}"/>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9ED21EDA-0360-4474-9869-E1B7A7A57F6F}"/>
    <cellStyle name="Normal 5 2 2 3 5 2 3" xfId="11980" xr:uid="{D5D4C0F7-995E-4143-95D1-A21E2F0F7A38}"/>
    <cellStyle name="Normal 5 2 2 3 5 3" xfId="5618" xr:uid="{00000000-0005-0000-0000-0000DA170000}"/>
    <cellStyle name="Normal 5 2 2 3 5 3 2" xfId="14053" xr:uid="{8093471E-F9F3-4C4A-8AFF-2C55261CA38B}"/>
    <cellStyle name="Normal 5 2 2 3 5 4" xfId="9835" xr:uid="{ABD991D0-70BD-488F-B7D7-DD65C3A3D468}"/>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1EE79B43-2A9C-4A71-BAA9-8AD682139F37}"/>
    <cellStyle name="Normal 5 2 2 3 6 2 3" xfId="12393" xr:uid="{8A5EC0AB-6553-4C1F-8E98-90859C427F8A}"/>
    <cellStyle name="Normal 5 2 2 3 6 3" xfId="6031" xr:uid="{00000000-0005-0000-0000-0000DE170000}"/>
    <cellStyle name="Normal 5 2 2 3 6 3 2" xfId="14466" xr:uid="{66F93A3C-A547-46FD-8F00-1ED283F7C339}"/>
    <cellStyle name="Normal 5 2 2 3 6 4" xfId="10248" xr:uid="{A7E82940-DAB4-4D52-893D-D87293A946F2}"/>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6AB05AAD-7613-45E7-895D-15343E8BDCAE}"/>
    <cellStyle name="Normal 5 2 2 3 7 2 3" xfId="12806" xr:uid="{8BF9A950-FF30-455F-8753-2DE8021E6173}"/>
    <cellStyle name="Normal 5 2 2 3 7 3" xfId="6444" xr:uid="{00000000-0005-0000-0000-0000E2170000}"/>
    <cellStyle name="Normal 5 2 2 3 7 3 2" xfId="14879" xr:uid="{79137981-8CDC-4FA8-B49B-60473B3E146C}"/>
    <cellStyle name="Normal 5 2 2 3 7 4" xfId="10661" xr:uid="{5F67D264-CB55-4322-9EAD-24B87B5D7151}"/>
    <cellStyle name="Normal 5 2 2 3 8" xfId="2573" xr:uid="{00000000-0005-0000-0000-0000E3170000}"/>
    <cellStyle name="Normal 5 2 2 3 8 2" xfId="6857" xr:uid="{00000000-0005-0000-0000-0000E4170000}"/>
    <cellStyle name="Normal 5 2 2 3 8 2 2" xfId="15292" xr:uid="{72A99E42-C3FD-4C29-9CEE-3352C42E1FD2}"/>
    <cellStyle name="Normal 5 2 2 3 8 3" xfId="11074" xr:uid="{966B9B7E-958B-41A5-B154-A17AA452E684}"/>
    <cellStyle name="Normal 5 2 2 3 9" xfId="4792" xr:uid="{00000000-0005-0000-0000-0000E5170000}"/>
    <cellStyle name="Normal 5 2 2 3 9 2" xfId="13227" xr:uid="{95D4E609-810F-416F-A1D9-F3C985798E7C}"/>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09AFCD34-7F72-48C4-8836-9C885AA31E28}"/>
    <cellStyle name="Normal 5 2 2 4 2 2 2 3" xfId="11572" xr:uid="{B525B3D8-35B7-4713-8344-FCC14890A2E1}"/>
    <cellStyle name="Normal 5 2 2 4 2 2 3" xfId="5210" xr:uid="{00000000-0005-0000-0000-0000EB170000}"/>
    <cellStyle name="Normal 5 2 2 4 2 2 3 2" xfId="13645" xr:uid="{F2AC01F2-E3B4-4548-9466-674371C69EEC}"/>
    <cellStyle name="Normal 5 2 2 4 2 2 4" xfId="9427" xr:uid="{1B637EE0-B028-4B13-8F45-F1A7B4F92D59}"/>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935B43E4-1437-4FCE-A129-2233BD267585}"/>
    <cellStyle name="Normal 5 2 2 4 2 3 2 3" xfId="11985" xr:uid="{209B5306-8755-45C7-BAD8-36904A381495}"/>
    <cellStyle name="Normal 5 2 2 4 2 3 3" xfId="5623" xr:uid="{00000000-0005-0000-0000-0000EF170000}"/>
    <cellStyle name="Normal 5 2 2 4 2 3 3 2" xfId="14058" xr:uid="{E7630DED-B5AE-46AD-8E9B-1F8F5ABC74D6}"/>
    <cellStyle name="Normal 5 2 2 4 2 3 4" xfId="9840" xr:uid="{0F2F38D9-AB2F-40E2-9976-C7C9C5F125E5}"/>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B9257ADE-36D4-489F-94F2-F5A2E7D455AD}"/>
    <cellStyle name="Normal 5 2 2 4 2 4 2 3" xfId="12398" xr:uid="{4538492C-E19F-48AF-B0FB-3E7257556D35}"/>
    <cellStyle name="Normal 5 2 2 4 2 4 3" xfId="6036" xr:uid="{00000000-0005-0000-0000-0000F3170000}"/>
    <cellStyle name="Normal 5 2 2 4 2 4 3 2" xfId="14471" xr:uid="{043EDDAF-A34C-441C-8CF6-67527762D0CC}"/>
    <cellStyle name="Normal 5 2 2 4 2 4 4" xfId="10253" xr:uid="{8D49CC01-0E1F-45F4-9B6B-13A1A060ACE3}"/>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3C5AC045-362B-4E5C-BC4C-DE83628A58B4}"/>
    <cellStyle name="Normal 5 2 2 4 2 5 2 3" xfId="12811" xr:uid="{DC8FA118-E24D-4FB9-BFF2-1EDE258DB38C}"/>
    <cellStyle name="Normal 5 2 2 4 2 5 3" xfId="6449" xr:uid="{00000000-0005-0000-0000-0000F7170000}"/>
    <cellStyle name="Normal 5 2 2 4 2 5 3 2" xfId="14884" xr:uid="{28F99672-3E6E-4944-BC14-DFB68255D79F}"/>
    <cellStyle name="Normal 5 2 2 4 2 5 4" xfId="10666" xr:uid="{332372A2-1579-43E0-A231-A8FBB6E11555}"/>
    <cellStyle name="Normal 5 2 2 4 2 6" xfId="2578" xr:uid="{00000000-0005-0000-0000-0000F8170000}"/>
    <cellStyle name="Normal 5 2 2 4 2 6 2" xfId="6862" xr:uid="{00000000-0005-0000-0000-0000F9170000}"/>
    <cellStyle name="Normal 5 2 2 4 2 6 2 2" xfId="15297" xr:uid="{E204C6B8-A272-4E34-AAE1-FFBCEE3742B3}"/>
    <cellStyle name="Normal 5 2 2 4 2 6 3" xfId="11079" xr:uid="{D1CE4431-25EB-423D-A32A-A776B2A535F2}"/>
    <cellStyle name="Normal 5 2 2 4 2 7" xfId="4797" xr:uid="{00000000-0005-0000-0000-0000FA170000}"/>
    <cellStyle name="Normal 5 2 2 4 2 7 2" xfId="13232" xr:uid="{DA72D824-590C-4936-B14C-3DEA765916DC}"/>
    <cellStyle name="Normal 5 2 2 4 2 8" xfId="9014" xr:uid="{3045BC4B-E22F-454A-AA62-B263260337CA}"/>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50900A08-5D69-4F42-8EFE-E91E855B86F8}"/>
    <cellStyle name="Normal 5 2 2 4 3 2 3" xfId="11571" xr:uid="{69EFFE44-F7BC-4721-851E-C25C311DC662}"/>
    <cellStyle name="Normal 5 2 2 4 3 3" xfId="5209" xr:uid="{00000000-0005-0000-0000-0000FE170000}"/>
    <cellStyle name="Normal 5 2 2 4 3 3 2" xfId="13644" xr:uid="{40961738-1DBA-475B-AD5F-CA2D1B3839FD}"/>
    <cellStyle name="Normal 5 2 2 4 3 4" xfId="9426" xr:uid="{2D6E8689-A2A2-4269-91D0-2E4BC756BD8E}"/>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0E1F9DDB-1D2B-4FE4-AF3C-6811F65E624F}"/>
    <cellStyle name="Normal 5 2 2 4 4 2 3" xfId="11984" xr:uid="{15FAEF6C-4CEB-4029-8B4A-AD67B6A0DF15}"/>
    <cellStyle name="Normal 5 2 2 4 4 3" xfId="5622" xr:uid="{00000000-0005-0000-0000-000002180000}"/>
    <cellStyle name="Normal 5 2 2 4 4 3 2" xfId="14057" xr:uid="{34B401C5-90ED-4781-BF83-D709E263F0A7}"/>
    <cellStyle name="Normal 5 2 2 4 4 4" xfId="9839" xr:uid="{8B6AD26C-7951-4FC8-92A9-C5E527FFF4D7}"/>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746014B7-D78D-4E95-AE2B-2D02C42018D6}"/>
    <cellStyle name="Normal 5 2 2 4 5 2 3" xfId="12397" xr:uid="{3BEDEF80-D053-4A6C-A70A-B3E2DD729884}"/>
    <cellStyle name="Normal 5 2 2 4 5 3" xfId="6035" xr:uid="{00000000-0005-0000-0000-000006180000}"/>
    <cellStyle name="Normal 5 2 2 4 5 3 2" xfId="14470" xr:uid="{FA9FE433-E9E1-4A3F-982E-670E9B68092A}"/>
    <cellStyle name="Normal 5 2 2 4 5 4" xfId="10252" xr:uid="{B3BBF167-E519-4C57-9E2E-4902C597C377}"/>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EA83B468-032C-45CA-81A6-E345A05BBBE9}"/>
    <cellStyle name="Normal 5 2 2 4 6 2 3" xfId="12810" xr:uid="{F057BBF1-6A29-47B9-9953-537C444AEFFC}"/>
    <cellStyle name="Normal 5 2 2 4 6 3" xfId="6448" xr:uid="{00000000-0005-0000-0000-00000A180000}"/>
    <cellStyle name="Normal 5 2 2 4 6 3 2" xfId="14883" xr:uid="{0219BE54-A211-444A-BDAA-75ED6592A001}"/>
    <cellStyle name="Normal 5 2 2 4 6 4" xfId="10665" xr:uid="{E7DA72FE-050A-49C3-90AB-E0FB8AE10954}"/>
    <cellStyle name="Normal 5 2 2 4 7" xfId="2577" xr:uid="{00000000-0005-0000-0000-00000B180000}"/>
    <cellStyle name="Normal 5 2 2 4 7 2" xfId="6861" xr:uid="{00000000-0005-0000-0000-00000C180000}"/>
    <cellStyle name="Normal 5 2 2 4 7 2 2" xfId="15296" xr:uid="{3672E554-3D55-4A27-B7DC-8E4407F005B0}"/>
    <cellStyle name="Normal 5 2 2 4 7 3" xfId="11078" xr:uid="{561F9515-7FC5-4679-A9A4-55ED57703337}"/>
    <cellStyle name="Normal 5 2 2 4 8" xfId="4796" xr:uid="{00000000-0005-0000-0000-00000D180000}"/>
    <cellStyle name="Normal 5 2 2 4 8 2" xfId="13231" xr:uid="{7F1F0AF3-5597-4CCB-998E-D2323735B8AB}"/>
    <cellStyle name="Normal 5 2 2 4 9" xfId="9013" xr:uid="{87172FF2-ADCD-4C38-BECB-7F6B88B278EA}"/>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94F8584D-323A-43DE-A399-589B628943A2}"/>
    <cellStyle name="Normal 5 2 2 5 2 2 3" xfId="11573" xr:uid="{A9E3C87E-5A48-43B9-B536-3B4A5E3F29A9}"/>
    <cellStyle name="Normal 5 2 2 5 2 3" xfId="5211" xr:uid="{00000000-0005-0000-0000-000012180000}"/>
    <cellStyle name="Normal 5 2 2 5 2 3 2" xfId="13646" xr:uid="{4E7A29FB-4022-4376-B2C5-562F5900CF19}"/>
    <cellStyle name="Normal 5 2 2 5 2 4" xfId="9428" xr:uid="{7D1D48D8-E30E-414D-9DCC-9E3EEF500DCF}"/>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40D6CFBD-FE5A-40BF-9F17-7E60B67073E4}"/>
    <cellStyle name="Normal 5 2 2 5 3 2 3" xfId="11986" xr:uid="{D44B3424-7C3C-4F96-B9F2-EA83E2169248}"/>
    <cellStyle name="Normal 5 2 2 5 3 3" xfId="5624" xr:uid="{00000000-0005-0000-0000-000016180000}"/>
    <cellStyle name="Normal 5 2 2 5 3 3 2" xfId="14059" xr:uid="{8A802B9B-A886-4AFB-92A4-C7D3ECAD4181}"/>
    <cellStyle name="Normal 5 2 2 5 3 4" xfId="9841" xr:uid="{C2C5125F-059D-4A29-B66A-E4B4F8EE6532}"/>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41609D94-1A44-4F7E-BC62-F4AF6586BC41}"/>
    <cellStyle name="Normal 5 2 2 5 4 2 3" xfId="12399" xr:uid="{46740721-9A96-498F-94AA-88EB3AD7D565}"/>
    <cellStyle name="Normal 5 2 2 5 4 3" xfId="6037" xr:uid="{00000000-0005-0000-0000-00001A180000}"/>
    <cellStyle name="Normal 5 2 2 5 4 3 2" xfId="14472" xr:uid="{06BC95C4-01B3-4E15-88FE-644A0C33385F}"/>
    <cellStyle name="Normal 5 2 2 5 4 4" xfId="10254" xr:uid="{E7C8A431-35F2-47AE-A932-8AB1CC3D0A29}"/>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DAAC35B0-1976-4304-904D-3BB297EF431C}"/>
    <cellStyle name="Normal 5 2 2 5 5 2 3" xfId="12812" xr:uid="{B586A553-16D3-427B-9924-EA7FAC279430}"/>
    <cellStyle name="Normal 5 2 2 5 5 3" xfId="6450" xr:uid="{00000000-0005-0000-0000-00001E180000}"/>
    <cellStyle name="Normal 5 2 2 5 5 3 2" xfId="14885" xr:uid="{02786FB7-AFDF-45F7-8912-98E867FC8F80}"/>
    <cellStyle name="Normal 5 2 2 5 5 4" xfId="10667" xr:uid="{4802B672-29A6-43B3-846A-3D8D78CC01CA}"/>
    <cellStyle name="Normal 5 2 2 5 6" xfId="2579" xr:uid="{00000000-0005-0000-0000-00001F180000}"/>
    <cellStyle name="Normal 5 2 2 5 6 2" xfId="6863" xr:uid="{00000000-0005-0000-0000-000020180000}"/>
    <cellStyle name="Normal 5 2 2 5 6 2 2" xfId="15298" xr:uid="{6DB7E547-AC6C-47F8-94B0-4AF738346CB1}"/>
    <cellStyle name="Normal 5 2 2 5 6 3" xfId="11080" xr:uid="{06EB1A96-12F0-4916-8DD5-DB5F8A313F1F}"/>
    <cellStyle name="Normal 5 2 2 5 7" xfId="4798" xr:uid="{00000000-0005-0000-0000-000021180000}"/>
    <cellStyle name="Normal 5 2 2 5 7 2" xfId="13233" xr:uid="{3DC440E6-C6B2-432E-858A-F0C3FDA3E7B6}"/>
    <cellStyle name="Normal 5 2 2 5 8" xfId="9015" xr:uid="{871AFA80-4424-491E-80D9-AF2BF474326F}"/>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771F9F8C-260A-4C96-82D2-9535EAAF3FC7}"/>
    <cellStyle name="Normal 5 2 2 6 2 3" xfId="11558" xr:uid="{F1D40C10-D838-496A-BD1D-70CEB8AB3B39}"/>
    <cellStyle name="Normal 5 2 2 6 3" xfId="5196" xr:uid="{00000000-0005-0000-0000-000025180000}"/>
    <cellStyle name="Normal 5 2 2 6 3 2" xfId="13631" xr:uid="{FE0AA56B-D812-477F-9B1C-E3A73A72AE4F}"/>
    <cellStyle name="Normal 5 2 2 6 4" xfId="9413" xr:uid="{8AAE746E-B74F-4FA0-B698-CBC89C5696A3}"/>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2A0CC38A-485A-4B0F-B084-BDEA46A96923}"/>
    <cellStyle name="Normal 5 2 2 7 2 3" xfId="11971" xr:uid="{2B704336-D87C-4D19-A9D0-EF2A23C4FCA9}"/>
    <cellStyle name="Normal 5 2 2 7 3" xfId="5609" xr:uid="{00000000-0005-0000-0000-000029180000}"/>
    <cellStyle name="Normal 5 2 2 7 3 2" xfId="14044" xr:uid="{609EE7B5-93B1-453B-8BF6-72BBD066FA85}"/>
    <cellStyle name="Normal 5 2 2 7 4" xfId="9826" xr:uid="{060E339C-BF73-41C0-B71A-ECC74164A7BF}"/>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8A8EB718-64D9-4BBE-9550-E5F3939361CB}"/>
    <cellStyle name="Normal 5 2 2 8 2 3" xfId="12384" xr:uid="{5B8C2955-07F9-4C09-9868-5AD957CAD025}"/>
    <cellStyle name="Normal 5 2 2 8 3" xfId="6022" xr:uid="{00000000-0005-0000-0000-00002D180000}"/>
    <cellStyle name="Normal 5 2 2 8 3 2" xfId="14457" xr:uid="{A3D7C418-4C7A-4882-A8DE-016CB401F16E}"/>
    <cellStyle name="Normal 5 2 2 8 4" xfId="10239" xr:uid="{1F63C4C9-2E4A-4C23-A8F6-F4F7127FC12A}"/>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AFF82965-C6B2-483B-AF11-B6C175603EE5}"/>
    <cellStyle name="Normal 5 2 2 9 2 3" xfId="12797" xr:uid="{70CD4EBB-D204-458A-B08B-905C22CF250D}"/>
    <cellStyle name="Normal 5 2 2 9 3" xfId="6435" xr:uid="{00000000-0005-0000-0000-000031180000}"/>
    <cellStyle name="Normal 5 2 2 9 3 2" xfId="14870" xr:uid="{6132EADE-FDF7-4DCC-8388-7C74B29B9D09}"/>
    <cellStyle name="Normal 5 2 2 9 4" xfId="10652" xr:uid="{64D09934-B3DC-4082-A0E2-4D7E678E1B8E}"/>
    <cellStyle name="Normal 5 2 3" xfId="424" xr:uid="{00000000-0005-0000-0000-000032180000}"/>
    <cellStyle name="Normal 5 2 3 10" xfId="4799" xr:uid="{00000000-0005-0000-0000-000033180000}"/>
    <cellStyle name="Normal 5 2 3 10 2" xfId="13234" xr:uid="{6B7D4449-4D31-4FE5-A534-5BD017228340}"/>
    <cellStyle name="Normal 5 2 3 11" xfId="9016" xr:uid="{03EC22B1-0B93-4F37-ABF4-12B133D20F03}"/>
    <cellStyle name="Normal 5 2 3 2" xfId="425" xr:uid="{00000000-0005-0000-0000-000034180000}"/>
    <cellStyle name="Normal 5 2 3 2 10" xfId="9017" xr:uid="{80EF2B1F-58EC-4772-A60B-F0961743ACAD}"/>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E7E78883-38A9-4817-9AE1-C3C7245E4C06}"/>
    <cellStyle name="Normal 5 2 3 2 2 2 2 2 3" xfId="11577" xr:uid="{2E2E31F8-3849-4F71-9A51-8DA2875549FD}"/>
    <cellStyle name="Normal 5 2 3 2 2 2 2 3" xfId="5215" xr:uid="{00000000-0005-0000-0000-00003A180000}"/>
    <cellStyle name="Normal 5 2 3 2 2 2 2 3 2" xfId="13650" xr:uid="{C4E48027-05D5-41C6-9E57-6EF0EF272A26}"/>
    <cellStyle name="Normal 5 2 3 2 2 2 2 4" xfId="9432" xr:uid="{4E72A2D0-B7C5-42C8-BBFC-17D780F2312C}"/>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5ECD5DDA-8AA7-418D-899F-14949E5D5762}"/>
    <cellStyle name="Normal 5 2 3 2 2 2 3 2 3" xfId="11990" xr:uid="{55F0EEDB-1665-4DF8-BB9F-EB663873ED94}"/>
    <cellStyle name="Normal 5 2 3 2 2 2 3 3" xfId="5628" xr:uid="{00000000-0005-0000-0000-00003E180000}"/>
    <cellStyle name="Normal 5 2 3 2 2 2 3 3 2" xfId="14063" xr:uid="{5039941C-0882-4466-83C0-EFAD5DEB0C37}"/>
    <cellStyle name="Normal 5 2 3 2 2 2 3 4" xfId="9845" xr:uid="{C2BF0D62-659A-4FEB-822C-07C2E91B986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03CE6EA8-209B-4A8A-9051-B0F06A632436}"/>
    <cellStyle name="Normal 5 2 3 2 2 2 4 2 3" xfId="12403" xr:uid="{FC5EAF74-D13B-4455-A02F-7BC83EAFDC7D}"/>
    <cellStyle name="Normal 5 2 3 2 2 2 4 3" xfId="6041" xr:uid="{00000000-0005-0000-0000-000042180000}"/>
    <cellStyle name="Normal 5 2 3 2 2 2 4 3 2" xfId="14476" xr:uid="{9B5FFCC6-BD77-45F6-961B-697EFD8ACDAD}"/>
    <cellStyle name="Normal 5 2 3 2 2 2 4 4" xfId="10258" xr:uid="{527B4C31-D995-41A0-A7AD-797C52E9AC6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9793242F-9AB0-43F3-8908-61F90EDE36F2}"/>
    <cellStyle name="Normal 5 2 3 2 2 2 5 2 3" xfId="12816" xr:uid="{3D62B12A-A703-48D7-9F78-0F82C48D08E4}"/>
    <cellStyle name="Normal 5 2 3 2 2 2 5 3" xfId="6454" xr:uid="{00000000-0005-0000-0000-000046180000}"/>
    <cellStyle name="Normal 5 2 3 2 2 2 5 3 2" xfId="14889" xr:uid="{820FBB4F-88DB-46CA-A369-EF3B52B4E9ED}"/>
    <cellStyle name="Normal 5 2 3 2 2 2 5 4" xfId="10671" xr:uid="{49C57FB8-03A4-4885-82FA-6003465020F8}"/>
    <cellStyle name="Normal 5 2 3 2 2 2 6" xfId="2583" xr:uid="{00000000-0005-0000-0000-000047180000}"/>
    <cellStyle name="Normal 5 2 3 2 2 2 6 2" xfId="6867" xr:uid="{00000000-0005-0000-0000-000048180000}"/>
    <cellStyle name="Normal 5 2 3 2 2 2 6 2 2" xfId="15302" xr:uid="{917C012B-E436-444D-8D57-5333BF0D0CD2}"/>
    <cellStyle name="Normal 5 2 3 2 2 2 6 3" xfId="11084" xr:uid="{68250A25-AB1B-4C90-B274-2E3A3926856C}"/>
    <cellStyle name="Normal 5 2 3 2 2 2 7" xfId="4802" xr:uid="{00000000-0005-0000-0000-000049180000}"/>
    <cellStyle name="Normal 5 2 3 2 2 2 7 2" xfId="13237" xr:uid="{DFD4CEFD-D9F4-4FF7-B003-1B3F08D01246}"/>
    <cellStyle name="Normal 5 2 3 2 2 2 8" xfId="9019" xr:uid="{4F958DC2-1EFF-4E32-B134-91D36027E9FB}"/>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049B8242-FEAE-4C21-9FC1-9E428F1F6202}"/>
    <cellStyle name="Normal 5 2 3 2 2 3 2 3" xfId="11576" xr:uid="{56D8F97A-1488-453F-844E-E6053D50B0B2}"/>
    <cellStyle name="Normal 5 2 3 2 2 3 3" xfId="5214" xr:uid="{00000000-0005-0000-0000-00004D180000}"/>
    <cellStyle name="Normal 5 2 3 2 2 3 3 2" xfId="13649" xr:uid="{EF62EE8A-3D9D-4389-932E-6C9DE884B7CF}"/>
    <cellStyle name="Normal 5 2 3 2 2 3 4" xfId="9431" xr:uid="{7A60CEAA-9DC4-49D5-BC9B-3891139C624D}"/>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22D61EAA-096A-456A-8C2C-A31D403EFCE4}"/>
    <cellStyle name="Normal 5 2 3 2 2 4 2 3" xfId="11989" xr:uid="{98EA52B7-02D0-4923-BC54-441816D71A53}"/>
    <cellStyle name="Normal 5 2 3 2 2 4 3" xfId="5627" xr:uid="{00000000-0005-0000-0000-000051180000}"/>
    <cellStyle name="Normal 5 2 3 2 2 4 3 2" xfId="14062" xr:uid="{DFA9C361-2DEE-452A-91AC-4C6A9527E7A1}"/>
    <cellStyle name="Normal 5 2 3 2 2 4 4" xfId="9844" xr:uid="{C3BAD3A9-FC45-41EE-ADB3-38E5C81A443C}"/>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AC246250-EE27-4479-9C73-252A33B58800}"/>
    <cellStyle name="Normal 5 2 3 2 2 5 2 3" xfId="12402" xr:uid="{F1FE22A1-84C7-4AB7-8189-58CF423C0899}"/>
    <cellStyle name="Normal 5 2 3 2 2 5 3" xfId="6040" xr:uid="{00000000-0005-0000-0000-000055180000}"/>
    <cellStyle name="Normal 5 2 3 2 2 5 3 2" xfId="14475" xr:uid="{C7FBF025-5969-410E-9FA5-0DCA8E008D24}"/>
    <cellStyle name="Normal 5 2 3 2 2 5 4" xfId="10257" xr:uid="{A966A163-7E75-4BA8-B59E-0E0B656CDBA4}"/>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E7D420AB-8919-4B4C-8418-E5FACDC1E712}"/>
    <cellStyle name="Normal 5 2 3 2 2 6 2 3" xfId="12815" xr:uid="{B0BDFDE4-9C01-4EAD-B6B8-2F3724F154A0}"/>
    <cellStyle name="Normal 5 2 3 2 2 6 3" xfId="6453" xr:uid="{00000000-0005-0000-0000-000059180000}"/>
    <cellStyle name="Normal 5 2 3 2 2 6 3 2" xfId="14888" xr:uid="{A58AEE8D-7C04-467D-B8A2-FCA4C92CC1B8}"/>
    <cellStyle name="Normal 5 2 3 2 2 6 4" xfId="10670" xr:uid="{E2AF124A-E283-48E1-9035-18A9C28863B3}"/>
    <cellStyle name="Normal 5 2 3 2 2 7" xfId="2582" xr:uid="{00000000-0005-0000-0000-00005A180000}"/>
    <cellStyle name="Normal 5 2 3 2 2 7 2" xfId="6866" xr:uid="{00000000-0005-0000-0000-00005B180000}"/>
    <cellStyle name="Normal 5 2 3 2 2 7 2 2" xfId="15301" xr:uid="{F59AFE05-FA97-401A-8019-2954E1CDC8E4}"/>
    <cellStyle name="Normal 5 2 3 2 2 7 3" xfId="11083" xr:uid="{DA23EF5F-D551-4729-84A9-5BB79A629244}"/>
    <cellStyle name="Normal 5 2 3 2 2 8" xfId="4801" xr:uid="{00000000-0005-0000-0000-00005C180000}"/>
    <cellStyle name="Normal 5 2 3 2 2 8 2" xfId="13236" xr:uid="{0B9A3767-0F76-426A-B63C-405E3FE60616}"/>
    <cellStyle name="Normal 5 2 3 2 2 9" xfId="9018" xr:uid="{BD98DD50-441C-4A9E-85CA-D18DBE144A7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8C9A425A-2C4B-4674-A0B3-5E561DDCACB3}"/>
    <cellStyle name="Normal 5 2 3 2 3 2 2 3" xfId="11578" xr:uid="{499F8E77-3889-4B27-955D-DB100E10A179}"/>
    <cellStyle name="Normal 5 2 3 2 3 2 3" xfId="5216" xr:uid="{00000000-0005-0000-0000-000061180000}"/>
    <cellStyle name="Normal 5 2 3 2 3 2 3 2" xfId="13651" xr:uid="{71EFB931-A529-4AF8-9F9A-52B2E4D9EF77}"/>
    <cellStyle name="Normal 5 2 3 2 3 2 4" xfId="9433" xr:uid="{F4DAA0EE-65D7-4374-BA4A-A1CEB2A84218}"/>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1EDAC6AF-A149-4E2C-86E9-71F6129A6BF5}"/>
    <cellStyle name="Normal 5 2 3 2 3 3 2 3" xfId="11991" xr:uid="{A64E7B31-0F6A-40A0-B9AE-FCA2974DF40F}"/>
    <cellStyle name="Normal 5 2 3 2 3 3 3" xfId="5629" xr:uid="{00000000-0005-0000-0000-000065180000}"/>
    <cellStyle name="Normal 5 2 3 2 3 3 3 2" xfId="14064" xr:uid="{9E6FAD18-EC3D-41D5-A039-D4609E6DB876}"/>
    <cellStyle name="Normal 5 2 3 2 3 3 4" xfId="9846" xr:uid="{3FEF1043-1426-427A-9239-D8A9F5B7CC94}"/>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614C476B-077D-40DD-A5F0-DF4D4D172D8A}"/>
    <cellStyle name="Normal 5 2 3 2 3 4 2 3" xfId="12404" xr:uid="{BBA5AD4F-E7BE-4745-AD1E-63577511B60B}"/>
    <cellStyle name="Normal 5 2 3 2 3 4 3" xfId="6042" xr:uid="{00000000-0005-0000-0000-000069180000}"/>
    <cellStyle name="Normal 5 2 3 2 3 4 3 2" xfId="14477" xr:uid="{8B0BC310-5113-4169-ABCB-FC2939068E98}"/>
    <cellStyle name="Normal 5 2 3 2 3 4 4" xfId="10259" xr:uid="{68279A3D-B9B0-49BA-8D0D-FDE2FC5C26A4}"/>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517829C9-1977-43AE-9DC5-EAE0CCDB1483}"/>
    <cellStyle name="Normal 5 2 3 2 3 5 2 3" xfId="12817" xr:uid="{D882631D-1C04-47FF-BC8A-9BF9E89EFF94}"/>
    <cellStyle name="Normal 5 2 3 2 3 5 3" xfId="6455" xr:uid="{00000000-0005-0000-0000-00006D180000}"/>
    <cellStyle name="Normal 5 2 3 2 3 5 3 2" xfId="14890" xr:uid="{C734A83E-F35F-48C9-8340-8BF9C61E3438}"/>
    <cellStyle name="Normal 5 2 3 2 3 5 4" xfId="10672" xr:uid="{96E594F5-4634-4D9D-A1DC-308E1B011F32}"/>
    <cellStyle name="Normal 5 2 3 2 3 6" xfId="2584" xr:uid="{00000000-0005-0000-0000-00006E180000}"/>
    <cellStyle name="Normal 5 2 3 2 3 6 2" xfId="6868" xr:uid="{00000000-0005-0000-0000-00006F180000}"/>
    <cellStyle name="Normal 5 2 3 2 3 6 2 2" xfId="15303" xr:uid="{300609EC-C8BD-4053-99A7-0CF5C1F26997}"/>
    <cellStyle name="Normal 5 2 3 2 3 6 3" xfId="11085" xr:uid="{7E4AD6CE-AFFE-4252-B523-585A0BBC9954}"/>
    <cellStyle name="Normal 5 2 3 2 3 7" xfId="4803" xr:uid="{00000000-0005-0000-0000-000070180000}"/>
    <cellStyle name="Normal 5 2 3 2 3 7 2" xfId="13238" xr:uid="{10AD2C32-9528-4BC5-BF74-233B38DA2354}"/>
    <cellStyle name="Normal 5 2 3 2 3 8" xfId="9020" xr:uid="{9551B3C2-6CDF-4411-9B2B-81346B5BD70D}"/>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5F8E14E5-D374-4027-BB92-35A4FC7DAD68}"/>
    <cellStyle name="Normal 5 2 3 2 4 2 3" xfId="11575" xr:uid="{66D42268-FDE1-4D12-A724-31EFAB95FB30}"/>
    <cellStyle name="Normal 5 2 3 2 4 3" xfId="5213" xr:uid="{00000000-0005-0000-0000-000074180000}"/>
    <cellStyle name="Normal 5 2 3 2 4 3 2" xfId="13648" xr:uid="{50744E3E-C5C5-4A5D-8F2E-B5F7B17C8F9C}"/>
    <cellStyle name="Normal 5 2 3 2 4 4" xfId="9430" xr:uid="{0CE14107-C478-4E70-98AB-664F14E385FB}"/>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5B514D40-FE1A-4C41-A4A4-014CA320608D}"/>
    <cellStyle name="Normal 5 2 3 2 5 2 3" xfId="11988" xr:uid="{9A30DD4D-7775-420C-8234-D61341A776A6}"/>
    <cellStyle name="Normal 5 2 3 2 5 3" xfId="5626" xr:uid="{00000000-0005-0000-0000-000078180000}"/>
    <cellStyle name="Normal 5 2 3 2 5 3 2" xfId="14061" xr:uid="{9F8C11C6-D707-461E-A2B1-4319B190D0C4}"/>
    <cellStyle name="Normal 5 2 3 2 5 4" xfId="9843" xr:uid="{69FA9F48-95B5-4B6D-82AF-DB91820D8ECC}"/>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F7CF146A-98EF-4FF4-A9CC-8920BE865822}"/>
    <cellStyle name="Normal 5 2 3 2 6 2 3" xfId="12401" xr:uid="{88FE512E-76F7-4517-BB09-3592F2CEF98C}"/>
    <cellStyle name="Normal 5 2 3 2 6 3" xfId="6039" xr:uid="{00000000-0005-0000-0000-00007C180000}"/>
    <cellStyle name="Normal 5 2 3 2 6 3 2" xfId="14474" xr:uid="{1068EB10-2445-402A-A985-8CEACC0622BE}"/>
    <cellStyle name="Normal 5 2 3 2 6 4" xfId="10256" xr:uid="{B229DFD6-177D-414A-AA6F-5EDEFED4F07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0B859F5F-BF97-40AD-8FE0-DA66513D41B1}"/>
    <cellStyle name="Normal 5 2 3 2 7 2 3" xfId="12814" xr:uid="{BA64F5EC-DA07-4643-A715-634EFD3279C3}"/>
    <cellStyle name="Normal 5 2 3 2 7 3" xfId="6452" xr:uid="{00000000-0005-0000-0000-000080180000}"/>
    <cellStyle name="Normal 5 2 3 2 7 3 2" xfId="14887" xr:uid="{7ED87570-BA52-4625-AD84-1011DF110AC5}"/>
    <cellStyle name="Normal 5 2 3 2 7 4" xfId="10669" xr:uid="{CCFB96EB-ABB5-4F6E-8E6D-0D356F8AE46E}"/>
    <cellStyle name="Normal 5 2 3 2 8" xfId="2581" xr:uid="{00000000-0005-0000-0000-000081180000}"/>
    <cellStyle name="Normal 5 2 3 2 8 2" xfId="6865" xr:uid="{00000000-0005-0000-0000-000082180000}"/>
    <cellStyle name="Normal 5 2 3 2 8 2 2" xfId="15300" xr:uid="{3C658F34-3F61-4CF2-A97C-71EE52130973}"/>
    <cellStyle name="Normal 5 2 3 2 8 3" xfId="11082" xr:uid="{DE3094BD-9B01-455F-AE6E-492639BC9252}"/>
    <cellStyle name="Normal 5 2 3 2 9" xfId="4800" xr:uid="{00000000-0005-0000-0000-000083180000}"/>
    <cellStyle name="Normal 5 2 3 2 9 2" xfId="13235" xr:uid="{5AE6DD89-BB4D-48DE-A09C-35228A0C646C}"/>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823AE355-68FA-4172-A1EF-F8989B71225F}"/>
    <cellStyle name="Normal 5 2 3 3 2 2 2 3" xfId="11580" xr:uid="{673FD283-6351-4C1B-8861-2D113A82B5E0}"/>
    <cellStyle name="Normal 5 2 3 3 2 2 3" xfId="5218" xr:uid="{00000000-0005-0000-0000-000089180000}"/>
    <cellStyle name="Normal 5 2 3 3 2 2 3 2" xfId="13653" xr:uid="{7E66B181-F9FA-41B6-A8B7-5BBE6B6C93CD}"/>
    <cellStyle name="Normal 5 2 3 3 2 2 4" xfId="9435" xr:uid="{DC696573-14CE-4C96-8F0F-73AFBD4DDCE3}"/>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CF701AC2-F1E0-4604-9DFC-2F5F0AA2B8CF}"/>
    <cellStyle name="Normal 5 2 3 3 2 3 2 3" xfId="11993" xr:uid="{25316564-C68B-4868-8FAC-22DD8D645F61}"/>
    <cellStyle name="Normal 5 2 3 3 2 3 3" xfId="5631" xr:uid="{00000000-0005-0000-0000-00008D180000}"/>
    <cellStyle name="Normal 5 2 3 3 2 3 3 2" xfId="14066" xr:uid="{33A5B210-FDE5-46B4-8F7B-834F470F3502}"/>
    <cellStyle name="Normal 5 2 3 3 2 3 4" xfId="9848" xr:uid="{10DD1EBD-C7A6-45C1-B31E-07452ECF6C81}"/>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19A4866F-CF90-4209-BA64-687D8384026F}"/>
    <cellStyle name="Normal 5 2 3 3 2 4 2 3" xfId="12406" xr:uid="{2E67E3AF-903E-47F3-8F28-407BB56FD811}"/>
    <cellStyle name="Normal 5 2 3 3 2 4 3" xfId="6044" xr:uid="{00000000-0005-0000-0000-000091180000}"/>
    <cellStyle name="Normal 5 2 3 3 2 4 3 2" xfId="14479" xr:uid="{9EEDF4B5-238B-4B14-AC32-4E1E8CF9F07C}"/>
    <cellStyle name="Normal 5 2 3 3 2 4 4" xfId="10261" xr:uid="{30B70CF3-9803-433F-8439-15E486C85D58}"/>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96F44454-E8F7-4CAE-97CB-046685DE6323}"/>
    <cellStyle name="Normal 5 2 3 3 2 5 2 3" xfId="12819" xr:uid="{48C286AF-1499-498C-8DC5-F22CF7999793}"/>
    <cellStyle name="Normal 5 2 3 3 2 5 3" xfId="6457" xr:uid="{00000000-0005-0000-0000-000095180000}"/>
    <cellStyle name="Normal 5 2 3 3 2 5 3 2" xfId="14892" xr:uid="{0A411BC5-C3CD-4F37-9C01-447389FAED9B}"/>
    <cellStyle name="Normal 5 2 3 3 2 5 4" xfId="10674" xr:uid="{249A2F23-95B8-4821-B84B-7CB4A0D40E23}"/>
    <cellStyle name="Normal 5 2 3 3 2 6" xfId="2586" xr:uid="{00000000-0005-0000-0000-000096180000}"/>
    <cellStyle name="Normal 5 2 3 3 2 6 2" xfId="6870" xr:uid="{00000000-0005-0000-0000-000097180000}"/>
    <cellStyle name="Normal 5 2 3 3 2 6 2 2" xfId="15305" xr:uid="{92495EB8-DA76-4EEF-8AAA-9550F7954082}"/>
    <cellStyle name="Normal 5 2 3 3 2 6 3" xfId="11087" xr:uid="{9071092E-4A5C-4843-94EB-CB24C44999D9}"/>
    <cellStyle name="Normal 5 2 3 3 2 7" xfId="4805" xr:uid="{00000000-0005-0000-0000-000098180000}"/>
    <cellStyle name="Normal 5 2 3 3 2 7 2" xfId="13240" xr:uid="{4157DFA0-FC7F-4EEF-8D79-6F82320E69CA}"/>
    <cellStyle name="Normal 5 2 3 3 2 8" xfId="9022" xr:uid="{D8AAB414-B57F-4051-ACC6-1DD71197AB3F}"/>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CCC5C1A0-CD66-46A9-B788-A03D11E0C542}"/>
    <cellStyle name="Normal 5 2 3 3 3 2 3" xfId="11579" xr:uid="{CD966D19-10E2-4F87-B7E0-7FDD1164BF37}"/>
    <cellStyle name="Normal 5 2 3 3 3 3" xfId="5217" xr:uid="{00000000-0005-0000-0000-00009C180000}"/>
    <cellStyle name="Normal 5 2 3 3 3 3 2" xfId="13652" xr:uid="{ABAC0D29-FFA3-4880-8C3F-046D461B8EE6}"/>
    <cellStyle name="Normal 5 2 3 3 3 4" xfId="9434" xr:uid="{2BEB5553-DD35-4F68-B965-B319F4AF31E9}"/>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E3AF86C9-5F5C-43B7-B7BB-5221525AF530}"/>
    <cellStyle name="Normal 5 2 3 3 4 2 3" xfId="11992" xr:uid="{1E3B265E-CF06-41FE-9812-5D3CE4268AC0}"/>
    <cellStyle name="Normal 5 2 3 3 4 3" xfId="5630" xr:uid="{00000000-0005-0000-0000-0000A0180000}"/>
    <cellStyle name="Normal 5 2 3 3 4 3 2" xfId="14065" xr:uid="{3C8A81A3-9C54-4223-8169-B586B7066033}"/>
    <cellStyle name="Normal 5 2 3 3 4 4" xfId="9847" xr:uid="{7D43986C-28AA-4F7B-B276-B7E6A4314984}"/>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E778452B-C835-4652-B44E-5F662ADA35BB}"/>
    <cellStyle name="Normal 5 2 3 3 5 2 3" xfId="12405" xr:uid="{F19B39DF-C862-4CF1-9DE5-826DC8EE5DDA}"/>
    <cellStyle name="Normal 5 2 3 3 5 3" xfId="6043" xr:uid="{00000000-0005-0000-0000-0000A4180000}"/>
    <cellStyle name="Normal 5 2 3 3 5 3 2" xfId="14478" xr:uid="{884B8269-85A0-48DF-BD8A-37B95CEE98A5}"/>
    <cellStyle name="Normal 5 2 3 3 5 4" xfId="10260" xr:uid="{6B5FF4E9-D6D3-48C2-B154-CDB311FCDA62}"/>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C1FB3DB8-DC56-48F7-8553-99E70E7E9839}"/>
    <cellStyle name="Normal 5 2 3 3 6 2 3" xfId="12818" xr:uid="{DA744AE0-C343-4D05-AC31-C3B41032A7E4}"/>
    <cellStyle name="Normal 5 2 3 3 6 3" xfId="6456" xr:uid="{00000000-0005-0000-0000-0000A8180000}"/>
    <cellStyle name="Normal 5 2 3 3 6 3 2" xfId="14891" xr:uid="{1094824E-24D9-4D00-B7B8-9DF3EFF3EC6F}"/>
    <cellStyle name="Normal 5 2 3 3 6 4" xfId="10673" xr:uid="{8834EBA9-9D19-46D7-928D-E8FBC585339B}"/>
    <cellStyle name="Normal 5 2 3 3 7" xfId="2585" xr:uid="{00000000-0005-0000-0000-0000A9180000}"/>
    <cellStyle name="Normal 5 2 3 3 7 2" xfId="6869" xr:uid="{00000000-0005-0000-0000-0000AA180000}"/>
    <cellStyle name="Normal 5 2 3 3 7 2 2" xfId="15304" xr:uid="{01C4A97A-1683-4117-AF81-2251B1DB4FF5}"/>
    <cellStyle name="Normal 5 2 3 3 7 3" xfId="11086" xr:uid="{5A67DE84-26D0-4466-9EED-C33352468EC3}"/>
    <cellStyle name="Normal 5 2 3 3 8" xfId="4804" xr:uid="{00000000-0005-0000-0000-0000AB180000}"/>
    <cellStyle name="Normal 5 2 3 3 8 2" xfId="13239" xr:uid="{E9E704BE-1DAE-4AB8-94CD-0CB6E19DBFAE}"/>
    <cellStyle name="Normal 5 2 3 3 9" xfId="9021" xr:uid="{FD83910A-A84C-4B89-B219-202DFEF0C6EB}"/>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E16D9841-EF4D-44ED-8DE9-F86C97AF61E4}"/>
    <cellStyle name="Normal 5 2 3 4 2 2 3" xfId="11581" xr:uid="{1CD7FE01-FC47-461F-BACA-372426881158}"/>
    <cellStyle name="Normal 5 2 3 4 2 3" xfId="5219" xr:uid="{00000000-0005-0000-0000-0000B0180000}"/>
    <cellStyle name="Normal 5 2 3 4 2 3 2" xfId="13654" xr:uid="{C37C52C5-38C5-4635-9D33-3F5B44EE6E8B}"/>
    <cellStyle name="Normal 5 2 3 4 2 4" xfId="9436" xr:uid="{20E5D8CF-4E7E-466C-AED6-4BBD9976F238}"/>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92423111-56B1-4B67-A0A9-884D729A8A9C}"/>
    <cellStyle name="Normal 5 2 3 4 3 2 3" xfId="11994" xr:uid="{2FFC64DA-8CF5-4DB8-BD1F-C208DD5BA775}"/>
    <cellStyle name="Normal 5 2 3 4 3 3" xfId="5632" xr:uid="{00000000-0005-0000-0000-0000B4180000}"/>
    <cellStyle name="Normal 5 2 3 4 3 3 2" xfId="14067" xr:uid="{41E103FC-40BC-4A22-B4CC-777D0470AA90}"/>
    <cellStyle name="Normal 5 2 3 4 3 4" xfId="9849" xr:uid="{08534015-696A-4BDD-816E-25949C4206F3}"/>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727F51D8-AD37-4520-8C2B-1DD191295B84}"/>
    <cellStyle name="Normal 5 2 3 4 4 2 3" xfId="12407" xr:uid="{76DDBCDF-2AC0-422A-B7FA-10C28ECA7C5F}"/>
    <cellStyle name="Normal 5 2 3 4 4 3" xfId="6045" xr:uid="{00000000-0005-0000-0000-0000B8180000}"/>
    <cellStyle name="Normal 5 2 3 4 4 3 2" xfId="14480" xr:uid="{72BF9587-6E18-4574-9806-FF071005DFA9}"/>
    <cellStyle name="Normal 5 2 3 4 4 4" xfId="10262" xr:uid="{D636FF10-3298-4451-8314-976879637E89}"/>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B884BEA2-7649-471F-983D-8176A83668C4}"/>
    <cellStyle name="Normal 5 2 3 4 5 2 3" xfId="12820" xr:uid="{17C8B9B7-629E-4CF3-9226-80160705FE13}"/>
    <cellStyle name="Normal 5 2 3 4 5 3" xfId="6458" xr:uid="{00000000-0005-0000-0000-0000BC180000}"/>
    <cellStyle name="Normal 5 2 3 4 5 3 2" xfId="14893" xr:uid="{72F21A47-29FE-4C99-98EA-95135F28D350}"/>
    <cellStyle name="Normal 5 2 3 4 5 4" xfId="10675" xr:uid="{01292D5D-F25E-4B89-8312-84D1EFFF3ABF}"/>
    <cellStyle name="Normal 5 2 3 4 6" xfId="2587" xr:uid="{00000000-0005-0000-0000-0000BD180000}"/>
    <cellStyle name="Normal 5 2 3 4 6 2" xfId="6871" xr:uid="{00000000-0005-0000-0000-0000BE180000}"/>
    <cellStyle name="Normal 5 2 3 4 6 2 2" xfId="15306" xr:uid="{902CC9BD-2CA0-44A4-8147-AC31E3806F7A}"/>
    <cellStyle name="Normal 5 2 3 4 6 3" xfId="11088" xr:uid="{854C5BE1-7B82-4BD2-9212-3EBE41ED7DE7}"/>
    <cellStyle name="Normal 5 2 3 4 7" xfId="4806" xr:uid="{00000000-0005-0000-0000-0000BF180000}"/>
    <cellStyle name="Normal 5 2 3 4 7 2" xfId="13241" xr:uid="{72591462-CA84-424C-A2A0-44D73E57C6E9}"/>
    <cellStyle name="Normal 5 2 3 4 8" xfId="9023" xr:uid="{BC2A5801-FDFD-470C-9BCD-60C3E0CC7FCA}"/>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0967D054-6B89-4E70-A14E-03D0D2125886}"/>
    <cellStyle name="Normal 5 2 3 5 2 3" xfId="11574" xr:uid="{BA8C9887-1C30-470A-B02E-17AF00FA734F}"/>
    <cellStyle name="Normal 5 2 3 5 3" xfId="5212" xr:uid="{00000000-0005-0000-0000-0000C3180000}"/>
    <cellStyle name="Normal 5 2 3 5 3 2" xfId="13647" xr:uid="{C4D3592D-B266-492C-91D6-7E0E9876A82B}"/>
    <cellStyle name="Normal 5 2 3 5 4" xfId="9429" xr:uid="{B6E8867A-D6B3-430A-A8B1-6A1A67EEB34B}"/>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2879947E-94E9-441B-AA0F-FC36A3841743}"/>
    <cellStyle name="Normal 5 2 3 6 2 3" xfId="11987" xr:uid="{0E4ACAA0-AFEE-46C2-AD8B-17E531648C50}"/>
    <cellStyle name="Normal 5 2 3 6 3" xfId="5625" xr:uid="{00000000-0005-0000-0000-0000C7180000}"/>
    <cellStyle name="Normal 5 2 3 6 3 2" xfId="14060" xr:uid="{13D7300E-7731-4CD3-9550-581D544DEEE1}"/>
    <cellStyle name="Normal 5 2 3 6 4" xfId="9842" xr:uid="{E60E76C6-D451-4F20-A4A8-2A1E1FB64733}"/>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AC890895-FAF9-4535-8F8F-14113EA281A6}"/>
    <cellStyle name="Normal 5 2 3 7 2 3" xfId="12400" xr:uid="{79EA506E-2BAE-4933-A6E5-F3CBF233FDE2}"/>
    <cellStyle name="Normal 5 2 3 7 3" xfId="6038" xr:uid="{00000000-0005-0000-0000-0000CB180000}"/>
    <cellStyle name="Normal 5 2 3 7 3 2" xfId="14473" xr:uid="{AF4FAFA6-A175-4F04-81C3-4E41F86F9214}"/>
    <cellStyle name="Normal 5 2 3 7 4" xfId="10255" xr:uid="{F9040E32-7924-4B67-809A-201F235D65FB}"/>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3727FE76-AFCC-42A0-9D2B-4203B2EDFFCA}"/>
    <cellStyle name="Normal 5 2 3 8 2 3" xfId="12813" xr:uid="{EAAB45B6-6F9F-4067-A8D4-3BC965F5C2DF}"/>
    <cellStyle name="Normal 5 2 3 8 3" xfId="6451" xr:uid="{00000000-0005-0000-0000-0000CF180000}"/>
    <cellStyle name="Normal 5 2 3 8 3 2" xfId="14886" xr:uid="{D3583B8C-20C3-4FF0-8608-97D30E83D1A0}"/>
    <cellStyle name="Normal 5 2 3 8 4" xfId="10668" xr:uid="{BD34CE23-65D2-4DA8-BC71-931E696EA947}"/>
    <cellStyle name="Normal 5 2 3 9" xfId="2580" xr:uid="{00000000-0005-0000-0000-0000D0180000}"/>
    <cellStyle name="Normal 5 2 3 9 2" xfId="6864" xr:uid="{00000000-0005-0000-0000-0000D1180000}"/>
    <cellStyle name="Normal 5 2 3 9 2 2" xfId="15299" xr:uid="{A3D29DB7-01CB-4CBF-A380-54037ADF37B6}"/>
    <cellStyle name="Normal 5 2 3 9 3" xfId="11081" xr:uid="{AD8052C1-E2CD-49AA-B86D-CDE5E129C282}"/>
    <cellStyle name="Normal 5 2 4" xfId="432" xr:uid="{00000000-0005-0000-0000-0000D2180000}"/>
    <cellStyle name="Normal 5 2 4 10" xfId="9024" xr:uid="{D155C695-E279-4F96-9F5D-AA7FFE4D9006}"/>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7967BDA2-D830-4275-AF4A-5CA405334592}"/>
    <cellStyle name="Normal 5 2 4 2 2 2 2 3" xfId="11584" xr:uid="{F1977CC0-114C-48AE-9E21-E8814BAA1817}"/>
    <cellStyle name="Normal 5 2 4 2 2 2 3" xfId="5222" xr:uid="{00000000-0005-0000-0000-0000D8180000}"/>
    <cellStyle name="Normal 5 2 4 2 2 2 3 2" xfId="13657" xr:uid="{5F5EE887-76FD-4549-92A8-2B7815A13146}"/>
    <cellStyle name="Normal 5 2 4 2 2 2 4" xfId="9439" xr:uid="{DE48E396-CE3D-49F1-80F8-4C29ABC2F4C5}"/>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E46DDB64-065C-47B4-B9FF-12AE804757BF}"/>
    <cellStyle name="Normal 5 2 4 2 2 3 2 3" xfId="11997" xr:uid="{AA6EBE5A-FBBF-46BA-A5BB-A880732D8ED1}"/>
    <cellStyle name="Normal 5 2 4 2 2 3 3" xfId="5635" xr:uid="{00000000-0005-0000-0000-0000DC180000}"/>
    <cellStyle name="Normal 5 2 4 2 2 3 3 2" xfId="14070" xr:uid="{1334680C-97E7-421D-8B54-5EE3F14C1511}"/>
    <cellStyle name="Normal 5 2 4 2 2 3 4" xfId="9852" xr:uid="{3427D5AF-8207-4250-A24F-CFBA33C53B9D}"/>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6C34277D-6466-44FB-A14A-FC799ACBC2C6}"/>
    <cellStyle name="Normal 5 2 4 2 2 4 2 3" xfId="12410" xr:uid="{9BD47E7F-AE95-47FB-87FE-63451E15839E}"/>
    <cellStyle name="Normal 5 2 4 2 2 4 3" xfId="6048" xr:uid="{00000000-0005-0000-0000-0000E0180000}"/>
    <cellStyle name="Normal 5 2 4 2 2 4 3 2" xfId="14483" xr:uid="{AE9E0625-C59E-4452-8D79-17C3FA6CB2C0}"/>
    <cellStyle name="Normal 5 2 4 2 2 4 4" xfId="10265" xr:uid="{275496CD-6173-44F7-AEDB-C1398176C1AA}"/>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0B3B3C9C-9BC1-42D6-83DA-A7C81DE9F84A}"/>
    <cellStyle name="Normal 5 2 4 2 2 5 2 3" xfId="12823" xr:uid="{881C6E21-2FF0-44B5-B90C-B201EE35E206}"/>
    <cellStyle name="Normal 5 2 4 2 2 5 3" xfId="6461" xr:uid="{00000000-0005-0000-0000-0000E4180000}"/>
    <cellStyle name="Normal 5 2 4 2 2 5 3 2" xfId="14896" xr:uid="{022E5EDD-194A-4BF4-9562-9788665AFCB3}"/>
    <cellStyle name="Normal 5 2 4 2 2 5 4" xfId="10678" xr:uid="{2CF6347E-1209-4B58-9D85-CB858C98CCCD}"/>
    <cellStyle name="Normal 5 2 4 2 2 6" xfId="2590" xr:uid="{00000000-0005-0000-0000-0000E5180000}"/>
    <cellStyle name="Normal 5 2 4 2 2 6 2" xfId="6874" xr:uid="{00000000-0005-0000-0000-0000E6180000}"/>
    <cellStyle name="Normal 5 2 4 2 2 6 2 2" xfId="15309" xr:uid="{CB93E3FC-83EC-4E5D-953A-0DF311245FD3}"/>
    <cellStyle name="Normal 5 2 4 2 2 6 3" xfId="11091" xr:uid="{22228E94-F432-47EA-9E59-C1A68A3287D1}"/>
    <cellStyle name="Normal 5 2 4 2 2 7" xfId="4809" xr:uid="{00000000-0005-0000-0000-0000E7180000}"/>
    <cellStyle name="Normal 5 2 4 2 2 7 2" xfId="13244" xr:uid="{06B63C05-ECF5-40E3-920B-C654C5D486CD}"/>
    <cellStyle name="Normal 5 2 4 2 2 8" xfId="9026" xr:uid="{8BC14EF9-65A3-4E3E-90C5-A895153EC1B6}"/>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1C7F66B4-0638-4194-92B8-5A40A22659E0}"/>
    <cellStyle name="Normal 5 2 4 2 3 2 3" xfId="11583" xr:uid="{1145757F-4257-4FBF-AE8D-F27A735AD43E}"/>
    <cellStyle name="Normal 5 2 4 2 3 3" xfId="5221" xr:uid="{00000000-0005-0000-0000-0000EB180000}"/>
    <cellStyle name="Normal 5 2 4 2 3 3 2" xfId="13656" xr:uid="{F18B5896-C71F-4EF0-9D23-127133DB7141}"/>
    <cellStyle name="Normal 5 2 4 2 3 4" xfId="9438" xr:uid="{5930C168-DF8D-4A02-909C-33062D8B050C}"/>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F9631728-B0AA-400F-9CF1-80E47116AC37}"/>
    <cellStyle name="Normal 5 2 4 2 4 2 3" xfId="11996" xr:uid="{B7CF8713-AB21-44F3-B38E-B0702AC088BF}"/>
    <cellStyle name="Normal 5 2 4 2 4 3" xfId="5634" xr:uid="{00000000-0005-0000-0000-0000EF180000}"/>
    <cellStyle name="Normal 5 2 4 2 4 3 2" xfId="14069" xr:uid="{4169EF86-957F-450D-B196-39EBE0071E6F}"/>
    <cellStyle name="Normal 5 2 4 2 4 4" xfId="9851" xr:uid="{88063B17-0ADF-496A-BEB5-07D7A54E7504}"/>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713EA2EE-72A0-42F2-95DC-94C0B5846C0D}"/>
    <cellStyle name="Normal 5 2 4 2 5 2 3" xfId="12409" xr:uid="{57002450-1499-4107-9790-B71865E483E7}"/>
    <cellStyle name="Normal 5 2 4 2 5 3" xfId="6047" xr:uid="{00000000-0005-0000-0000-0000F3180000}"/>
    <cellStyle name="Normal 5 2 4 2 5 3 2" xfId="14482" xr:uid="{C5EA51DE-D8DF-4C66-B0BB-4136B1E9110E}"/>
    <cellStyle name="Normal 5 2 4 2 5 4" xfId="10264" xr:uid="{9333D0C4-B594-4967-ADF9-7359C921B16B}"/>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3D1D2F38-0A29-4605-BDCF-2E283B9AFBE5}"/>
    <cellStyle name="Normal 5 2 4 2 6 2 3" xfId="12822" xr:uid="{91C8CE9F-56E3-4346-A2B2-955D9DA776BD}"/>
    <cellStyle name="Normal 5 2 4 2 6 3" xfId="6460" xr:uid="{00000000-0005-0000-0000-0000F7180000}"/>
    <cellStyle name="Normal 5 2 4 2 6 3 2" xfId="14895" xr:uid="{1808D4C6-B5AB-48D3-8EEF-84EF4E42D958}"/>
    <cellStyle name="Normal 5 2 4 2 6 4" xfId="10677" xr:uid="{1A20DFE9-DABA-4EE7-9DCE-5072B6185398}"/>
    <cellStyle name="Normal 5 2 4 2 7" xfId="2589" xr:uid="{00000000-0005-0000-0000-0000F8180000}"/>
    <cellStyle name="Normal 5 2 4 2 7 2" xfId="6873" xr:uid="{00000000-0005-0000-0000-0000F9180000}"/>
    <cellStyle name="Normal 5 2 4 2 7 2 2" xfId="15308" xr:uid="{A292D921-D630-4270-8071-12F8B586757C}"/>
    <cellStyle name="Normal 5 2 4 2 7 3" xfId="11090" xr:uid="{D776A234-1A7F-4A3A-BEFC-E0C905BECC6B}"/>
    <cellStyle name="Normal 5 2 4 2 8" xfId="4808" xr:uid="{00000000-0005-0000-0000-0000FA180000}"/>
    <cellStyle name="Normal 5 2 4 2 8 2" xfId="13243" xr:uid="{69D75987-7F0F-4BC1-854D-6BC42ED942F6}"/>
    <cellStyle name="Normal 5 2 4 2 9" xfId="9025" xr:uid="{D17BE08E-E60D-48C1-8BE2-F42688F919E7}"/>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5659D1BE-2EF7-4C01-8FCD-A575DD123E0C}"/>
    <cellStyle name="Normal 5 2 4 3 2 2 3" xfId="11585" xr:uid="{905DFBA2-0463-4FB8-B6EB-F48435D8762B}"/>
    <cellStyle name="Normal 5 2 4 3 2 3" xfId="5223" xr:uid="{00000000-0005-0000-0000-0000FF180000}"/>
    <cellStyle name="Normal 5 2 4 3 2 3 2" xfId="13658" xr:uid="{B1338915-1161-4E71-B178-0A310565D944}"/>
    <cellStyle name="Normal 5 2 4 3 2 4" xfId="9440" xr:uid="{2969D227-8EA6-42BB-B7E9-4C7DB0CC9A75}"/>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BE333966-A99D-4868-BA47-63FD0798616D}"/>
    <cellStyle name="Normal 5 2 4 3 3 2 3" xfId="11998" xr:uid="{2D2EC966-76AE-45EE-9A85-EBB1E31C250D}"/>
    <cellStyle name="Normal 5 2 4 3 3 3" xfId="5636" xr:uid="{00000000-0005-0000-0000-000003190000}"/>
    <cellStyle name="Normal 5 2 4 3 3 3 2" xfId="14071" xr:uid="{DF4055A9-5841-4F0B-A6FC-E71A602BC32E}"/>
    <cellStyle name="Normal 5 2 4 3 3 4" xfId="9853" xr:uid="{C94EACD0-E10C-4103-B42D-2AD179FB4ACD}"/>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BBDF432A-A12A-4A0E-A172-147160D97F09}"/>
    <cellStyle name="Normal 5 2 4 3 4 2 3" xfId="12411" xr:uid="{9709308B-4E04-4346-8B12-1775B49AD791}"/>
    <cellStyle name="Normal 5 2 4 3 4 3" xfId="6049" xr:uid="{00000000-0005-0000-0000-000007190000}"/>
    <cellStyle name="Normal 5 2 4 3 4 3 2" xfId="14484" xr:uid="{84524691-6319-4614-AFBC-7D97139E7501}"/>
    <cellStyle name="Normal 5 2 4 3 4 4" xfId="10266" xr:uid="{552DAC0C-80F8-4E94-A45F-36884C153338}"/>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F76DAA14-EC35-4752-8FD2-20F9479F99F6}"/>
    <cellStyle name="Normal 5 2 4 3 5 2 3" xfId="12824" xr:uid="{0499B75C-9202-416C-8B60-32CFAD4BFE59}"/>
    <cellStyle name="Normal 5 2 4 3 5 3" xfId="6462" xr:uid="{00000000-0005-0000-0000-00000B190000}"/>
    <cellStyle name="Normal 5 2 4 3 5 3 2" xfId="14897" xr:uid="{B0FF0B2A-7489-4C2E-BDFB-AB57D728F695}"/>
    <cellStyle name="Normal 5 2 4 3 5 4" xfId="10679" xr:uid="{96B4B8C6-861C-4216-B036-12D8D76EB60B}"/>
    <cellStyle name="Normal 5 2 4 3 6" xfId="2591" xr:uid="{00000000-0005-0000-0000-00000C190000}"/>
    <cellStyle name="Normal 5 2 4 3 6 2" xfId="6875" xr:uid="{00000000-0005-0000-0000-00000D190000}"/>
    <cellStyle name="Normal 5 2 4 3 6 2 2" xfId="15310" xr:uid="{354EBEFD-4672-4216-A6FA-52EC75BE0FF0}"/>
    <cellStyle name="Normal 5 2 4 3 6 3" xfId="11092" xr:uid="{8A739057-0BF9-4C32-9102-0186D65E599D}"/>
    <cellStyle name="Normal 5 2 4 3 7" xfId="4810" xr:uid="{00000000-0005-0000-0000-00000E190000}"/>
    <cellStyle name="Normal 5 2 4 3 7 2" xfId="13245" xr:uid="{6DBA901C-534F-404A-BDBF-F615DEB49B12}"/>
    <cellStyle name="Normal 5 2 4 3 8" xfId="9027" xr:uid="{E9DFFF76-F284-44E3-9A40-D421D670FD39}"/>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CB94D0D1-4AB2-481B-87C4-2073EEED2994}"/>
    <cellStyle name="Normal 5 2 4 4 2 3" xfId="11582" xr:uid="{AE8A1CCF-56F7-4894-9A3C-C53A81FFED14}"/>
    <cellStyle name="Normal 5 2 4 4 3" xfId="5220" xr:uid="{00000000-0005-0000-0000-000012190000}"/>
    <cellStyle name="Normal 5 2 4 4 3 2" xfId="13655" xr:uid="{23E90AD2-515C-462E-8C4E-6237358E4585}"/>
    <cellStyle name="Normal 5 2 4 4 4" xfId="9437" xr:uid="{5F6D2283-8FC9-4085-9D12-DFC19C4E9D35}"/>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884612CE-09C7-418F-93D7-1D9156BAF5D2}"/>
    <cellStyle name="Normal 5 2 4 5 2 3" xfId="11995" xr:uid="{6C0F7D08-099A-451C-B122-DA8150F9C266}"/>
    <cellStyle name="Normal 5 2 4 5 3" xfId="5633" xr:uid="{00000000-0005-0000-0000-000016190000}"/>
    <cellStyle name="Normal 5 2 4 5 3 2" xfId="14068" xr:uid="{719EA8EC-BAFD-4A4B-B594-E535CC4B47E6}"/>
    <cellStyle name="Normal 5 2 4 5 4" xfId="9850" xr:uid="{AECA8C5E-A596-44F3-AFE3-91FA86CDEA3A}"/>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70A3EA7A-742F-47E6-8D1B-F2DA1A00B54C}"/>
    <cellStyle name="Normal 5 2 4 6 2 3" xfId="12408" xr:uid="{B558A4F2-8D3B-4DEF-A8D4-68D07A94B3FE}"/>
    <cellStyle name="Normal 5 2 4 6 3" xfId="6046" xr:uid="{00000000-0005-0000-0000-00001A190000}"/>
    <cellStyle name="Normal 5 2 4 6 3 2" xfId="14481" xr:uid="{DB80EE6A-6A09-4548-B5B6-260CED2DDF04}"/>
    <cellStyle name="Normal 5 2 4 6 4" xfId="10263" xr:uid="{4AB5A67B-054F-4542-A333-EC72AA984F8A}"/>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C560FEE8-77F0-47CD-B1DB-3FF8DC899DEC}"/>
    <cellStyle name="Normal 5 2 4 7 2 3" xfId="12821" xr:uid="{F3873047-9ECA-4345-846B-6F1798209CC7}"/>
    <cellStyle name="Normal 5 2 4 7 3" xfId="6459" xr:uid="{00000000-0005-0000-0000-00001E190000}"/>
    <cellStyle name="Normal 5 2 4 7 3 2" xfId="14894" xr:uid="{DEA38C43-F6B0-49C4-B907-9046E415DA3E}"/>
    <cellStyle name="Normal 5 2 4 7 4" xfId="10676" xr:uid="{BCD90774-C238-4233-B975-28103D58FF03}"/>
    <cellStyle name="Normal 5 2 4 8" xfId="2588" xr:uid="{00000000-0005-0000-0000-00001F190000}"/>
    <cellStyle name="Normal 5 2 4 8 2" xfId="6872" xr:uid="{00000000-0005-0000-0000-000020190000}"/>
    <cellStyle name="Normal 5 2 4 8 2 2" xfId="15307" xr:uid="{A260DE05-41F7-4852-94FF-60A5C926FDD4}"/>
    <cellStyle name="Normal 5 2 4 8 3" xfId="11089" xr:uid="{407E3468-B617-4701-BA35-5DA457011885}"/>
    <cellStyle name="Normal 5 2 4 9" xfId="4807" xr:uid="{00000000-0005-0000-0000-000021190000}"/>
    <cellStyle name="Normal 5 2 4 9 2" xfId="13242" xr:uid="{D1FA555E-1CFB-4F44-A94F-6417C8BD78AD}"/>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CC44DB71-EF97-4E1F-953A-545F5A93DFE8}"/>
    <cellStyle name="Normal 5 2 5 2 2 2 3" xfId="11587" xr:uid="{CDB6B5A6-74C3-40F6-A7CB-14E4A1A22E66}"/>
    <cellStyle name="Normal 5 2 5 2 2 3" xfId="5225" xr:uid="{00000000-0005-0000-0000-000027190000}"/>
    <cellStyle name="Normal 5 2 5 2 2 3 2" xfId="13660" xr:uid="{18A8492E-10BC-471D-8D21-C1022D981B6D}"/>
    <cellStyle name="Normal 5 2 5 2 2 4" xfId="9442" xr:uid="{26AD4958-8B11-4228-93D5-52A01D3A7C09}"/>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EFD870B0-4EAD-47BC-826E-C9F802E76B4C}"/>
    <cellStyle name="Normal 5 2 5 2 3 2 3" xfId="12000" xr:uid="{7BF91A11-1422-4B91-9D2C-D1835D3AE5E2}"/>
    <cellStyle name="Normal 5 2 5 2 3 3" xfId="5638" xr:uid="{00000000-0005-0000-0000-00002B190000}"/>
    <cellStyle name="Normal 5 2 5 2 3 3 2" xfId="14073" xr:uid="{1AA853EB-0341-452B-9149-A1699F2FF64E}"/>
    <cellStyle name="Normal 5 2 5 2 3 4" xfId="9855" xr:uid="{30B7B082-BD23-4320-88F9-2C83164CA8A4}"/>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07892FFA-AACF-49C6-ABF7-1EAA0267135F}"/>
    <cellStyle name="Normal 5 2 5 2 4 2 3" xfId="12413" xr:uid="{48C6C178-9252-466A-96FE-A9F94039C416}"/>
    <cellStyle name="Normal 5 2 5 2 4 3" xfId="6051" xr:uid="{00000000-0005-0000-0000-00002F190000}"/>
    <cellStyle name="Normal 5 2 5 2 4 3 2" xfId="14486" xr:uid="{1296A6B8-92BB-409C-A805-9146E2A7D593}"/>
    <cellStyle name="Normal 5 2 5 2 4 4" xfId="10268" xr:uid="{A977F003-69DB-4BA1-9766-AF6CFB5B2ECD}"/>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4945F390-FD48-4B7D-B01C-09078259E680}"/>
    <cellStyle name="Normal 5 2 5 2 5 2 3" xfId="12826" xr:uid="{7EF4E2EC-AE4E-445C-AA84-370291D03243}"/>
    <cellStyle name="Normal 5 2 5 2 5 3" xfId="6464" xr:uid="{00000000-0005-0000-0000-000033190000}"/>
    <cellStyle name="Normal 5 2 5 2 5 3 2" xfId="14899" xr:uid="{70154FBA-E07D-4A5C-BCE5-4B62BA4ED97A}"/>
    <cellStyle name="Normal 5 2 5 2 5 4" xfId="10681" xr:uid="{5F628D6F-D9FA-4669-9E4F-2FAEE4C277AF}"/>
    <cellStyle name="Normal 5 2 5 2 6" xfId="2593" xr:uid="{00000000-0005-0000-0000-000034190000}"/>
    <cellStyle name="Normal 5 2 5 2 6 2" xfId="6877" xr:uid="{00000000-0005-0000-0000-000035190000}"/>
    <cellStyle name="Normal 5 2 5 2 6 2 2" xfId="15312" xr:uid="{5E52EAAE-5892-40A3-8820-43B81D484877}"/>
    <cellStyle name="Normal 5 2 5 2 6 3" xfId="11094" xr:uid="{C4BB6644-D35A-4C2F-8A5B-A4B9761B2B56}"/>
    <cellStyle name="Normal 5 2 5 2 7" xfId="4812" xr:uid="{00000000-0005-0000-0000-000036190000}"/>
    <cellStyle name="Normal 5 2 5 2 7 2" xfId="13247" xr:uid="{9F15140B-3FFE-4DF9-B7A0-D0945F481C25}"/>
    <cellStyle name="Normal 5 2 5 2 8" xfId="9029" xr:uid="{C250AEAD-D5D4-4B0A-8B1C-EA84D9D1E2E8}"/>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9F79DA81-DEB0-4D32-8FF3-CBF610BC3C6D}"/>
    <cellStyle name="Normal 5 2 5 3 2 3" xfId="11586" xr:uid="{AB109ED8-E649-4114-9567-8A0A062D1543}"/>
    <cellStyle name="Normal 5 2 5 3 3" xfId="5224" xr:uid="{00000000-0005-0000-0000-00003A190000}"/>
    <cellStyle name="Normal 5 2 5 3 3 2" xfId="13659" xr:uid="{84131BD8-78A4-412B-A761-B64AF135E089}"/>
    <cellStyle name="Normal 5 2 5 3 4" xfId="9441" xr:uid="{129A1AB7-0268-44A1-8768-4056102A307A}"/>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C6D6F210-BE15-44FB-B682-049D2C5E6158}"/>
    <cellStyle name="Normal 5 2 5 4 2 3" xfId="11999" xr:uid="{3BC06E3D-7937-4776-9BE1-1784913579F6}"/>
    <cellStyle name="Normal 5 2 5 4 3" xfId="5637" xr:uid="{00000000-0005-0000-0000-00003E190000}"/>
    <cellStyle name="Normal 5 2 5 4 3 2" xfId="14072" xr:uid="{D8F6D7D1-7A39-4772-BA5E-A277F4F03B99}"/>
    <cellStyle name="Normal 5 2 5 4 4" xfId="9854" xr:uid="{DE169E7C-1D56-4C62-B1F4-7F4AC4EFAEB9}"/>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4FDAD4B5-7713-4529-B5DF-C47D35CFEADF}"/>
    <cellStyle name="Normal 5 2 5 5 2 3" xfId="12412" xr:uid="{EFC35275-CDDD-4CFF-84C0-93AF7A2C1AC5}"/>
    <cellStyle name="Normal 5 2 5 5 3" xfId="6050" xr:uid="{00000000-0005-0000-0000-000042190000}"/>
    <cellStyle name="Normal 5 2 5 5 3 2" xfId="14485" xr:uid="{E8DBC536-11A4-4144-99F2-9ECBFFC1D3D3}"/>
    <cellStyle name="Normal 5 2 5 5 4" xfId="10267" xr:uid="{C3E9A126-C330-4956-83A4-21B6DD6C6E13}"/>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FA8F545F-7166-4A80-B233-D0BF1C9D4CED}"/>
    <cellStyle name="Normal 5 2 5 6 2 3" xfId="12825" xr:uid="{32DDED49-A90A-408B-A348-1B676D93F706}"/>
    <cellStyle name="Normal 5 2 5 6 3" xfId="6463" xr:uid="{00000000-0005-0000-0000-000046190000}"/>
    <cellStyle name="Normal 5 2 5 6 3 2" xfId="14898" xr:uid="{F2DF45A0-F8F6-462C-BE81-7A7C5C3A33C8}"/>
    <cellStyle name="Normal 5 2 5 6 4" xfId="10680" xr:uid="{B58EF13E-181F-418A-BDEB-6B0A41A59493}"/>
    <cellStyle name="Normal 5 2 5 7" xfId="2592" xr:uid="{00000000-0005-0000-0000-000047190000}"/>
    <cellStyle name="Normal 5 2 5 7 2" xfId="6876" xr:uid="{00000000-0005-0000-0000-000048190000}"/>
    <cellStyle name="Normal 5 2 5 7 2 2" xfId="15311" xr:uid="{CE475E50-7F07-47B5-873D-FAEB5E0982B5}"/>
    <cellStyle name="Normal 5 2 5 7 3" xfId="11093" xr:uid="{D6408E70-CD3A-4C6A-9D03-D6637E37BA98}"/>
    <cellStyle name="Normal 5 2 5 8" xfId="4811" xr:uid="{00000000-0005-0000-0000-000049190000}"/>
    <cellStyle name="Normal 5 2 5 8 2" xfId="13246" xr:uid="{274039FF-0F4A-4A35-A250-CD09A4AF9488}"/>
    <cellStyle name="Normal 5 2 5 9" xfId="9028" xr:uid="{C5796DEB-2661-4BE7-BF8F-A431D1BE402C}"/>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57880814-895C-425D-976B-80388276D484}"/>
    <cellStyle name="Normal 5 2 6 2 2 3" xfId="11588" xr:uid="{6EBD337A-6D18-4C28-A0A5-C5D39C41CAD2}"/>
    <cellStyle name="Normal 5 2 6 2 3" xfId="5226" xr:uid="{00000000-0005-0000-0000-00004E190000}"/>
    <cellStyle name="Normal 5 2 6 2 3 2" xfId="13661" xr:uid="{C0BCB342-22C1-422F-BAFA-3B9CC5AA9C8D}"/>
    <cellStyle name="Normal 5 2 6 2 4" xfId="9443" xr:uid="{00024B29-1AA1-403C-811F-4D2FDE48386D}"/>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22A3AEB5-815B-4D45-A1EC-0BC06E1F0685}"/>
    <cellStyle name="Normal 5 2 6 3 2 3" xfId="12001" xr:uid="{42CD1D18-5377-4F40-B191-F4DFF1DBB9E1}"/>
    <cellStyle name="Normal 5 2 6 3 3" xfId="5639" xr:uid="{00000000-0005-0000-0000-000052190000}"/>
    <cellStyle name="Normal 5 2 6 3 3 2" xfId="14074" xr:uid="{A6B0EAFC-4C36-4CF0-876B-DCCF1A5D3B64}"/>
    <cellStyle name="Normal 5 2 6 3 4" xfId="9856" xr:uid="{17774FA9-3F12-400A-8229-7CD3817A6399}"/>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F320EC87-706F-433F-96F4-7064797191A2}"/>
    <cellStyle name="Normal 5 2 6 4 2 3" xfId="12414" xr:uid="{1B4FFBEB-EBF1-4AA0-98C6-E99158B8B28C}"/>
    <cellStyle name="Normal 5 2 6 4 3" xfId="6052" xr:uid="{00000000-0005-0000-0000-000056190000}"/>
    <cellStyle name="Normal 5 2 6 4 3 2" xfId="14487" xr:uid="{698786BA-C08B-4763-9649-865DF719A885}"/>
    <cellStyle name="Normal 5 2 6 4 4" xfId="10269" xr:uid="{F1C05468-D479-42E7-9E1A-F819F95BDB0B}"/>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9974D9A4-2720-4BF9-9D57-0C4DD50C38BD}"/>
    <cellStyle name="Normal 5 2 6 5 2 3" xfId="12827" xr:uid="{1CF53E0B-7833-4F15-AFC6-C26D3D11323F}"/>
    <cellStyle name="Normal 5 2 6 5 3" xfId="6465" xr:uid="{00000000-0005-0000-0000-00005A190000}"/>
    <cellStyle name="Normal 5 2 6 5 3 2" xfId="14900" xr:uid="{7272E649-4E48-46EA-92BD-783A624CF49A}"/>
    <cellStyle name="Normal 5 2 6 5 4" xfId="10682" xr:uid="{B247D5E3-120B-4FEC-A78C-1BF4AC0DE1F8}"/>
    <cellStyle name="Normal 5 2 6 6" xfId="2594" xr:uid="{00000000-0005-0000-0000-00005B190000}"/>
    <cellStyle name="Normal 5 2 6 6 2" xfId="6878" xr:uid="{00000000-0005-0000-0000-00005C190000}"/>
    <cellStyle name="Normal 5 2 6 6 2 2" xfId="15313" xr:uid="{C0D587CE-0D8C-42F9-A824-B62F5BE3E311}"/>
    <cellStyle name="Normal 5 2 6 6 3" xfId="11095" xr:uid="{354F46B7-FBE9-42B6-8E46-A286B50A4C08}"/>
    <cellStyle name="Normal 5 2 6 7" xfId="4813" xr:uid="{00000000-0005-0000-0000-00005D190000}"/>
    <cellStyle name="Normal 5 2 6 7 2" xfId="13248" xr:uid="{A292C020-55EB-416E-8DCC-3A4F39E9966C}"/>
    <cellStyle name="Normal 5 2 6 8" xfId="9030" xr:uid="{77FE2A22-EFE0-4A8D-8F38-92F4071AFB4E}"/>
    <cellStyle name="Normal 5 2 7" xfId="882" xr:uid="{00000000-0005-0000-0000-00005E190000}"/>
    <cellStyle name="Normal 5 2 7 2" xfId="3117" xr:uid="{00000000-0005-0000-0000-00005F190000}"/>
    <cellStyle name="Normal 5 2 7 2 2" xfId="7340" xr:uid="{00000000-0005-0000-0000-000060190000}"/>
    <cellStyle name="Normal 5 2 7 2 2 2" xfId="15775" xr:uid="{990577CF-6049-4F66-A865-49C80E8617A2}"/>
    <cellStyle name="Normal 5 2 7 2 3" xfId="11557" xr:uid="{B8D500AC-AF95-40F5-B46B-95AB3B4C8323}"/>
    <cellStyle name="Normal 5 2 7 3" xfId="5195" xr:uid="{00000000-0005-0000-0000-000061190000}"/>
    <cellStyle name="Normal 5 2 7 3 2" xfId="13630" xr:uid="{4EF5B17E-6004-49A4-A4B1-FF0ED41BB4C8}"/>
    <cellStyle name="Normal 5 2 7 4" xfId="9412" xr:uid="{0AAA7538-4CD6-497B-8124-2D2A948AC72E}"/>
    <cellStyle name="Normal 5 2 8" xfId="1300" xr:uid="{00000000-0005-0000-0000-000062190000}"/>
    <cellStyle name="Normal 5 2 8 2" xfId="3530" xr:uid="{00000000-0005-0000-0000-000063190000}"/>
    <cellStyle name="Normal 5 2 8 2 2" xfId="7753" xr:uid="{00000000-0005-0000-0000-000064190000}"/>
    <cellStyle name="Normal 5 2 8 2 2 2" xfId="16188" xr:uid="{17BEC3EB-BD4A-4DB7-99B3-03321EB28E51}"/>
    <cellStyle name="Normal 5 2 8 2 3" xfId="11970" xr:uid="{F615853F-450B-4D45-A5BA-C9408CCF465F}"/>
    <cellStyle name="Normal 5 2 8 3" xfId="5608" xr:uid="{00000000-0005-0000-0000-000065190000}"/>
    <cellStyle name="Normal 5 2 8 3 2" xfId="14043" xr:uid="{AA62DC24-8119-4C26-B507-7D5B32CF7112}"/>
    <cellStyle name="Normal 5 2 8 4" xfId="9825" xr:uid="{0B72F91C-607A-44BD-AFCC-26B284B56D62}"/>
    <cellStyle name="Normal 5 2 9" xfId="1713" xr:uid="{00000000-0005-0000-0000-000066190000}"/>
    <cellStyle name="Normal 5 2 9 2" xfId="3943" xr:uid="{00000000-0005-0000-0000-000067190000}"/>
    <cellStyle name="Normal 5 2 9 2 2" xfId="8166" xr:uid="{00000000-0005-0000-0000-000068190000}"/>
    <cellStyle name="Normal 5 2 9 2 2 2" xfId="16601" xr:uid="{1C22B585-39CD-4469-9CCC-C856827BB499}"/>
    <cellStyle name="Normal 5 2 9 2 3" xfId="12383" xr:uid="{162C5A12-A3ED-4159-8A1D-93D6CDAADEEA}"/>
    <cellStyle name="Normal 5 2 9 3" xfId="6021" xr:uid="{00000000-0005-0000-0000-000069190000}"/>
    <cellStyle name="Normal 5 2 9 3 2" xfId="14456" xr:uid="{D7B8D1A0-A496-47BF-8D57-00B21B10187F}"/>
    <cellStyle name="Normal 5 2 9 4" xfId="10238" xr:uid="{712609F3-C356-4F67-B182-7BBDC19EF528}"/>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3D426949-0890-4742-90D8-A25CF0B3A5B4}"/>
    <cellStyle name="Normal 5 3 10 2 3" xfId="12828" xr:uid="{94F9248F-580F-4A12-A8C3-93ABB5E91958}"/>
    <cellStyle name="Normal 5 3 10 3" xfId="6466" xr:uid="{00000000-0005-0000-0000-00006E190000}"/>
    <cellStyle name="Normal 5 3 10 3 2" xfId="14901" xr:uid="{7E5F610D-048E-4DAD-8EAD-133A919F981D}"/>
    <cellStyle name="Normal 5 3 10 4" xfId="10683" xr:uid="{1B9DC359-F813-472F-B283-A567EB49667D}"/>
    <cellStyle name="Normal 5 3 11" xfId="2595" xr:uid="{00000000-0005-0000-0000-00006F190000}"/>
    <cellStyle name="Normal 5 3 11 2" xfId="6879" xr:uid="{00000000-0005-0000-0000-000070190000}"/>
    <cellStyle name="Normal 5 3 11 2 2" xfId="15314" xr:uid="{932CE5CE-F137-4BCA-B73B-72428B1292B1}"/>
    <cellStyle name="Normal 5 3 11 3" xfId="11096" xr:uid="{908B7C52-974E-46E0-B014-B155FB64D396}"/>
    <cellStyle name="Normal 5 3 12" xfId="4814" xr:uid="{00000000-0005-0000-0000-000071190000}"/>
    <cellStyle name="Normal 5 3 12 2" xfId="13249" xr:uid="{DC5C3569-24C9-4762-BFA7-931BA49BDFA9}"/>
    <cellStyle name="Normal 5 3 13" xfId="9031" xr:uid="{12ADE733-4488-45C6-AD84-65537158A809}"/>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1EA898E2-9364-47BE-84E1-B9CCA28248CD}"/>
    <cellStyle name="Normal 5 3 3 11" xfId="9032" xr:uid="{8FE712B3-03B0-4F67-BE8C-5BBD88CA8618}"/>
    <cellStyle name="Normal 5 3 3 2" xfId="442" xr:uid="{00000000-0005-0000-0000-000076190000}"/>
    <cellStyle name="Normal 5 3 3 2 10" xfId="9033" xr:uid="{FD2D0FF6-4DEB-4651-8DD5-71270D5D490F}"/>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25DDEABE-6845-43AE-BFA7-D2D33FB94416}"/>
    <cellStyle name="Normal 5 3 3 2 2 2 2 2 3" xfId="11593" xr:uid="{9D516DA6-FD85-4EA9-8785-6D3559867295}"/>
    <cellStyle name="Normal 5 3 3 2 2 2 2 3" xfId="5231" xr:uid="{00000000-0005-0000-0000-00007C190000}"/>
    <cellStyle name="Normal 5 3 3 2 2 2 2 3 2" xfId="13666" xr:uid="{4E36BA57-891B-4AA5-8EB2-150BCA596733}"/>
    <cellStyle name="Normal 5 3 3 2 2 2 2 4" xfId="9448" xr:uid="{05490448-61EC-43B6-B561-EA2301829502}"/>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84A85D5D-BAD2-4268-8998-C1FDFABA0E56}"/>
    <cellStyle name="Normal 5 3 3 2 2 2 3 2 3" xfId="12006" xr:uid="{CD1A8F2E-611E-4524-9811-E8FA600C7084}"/>
    <cellStyle name="Normal 5 3 3 2 2 2 3 3" xfId="5644" xr:uid="{00000000-0005-0000-0000-000080190000}"/>
    <cellStyle name="Normal 5 3 3 2 2 2 3 3 2" xfId="14079" xr:uid="{8FF06EDC-2DE8-4ACC-BCAC-7EEE73347B73}"/>
    <cellStyle name="Normal 5 3 3 2 2 2 3 4" xfId="9861" xr:uid="{A050EEA8-6439-4B1E-8BE9-B4BA1DB54FF2}"/>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E8CA8632-CB9E-4747-87B6-8B1862DEF3C4}"/>
    <cellStyle name="Normal 5 3 3 2 2 2 4 2 3" xfId="12419" xr:uid="{E5D36AF4-EDE1-485E-BB3F-165721085BB8}"/>
    <cellStyle name="Normal 5 3 3 2 2 2 4 3" xfId="6057" xr:uid="{00000000-0005-0000-0000-000084190000}"/>
    <cellStyle name="Normal 5 3 3 2 2 2 4 3 2" xfId="14492" xr:uid="{2F5C2107-4288-478E-BA97-0946CE7748AD}"/>
    <cellStyle name="Normal 5 3 3 2 2 2 4 4" xfId="10274" xr:uid="{1FBFB0BD-3526-4A46-BB59-9B4D3F2F0DC5}"/>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E9B905BB-1242-424A-AF23-844D354DD6FC}"/>
    <cellStyle name="Normal 5 3 3 2 2 2 5 2 3" xfId="12832" xr:uid="{077EA674-5FFC-46AC-9EBF-C8D6A6D8F814}"/>
    <cellStyle name="Normal 5 3 3 2 2 2 5 3" xfId="6470" xr:uid="{00000000-0005-0000-0000-000088190000}"/>
    <cellStyle name="Normal 5 3 3 2 2 2 5 3 2" xfId="14905" xr:uid="{F0F722D3-6ECA-439A-82A6-8E46F8246C45}"/>
    <cellStyle name="Normal 5 3 3 2 2 2 5 4" xfId="10687" xr:uid="{2EA7D8E2-FD09-4B0A-9FFD-EA371E865BA3}"/>
    <cellStyle name="Normal 5 3 3 2 2 2 6" xfId="2599" xr:uid="{00000000-0005-0000-0000-000089190000}"/>
    <cellStyle name="Normal 5 3 3 2 2 2 6 2" xfId="6883" xr:uid="{00000000-0005-0000-0000-00008A190000}"/>
    <cellStyle name="Normal 5 3 3 2 2 2 6 2 2" xfId="15318" xr:uid="{0A28070F-83EB-4B35-AC66-0F961C2813F6}"/>
    <cellStyle name="Normal 5 3 3 2 2 2 6 3" xfId="11100" xr:uid="{91CD5B4A-6B15-406A-91E4-8F199FA8E872}"/>
    <cellStyle name="Normal 5 3 3 2 2 2 7" xfId="4818" xr:uid="{00000000-0005-0000-0000-00008B190000}"/>
    <cellStyle name="Normal 5 3 3 2 2 2 7 2" xfId="13253" xr:uid="{38260DB4-A257-4DCB-8920-8942E4DAFD12}"/>
    <cellStyle name="Normal 5 3 3 2 2 2 8" xfId="9035" xr:uid="{0E0A73FA-4884-4A08-85C3-E2A5E47C6178}"/>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FCDE1625-F6F4-466F-AC22-AEBFB586E980}"/>
    <cellStyle name="Normal 5 3 3 2 2 3 2 3" xfId="11592" xr:uid="{1DB29E8D-7B15-4AE7-9937-6D98EAF0C50C}"/>
    <cellStyle name="Normal 5 3 3 2 2 3 3" xfId="5230" xr:uid="{00000000-0005-0000-0000-00008F190000}"/>
    <cellStyle name="Normal 5 3 3 2 2 3 3 2" xfId="13665" xr:uid="{9ECAF241-93FC-49F9-80A5-080FED565F79}"/>
    <cellStyle name="Normal 5 3 3 2 2 3 4" xfId="9447" xr:uid="{4EC1327C-C772-4CE5-95AC-562ADA5605D4}"/>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C6E9A907-F988-4A34-9D93-EB6C8D6E8624}"/>
    <cellStyle name="Normal 5 3 3 2 2 4 2 3" xfId="12005" xr:uid="{F098CE10-9D10-45A4-A922-3C063DF8DA70}"/>
    <cellStyle name="Normal 5 3 3 2 2 4 3" xfId="5643" xr:uid="{00000000-0005-0000-0000-000093190000}"/>
    <cellStyle name="Normal 5 3 3 2 2 4 3 2" xfId="14078" xr:uid="{E76B145E-0A5A-499D-A9C6-835E0558BECB}"/>
    <cellStyle name="Normal 5 3 3 2 2 4 4" xfId="9860" xr:uid="{68847CC2-C813-4541-8DC5-158C39D193AF}"/>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EFDEEF59-7607-4140-B0EE-FB4E8E5D78B0}"/>
    <cellStyle name="Normal 5 3 3 2 2 5 2 3" xfId="12418" xr:uid="{946C3295-01C3-40F1-AD8F-3FB2718D0D5F}"/>
    <cellStyle name="Normal 5 3 3 2 2 5 3" xfId="6056" xr:uid="{00000000-0005-0000-0000-000097190000}"/>
    <cellStyle name="Normal 5 3 3 2 2 5 3 2" xfId="14491" xr:uid="{315670E1-5C26-47EC-8F48-B9C497CB613F}"/>
    <cellStyle name="Normal 5 3 3 2 2 5 4" xfId="10273" xr:uid="{BE50D675-3919-470E-B102-4F8AAB2AE11F}"/>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E8B3A0E2-338D-4A2E-A8B5-26156579AC02}"/>
    <cellStyle name="Normal 5 3 3 2 2 6 2 3" xfId="12831" xr:uid="{E9A603E2-606D-4B4D-966E-33B3495B024F}"/>
    <cellStyle name="Normal 5 3 3 2 2 6 3" xfId="6469" xr:uid="{00000000-0005-0000-0000-00009B190000}"/>
    <cellStyle name="Normal 5 3 3 2 2 6 3 2" xfId="14904" xr:uid="{E3F4C002-06B1-4519-82C3-41A8D4BBD5E8}"/>
    <cellStyle name="Normal 5 3 3 2 2 6 4" xfId="10686" xr:uid="{48C7E651-0C08-45C5-8897-24A6AF695C6F}"/>
    <cellStyle name="Normal 5 3 3 2 2 7" xfId="2598" xr:uid="{00000000-0005-0000-0000-00009C190000}"/>
    <cellStyle name="Normal 5 3 3 2 2 7 2" xfId="6882" xr:uid="{00000000-0005-0000-0000-00009D190000}"/>
    <cellStyle name="Normal 5 3 3 2 2 7 2 2" xfId="15317" xr:uid="{C37FE9A0-C447-4697-AEB1-F31836B83191}"/>
    <cellStyle name="Normal 5 3 3 2 2 7 3" xfId="11099" xr:uid="{02F2D72F-8486-4A8C-A731-CF443349D667}"/>
    <cellStyle name="Normal 5 3 3 2 2 8" xfId="4817" xr:uid="{00000000-0005-0000-0000-00009E190000}"/>
    <cellStyle name="Normal 5 3 3 2 2 8 2" xfId="13252" xr:uid="{6BCC6C0E-C9F0-40D8-AFD7-64F2C1F34870}"/>
    <cellStyle name="Normal 5 3 3 2 2 9" xfId="9034" xr:uid="{259C8192-EB89-4D00-A966-ED05A911E93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3C991AC5-0CA6-45C8-9E8E-BBF74676A4FF}"/>
    <cellStyle name="Normal 5 3 3 2 3 2 2 3" xfId="11594" xr:uid="{9AEF05A6-61E5-443E-B156-A2EDEDA5A981}"/>
    <cellStyle name="Normal 5 3 3 2 3 2 3" xfId="5232" xr:uid="{00000000-0005-0000-0000-0000A3190000}"/>
    <cellStyle name="Normal 5 3 3 2 3 2 3 2" xfId="13667" xr:uid="{143ECDE7-B801-40E9-A9CC-A371B42C99BD}"/>
    <cellStyle name="Normal 5 3 3 2 3 2 4" xfId="9449" xr:uid="{F3198BA5-9A6D-4ACF-889C-DC1838DDBFF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D4FB47F8-177A-43C4-B22A-490007A02AE3}"/>
    <cellStyle name="Normal 5 3 3 2 3 3 2 3" xfId="12007" xr:uid="{9412AA4F-C66E-4466-8D22-16D5F306C9BE}"/>
    <cellStyle name="Normal 5 3 3 2 3 3 3" xfId="5645" xr:uid="{00000000-0005-0000-0000-0000A7190000}"/>
    <cellStyle name="Normal 5 3 3 2 3 3 3 2" xfId="14080" xr:uid="{3EAE1A53-FE6D-4DBD-8355-5DFD578475BC}"/>
    <cellStyle name="Normal 5 3 3 2 3 3 4" xfId="9862" xr:uid="{37E9D151-6EF7-4CC4-A097-3E58453B5075}"/>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9C779530-B277-4667-894C-C715922B75C3}"/>
    <cellStyle name="Normal 5 3 3 2 3 4 2 3" xfId="12420" xr:uid="{033EC601-24AB-4D03-B841-109D96C7C7F6}"/>
    <cellStyle name="Normal 5 3 3 2 3 4 3" xfId="6058" xr:uid="{00000000-0005-0000-0000-0000AB190000}"/>
    <cellStyle name="Normal 5 3 3 2 3 4 3 2" xfId="14493" xr:uid="{ACE48B27-9968-4AF1-ABEC-CEC4A2440FDE}"/>
    <cellStyle name="Normal 5 3 3 2 3 4 4" xfId="10275" xr:uid="{AC21F768-9E73-4AEF-A8E1-72FCA967226A}"/>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CE8CFD4D-F7DA-4F3B-84EE-E61F1212AFD5}"/>
    <cellStyle name="Normal 5 3 3 2 3 5 2 3" xfId="12833" xr:uid="{4C98F223-4E22-4E9F-BF80-9523C81A3111}"/>
    <cellStyle name="Normal 5 3 3 2 3 5 3" xfId="6471" xr:uid="{00000000-0005-0000-0000-0000AF190000}"/>
    <cellStyle name="Normal 5 3 3 2 3 5 3 2" xfId="14906" xr:uid="{E433085F-456D-47C7-B7A0-CB4CAF1ADE4D}"/>
    <cellStyle name="Normal 5 3 3 2 3 5 4" xfId="10688" xr:uid="{9885E960-588F-44A5-9F39-09CABF08E28D}"/>
    <cellStyle name="Normal 5 3 3 2 3 6" xfId="2600" xr:uid="{00000000-0005-0000-0000-0000B0190000}"/>
    <cellStyle name="Normal 5 3 3 2 3 6 2" xfId="6884" xr:uid="{00000000-0005-0000-0000-0000B1190000}"/>
    <cellStyle name="Normal 5 3 3 2 3 6 2 2" xfId="15319" xr:uid="{5D85C763-93F7-47B4-B990-857DF4AAA71D}"/>
    <cellStyle name="Normal 5 3 3 2 3 6 3" xfId="11101" xr:uid="{BCC02AD2-395C-4971-BCF8-ADE4D2A6D6AA}"/>
    <cellStyle name="Normal 5 3 3 2 3 7" xfId="4819" xr:uid="{00000000-0005-0000-0000-0000B2190000}"/>
    <cellStyle name="Normal 5 3 3 2 3 7 2" xfId="13254" xr:uid="{873C7A01-CB11-4314-93D1-AF21AFF22B2A}"/>
    <cellStyle name="Normal 5 3 3 2 3 8" xfId="9036" xr:uid="{5B290C06-EDC0-4E91-AFE2-D2AA1818761F}"/>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ABE957ED-E0E8-4E9C-9605-A79768EB7549}"/>
    <cellStyle name="Normal 5 3 3 2 4 2 3" xfId="11591" xr:uid="{48A268A2-9265-4374-B2F3-F3C86705161E}"/>
    <cellStyle name="Normal 5 3 3 2 4 3" xfId="5229" xr:uid="{00000000-0005-0000-0000-0000B6190000}"/>
    <cellStyle name="Normal 5 3 3 2 4 3 2" xfId="13664" xr:uid="{46D17722-34D1-4408-9AA7-C5672EB9B79D}"/>
    <cellStyle name="Normal 5 3 3 2 4 4" xfId="9446" xr:uid="{7CBB9EF1-166F-4A4D-A50F-3C943D670231}"/>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B5122694-17DD-42B9-94CA-B792BD6DCFA5}"/>
    <cellStyle name="Normal 5 3 3 2 5 2 3" xfId="12004" xr:uid="{2FA0B113-E86B-4ADA-8BA7-490998EC6F22}"/>
    <cellStyle name="Normal 5 3 3 2 5 3" xfId="5642" xr:uid="{00000000-0005-0000-0000-0000BA190000}"/>
    <cellStyle name="Normal 5 3 3 2 5 3 2" xfId="14077" xr:uid="{2E02BB59-C802-4643-BFB5-10E1BA1ACF53}"/>
    <cellStyle name="Normal 5 3 3 2 5 4" xfId="9859" xr:uid="{B4EF8C54-B0E6-45B2-A9B6-B7A25F884204}"/>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21548FDF-A881-48C1-9DC6-E9DEA2F38D5D}"/>
    <cellStyle name="Normal 5 3 3 2 6 2 3" xfId="12417" xr:uid="{88663E7B-2A98-47B5-BDD1-B29E96172147}"/>
    <cellStyle name="Normal 5 3 3 2 6 3" xfId="6055" xr:uid="{00000000-0005-0000-0000-0000BE190000}"/>
    <cellStyle name="Normal 5 3 3 2 6 3 2" xfId="14490" xr:uid="{8B5722DC-A57D-46D8-94E0-86903F3AF9E2}"/>
    <cellStyle name="Normal 5 3 3 2 6 4" xfId="10272" xr:uid="{F4843581-E150-4D57-975E-F28274C0CB5E}"/>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5E61870A-90EA-4B8A-A5E1-5604FC36233A}"/>
    <cellStyle name="Normal 5 3 3 2 7 2 3" xfId="12830" xr:uid="{D74B2E23-8212-492E-ABD6-F0DD5DACFCF0}"/>
    <cellStyle name="Normal 5 3 3 2 7 3" xfId="6468" xr:uid="{00000000-0005-0000-0000-0000C2190000}"/>
    <cellStyle name="Normal 5 3 3 2 7 3 2" xfId="14903" xr:uid="{78E760D6-6D28-4A90-9CAC-471F23092090}"/>
    <cellStyle name="Normal 5 3 3 2 7 4" xfId="10685" xr:uid="{0DEB0155-630F-4038-8A7D-951A8DF736C1}"/>
    <cellStyle name="Normal 5 3 3 2 8" xfId="2597" xr:uid="{00000000-0005-0000-0000-0000C3190000}"/>
    <cellStyle name="Normal 5 3 3 2 8 2" xfId="6881" xr:uid="{00000000-0005-0000-0000-0000C4190000}"/>
    <cellStyle name="Normal 5 3 3 2 8 2 2" xfId="15316" xr:uid="{F9AB5263-307C-4026-8EF3-E6E56F9EFD3D}"/>
    <cellStyle name="Normal 5 3 3 2 8 3" xfId="11098" xr:uid="{B0B39940-3966-413E-8FE4-084CB44F62D5}"/>
    <cellStyle name="Normal 5 3 3 2 9" xfId="4816" xr:uid="{00000000-0005-0000-0000-0000C5190000}"/>
    <cellStyle name="Normal 5 3 3 2 9 2" xfId="13251" xr:uid="{9B534ED8-4EB9-48DE-815F-79EDFED1AC5E}"/>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53E1FC43-0E6E-4B77-A4B9-5E6C3951900D}"/>
    <cellStyle name="Normal 5 3 3 3 2 2 2 3" xfId="11596" xr:uid="{88DAE136-0180-418C-B624-9F72381B2FCF}"/>
    <cellStyle name="Normal 5 3 3 3 2 2 3" xfId="5234" xr:uid="{00000000-0005-0000-0000-0000CB190000}"/>
    <cellStyle name="Normal 5 3 3 3 2 2 3 2" xfId="13669" xr:uid="{57318230-3C37-4DCE-81C5-C7820CA4FF42}"/>
    <cellStyle name="Normal 5 3 3 3 2 2 4" xfId="9451" xr:uid="{50ABD30B-B0D3-4583-8667-531E6AA56AF9}"/>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70381141-96FD-4562-978E-65CCA10A1AB8}"/>
    <cellStyle name="Normal 5 3 3 3 2 3 2 3" xfId="12009" xr:uid="{3E18C609-3938-4062-80E7-7D3D57BF43B2}"/>
    <cellStyle name="Normal 5 3 3 3 2 3 3" xfId="5647" xr:uid="{00000000-0005-0000-0000-0000CF190000}"/>
    <cellStyle name="Normal 5 3 3 3 2 3 3 2" xfId="14082" xr:uid="{F39BD1A5-DBF6-42C3-8D88-51075336DF0B}"/>
    <cellStyle name="Normal 5 3 3 3 2 3 4" xfId="9864" xr:uid="{59FB4476-4C4D-4714-8944-A673C13D81C2}"/>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1FCC9DBB-5A76-4E12-9ACA-F6D4C98BB643}"/>
    <cellStyle name="Normal 5 3 3 3 2 4 2 3" xfId="12422" xr:uid="{525D8857-D276-4F10-BA36-5F2441EFF9A0}"/>
    <cellStyle name="Normal 5 3 3 3 2 4 3" xfId="6060" xr:uid="{00000000-0005-0000-0000-0000D3190000}"/>
    <cellStyle name="Normal 5 3 3 3 2 4 3 2" xfId="14495" xr:uid="{342DE404-E39D-4782-9EBD-6B3106B7013A}"/>
    <cellStyle name="Normal 5 3 3 3 2 4 4" xfId="10277" xr:uid="{682DDE38-9967-403D-8C40-CBE41A870C62}"/>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7A8EA18D-5F6B-47F9-A869-B56829CDAE38}"/>
    <cellStyle name="Normal 5 3 3 3 2 5 2 3" xfId="12835" xr:uid="{23BF3010-DAAC-4129-9778-F10D57833184}"/>
    <cellStyle name="Normal 5 3 3 3 2 5 3" xfId="6473" xr:uid="{00000000-0005-0000-0000-0000D7190000}"/>
    <cellStyle name="Normal 5 3 3 3 2 5 3 2" xfId="14908" xr:uid="{0031773B-0968-4FCE-9AC8-E438D59987E3}"/>
    <cellStyle name="Normal 5 3 3 3 2 5 4" xfId="10690" xr:uid="{668CAF09-6B3A-4FEF-9100-FEC1DCB18FD5}"/>
    <cellStyle name="Normal 5 3 3 3 2 6" xfId="2602" xr:uid="{00000000-0005-0000-0000-0000D8190000}"/>
    <cellStyle name="Normal 5 3 3 3 2 6 2" xfId="6886" xr:uid="{00000000-0005-0000-0000-0000D9190000}"/>
    <cellStyle name="Normal 5 3 3 3 2 6 2 2" xfId="15321" xr:uid="{C1115487-02CA-4D7C-B3B0-C3AAAC7C6B3E}"/>
    <cellStyle name="Normal 5 3 3 3 2 6 3" xfId="11103" xr:uid="{5651A96E-4C0F-4190-B1B0-F928A36F587C}"/>
    <cellStyle name="Normal 5 3 3 3 2 7" xfId="4821" xr:uid="{00000000-0005-0000-0000-0000DA190000}"/>
    <cellStyle name="Normal 5 3 3 3 2 7 2" xfId="13256" xr:uid="{FA22412C-570D-42FA-A1C9-635ACA9C6A4C}"/>
    <cellStyle name="Normal 5 3 3 3 2 8" xfId="9038" xr:uid="{9A8AA195-3B99-444F-A7DF-6A02047B84C5}"/>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2E62EB78-1CA1-4A19-8846-D2D1B7611854}"/>
    <cellStyle name="Normal 5 3 3 3 3 2 3" xfId="11595" xr:uid="{838C1A66-0169-48EE-A33D-6F933B785B10}"/>
    <cellStyle name="Normal 5 3 3 3 3 3" xfId="5233" xr:uid="{00000000-0005-0000-0000-0000DE190000}"/>
    <cellStyle name="Normal 5 3 3 3 3 3 2" xfId="13668" xr:uid="{8D0B0A53-A61B-4C70-A9B1-5A47BB6C67D5}"/>
    <cellStyle name="Normal 5 3 3 3 3 4" xfId="9450" xr:uid="{BE552A94-D16B-4B5C-91CD-212D98549B8D}"/>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EE462AD9-EBDC-4A16-ABCB-326A5ABCD0B4}"/>
    <cellStyle name="Normal 5 3 3 3 4 2 3" xfId="12008" xr:uid="{A245F589-D9D8-49FF-9A8B-0F1EF430DC2D}"/>
    <cellStyle name="Normal 5 3 3 3 4 3" xfId="5646" xr:uid="{00000000-0005-0000-0000-0000E2190000}"/>
    <cellStyle name="Normal 5 3 3 3 4 3 2" xfId="14081" xr:uid="{0F9AE822-1042-48B7-9ACE-1AA948AFE9C0}"/>
    <cellStyle name="Normal 5 3 3 3 4 4" xfId="9863" xr:uid="{2C3DBB24-3B0D-441C-A083-B101313F6D84}"/>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2894DA52-59F2-4C54-9F94-B4924EE262A6}"/>
    <cellStyle name="Normal 5 3 3 3 5 2 3" xfId="12421" xr:uid="{3165C669-9318-4B2E-9E21-7DE6B4F3FDA9}"/>
    <cellStyle name="Normal 5 3 3 3 5 3" xfId="6059" xr:uid="{00000000-0005-0000-0000-0000E6190000}"/>
    <cellStyle name="Normal 5 3 3 3 5 3 2" xfId="14494" xr:uid="{D2A4A83C-22E3-4273-99ED-38203E0CA682}"/>
    <cellStyle name="Normal 5 3 3 3 5 4" xfId="10276" xr:uid="{32EE8E11-55AC-4DEA-B561-798374482FDC}"/>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813F5605-23FB-4C4B-AE88-915BA96C837C}"/>
    <cellStyle name="Normal 5 3 3 3 6 2 3" xfId="12834" xr:uid="{F275BA65-0783-40BD-B0D4-1CD528876741}"/>
    <cellStyle name="Normal 5 3 3 3 6 3" xfId="6472" xr:uid="{00000000-0005-0000-0000-0000EA190000}"/>
    <cellStyle name="Normal 5 3 3 3 6 3 2" xfId="14907" xr:uid="{9555C5E7-D56C-4E8A-9D64-6A427B5A26C0}"/>
    <cellStyle name="Normal 5 3 3 3 6 4" xfId="10689" xr:uid="{3790CFB6-393F-4F29-955F-78B2A9636856}"/>
    <cellStyle name="Normal 5 3 3 3 7" xfId="2601" xr:uid="{00000000-0005-0000-0000-0000EB190000}"/>
    <cellStyle name="Normal 5 3 3 3 7 2" xfId="6885" xr:uid="{00000000-0005-0000-0000-0000EC190000}"/>
    <cellStyle name="Normal 5 3 3 3 7 2 2" xfId="15320" xr:uid="{4BE89AAE-6FAD-4EAF-84FC-0C0DDD75FFAA}"/>
    <cellStyle name="Normal 5 3 3 3 7 3" xfId="11102" xr:uid="{A4589E3C-90E4-444D-BAFD-1D8A5B996DFE}"/>
    <cellStyle name="Normal 5 3 3 3 8" xfId="4820" xr:uid="{00000000-0005-0000-0000-0000ED190000}"/>
    <cellStyle name="Normal 5 3 3 3 8 2" xfId="13255" xr:uid="{959B8DCB-5459-4CA7-9FF1-01EFF1579E3D}"/>
    <cellStyle name="Normal 5 3 3 3 9" xfId="9037" xr:uid="{D9C1EBA3-94CB-4868-A0DD-4345D64F42EF}"/>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99236F1E-5D16-4781-98D4-3EAE0C42CF25}"/>
    <cellStyle name="Normal 5 3 3 4 2 2 3" xfId="11597" xr:uid="{B75A45A6-CC40-482B-9313-D1A3849EEE82}"/>
    <cellStyle name="Normal 5 3 3 4 2 3" xfId="5235" xr:uid="{00000000-0005-0000-0000-0000F2190000}"/>
    <cellStyle name="Normal 5 3 3 4 2 3 2" xfId="13670" xr:uid="{AE02D65A-30AF-41C4-8DF9-2F124AD15770}"/>
    <cellStyle name="Normal 5 3 3 4 2 4" xfId="9452" xr:uid="{B96AA3B0-D8F6-4BB0-8969-7C9528DA9861}"/>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02E2A93C-6644-4444-8760-D31C5A42EF2B}"/>
    <cellStyle name="Normal 5 3 3 4 3 2 3" xfId="12010" xr:uid="{610FF4BA-29AD-4D10-BC9F-E8C1E72E29B5}"/>
    <cellStyle name="Normal 5 3 3 4 3 3" xfId="5648" xr:uid="{00000000-0005-0000-0000-0000F6190000}"/>
    <cellStyle name="Normal 5 3 3 4 3 3 2" xfId="14083" xr:uid="{AE44D50C-1639-4940-93A3-3670FCED34C2}"/>
    <cellStyle name="Normal 5 3 3 4 3 4" xfId="9865" xr:uid="{C063A96A-74D3-42FC-8B72-F92D19E2363B}"/>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E47D2B8C-18B8-4E8F-AAFF-8ACB3523BDE3}"/>
    <cellStyle name="Normal 5 3 3 4 4 2 3" xfId="12423" xr:uid="{8940479D-84DC-4FB1-9DD8-892DA77FB3A4}"/>
    <cellStyle name="Normal 5 3 3 4 4 3" xfId="6061" xr:uid="{00000000-0005-0000-0000-0000FA190000}"/>
    <cellStyle name="Normal 5 3 3 4 4 3 2" xfId="14496" xr:uid="{138AEABA-5B3A-4229-B3B5-DF574646C823}"/>
    <cellStyle name="Normal 5 3 3 4 4 4" xfId="10278" xr:uid="{A8589C2D-EC48-4897-9CFD-EC684DF446C1}"/>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7CB70591-FD1C-477A-9C88-135EE66063D0}"/>
    <cellStyle name="Normal 5 3 3 4 5 2 3" xfId="12836" xr:uid="{ABE1FC1A-F660-4E05-B4EA-CC0702CF6BE4}"/>
    <cellStyle name="Normal 5 3 3 4 5 3" xfId="6474" xr:uid="{00000000-0005-0000-0000-0000FE190000}"/>
    <cellStyle name="Normal 5 3 3 4 5 3 2" xfId="14909" xr:uid="{52591D99-1E1D-4C05-B9D9-D4E19C8447C8}"/>
    <cellStyle name="Normal 5 3 3 4 5 4" xfId="10691" xr:uid="{851294FC-A332-4E95-9F51-809B4EF4D5C4}"/>
    <cellStyle name="Normal 5 3 3 4 6" xfId="2603" xr:uid="{00000000-0005-0000-0000-0000FF190000}"/>
    <cellStyle name="Normal 5 3 3 4 6 2" xfId="6887" xr:uid="{00000000-0005-0000-0000-0000001A0000}"/>
    <cellStyle name="Normal 5 3 3 4 6 2 2" xfId="15322" xr:uid="{0221EDA5-13BE-44AD-9B89-C9C824E9D0D0}"/>
    <cellStyle name="Normal 5 3 3 4 6 3" xfId="11104" xr:uid="{9C52BADD-FE1C-4ADC-9F18-78BB9ACF46A6}"/>
    <cellStyle name="Normal 5 3 3 4 7" xfId="4822" xr:uid="{00000000-0005-0000-0000-0000011A0000}"/>
    <cellStyle name="Normal 5 3 3 4 7 2" xfId="13257" xr:uid="{54366F4B-8303-44F7-B966-F2BD584643F4}"/>
    <cellStyle name="Normal 5 3 3 4 8" xfId="9039" xr:uid="{32B61825-7211-42D5-8055-433CD5B475EE}"/>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1F913A6C-BB5B-4D39-9DA9-7866F4528162}"/>
    <cellStyle name="Normal 5 3 3 5 2 3" xfId="11590" xr:uid="{15C90C5E-6B4D-4F70-BFCB-1A880F3D61FE}"/>
    <cellStyle name="Normal 5 3 3 5 3" xfId="5228" xr:uid="{00000000-0005-0000-0000-0000051A0000}"/>
    <cellStyle name="Normal 5 3 3 5 3 2" xfId="13663" xr:uid="{52459D92-4522-4762-BDD7-70EFF1199C7B}"/>
    <cellStyle name="Normal 5 3 3 5 4" xfId="9445" xr:uid="{6D9C0A5D-68CA-4EB5-A938-46EA9D664ECC}"/>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9D43C76E-B701-4518-ABF6-8D321AB774DD}"/>
    <cellStyle name="Normal 5 3 3 6 2 3" xfId="12003" xr:uid="{647633CF-8C0B-4782-8E80-326C58526DBE}"/>
    <cellStyle name="Normal 5 3 3 6 3" xfId="5641" xr:uid="{00000000-0005-0000-0000-0000091A0000}"/>
    <cellStyle name="Normal 5 3 3 6 3 2" xfId="14076" xr:uid="{243476B5-C74C-45BE-824E-00EEAD008380}"/>
    <cellStyle name="Normal 5 3 3 6 4" xfId="9858" xr:uid="{936B47BC-675E-4173-B677-D6F00EBD980D}"/>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E4720EBF-576D-4EE7-AF14-3AA2B6BE859A}"/>
    <cellStyle name="Normal 5 3 3 7 2 3" xfId="12416" xr:uid="{0FE664B5-9866-4E28-923F-B9530658ACF9}"/>
    <cellStyle name="Normal 5 3 3 7 3" xfId="6054" xr:uid="{00000000-0005-0000-0000-00000D1A0000}"/>
    <cellStyle name="Normal 5 3 3 7 3 2" xfId="14489" xr:uid="{255A1319-E66C-4909-BC04-94AFD683AB14}"/>
    <cellStyle name="Normal 5 3 3 7 4" xfId="10271" xr:uid="{055C4DBC-EFFC-4B36-A2D9-643E4E67C003}"/>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A23ABF45-A71C-4B47-9083-D2FB61B5FC06}"/>
    <cellStyle name="Normal 5 3 3 8 2 3" xfId="12829" xr:uid="{8C9D66D3-C4EE-4E61-880B-BB63503F8388}"/>
    <cellStyle name="Normal 5 3 3 8 3" xfId="6467" xr:uid="{00000000-0005-0000-0000-0000111A0000}"/>
    <cellStyle name="Normal 5 3 3 8 3 2" xfId="14902" xr:uid="{B96BE7B6-E3C3-49EA-997A-3547AD2EF1D5}"/>
    <cellStyle name="Normal 5 3 3 8 4" xfId="10684" xr:uid="{2A196879-FC70-4419-AB31-C24B26064EFE}"/>
    <cellStyle name="Normal 5 3 3 9" xfId="2596" xr:uid="{00000000-0005-0000-0000-0000121A0000}"/>
    <cellStyle name="Normal 5 3 3 9 2" xfId="6880" xr:uid="{00000000-0005-0000-0000-0000131A0000}"/>
    <cellStyle name="Normal 5 3 3 9 2 2" xfId="15315" xr:uid="{EB28C743-6B93-46DB-8FEB-24F43B87F7F9}"/>
    <cellStyle name="Normal 5 3 3 9 3" xfId="11097" xr:uid="{EE676DD0-AAC8-47E9-873A-2A03EBF6A24C}"/>
    <cellStyle name="Normal 5 3 4" xfId="449" xr:uid="{00000000-0005-0000-0000-0000141A0000}"/>
    <cellStyle name="Normal 5 3 4 10" xfId="9040" xr:uid="{FA3793B5-F8ED-4A4D-A722-4ACB4407E796}"/>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67D2E3F5-2CA5-4E8C-97F9-CD25D1BA63C9}"/>
    <cellStyle name="Normal 5 3 4 2 2 2 2 3" xfId="11600" xr:uid="{EF00D44A-BD99-480F-B6CD-A2FAC82037B0}"/>
    <cellStyle name="Normal 5 3 4 2 2 2 3" xfId="5238" xr:uid="{00000000-0005-0000-0000-00001A1A0000}"/>
    <cellStyle name="Normal 5 3 4 2 2 2 3 2" xfId="13673" xr:uid="{27B3334C-82A9-4133-927D-B35CF1823252}"/>
    <cellStyle name="Normal 5 3 4 2 2 2 4" xfId="9455" xr:uid="{FA73A915-12CC-45CC-825A-3FF5B1492AA9}"/>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17D05918-FB12-4D9C-B75A-D3351F66C59C}"/>
    <cellStyle name="Normal 5 3 4 2 2 3 2 3" xfId="12013" xr:uid="{63F3DA30-1207-4A09-9B59-89EC3B1D03A3}"/>
    <cellStyle name="Normal 5 3 4 2 2 3 3" xfId="5651" xr:uid="{00000000-0005-0000-0000-00001E1A0000}"/>
    <cellStyle name="Normal 5 3 4 2 2 3 3 2" xfId="14086" xr:uid="{CDAB900E-1F7A-415E-9D94-604883EB17B9}"/>
    <cellStyle name="Normal 5 3 4 2 2 3 4" xfId="9868" xr:uid="{AA2E3C6E-AD83-4F0A-9F61-98274D6D7425}"/>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10FD12F8-3209-43B7-B434-DAC5926A7437}"/>
    <cellStyle name="Normal 5 3 4 2 2 4 2 3" xfId="12426" xr:uid="{5746D79A-AC97-4664-9F62-81DBE21DE414}"/>
    <cellStyle name="Normal 5 3 4 2 2 4 3" xfId="6064" xr:uid="{00000000-0005-0000-0000-0000221A0000}"/>
    <cellStyle name="Normal 5 3 4 2 2 4 3 2" xfId="14499" xr:uid="{B2191EFE-CA79-45C7-88B4-20C01FE7D99A}"/>
    <cellStyle name="Normal 5 3 4 2 2 4 4" xfId="10281" xr:uid="{3788A937-299E-4F48-9999-E5D1C7C23E2F}"/>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50CFE5F5-DD6A-454E-8D07-94F7ACC18976}"/>
    <cellStyle name="Normal 5 3 4 2 2 5 2 3" xfId="12839" xr:uid="{3BDCCAA7-EAF1-4291-955E-30E76C9535B2}"/>
    <cellStyle name="Normal 5 3 4 2 2 5 3" xfId="6477" xr:uid="{00000000-0005-0000-0000-0000261A0000}"/>
    <cellStyle name="Normal 5 3 4 2 2 5 3 2" xfId="14912" xr:uid="{D97DC532-9B52-4564-A451-25CBBF94F5F5}"/>
    <cellStyle name="Normal 5 3 4 2 2 5 4" xfId="10694" xr:uid="{1CF39A0E-1D19-403E-9835-F7D9ED43D92D}"/>
    <cellStyle name="Normal 5 3 4 2 2 6" xfId="2606" xr:uid="{00000000-0005-0000-0000-0000271A0000}"/>
    <cellStyle name="Normal 5 3 4 2 2 6 2" xfId="6890" xr:uid="{00000000-0005-0000-0000-0000281A0000}"/>
    <cellStyle name="Normal 5 3 4 2 2 6 2 2" xfId="15325" xr:uid="{42B35D78-4E6D-4F80-ABA9-0287E1527F71}"/>
    <cellStyle name="Normal 5 3 4 2 2 6 3" xfId="11107" xr:uid="{DBC8AC1C-A851-4673-95FD-54873DB7B660}"/>
    <cellStyle name="Normal 5 3 4 2 2 7" xfId="4825" xr:uid="{00000000-0005-0000-0000-0000291A0000}"/>
    <cellStyle name="Normal 5 3 4 2 2 7 2" xfId="13260" xr:uid="{5429EA39-8493-4E12-A05A-373E94F775D0}"/>
    <cellStyle name="Normal 5 3 4 2 2 8" xfId="9042" xr:uid="{264898D0-3939-4AB1-8D85-C9517D379B73}"/>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306FB9F7-A752-4B62-AFE4-F73F7A20F710}"/>
    <cellStyle name="Normal 5 3 4 2 3 2 3" xfId="11599" xr:uid="{38A9FFF3-3240-42C9-925E-D925C6EB1C0D}"/>
    <cellStyle name="Normal 5 3 4 2 3 3" xfId="5237" xr:uid="{00000000-0005-0000-0000-00002D1A0000}"/>
    <cellStyle name="Normal 5 3 4 2 3 3 2" xfId="13672" xr:uid="{4B953AF4-859C-4143-B4AF-12187BFFF03F}"/>
    <cellStyle name="Normal 5 3 4 2 3 4" xfId="9454" xr:uid="{4A6FD20C-D761-44E9-9CC6-A00FA5133605}"/>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DA82D029-1A05-4E09-9B93-AB5999FF56DA}"/>
    <cellStyle name="Normal 5 3 4 2 4 2 3" xfId="12012" xr:uid="{E8318AD8-BF37-4946-88A6-916DF7C448CD}"/>
    <cellStyle name="Normal 5 3 4 2 4 3" xfId="5650" xr:uid="{00000000-0005-0000-0000-0000311A0000}"/>
    <cellStyle name="Normal 5 3 4 2 4 3 2" xfId="14085" xr:uid="{4B612D1D-1D8E-4380-A35C-A3DF92AAC525}"/>
    <cellStyle name="Normal 5 3 4 2 4 4" xfId="9867" xr:uid="{97E69590-1B1A-49BF-845E-D2A0FA5D0676}"/>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E792E4D8-7986-47DF-95E6-07A7A6E13670}"/>
    <cellStyle name="Normal 5 3 4 2 5 2 3" xfId="12425" xr:uid="{3ECA1C36-B048-4285-AD6A-E6C21E455A67}"/>
    <cellStyle name="Normal 5 3 4 2 5 3" xfId="6063" xr:uid="{00000000-0005-0000-0000-0000351A0000}"/>
    <cellStyle name="Normal 5 3 4 2 5 3 2" xfId="14498" xr:uid="{7B4B171D-4480-4472-A4C4-7D2B37F3D4B3}"/>
    <cellStyle name="Normal 5 3 4 2 5 4" xfId="10280" xr:uid="{B8C79578-B254-409F-A5FC-59AD19DD5937}"/>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A04E2232-7C16-49BE-A35F-43A543039750}"/>
    <cellStyle name="Normal 5 3 4 2 6 2 3" xfId="12838" xr:uid="{0F753846-3FCA-4D8D-96C0-C48E85E7A626}"/>
    <cellStyle name="Normal 5 3 4 2 6 3" xfId="6476" xr:uid="{00000000-0005-0000-0000-0000391A0000}"/>
    <cellStyle name="Normal 5 3 4 2 6 3 2" xfId="14911" xr:uid="{208A777E-8673-4FC7-B2DC-CD2EA474237D}"/>
    <cellStyle name="Normal 5 3 4 2 6 4" xfId="10693" xr:uid="{5655A0E7-91EC-4E43-AB0C-33A0C63A3439}"/>
    <cellStyle name="Normal 5 3 4 2 7" xfId="2605" xr:uid="{00000000-0005-0000-0000-00003A1A0000}"/>
    <cellStyle name="Normal 5 3 4 2 7 2" xfId="6889" xr:uid="{00000000-0005-0000-0000-00003B1A0000}"/>
    <cellStyle name="Normal 5 3 4 2 7 2 2" xfId="15324" xr:uid="{4175C97C-D1D5-4DAE-8B17-BF8B63CDF50C}"/>
    <cellStyle name="Normal 5 3 4 2 7 3" xfId="11106" xr:uid="{7832BE41-BDBF-4551-A004-7B95807426DE}"/>
    <cellStyle name="Normal 5 3 4 2 8" xfId="4824" xr:uid="{00000000-0005-0000-0000-00003C1A0000}"/>
    <cellStyle name="Normal 5 3 4 2 8 2" xfId="13259" xr:uid="{11FE7872-240B-4B47-BF67-C333C99F9AA2}"/>
    <cellStyle name="Normal 5 3 4 2 9" xfId="9041" xr:uid="{30BC73F5-CA47-485A-A28B-3302508A8B01}"/>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A2E4775E-A4C8-4D07-B683-9E0B0C269B5C}"/>
    <cellStyle name="Normal 5 3 4 3 2 2 3" xfId="11601" xr:uid="{1D9AE545-F89F-4BD5-8130-FB4FF056C137}"/>
    <cellStyle name="Normal 5 3 4 3 2 3" xfId="5239" xr:uid="{00000000-0005-0000-0000-0000411A0000}"/>
    <cellStyle name="Normal 5 3 4 3 2 3 2" xfId="13674" xr:uid="{EAB5C8D2-6A5B-4C62-9468-54FC40162D5D}"/>
    <cellStyle name="Normal 5 3 4 3 2 4" xfId="9456" xr:uid="{51B99F2B-3A26-47EE-A527-EA2C69105AB7}"/>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DACA4F04-41E5-4EBA-8CE5-240BD2887997}"/>
    <cellStyle name="Normal 5 3 4 3 3 2 3" xfId="12014" xr:uid="{49285C17-B850-4795-A1B4-72EEDEF08E66}"/>
    <cellStyle name="Normal 5 3 4 3 3 3" xfId="5652" xr:uid="{00000000-0005-0000-0000-0000451A0000}"/>
    <cellStyle name="Normal 5 3 4 3 3 3 2" xfId="14087" xr:uid="{75156B8B-A81B-4F09-AD7C-B4BEFEABFCCF}"/>
    <cellStyle name="Normal 5 3 4 3 3 4" xfId="9869" xr:uid="{F6697816-A8B3-4D65-BC39-198EEC742613}"/>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CDB537A2-D6C4-4BAB-BA07-AD9DAE7DFFBC}"/>
    <cellStyle name="Normal 5 3 4 3 4 2 3" xfId="12427" xr:uid="{CBE28541-FCB4-4E5E-AB9C-037C72B527D3}"/>
    <cellStyle name="Normal 5 3 4 3 4 3" xfId="6065" xr:uid="{00000000-0005-0000-0000-0000491A0000}"/>
    <cellStyle name="Normal 5 3 4 3 4 3 2" xfId="14500" xr:uid="{3C662839-3175-4555-8C4C-06B4E4BAED86}"/>
    <cellStyle name="Normal 5 3 4 3 4 4" xfId="10282" xr:uid="{C4E7000D-7A69-45DA-A336-D9F083EA0907}"/>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5706AABC-DF83-45A5-AC70-0DE22BBBED07}"/>
    <cellStyle name="Normal 5 3 4 3 5 2 3" xfId="12840" xr:uid="{AFC6B08B-16C5-489A-8912-60A4CE90FB21}"/>
    <cellStyle name="Normal 5 3 4 3 5 3" xfId="6478" xr:uid="{00000000-0005-0000-0000-00004D1A0000}"/>
    <cellStyle name="Normal 5 3 4 3 5 3 2" xfId="14913" xr:uid="{7CF8DCC6-055C-4DD4-BEAF-F287149EA4FD}"/>
    <cellStyle name="Normal 5 3 4 3 5 4" xfId="10695" xr:uid="{2E07C289-0C13-48B9-9C08-B75D67FBD518}"/>
    <cellStyle name="Normal 5 3 4 3 6" xfId="2607" xr:uid="{00000000-0005-0000-0000-00004E1A0000}"/>
    <cellStyle name="Normal 5 3 4 3 6 2" xfId="6891" xr:uid="{00000000-0005-0000-0000-00004F1A0000}"/>
    <cellStyle name="Normal 5 3 4 3 6 2 2" xfId="15326" xr:uid="{DD18D723-026B-43E1-9BE7-3B39F33C3352}"/>
    <cellStyle name="Normal 5 3 4 3 6 3" xfId="11108" xr:uid="{AA278EDE-F987-4722-9453-FFFC3BB5B577}"/>
    <cellStyle name="Normal 5 3 4 3 7" xfId="4826" xr:uid="{00000000-0005-0000-0000-0000501A0000}"/>
    <cellStyle name="Normal 5 3 4 3 7 2" xfId="13261" xr:uid="{1C9B7FFA-926E-40C1-9DF1-85D2090F44B4}"/>
    <cellStyle name="Normal 5 3 4 3 8" xfId="9043" xr:uid="{73CC5451-9795-4A80-B2A3-604819FE921A}"/>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61F50DB5-11AF-4FD5-918B-5C262A3E375C}"/>
    <cellStyle name="Normal 5 3 4 4 2 3" xfId="11598" xr:uid="{4CEA06F4-64FC-4B45-B5DE-1ABCAE7B7DB0}"/>
    <cellStyle name="Normal 5 3 4 4 3" xfId="5236" xr:uid="{00000000-0005-0000-0000-0000541A0000}"/>
    <cellStyle name="Normal 5 3 4 4 3 2" xfId="13671" xr:uid="{3C859CCA-4292-4CE6-B63F-D2F69CEAB1AD}"/>
    <cellStyle name="Normal 5 3 4 4 4" xfId="9453" xr:uid="{4FD9A4FE-C7C5-4728-8CC4-34243822DD56}"/>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8CEB8CF8-CFDA-4AE6-8139-0EA87E9C29FC}"/>
    <cellStyle name="Normal 5 3 4 5 2 3" xfId="12011" xr:uid="{5EA37690-1BB1-4D21-A24F-43AA9564934B}"/>
    <cellStyle name="Normal 5 3 4 5 3" xfId="5649" xr:uid="{00000000-0005-0000-0000-0000581A0000}"/>
    <cellStyle name="Normal 5 3 4 5 3 2" xfId="14084" xr:uid="{85E3EC08-1FCC-4CD1-84B9-FCD80620B990}"/>
    <cellStyle name="Normal 5 3 4 5 4" xfId="9866" xr:uid="{A365F5B9-3E47-4F9B-A5AD-856D493F2676}"/>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03C7E02A-F0AB-478D-A2C9-73CCB5A555C0}"/>
    <cellStyle name="Normal 5 3 4 6 2 3" xfId="12424" xr:uid="{2B27D896-993E-4975-94AE-CD4F5ADE3E39}"/>
    <cellStyle name="Normal 5 3 4 6 3" xfId="6062" xr:uid="{00000000-0005-0000-0000-00005C1A0000}"/>
    <cellStyle name="Normal 5 3 4 6 3 2" xfId="14497" xr:uid="{FF2B3FC7-5DB9-478F-8E07-A4F7C290B401}"/>
    <cellStyle name="Normal 5 3 4 6 4" xfId="10279" xr:uid="{5E98981D-142D-43A3-9756-79B53CF0E58D}"/>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8825C5EE-570E-42CE-9D22-80ABE1FFBD23}"/>
    <cellStyle name="Normal 5 3 4 7 2 3" xfId="12837" xr:uid="{AB401813-3E6C-4F75-A5E5-38740D01C565}"/>
    <cellStyle name="Normal 5 3 4 7 3" xfId="6475" xr:uid="{00000000-0005-0000-0000-0000601A0000}"/>
    <cellStyle name="Normal 5 3 4 7 3 2" xfId="14910" xr:uid="{0BEDAD75-E179-4790-AEFB-1A607CA02002}"/>
    <cellStyle name="Normal 5 3 4 7 4" xfId="10692" xr:uid="{0C14D45F-1DDF-49E7-A3B5-7E74DCAD0FFD}"/>
    <cellStyle name="Normal 5 3 4 8" xfId="2604" xr:uid="{00000000-0005-0000-0000-0000611A0000}"/>
    <cellStyle name="Normal 5 3 4 8 2" xfId="6888" xr:uid="{00000000-0005-0000-0000-0000621A0000}"/>
    <cellStyle name="Normal 5 3 4 8 2 2" xfId="15323" xr:uid="{594C051C-F36D-4BF7-B45E-E67363FC2C65}"/>
    <cellStyle name="Normal 5 3 4 8 3" xfId="11105" xr:uid="{6099357E-0E74-4916-A54C-2CB63C8D79FE}"/>
    <cellStyle name="Normal 5 3 4 9" xfId="4823" xr:uid="{00000000-0005-0000-0000-0000631A0000}"/>
    <cellStyle name="Normal 5 3 4 9 2" xfId="13258" xr:uid="{DAC81B16-668D-47B4-A328-1A7584CE086D}"/>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9C5DA841-E288-4BF4-B749-FD4C244424EB}"/>
    <cellStyle name="Normal 5 3 5 2 2 2 3" xfId="11603" xr:uid="{4BFE3BE8-3BE1-47E8-BE73-967694728E05}"/>
    <cellStyle name="Normal 5 3 5 2 2 3" xfId="5241" xr:uid="{00000000-0005-0000-0000-0000691A0000}"/>
    <cellStyle name="Normal 5 3 5 2 2 3 2" xfId="13676" xr:uid="{89DC34B4-E163-43AA-A277-8760B6B703D9}"/>
    <cellStyle name="Normal 5 3 5 2 2 4" xfId="9458" xr:uid="{F26EB25F-5695-4EF1-BB73-70CFFF0BC012}"/>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5D9E7032-7599-4573-B2A3-3BC576EE266B}"/>
    <cellStyle name="Normal 5 3 5 2 3 2 3" xfId="12016" xr:uid="{3CA22FAD-DA29-4245-8836-018379ADFAF0}"/>
    <cellStyle name="Normal 5 3 5 2 3 3" xfId="5654" xr:uid="{00000000-0005-0000-0000-00006D1A0000}"/>
    <cellStyle name="Normal 5 3 5 2 3 3 2" xfId="14089" xr:uid="{6D99B274-5C38-4EB7-9029-DB97FF6A2932}"/>
    <cellStyle name="Normal 5 3 5 2 3 4" xfId="9871" xr:uid="{BE038C24-1AD9-4609-B8EB-0512FC2D535B}"/>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442A3B3C-6EE9-4314-A26B-94FF1D8C9383}"/>
    <cellStyle name="Normal 5 3 5 2 4 2 3" xfId="12429" xr:uid="{D770C742-B396-45DC-99FF-833C3277932E}"/>
    <cellStyle name="Normal 5 3 5 2 4 3" xfId="6067" xr:uid="{00000000-0005-0000-0000-0000711A0000}"/>
    <cellStyle name="Normal 5 3 5 2 4 3 2" xfId="14502" xr:uid="{BA69CE90-030E-4E88-A359-F61C639F7455}"/>
    <cellStyle name="Normal 5 3 5 2 4 4" xfId="10284" xr:uid="{A3DFB734-6A44-4172-A7DC-276F75875F6A}"/>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121D8ACD-78F3-46F7-9314-9A86CB284FCE}"/>
    <cellStyle name="Normal 5 3 5 2 5 2 3" xfId="12842" xr:uid="{798FBF2E-507B-476F-B2EA-695E6632F0FB}"/>
    <cellStyle name="Normal 5 3 5 2 5 3" xfId="6480" xr:uid="{00000000-0005-0000-0000-0000751A0000}"/>
    <cellStyle name="Normal 5 3 5 2 5 3 2" xfId="14915" xr:uid="{9C6D7DCB-F82F-4618-9D66-9F96CCCEEDED}"/>
    <cellStyle name="Normal 5 3 5 2 5 4" xfId="10697" xr:uid="{57BB6EFB-8283-4CBA-9812-BE610075458A}"/>
    <cellStyle name="Normal 5 3 5 2 6" xfId="2609" xr:uid="{00000000-0005-0000-0000-0000761A0000}"/>
    <cellStyle name="Normal 5 3 5 2 6 2" xfId="6893" xr:uid="{00000000-0005-0000-0000-0000771A0000}"/>
    <cellStyle name="Normal 5 3 5 2 6 2 2" xfId="15328" xr:uid="{D9451025-5C78-443C-9E59-DFBF611B7612}"/>
    <cellStyle name="Normal 5 3 5 2 6 3" xfId="11110" xr:uid="{F89382D2-8793-46A6-A884-59DB28007F6C}"/>
    <cellStyle name="Normal 5 3 5 2 7" xfId="4828" xr:uid="{00000000-0005-0000-0000-0000781A0000}"/>
    <cellStyle name="Normal 5 3 5 2 7 2" xfId="13263" xr:uid="{05036736-C7DF-48EB-96E7-7DA12C583E17}"/>
    <cellStyle name="Normal 5 3 5 2 8" xfId="9045" xr:uid="{A77C2F0D-5262-41FE-BE69-063CFF9594DC}"/>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22FE54D3-8F7F-4488-AFD6-2078A8A6C001}"/>
    <cellStyle name="Normal 5 3 5 3 2 3" xfId="11602" xr:uid="{F2DEFDF9-C790-44C4-A679-F616E69A8C8C}"/>
    <cellStyle name="Normal 5 3 5 3 3" xfId="5240" xr:uid="{00000000-0005-0000-0000-00007C1A0000}"/>
    <cellStyle name="Normal 5 3 5 3 3 2" xfId="13675" xr:uid="{04181828-D03B-4CBE-98D3-99CDBA064A11}"/>
    <cellStyle name="Normal 5 3 5 3 4" xfId="9457" xr:uid="{145E40FB-0F31-4775-974A-ED8E66430E47}"/>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42472BD5-C51A-4CF3-87AD-450E8FD049C2}"/>
    <cellStyle name="Normal 5 3 5 4 2 3" xfId="12015" xr:uid="{A16C50C7-CF99-43B7-A4D8-1BFCDAF5FF30}"/>
    <cellStyle name="Normal 5 3 5 4 3" xfId="5653" xr:uid="{00000000-0005-0000-0000-0000801A0000}"/>
    <cellStyle name="Normal 5 3 5 4 3 2" xfId="14088" xr:uid="{AAD377DF-4E67-4225-96E6-CB1EE728494D}"/>
    <cellStyle name="Normal 5 3 5 4 4" xfId="9870" xr:uid="{F45E04C5-69E5-44F4-BD0C-96D3285A43BC}"/>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A9C5EAFC-9BAD-424E-9972-1B6888C882C4}"/>
    <cellStyle name="Normal 5 3 5 5 2 3" xfId="12428" xr:uid="{5915A95F-F883-4B68-B0B1-D4904D26AA66}"/>
    <cellStyle name="Normal 5 3 5 5 3" xfId="6066" xr:uid="{00000000-0005-0000-0000-0000841A0000}"/>
    <cellStyle name="Normal 5 3 5 5 3 2" xfId="14501" xr:uid="{2433A1CE-0695-47D1-B36C-2E74E7C4F656}"/>
    <cellStyle name="Normal 5 3 5 5 4" xfId="10283" xr:uid="{A23239A7-F33C-4406-BE00-9009D2C6CDF7}"/>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2F085DD2-6923-466C-9329-36DCB0293144}"/>
    <cellStyle name="Normal 5 3 5 6 2 3" xfId="12841" xr:uid="{4D94160E-81FF-49A0-BF34-78B183E582F0}"/>
    <cellStyle name="Normal 5 3 5 6 3" xfId="6479" xr:uid="{00000000-0005-0000-0000-0000881A0000}"/>
    <cellStyle name="Normal 5 3 5 6 3 2" xfId="14914" xr:uid="{C25A5699-53DB-480D-B9DA-D4BF6730136D}"/>
    <cellStyle name="Normal 5 3 5 6 4" xfId="10696" xr:uid="{E9742BDA-EE10-4767-B650-18A0B21CF7C0}"/>
    <cellStyle name="Normal 5 3 5 7" xfId="2608" xr:uid="{00000000-0005-0000-0000-0000891A0000}"/>
    <cellStyle name="Normal 5 3 5 7 2" xfId="6892" xr:uid="{00000000-0005-0000-0000-00008A1A0000}"/>
    <cellStyle name="Normal 5 3 5 7 2 2" xfId="15327" xr:uid="{61DA8925-9316-481E-A6B8-C20F6EB3A20E}"/>
    <cellStyle name="Normal 5 3 5 7 3" xfId="11109" xr:uid="{B9CB4DEB-A7CA-41B9-BB6E-5365BE7D1EB9}"/>
    <cellStyle name="Normal 5 3 5 8" xfId="4827" xr:uid="{00000000-0005-0000-0000-00008B1A0000}"/>
    <cellStyle name="Normal 5 3 5 8 2" xfId="13262" xr:uid="{3E6455ED-06DF-4915-B799-436328997E7C}"/>
    <cellStyle name="Normal 5 3 5 9" xfId="9044" xr:uid="{1B148E4B-046B-41DD-A5E8-F99B03A39F0B}"/>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E865249E-EC5D-4C5F-A4EA-CFD8B10D2A8B}"/>
    <cellStyle name="Normal 5 3 6 2 2 3" xfId="11604" xr:uid="{DD85ADF4-173E-4853-A82A-DC3FA369CE94}"/>
    <cellStyle name="Normal 5 3 6 2 3" xfId="5242" xr:uid="{00000000-0005-0000-0000-0000901A0000}"/>
    <cellStyle name="Normal 5 3 6 2 3 2" xfId="13677" xr:uid="{4A84074F-9EF9-47A9-87E1-E2043BD249CB}"/>
    <cellStyle name="Normal 5 3 6 2 4" xfId="9459" xr:uid="{3D08B0A1-B511-4D6D-A786-E0D7C5AEEDD4}"/>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4FE241C6-9838-4370-946F-C55801C9986F}"/>
    <cellStyle name="Normal 5 3 6 3 2 3" xfId="12017" xr:uid="{125AB06C-4631-48CC-AF25-BC5C1BD8C5CA}"/>
    <cellStyle name="Normal 5 3 6 3 3" xfId="5655" xr:uid="{00000000-0005-0000-0000-0000941A0000}"/>
    <cellStyle name="Normal 5 3 6 3 3 2" xfId="14090" xr:uid="{E3F6E4C6-005B-4749-8488-C3E95A119BC7}"/>
    <cellStyle name="Normal 5 3 6 3 4" xfId="9872" xr:uid="{09BCFFC6-7335-4568-BF8E-283542510E24}"/>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889622E5-7F30-41EF-8DDA-4AB7E184FAC3}"/>
    <cellStyle name="Normal 5 3 6 4 2 3" xfId="12430" xr:uid="{6B28DA75-EFAF-4075-A626-A0CAEFA306CE}"/>
    <cellStyle name="Normal 5 3 6 4 3" xfId="6068" xr:uid="{00000000-0005-0000-0000-0000981A0000}"/>
    <cellStyle name="Normal 5 3 6 4 3 2" xfId="14503" xr:uid="{BB9E65C2-11C1-4428-9945-DD5EC6E69505}"/>
    <cellStyle name="Normal 5 3 6 4 4" xfId="10285" xr:uid="{F373D6E6-40F2-48D0-B63A-10A85A7E777B}"/>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1551245A-EE6E-46FE-92B5-8FB312B1EAA1}"/>
    <cellStyle name="Normal 5 3 6 5 2 3" xfId="12843" xr:uid="{443CBF1E-CFEE-4A99-83C6-924220F0BB0F}"/>
    <cellStyle name="Normal 5 3 6 5 3" xfId="6481" xr:uid="{00000000-0005-0000-0000-00009C1A0000}"/>
    <cellStyle name="Normal 5 3 6 5 3 2" xfId="14916" xr:uid="{F898DA15-A3E3-4BCA-854F-3B0E6F7A63EE}"/>
    <cellStyle name="Normal 5 3 6 5 4" xfId="10698" xr:uid="{4F1382BF-3133-4C01-A116-D2DD69F5E01B}"/>
    <cellStyle name="Normal 5 3 6 6" xfId="2610" xr:uid="{00000000-0005-0000-0000-00009D1A0000}"/>
    <cellStyle name="Normal 5 3 6 6 2" xfId="6894" xr:uid="{00000000-0005-0000-0000-00009E1A0000}"/>
    <cellStyle name="Normal 5 3 6 6 2 2" xfId="15329" xr:uid="{96881780-52EA-4EEC-B3B6-BA7B354DAA2D}"/>
    <cellStyle name="Normal 5 3 6 6 3" xfId="11111" xr:uid="{A2387AE7-55BE-40AE-97D0-3826733A252A}"/>
    <cellStyle name="Normal 5 3 6 7" xfId="4829" xr:uid="{00000000-0005-0000-0000-00009F1A0000}"/>
    <cellStyle name="Normal 5 3 6 7 2" xfId="13264" xr:uid="{029474BE-158E-4F17-8FED-17FEEEDCF7CD}"/>
    <cellStyle name="Normal 5 3 6 8" xfId="9046" xr:uid="{7A4F7798-7EE2-4B8E-AB27-265AD382DF3F}"/>
    <cellStyle name="Normal 5 3 7" xfId="914" xr:uid="{00000000-0005-0000-0000-0000A01A0000}"/>
    <cellStyle name="Normal 5 3 7 2" xfId="3149" xr:uid="{00000000-0005-0000-0000-0000A11A0000}"/>
    <cellStyle name="Normal 5 3 7 2 2" xfId="7372" xr:uid="{00000000-0005-0000-0000-0000A21A0000}"/>
    <cellStyle name="Normal 5 3 7 2 2 2" xfId="15807" xr:uid="{F6CD8A69-7E33-4C84-86CF-EE8480D4ACA5}"/>
    <cellStyle name="Normal 5 3 7 2 3" xfId="11589" xr:uid="{9086AA6B-D7D0-43BE-A57D-32FA787E1567}"/>
    <cellStyle name="Normal 5 3 7 3" xfId="5227" xr:uid="{00000000-0005-0000-0000-0000A31A0000}"/>
    <cellStyle name="Normal 5 3 7 3 2" xfId="13662" xr:uid="{0668EE90-A234-4808-94CC-3BFF1A38C277}"/>
    <cellStyle name="Normal 5 3 7 4" xfId="9444" xr:uid="{64226D36-A43F-4CEB-AE4F-20F9BFD20087}"/>
    <cellStyle name="Normal 5 3 8" xfId="1332" xr:uid="{00000000-0005-0000-0000-0000A41A0000}"/>
    <cellStyle name="Normal 5 3 8 2" xfId="3562" xr:uid="{00000000-0005-0000-0000-0000A51A0000}"/>
    <cellStyle name="Normal 5 3 8 2 2" xfId="7785" xr:uid="{00000000-0005-0000-0000-0000A61A0000}"/>
    <cellStyle name="Normal 5 3 8 2 2 2" xfId="16220" xr:uid="{00DD65E6-5A48-4DD1-8901-230FB97B6F38}"/>
    <cellStyle name="Normal 5 3 8 2 3" xfId="12002" xr:uid="{03C9D422-70C8-4164-A5A5-DDE852A2DA33}"/>
    <cellStyle name="Normal 5 3 8 3" xfId="5640" xr:uid="{00000000-0005-0000-0000-0000A71A0000}"/>
    <cellStyle name="Normal 5 3 8 3 2" xfId="14075" xr:uid="{09F36CA3-337E-4E05-AFE0-68F4611489DA}"/>
    <cellStyle name="Normal 5 3 8 4" xfId="9857" xr:uid="{72CEE0B7-D327-4704-AF8A-1808CFCBF8E8}"/>
    <cellStyle name="Normal 5 3 9" xfId="1745" xr:uid="{00000000-0005-0000-0000-0000A81A0000}"/>
    <cellStyle name="Normal 5 3 9 2" xfId="3975" xr:uid="{00000000-0005-0000-0000-0000A91A0000}"/>
    <cellStyle name="Normal 5 3 9 2 2" xfId="8198" xr:uid="{00000000-0005-0000-0000-0000AA1A0000}"/>
    <cellStyle name="Normal 5 3 9 2 2 2" xfId="16633" xr:uid="{E506C120-8CC8-4AB0-83C0-DFF0D64FAB63}"/>
    <cellStyle name="Normal 5 3 9 2 3" xfId="12415" xr:uid="{10F1C418-F80C-4B09-B4AD-A1AD286081A1}"/>
    <cellStyle name="Normal 5 3 9 3" xfId="6053" xr:uid="{00000000-0005-0000-0000-0000AB1A0000}"/>
    <cellStyle name="Normal 5 3 9 3 2" xfId="14488" xr:uid="{F3B10169-4E60-457F-90AC-4CE3DA11D292}"/>
    <cellStyle name="Normal 5 3 9 4" xfId="10270" xr:uid="{9B93CF77-9575-425A-8EE1-5BE760246FDC}"/>
    <cellStyle name="Normal 5 4" xfId="456" xr:uid="{00000000-0005-0000-0000-0000AC1A0000}"/>
    <cellStyle name="Normal 5 4 10" xfId="4830" xr:uid="{00000000-0005-0000-0000-0000AD1A0000}"/>
    <cellStyle name="Normal 5 4 10 2" xfId="13265" xr:uid="{B44EC82B-7953-4F2E-8729-C2E144B8E5FA}"/>
    <cellStyle name="Normal 5 4 11" xfId="9047" xr:uid="{EB8786D5-D308-4F3A-8B12-54497F659384}"/>
    <cellStyle name="Normal 5 4 2" xfId="457" xr:uid="{00000000-0005-0000-0000-0000AE1A0000}"/>
    <cellStyle name="Normal 5 4 2 10" xfId="9048" xr:uid="{6C4BCBD2-E9BF-44B7-9768-FF60A329023C}"/>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6CF1D290-A534-48EA-910F-39D0A4EBB0F0}"/>
    <cellStyle name="Normal 5 4 2 2 2 2 2 3" xfId="11608" xr:uid="{D979CE53-AE9C-40CE-A087-73BC90844164}"/>
    <cellStyle name="Normal 5 4 2 2 2 2 3" xfId="5246" xr:uid="{00000000-0005-0000-0000-0000B41A0000}"/>
    <cellStyle name="Normal 5 4 2 2 2 2 3 2" xfId="13681" xr:uid="{2729BB67-32AD-45AB-83C9-394240D55250}"/>
    <cellStyle name="Normal 5 4 2 2 2 2 4" xfId="9463" xr:uid="{D616B18D-976E-4488-81ED-D3455238FFD3}"/>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F8A4C6BD-7810-4E2B-9F61-A1F24EB3A580}"/>
    <cellStyle name="Normal 5 4 2 2 2 3 2 3" xfId="12021" xr:uid="{DCCD1DDB-178A-469F-96B7-5E7C21604474}"/>
    <cellStyle name="Normal 5 4 2 2 2 3 3" xfId="5659" xr:uid="{00000000-0005-0000-0000-0000B81A0000}"/>
    <cellStyle name="Normal 5 4 2 2 2 3 3 2" xfId="14094" xr:uid="{1B9CBB3D-167F-4757-9AF7-5D5F85323614}"/>
    <cellStyle name="Normal 5 4 2 2 2 3 4" xfId="9876" xr:uid="{35B1C32B-2B64-4677-AA42-F09BDDE331E8}"/>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49CC9A10-62A4-444C-9FD6-34EA3DDCD9A0}"/>
    <cellStyle name="Normal 5 4 2 2 2 4 2 3" xfId="12434" xr:uid="{A3D50C50-F7D4-4E4A-AAA2-4F1FE4826D7C}"/>
    <cellStyle name="Normal 5 4 2 2 2 4 3" xfId="6072" xr:uid="{00000000-0005-0000-0000-0000BC1A0000}"/>
    <cellStyle name="Normal 5 4 2 2 2 4 3 2" xfId="14507" xr:uid="{CECFBA2A-36DE-4BD6-8543-07D7CE4AABA2}"/>
    <cellStyle name="Normal 5 4 2 2 2 4 4" xfId="10289" xr:uid="{0A9A549D-B887-4036-9A22-14AC9B1DE23D}"/>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3B983A15-CE56-4E1A-AC84-83A59D6FA11F}"/>
    <cellStyle name="Normal 5 4 2 2 2 5 2 3" xfId="12847" xr:uid="{83DD7B43-7B06-49C8-9ED1-A6BC1E757D11}"/>
    <cellStyle name="Normal 5 4 2 2 2 5 3" xfId="6485" xr:uid="{00000000-0005-0000-0000-0000C01A0000}"/>
    <cellStyle name="Normal 5 4 2 2 2 5 3 2" xfId="14920" xr:uid="{A5BB5F33-4698-4CDB-BBAB-32101292545D}"/>
    <cellStyle name="Normal 5 4 2 2 2 5 4" xfId="10702" xr:uid="{4E5D6452-EE6F-4B89-A4D4-EF831B2E7077}"/>
    <cellStyle name="Normal 5 4 2 2 2 6" xfId="2614" xr:uid="{00000000-0005-0000-0000-0000C11A0000}"/>
    <cellStyle name="Normal 5 4 2 2 2 6 2" xfId="6898" xr:uid="{00000000-0005-0000-0000-0000C21A0000}"/>
    <cellStyle name="Normal 5 4 2 2 2 6 2 2" xfId="15333" xr:uid="{01B0FF91-3908-40E0-98A9-7AD6B9C86357}"/>
    <cellStyle name="Normal 5 4 2 2 2 6 3" xfId="11115" xr:uid="{A27B9192-93F5-449A-BBE0-EE92B1D9B03C}"/>
    <cellStyle name="Normal 5 4 2 2 2 7" xfId="4833" xr:uid="{00000000-0005-0000-0000-0000C31A0000}"/>
    <cellStyle name="Normal 5 4 2 2 2 7 2" xfId="13268" xr:uid="{9811036C-DB63-459A-9EDF-E1EDC5068FD0}"/>
    <cellStyle name="Normal 5 4 2 2 2 8" xfId="9050" xr:uid="{909B7E0B-C2EB-4617-B836-47F6C8AD641D}"/>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E08102D0-0279-4255-B227-5B9CED49BFCB}"/>
    <cellStyle name="Normal 5 4 2 2 3 2 3" xfId="11607" xr:uid="{21143FE4-5C28-4540-BE58-A585F4336A07}"/>
    <cellStyle name="Normal 5 4 2 2 3 3" xfId="5245" xr:uid="{00000000-0005-0000-0000-0000C71A0000}"/>
    <cellStyle name="Normal 5 4 2 2 3 3 2" xfId="13680" xr:uid="{6CBEAB0F-EAE7-4682-BBB5-E89A0F87CFF7}"/>
    <cellStyle name="Normal 5 4 2 2 3 4" xfId="9462" xr:uid="{B97BD83B-B95C-435A-8DD6-08D94F74A07F}"/>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B759CF09-9DD3-4ED5-B27D-2C46360D11A3}"/>
    <cellStyle name="Normal 5 4 2 2 4 2 3" xfId="12020" xr:uid="{B73EB27E-0C7F-432E-BE4D-9027337B0B32}"/>
    <cellStyle name="Normal 5 4 2 2 4 3" xfId="5658" xr:uid="{00000000-0005-0000-0000-0000CB1A0000}"/>
    <cellStyle name="Normal 5 4 2 2 4 3 2" xfId="14093" xr:uid="{0FF80775-A304-4211-A275-E8A65A20B533}"/>
    <cellStyle name="Normal 5 4 2 2 4 4" xfId="9875" xr:uid="{049F9E20-14F5-4124-B98B-95B7025AA501}"/>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0B97443C-953D-42FE-B63D-2C43BB017A75}"/>
    <cellStyle name="Normal 5 4 2 2 5 2 3" xfId="12433" xr:uid="{D4ABC5C6-E1A9-44EC-B03F-B0120FD771FE}"/>
    <cellStyle name="Normal 5 4 2 2 5 3" xfId="6071" xr:uid="{00000000-0005-0000-0000-0000CF1A0000}"/>
    <cellStyle name="Normal 5 4 2 2 5 3 2" xfId="14506" xr:uid="{484F3357-FB0A-41DE-8951-B7C4EB068088}"/>
    <cellStyle name="Normal 5 4 2 2 5 4" xfId="10288" xr:uid="{D64660E9-328C-4B4B-86F3-1B95D0DD5854}"/>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01A020E9-7729-4502-BAE8-4BEA5EAA567C}"/>
    <cellStyle name="Normal 5 4 2 2 6 2 3" xfId="12846" xr:uid="{7B87A73B-6FAA-43B4-8A1C-95D7CE895489}"/>
    <cellStyle name="Normal 5 4 2 2 6 3" xfId="6484" xr:uid="{00000000-0005-0000-0000-0000D31A0000}"/>
    <cellStyle name="Normal 5 4 2 2 6 3 2" xfId="14919" xr:uid="{F1E32EBF-C902-4A55-9508-C881DE8E4679}"/>
    <cellStyle name="Normal 5 4 2 2 6 4" xfId="10701" xr:uid="{AB887129-DEF2-42F0-B587-33771CFDCAA0}"/>
    <cellStyle name="Normal 5 4 2 2 7" xfId="2613" xr:uid="{00000000-0005-0000-0000-0000D41A0000}"/>
    <cellStyle name="Normal 5 4 2 2 7 2" xfId="6897" xr:uid="{00000000-0005-0000-0000-0000D51A0000}"/>
    <cellStyle name="Normal 5 4 2 2 7 2 2" xfId="15332" xr:uid="{A8C4F251-D12C-43FA-91B1-F701C7C6D570}"/>
    <cellStyle name="Normal 5 4 2 2 7 3" xfId="11114" xr:uid="{AD4BF795-B44E-44A6-AD89-46A43B2A939E}"/>
    <cellStyle name="Normal 5 4 2 2 8" xfId="4832" xr:uid="{00000000-0005-0000-0000-0000D61A0000}"/>
    <cellStyle name="Normal 5 4 2 2 8 2" xfId="13267" xr:uid="{098C7580-B048-486C-8474-42E397D52301}"/>
    <cellStyle name="Normal 5 4 2 2 9" xfId="9049" xr:uid="{582653B8-2A5D-41EA-8F6F-FDF1AEB3B475}"/>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310ACE93-3356-497A-83CE-B1F1261B5A08}"/>
    <cellStyle name="Normal 5 4 2 3 2 2 3" xfId="11609" xr:uid="{557177D7-C914-4E7C-85E3-0394CF8132CC}"/>
    <cellStyle name="Normal 5 4 2 3 2 3" xfId="5247" xr:uid="{00000000-0005-0000-0000-0000DB1A0000}"/>
    <cellStyle name="Normal 5 4 2 3 2 3 2" xfId="13682" xr:uid="{487000FD-DF62-487C-977F-6AB5A9984F04}"/>
    <cellStyle name="Normal 5 4 2 3 2 4" xfId="9464" xr:uid="{C1583EE5-DD58-4DBA-A336-FE52AC3748D3}"/>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36F19A91-0E92-4BDF-9CF2-C80512B36336}"/>
    <cellStyle name="Normal 5 4 2 3 3 2 3" xfId="12022" xr:uid="{CB10E972-C8DF-4613-9FCB-06CA6C49452B}"/>
    <cellStyle name="Normal 5 4 2 3 3 3" xfId="5660" xr:uid="{00000000-0005-0000-0000-0000DF1A0000}"/>
    <cellStyle name="Normal 5 4 2 3 3 3 2" xfId="14095" xr:uid="{D66E0A93-0E79-4029-AA45-55C6501946A6}"/>
    <cellStyle name="Normal 5 4 2 3 3 4" xfId="9877" xr:uid="{48CD0A79-7026-4E8A-83B4-E257422D3BB8}"/>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6CA72FE7-61E2-4849-ABCC-B8F5F8324FBC}"/>
    <cellStyle name="Normal 5 4 2 3 4 2 3" xfId="12435" xr:uid="{0D203C94-B5D3-4C00-BC20-EA833414C0D6}"/>
    <cellStyle name="Normal 5 4 2 3 4 3" xfId="6073" xr:uid="{00000000-0005-0000-0000-0000E31A0000}"/>
    <cellStyle name="Normal 5 4 2 3 4 3 2" xfId="14508" xr:uid="{A733B757-F9D1-41E9-98FC-0D8B40195126}"/>
    <cellStyle name="Normal 5 4 2 3 4 4" xfId="10290" xr:uid="{A7285C38-94B1-4306-B301-BF65A9C62D75}"/>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FA7A3DC0-2D05-4597-8F04-95C4DC1502E3}"/>
    <cellStyle name="Normal 5 4 2 3 5 2 3" xfId="12848" xr:uid="{02406C3B-9551-49A6-9B89-3439200E3DB4}"/>
    <cellStyle name="Normal 5 4 2 3 5 3" xfId="6486" xr:uid="{00000000-0005-0000-0000-0000E71A0000}"/>
    <cellStyle name="Normal 5 4 2 3 5 3 2" xfId="14921" xr:uid="{2ADE153F-9A52-43FB-B145-CE29D5307309}"/>
    <cellStyle name="Normal 5 4 2 3 5 4" xfId="10703" xr:uid="{5AFF842B-08D5-4362-A23A-5D1AF93114BF}"/>
    <cellStyle name="Normal 5 4 2 3 6" xfId="2615" xr:uid="{00000000-0005-0000-0000-0000E81A0000}"/>
    <cellStyle name="Normal 5 4 2 3 6 2" xfId="6899" xr:uid="{00000000-0005-0000-0000-0000E91A0000}"/>
    <cellStyle name="Normal 5 4 2 3 6 2 2" xfId="15334" xr:uid="{A02680A8-6E4D-4883-BFC6-68EDA75DD573}"/>
    <cellStyle name="Normal 5 4 2 3 6 3" xfId="11116" xr:uid="{01138C68-AA93-4DF2-A8AE-E57CE8D7CDE2}"/>
    <cellStyle name="Normal 5 4 2 3 7" xfId="4834" xr:uid="{00000000-0005-0000-0000-0000EA1A0000}"/>
    <cellStyle name="Normal 5 4 2 3 7 2" xfId="13269" xr:uid="{DB30A28B-51AB-43BF-AB62-B5D4EA5C0DF8}"/>
    <cellStyle name="Normal 5 4 2 3 8" xfId="9051" xr:uid="{24370531-79AB-4EE9-BB3E-36167D49110B}"/>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8DBADEE1-1FA8-4A3B-8335-3856F8F07018}"/>
    <cellStyle name="Normal 5 4 2 4 2 3" xfId="11606" xr:uid="{216637EB-1ED0-4F75-99D8-0BB13880ACF8}"/>
    <cellStyle name="Normal 5 4 2 4 3" xfId="5244" xr:uid="{00000000-0005-0000-0000-0000EE1A0000}"/>
    <cellStyle name="Normal 5 4 2 4 3 2" xfId="13679" xr:uid="{A767B098-112E-4A98-9208-840E2C9F53E1}"/>
    <cellStyle name="Normal 5 4 2 4 4" xfId="9461" xr:uid="{2E0092DA-B159-4D9B-9206-8B31550A2D62}"/>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75781F1F-3F9B-4D20-862B-165AA027F788}"/>
    <cellStyle name="Normal 5 4 2 5 2 3" xfId="12019" xr:uid="{4BE4B0BD-71FC-42F1-966B-FADB01DC8AF0}"/>
    <cellStyle name="Normal 5 4 2 5 3" xfId="5657" xr:uid="{00000000-0005-0000-0000-0000F21A0000}"/>
    <cellStyle name="Normal 5 4 2 5 3 2" xfId="14092" xr:uid="{F2A5F98B-76C5-42A6-BDAF-3C5DEB25F13E}"/>
    <cellStyle name="Normal 5 4 2 5 4" xfId="9874" xr:uid="{17691DEF-52E2-43E6-8599-535A76C5E8FF}"/>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22470CF6-C000-49F8-B12A-393B32E15184}"/>
    <cellStyle name="Normal 5 4 2 6 2 3" xfId="12432" xr:uid="{7E050ED2-A99E-4D20-B203-166FE0D5E364}"/>
    <cellStyle name="Normal 5 4 2 6 3" xfId="6070" xr:uid="{00000000-0005-0000-0000-0000F61A0000}"/>
    <cellStyle name="Normal 5 4 2 6 3 2" xfId="14505" xr:uid="{71DFBEBC-E96A-430F-A1E0-B4D1E7EDE29C}"/>
    <cellStyle name="Normal 5 4 2 6 4" xfId="10287" xr:uid="{A45A85B7-1CEF-447A-8457-975323DCA389}"/>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513CE73F-BE23-4E3F-A26C-3165BD95265A}"/>
    <cellStyle name="Normal 5 4 2 7 2 3" xfId="12845" xr:uid="{06A1A45E-A9FA-4328-A317-7D7B91E667BF}"/>
    <cellStyle name="Normal 5 4 2 7 3" xfId="6483" xr:uid="{00000000-0005-0000-0000-0000FA1A0000}"/>
    <cellStyle name="Normal 5 4 2 7 3 2" xfId="14918" xr:uid="{911DC075-2513-4C18-BE19-7DC48452A9AA}"/>
    <cellStyle name="Normal 5 4 2 7 4" xfId="10700" xr:uid="{D7DE2011-EE5F-43F5-9DA4-EA25EC9CFFDE}"/>
    <cellStyle name="Normal 5 4 2 8" xfId="2612" xr:uid="{00000000-0005-0000-0000-0000FB1A0000}"/>
    <cellStyle name="Normal 5 4 2 8 2" xfId="6896" xr:uid="{00000000-0005-0000-0000-0000FC1A0000}"/>
    <cellStyle name="Normal 5 4 2 8 2 2" xfId="15331" xr:uid="{48B81E8A-ECC5-4A9B-A1CE-4E9BF4FED333}"/>
    <cellStyle name="Normal 5 4 2 8 3" xfId="11113" xr:uid="{1263DE6D-3450-463A-9FCC-E907FD52B331}"/>
    <cellStyle name="Normal 5 4 2 9" xfId="4831" xr:uid="{00000000-0005-0000-0000-0000FD1A0000}"/>
    <cellStyle name="Normal 5 4 2 9 2" xfId="13266" xr:uid="{0370EA28-0EB4-4F31-992E-2504F90D97EE}"/>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A8E1F1D5-5928-4C36-91C9-91F694257C1B}"/>
    <cellStyle name="Normal 5 4 3 2 2 2 3" xfId="11611" xr:uid="{E1032F08-D47D-4ABB-BC96-132E2423527C}"/>
    <cellStyle name="Normal 5 4 3 2 2 3" xfId="5249" xr:uid="{00000000-0005-0000-0000-0000031B0000}"/>
    <cellStyle name="Normal 5 4 3 2 2 3 2" xfId="13684" xr:uid="{60633B1C-28E9-4669-A914-7780BDE14710}"/>
    <cellStyle name="Normal 5 4 3 2 2 4" xfId="9466" xr:uid="{91BA4033-63ED-44CC-925E-9C001AEDE4F8}"/>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9B145F32-BC64-45BD-9611-9B6E8CEB4C17}"/>
    <cellStyle name="Normal 5 4 3 2 3 2 3" xfId="12024" xr:uid="{156D9E2D-BCE0-4B68-9A2D-923A8D7F3297}"/>
    <cellStyle name="Normal 5 4 3 2 3 3" xfId="5662" xr:uid="{00000000-0005-0000-0000-0000071B0000}"/>
    <cellStyle name="Normal 5 4 3 2 3 3 2" xfId="14097" xr:uid="{227A1373-7976-4268-9DD8-E5DEC708E18A}"/>
    <cellStyle name="Normal 5 4 3 2 3 4" xfId="9879" xr:uid="{C25A928C-0597-4EA4-8C0A-38FBF6F6AA94}"/>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7E9BFBF3-D4B5-4949-A7C7-85CDA29AB1ED}"/>
    <cellStyle name="Normal 5 4 3 2 4 2 3" xfId="12437" xr:uid="{91A77023-5950-4246-8364-9C8E7B241772}"/>
    <cellStyle name="Normal 5 4 3 2 4 3" xfId="6075" xr:uid="{00000000-0005-0000-0000-00000B1B0000}"/>
    <cellStyle name="Normal 5 4 3 2 4 3 2" xfId="14510" xr:uid="{D0CBECB1-3A11-4097-9E2A-118B713645EA}"/>
    <cellStyle name="Normal 5 4 3 2 4 4" xfId="10292" xr:uid="{D60550F8-4DF5-4714-BBE0-3C01D7A00057}"/>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2AFC9663-D446-4BA9-BFE4-CC9C12BD5F00}"/>
    <cellStyle name="Normal 5 4 3 2 5 2 3" xfId="12850" xr:uid="{56CCFC49-6205-456E-8DE4-BA31F7669B21}"/>
    <cellStyle name="Normal 5 4 3 2 5 3" xfId="6488" xr:uid="{00000000-0005-0000-0000-00000F1B0000}"/>
    <cellStyle name="Normal 5 4 3 2 5 3 2" xfId="14923" xr:uid="{1B5B988A-AF23-46B1-B44C-0E9D27A92715}"/>
    <cellStyle name="Normal 5 4 3 2 5 4" xfId="10705" xr:uid="{3E938F8B-F6C3-464D-9978-6B74498B9535}"/>
    <cellStyle name="Normal 5 4 3 2 6" xfId="2617" xr:uid="{00000000-0005-0000-0000-0000101B0000}"/>
    <cellStyle name="Normal 5 4 3 2 6 2" xfId="6901" xr:uid="{00000000-0005-0000-0000-0000111B0000}"/>
    <cellStyle name="Normal 5 4 3 2 6 2 2" xfId="15336" xr:uid="{466979DA-EE86-4B88-82FF-BEA48C4AC05D}"/>
    <cellStyle name="Normal 5 4 3 2 6 3" xfId="11118" xr:uid="{58D3093D-2299-4B84-8CCD-7CC8E057AA1B}"/>
    <cellStyle name="Normal 5 4 3 2 7" xfId="4836" xr:uid="{00000000-0005-0000-0000-0000121B0000}"/>
    <cellStyle name="Normal 5 4 3 2 7 2" xfId="13271" xr:uid="{A7CB1CEA-AEFF-4794-AEB4-BC9A714F83E6}"/>
    <cellStyle name="Normal 5 4 3 2 8" xfId="9053" xr:uid="{288DD5FC-0C6C-4D48-A7BD-14BE17059A64}"/>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4FE9DE46-86AC-454A-9C39-2D7E5088EA19}"/>
    <cellStyle name="Normal 5 4 3 3 2 3" xfId="11610" xr:uid="{ADB37898-E16B-43A2-8CF5-2582B16F670F}"/>
    <cellStyle name="Normal 5 4 3 3 3" xfId="5248" xr:uid="{00000000-0005-0000-0000-0000161B0000}"/>
    <cellStyle name="Normal 5 4 3 3 3 2" xfId="13683" xr:uid="{20E14457-85AA-4AC9-992F-A5BEC083F38B}"/>
    <cellStyle name="Normal 5 4 3 3 4" xfId="9465" xr:uid="{5DB1CF56-1B91-4DC2-9222-543D5AB2700C}"/>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2A6AA7B6-A59F-4D40-928B-DE6B074F5591}"/>
    <cellStyle name="Normal 5 4 3 4 2 3" xfId="12023" xr:uid="{E08A79AA-30E9-45A1-B90E-E566F080E9C3}"/>
    <cellStyle name="Normal 5 4 3 4 3" xfId="5661" xr:uid="{00000000-0005-0000-0000-00001A1B0000}"/>
    <cellStyle name="Normal 5 4 3 4 3 2" xfId="14096" xr:uid="{4985DEC0-E595-48E5-9F46-884F6E060C2A}"/>
    <cellStyle name="Normal 5 4 3 4 4" xfId="9878" xr:uid="{33794357-882C-4558-A540-098501EDCD37}"/>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76347CA2-3366-43EA-A43C-A439B16BE89E}"/>
    <cellStyle name="Normal 5 4 3 5 2 3" xfId="12436" xr:uid="{E7F3D36C-789C-4F6C-A6F1-B93E5F685AB1}"/>
    <cellStyle name="Normal 5 4 3 5 3" xfId="6074" xr:uid="{00000000-0005-0000-0000-00001E1B0000}"/>
    <cellStyle name="Normal 5 4 3 5 3 2" xfId="14509" xr:uid="{6E85E470-1D38-4844-BA14-D5BEF40AEE85}"/>
    <cellStyle name="Normal 5 4 3 5 4" xfId="10291" xr:uid="{286FDADF-2808-4279-A48D-6279DDFA5CF3}"/>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19C54CA1-DD18-4932-B6D7-2156F9AF4B48}"/>
    <cellStyle name="Normal 5 4 3 6 2 3" xfId="12849" xr:uid="{3A282AFB-5677-4EF2-8704-6F5F35BFDE12}"/>
    <cellStyle name="Normal 5 4 3 6 3" xfId="6487" xr:uid="{00000000-0005-0000-0000-0000221B0000}"/>
    <cellStyle name="Normal 5 4 3 6 3 2" xfId="14922" xr:uid="{3811230C-C361-435E-AF85-8ACDAB49628A}"/>
    <cellStyle name="Normal 5 4 3 6 4" xfId="10704" xr:uid="{ACA304CA-501C-414C-82C6-B060911BCA98}"/>
    <cellStyle name="Normal 5 4 3 7" xfId="2616" xr:uid="{00000000-0005-0000-0000-0000231B0000}"/>
    <cellStyle name="Normal 5 4 3 7 2" xfId="6900" xr:uid="{00000000-0005-0000-0000-0000241B0000}"/>
    <cellStyle name="Normal 5 4 3 7 2 2" xfId="15335" xr:uid="{29533307-9283-4AC3-97BF-217526278D06}"/>
    <cellStyle name="Normal 5 4 3 7 3" xfId="11117" xr:uid="{F27D0372-1479-4289-B6AB-C91CC2227647}"/>
    <cellStyle name="Normal 5 4 3 8" xfId="4835" xr:uid="{00000000-0005-0000-0000-0000251B0000}"/>
    <cellStyle name="Normal 5 4 3 8 2" xfId="13270" xr:uid="{E77D5124-F662-4A8D-BB54-A4474D3A28CF}"/>
    <cellStyle name="Normal 5 4 3 9" xfId="9052" xr:uid="{20D7E887-85C7-4DDF-94BA-6CD3AF4BF2BD}"/>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294E040C-C9DD-46E3-AD86-3EE40A9CBF30}"/>
    <cellStyle name="Normal 5 4 4 2 2 3" xfId="11612" xr:uid="{643CBB88-7956-472F-9427-1FAAB30F684F}"/>
    <cellStyle name="Normal 5 4 4 2 3" xfId="5250" xr:uid="{00000000-0005-0000-0000-00002A1B0000}"/>
    <cellStyle name="Normal 5 4 4 2 3 2" xfId="13685" xr:uid="{4EFD791F-4F2B-4667-B4E2-FE42768E0B3B}"/>
    <cellStyle name="Normal 5 4 4 2 4" xfId="9467" xr:uid="{44D8ACCA-A5B8-4010-B23A-E7A9B496ED4A}"/>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C7679456-49F7-4DBA-9F8E-03678EC7E735}"/>
    <cellStyle name="Normal 5 4 4 3 2 3" xfId="12025" xr:uid="{73F4FE69-A23B-4269-B25D-CC530741F181}"/>
    <cellStyle name="Normal 5 4 4 3 3" xfId="5663" xr:uid="{00000000-0005-0000-0000-00002E1B0000}"/>
    <cellStyle name="Normal 5 4 4 3 3 2" xfId="14098" xr:uid="{AE4817F3-9EBF-4F9A-A837-304FF6F4C4B3}"/>
    <cellStyle name="Normal 5 4 4 3 4" xfId="9880" xr:uid="{91FC5ABA-21D4-441F-8F7B-CE257AC7A50B}"/>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26FD518E-E0DE-48A2-B7AF-0DD8F8D47DDE}"/>
    <cellStyle name="Normal 5 4 4 4 2 3" xfId="12438" xr:uid="{AEDF582C-BB11-4B77-B0DF-9FFA485476A6}"/>
    <cellStyle name="Normal 5 4 4 4 3" xfId="6076" xr:uid="{00000000-0005-0000-0000-0000321B0000}"/>
    <cellStyle name="Normal 5 4 4 4 3 2" xfId="14511" xr:uid="{99BB0E4F-748E-4463-9CD0-ECE06B21C5A3}"/>
    <cellStyle name="Normal 5 4 4 4 4" xfId="10293" xr:uid="{6B801600-C620-4674-A8D6-5D369649C29E}"/>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1180FE78-3B8E-4444-B1DD-E89FC625E86D}"/>
    <cellStyle name="Normal 5 4 4 5 2 3" xfId="12851" xr:uid="{00E25D6F-5D24-4C0E-B96A-6AB2627B434C}"/>
    <cellStyle name="Normal 5 4 4 5 3" xfId="6489" xr:uid="{00000000-0005-0000-0000-0000361B0000}"/>
    <cellStyle name="Normal 5 4 4 5 3 2" xfId="14924" xr:uid="{7AE0710B-E96D-4137-A647-798A1CE5B18E}"/>
    <cellStyle name="Normal 5 4 4 5 4" xfId="10706" xr:uid="{37F9E9BA-41D0-4145-A641-3BF5D0E94AB0}"/>
    <cellStyle name="Normal 5 4 4 6" xfId="2618" xr:uid="{00000000-0005-0000-0000-0000371B0000}"/>
    <cellStyle name="Normal 5 4 4 6 2" xfId="6902" xr:uid="{00000000-0005-0000-0000-0000381B0000}"/>
    <cellStyle name="Normal 5 4 4 6 2 2" xfId="15337" xr:uid="{0C9F44CE-4F00-400A-ABD2-C20474C613E8}"/>
    <cellStyle name="Normal 5 4 4 6 3" xfId="11119" xr:uid="{992E5D17-8AE1-4CD1-BF78-8E839EA3A2FC}"/>
    <cellStyle name="Normal 5 4 4 7" xfId="4837" xr:uid="{00000000-0005-0000-0000-0000391B0000}"/>
    <cellStyle name="Normal 5 4 4 7 2" xfId="13272" xr:uid="{6F3873EB-BE0A-442E-BE63-809619EAB97E}"/>
    <cellStyle name="Normal 5 4 4 8" xfId="9054" xr:uid="{C3576781-6F9F-4556-8DAC-71C3ABDC7EBA}"/>
    <cellStyle name="Normal 5 4 5" xfId="931" xr:uid="{00000000-0005-0000-0000-00003A1B0000}"/>
    <cellStyle name="Normal 5 4 5 2" xfId="3165" xr:uid="{00000000-0005-0000-0000-00003B1B0000}"/>
    <cellStyle name="Normal 5 4 5 2 2" xfId="7388" xr:uid="{00000000-0005-0000-0000-00003C1B0000}"/>
    <cellStyle name="Normal 5 4 5 2 2 2" xfId="15823" xr:uid="{FF4FDC76-A20D-474D-81F2-45D7C46BDED7}"/>
    <cellStyle name="Normal 5 4 5 2 3" xfId="11605" xr:uid="{4AFD5341-DC04-4E5D-83B9-25E7D1C66600}"/>
    <cellStyle name="Normal 5 4 5 3" xfId="5243" xr:uid="{00000000-0005-0000-0000-00003D1B0000}"/>
    <cellStyle name="Normal 5 4 5 3 2" xfId="13678" xr:uid="{01885E7F-2A9C-43EA-B629-A22D99045CC0}"/>
    <cellStyle name="Normal 5 4 5 4" xfId="9460" xr:uid="{C871ED86-1EFF-456F-BFF0-8042FC3CDFC3}"/>
    <cellStyle name="Normal 5 4 6" xfId="1348" xr:uid="{00000000-0005-0000-0000-00003E1B0000}"/>
    <cellStyle name="Normal 5 4 6 2" xfId="3578" xr:uid="{00000000-0005-0000-0000-00003F1B0000}"/>
    <cellStyle name="Normal 5 4 6 2 2" xfId="7801" xr:uid="{00000000-0005-0000-0000-0000401B0000}"/>
    <cellStyle name="Normal 5 4 6 2 2 2" xfId="16236" xr:uid="{28A30570-F13A-43AA-9F38-71634DC3205F}"/>
    <cellStyle name="Normal 5 4 6 2 3" xfId="12018" xr:uid="{39EA06A9-3FF7-438B-A1B0-E5EF0A6E1FFF}"/>
    <cellStyle name="Normal 5 4 6 3" xfId="5656" xr:uid="{00000000-0005-0000-0000-0000411B0000}"/>
    <cellStyle name="Normal 5 4 6 3 2" xfId="14091" xr:uid="{2A65BFA1-7AFD-4498-8794-8EE62FD89AF3}"/>
    <cellStyle name="Normal 5 4 6 4" xfId="9873" xr:uid="{C75FE909-4496-4DF9-8347-0DCA60DC31D2}"/>
    <cellStyle name="Normal 5 4 7" xfId="1761" xr:uid="{00000000-0005-0000-0000-0000421B0000}"/>
    <cellStyle name="Normal 5 4 7 2" xfId="3991" xr:uid="{00000000-0005-0000-0000-0000431B0000}"/>
    <cellStyle name="Normal 5 4 7 2 2" xfId="8214" xr:uid="{00000000-0005-0000-0000-0000441B0000}"/>
    <cellStyle name="Normal 5 4 7 2 2 2" xfId="16649" xr:uid="{A78A2331-A6F4-4641-9005-C4027908B30D}"/>
    <cellStyle name="Normal 5 4 7 2 3" xfId="12431" xr:uid="{E26BEA1D-A13F-4C6C-97EE-4892A776C161}"/>
    <cellStyle name="Normal 5 4 7 3" xfId="6069" xr:uid="{00000000-0005-0000-0000-0000451B0000}"/>
    <cellStyle name="Normal 5 4 7 3 2" xfId="14504" xr:uid="{50D010AA-428A-4302-B41E-278ED4CDBDFE}"/>
    <cellStyle name="Normal 5 4 7 4" xfId="10286" xr:uid="{CBECEA58-F6FE-4094-AF1B-08AA7D1EE887}"/>
    <cellStyle name="Normal 5 4 8" xfId="2175" xr:uid="{00000000-0005-0000-0000-0000461B0000}"/>
    <cellStyle name="Normal 5 4 8 2" xfId="4404" xr:uid="{00000000-0005-0000-0000-0000471B0000}"/>
    <cellStyle name="Normal 5 4 8 2 2" xfId="8627" xr:uid="{00000000-0005-0000-0000-0000481B0000}"/>
    <cellStyle name="Normal 5 4 8 2 2 2" xfId="17062" xr:uid="{8064DAF7-53C8-4D53-AC9F-FB5F6B62B202}"/>
    <cellStyle name="Normal 5 4 8 2 3" xfId="12844" xr:uid="{3FD1158D-652E-4B04-9C63-96B95EF16C2A}"/>
    <cellStyle name="Normal 5 4 8 3" xfId="6482" xr:uid="{00000000-0005-0000-0000-0000491B0000}"/>
    <cellStyle name="Normal 5 4 8 3 2" xfId="14917" xr:uid="{C731A1F4-C2CA-4E9F-8A0C-AF7DDF5B9E9B}"/>
    <cellStyle name="Normal 5 4 8 4" xfId="10699" xr:uid="{1EA38725-62A2-4819-B4C8-6370934A623B}"/>
    <cellStyle name="Normal 5 4 9" xfId="2611" xr:uid="{00000000-0005-0000-0000-00004A1B0000}"/>
    <cellStyle name="Normal 5 4 9 2" xfId="6895" xr:uid="{00000000-0005-0000-0000-00004B1B0000}"/>
    <cellStyle name="Normal 5 4 9 2 2" xfId="15330" xr:uid="{EF01D517-23BC-41CC-A923-12015EEA371F}"/>
    <cellStyle name="Normal 5 4 9 3" xfId="11112" xr:uid="{3090B244-69A2-4F89-A5C4-EA288E9EEA1E}"/>
    <cellStyle name="Normal 5 5" xfId="464" xr:uid="{00000000-0005-0000-0000-00004C1B0000}"/>
    <cellStyle name="Normal 5 5 10" xfId="9055" xr:uid="{1221BD8F-2A74-4A9C-A791-AC83588B90F2}"/>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289C08F6-827C-43E9-8328-D6FED97B59CB}"/>
    <cellStyle name="Normal 5 5 2 2 2 2 3" xfId="11615" xr:uid="{686F4BBF-8B65-4D91-A495-BC02794AF121}"/>
    <cellStyle name="Normal 5 5 2 2 2 3" xfId="5253" xr:uid="{00000000-0005-0000-0000-0000521B0000}"/>
    <cellStyle name="Normal 5 5 2 2 2 3 2" xfId="13688" xr:uid="{F4C3A1C1-752C-40FA-94B8-0F95B8E0F276}"/>
    <cellStyle name="Normal 5 5 2 2 2 4" xfId="9470" xr:uid="{A3FDF0EA-58F5-4754-9816-646FCE667C9A}"/>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659D6700-8716-4DBD-9B2C-E79B533D877A}"/>
    <cellStyle name="Normal 5 5 2 2 3 2 3" xfId="12028" xr:uid="{C06D6748-A0B7-4F2F-BB3B-CAA180ED60B6}"/>
    <cellStyle name="Normal 5 5 2 2 3 3" xfId="5666" xr:uid="{00000000-0005-0000-0000-0000561B0000}"/>
    <cellStyle name="Normal 5 5 2 2 3 3 2" xfId="14101" xr:uid="{6AF7B3AE-514B-4E5F-BCC2-852D5902E60D}"/>
    <cellStyle name="Normal 5 5 2 2 3 4" xfId="9883" xr:uid="{101F4537-ECBE-4D6C-BB9E-37037653AD09}"/>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39A2EC7D-E1FE-4A9F-B69E-A922EDF5355F}"/>
    <cellStyle name="Normal 5 5 2 2 4 2 3" xfId="12441" xr:uid="{96EE0BC7-CFE3-44A9-96A2-63AFC6014F8F}"/>
    <cellStyle name="Normal 5 5 2 2 4 3" xfId="6079" xr:uid="{00000000-0005-0000-0000-00005A1B0000}"/>
    <cellStyle name="Normal 5 5 2 2 4 3 2" xfId="14514" xr:uid="{E1017B45-53FD-49C9-8810-F5922D8B3BE0}"/>
    <cellStyle name="Normal 5 5 2 2 4 4" xfId="10296" xr:uid="{41F5130F-26BE-410E-8891-14950DFC31AF}"/>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A34CED75-D149-462B-865D-CF394E2D81C9}"/>
    <cellStyle name="Normal 5 5 2 2 5 2 3" xfId="12854" xr:uid="{858785F1-36F0-47C8-9E27-48FB9F64C517}"/>
    <cellStyle name="Normal 5 5 2 2 5 3" xfId="6492" xr:uid="{00000000-0005-0000-0000-00005E1B0000}"/>
    <cellStyle name="Normal 5 5 2 2 5 3 2" xfId="14927" xr:uid="{88571A0B-B7EA-4060-8C2D-48F1738917D3}"/>
    <cellStyle name="Normal 5 5 2 2 5 4" xfId="10709" xr:uid="{1705AC73-6CEE-4852-9B0C-829DDEAF8485}"/>
    <cellStyle name="Normal 5 5 2 2 6" xfId="2621" xr:uid="{00000000-0005-0000-0000-00005F1B0000}"/>
    <cellStyle name="Normal 5 5 2 2 6 2" xfId="6905" xr:uid="{00000000-0005-0000-0000-0000601B0000}"/>
    <cellStyle name="Normal 5 5 2 2 6 2 2" xfId="15340" xr:uid="{C60D2D5F-EAC7-404B-B296-4635D58D5A01}"/>
    <cellStyle name="Normal 5 5 2 2 6 3" xfId="11122" xr:uid="{5367E890-4A0A-491E-8D89-CACC0B3ECDEC}"/>
    <cellStyle name="Normal 5 5 2 2 7" xfId="4840" xr:uid="{00000000-0005-0000-0000-0000611B0000}"/>
    <cellStyle name="Normal 5 5 2 2 7 2" xfId="13275" xr:uid="{ED7CADF6-6E20-474F-97EA-C37C3474DF2E}"/>
    <cellStyle name="Normal 5 5 2 2 8" xfId="9057" xr:uid="{8ADADA6E-0BAC-4D60-B9CD-22EB7756572C}"/>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EADCCDBD-164A-4953-A3E2-71EEEE001F5B}"/>
    <cellStyle name="Normal 5 5 2 3 2 3" xfId="11614" xr:uid="{31AC1E65-7F03-42A9-AAA6-28D0AF02746A}"/>
    <cellStyle name="Normal 5 5 2 3 3" xfId="5252" xr:uid="{00000000-0005-0000-0000-0000651B0000}"/>
    <cellStyle name="Normal 5 5 2 3 3 2" xfId="13687" xr:uid="{C8F970E0-7F32-4D9B-83A6-877C891D2D3A}"/>
    <cellStyle name="Normal 5 5 2 3 4" xfId="9469" xr:uid="{C30D34AB-067F-4E87-9303-2980C6D57395}"/>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612E6160-369B-45D4-B7AF-9EA2EAB53B56}"/>
    <cellStyle name="Normal 5 5 2 4 2 3" xfId="12027" xr:uid="{85117100-A74D-497E-B79D-7426C639B864}"/>
    <cellStyle name="Normal 5 5 2 4 3" xfId="5665" xr:uid="{00000000-0005-0000-0000-0000691B0000}"/>
    <cellStyle name="Normal 5 5 2 4 3 2" xfId="14100" xr:uid="{DAA8C0DC-7B85-4759-9722-0237030D1C5F}"/>
    <cellStyle name="Normal 5 5 2 4 4" xfId="9882" xr:uid="{965348D4-8212-40E2-923F-48DBA1099C39}"/>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627D0450-9A08-43E3-B89D-A0B35C1178B6}"/>
    <cellStyle name="Normal 5 5 2 5 2 3" xfId="12440" xr:uid="{5FF471BC-F763-4376-AAE3-A458D3C457CA}"/>
    <cellStyle name="Normal 5 5 2 5 3" xfId="6078" xr:uid="{00000000-0005-0000-0000-00006D1B0000}"/>
    <cellStyle name="Normal 5 5 2 5 3 2" xfId="14513" xr:uid="{F4C87AC5-9A81-440E-AB03-E2165859ED59}"/>
    <cellStyle name="Normal 5 5 2 5 4" xfId="10295" xr:uid="{F5D7CCE5-D91F-4950-B650-706916E95D49}"/>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42A112A6-FE85-48A2-A223-D5D4174CD70F}"/>
    <cellStyle name="Normal 5 5 2 6 2 3" xfId="12853" xr:uid="{AC7EC221-778F-49EC-A7D1-DF69E591EBB9}"/>
    <cellStyle name="Normal 5 5 2 6 3" xfId="6491" xr:uid="{00000000-0005-0000-0000-0000711B0000}"/>
    <cellStyle name="Normal 5 5 2 6 3 2" xfId="14926" xr:uid="{B7F23B9D-D12D-489A-BA0E-E9B8F9A831DA}"/>
    <cellStyle name="Normal 5 5 2 6 4" xfId="10708" xr:uid="{28305CAD-9FA5-4084-9409-D81115E7CEEA}"/>
    <cellStyle name="Normal 5 5 2 7" xfId="2620" xr:uid="{00000000-0005-0000-0000-0000721B0000}"/>
    <cellStyle name="Normal 5 5 2 7 2" xfId="6904" xr:uid="{00000000-0005-0000-0000-0000731B0000}"/>
    <cellStyle name="Normal 5 5 2 7 2 2" xfId="15339" xr:uid="{13E70EF0-34D5-482A-B37D-14A742A17335}"/>
    <cellStyle name="Normal 5 5 2 7 3" xfId="11121" xr:uid="{F379776E-BAC3-4271-B2D7-118FF419C9F5}"/>
    <cellStyle name="Normal 5 5 2 8" xfId="4839" xr:uid="{00000000-0005-0000-0000-0000741B0000}"/>
    <cellStyle name="Normal 5 5 2 8 2" xfId="13274" xr:uid="{CD959FD8-A343-4871-A27C-2B438CC2C634}"/>
    <cellStyle name="Normal 5 5 2 9" xfId="9056" xr:uid="{5A71C75E-8D23-43CF-9319-17B2169D9473}"/>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73A590DC-4B05-48EC-ABDD-320299E22B67}"/>
    <cellStyle name="Normal 5 5 3 2 2 3" xfId="11616" xr:uid="{D27F318B-7DE9-47C9-B8E6-07A33CA8B45D}"/>
    <cellStyle name="Normal 5 5 3 2 3" xfId="5254" xr:uid="{00000000-0005-0000-0000-0000791B0000}"/>
    <cellStyle name="Normal 5 5 3 2 3 2" xfId="13689" xr:uid="{5411997E-91AC-41E8-B330-FE89AAEED815}"/>
    <cellStyle name="Normal 5 5 3 2 4" xfId="9471" xr:uid="{53DF1870-6DE3-4D06-AE1F-7B68052D5E40}"/>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F86DDB2C-D982-472F-B79E-0AC4FB6C768F}"/>
    <cellStyle name="Normal 5 5 3 3 2 3" xfId="12029" xr:uid="{02082214-0BA5-4B6A-8293-A25DF7DBAA1E}"/>
    <cellStyle name="Normal 5 5 3 3 3" xfId="5667" xr:uid="{00000000-0005-0000-0000-00007D1B0000}"/>
    <cellStyle name="Normal 5 5 3 3 3 2" xfId="14102" xr:uid="{26D88C5A-AE9F-4A11-8EE6-10BEB9CA483C}"/>
    <cellStyle name="Normal 5 5 3 3 4" xfId="9884" xr:uid="{96DD920B-81DC-41C4-9718-98FB88F602B6}"/>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CCD4ABDE-C403-4469-8D53-08A4D331D97E}"/>
    <cellStyle name="Normal 5 5 3 4 2 3" xfId="12442" xr:uid="{851AB45C-500C-4161-9C9A-E19EFFCA8D7B}"/>
    <cellStyle name="Normal 5 5 3 4 3" xfId="6080" xr:uid="{00000000-0005-0000-0000-0000811B0000}"/>
    <cellStyle name="Normal 5 5 3 4 3 2" xfId="14515" xr:uid="{0031AE59-9D10-4B44-BD92-94501B1F48F5}"/>
    <cellStyle name="Normal 5 5 3 4 4" xfId="10297" xr:uid="{FF6B8428-2CCC-4B97-A11A-783E2D5F7D0E}"/>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46ADAD3E-798B-4187-80FA-09AC2BF0A153}"/>
    <cellStyle name="Normal 5 5 3 5 2 3" xfId="12855" xr:uid="{2B0ED1C0-33A0-49C9-9E45-F22BCEE5424F}"/>
    <cellStyle name="Normal 5 5 3 5 3" xfId="6493" xr:uid="{00000000-0005-0000-0000-0000851B0000}"/>
    <cellStyle name="Normal 5 5 3 5 3 2" xfId="14928" xr:uid="{98E92898-C3EC-4575-91A1-6BEA0E3AB70B}"/>
    <cellStyle name="Normal 5 5 3 5 4" xfId="10710" xr:uid="{E0E23A33-1F0D-48C5-A57B-0B9F4F22669E}"/>
    <cellStyle name="Normal 5 5 3 6" xfId="2622" xr:uid="{00000000-0005-0000-0000-0000861B0000}"/>
    <cellStyle name="Normal 5 5 3 6 2" xfId="6906" xr:uid="{00000000-0005-0000-0000-0000871B0000}"/>
    <cellStyle name="Normal 5 5 3 6 2 2" xfId="15341" xr:uid="{CFBB11E9-0425-4DB2-BA40-8D23BF668045}"/>
    <cellStyle name="Normal 5 5 3 6 3" xfId="11123" xr:uid="{BB91C637-2967-415C-9658-45CC7813E802}"/>
    <cellStyle name="Normal 5 5 3 7" xfId="4841" xr:uid="{00000000-0005-0000-0000-0000881B0000}"/>
    <cellStyle name="Normal 5 5 3 7 2" xfId="13276" xr:uid="{3C3C2021-3C67-46E2-8E36-C0CA358E23A7}"/>
    <cellStyle name="Normal 5 5 3 8" xfId="9058" xr:uid="{91486015-B76E-4822-BDCF-0614E0783539}"/>
    <cellStyle name="Normal 5 5 4" xfId="939" xr:uid="{00000000-0005-0000-0000-0000891B0000}"/>
    <cellStyle name="Normal 5 5 4 2" xfId="3173" xr:uid="{00000000-0005-0000-0000-00008A1B0000}"/>
    <cellStyle name="Normal 5 5 4 2 2" xfId="7396" xr:uid="{00000000-0005-0000-0000-00008B1B0000}"/>
    <cellStyle name="Normal 5 5 4 2 2 2" xfId="15831" xr:uid="{A07E8E75-5B1B-4BC0-82A4-C2A3A516A722}"/>
    <cellStyle name="Normal 5 5 4 2 3" xfId="11613" xr:uid="{224942E0-068E-4E61-9861-C04F84F23DD0}"/>
    <cellStyle name="Normal 5 5 4 3" xfId="5251" xr:uid="{00000000-0005-0000-0000-00008C1B0000}"/>
    <cellStyle name="Normal 5 5 4 3 2" xfId="13686" xr:uid="{23D807BB-5651-4B07-B719-6C9FFD04E7C5}"/>
    <cellStyle name="Normal 5 5 4 4" xfId="9468" xr:uid="{5B617442-9601-44E3-AC31-5DF130EC622C}"/>
    <cellStyle name="Normal 5 5 5" xfId="1356" xr:uid="{00000000-0005-0000-0000-00008D1B0000}"/>
    <cellStyle name="Normal 5 5 5 2" xfId="3586" xr:uid="{00000000-0005-0000-0000-00008E1B0000}"/>
    <cellStyle name="Normal 5 5 5 2 2" xfId="7809" xr:uid="{00000000-0005-0000-0000-00008F1B0000}"/>
    <cellStyle name="Normal 5 5 5 2 2 2" xfId="16244" xr:uid="{781CA01F-73DA-45EE-9CA5-4056EAB7C6A1}"/>
    <cellStyle name="Normal 5 5 5 2 3" xfId="12026" xr:uid="{21003B10-AC2B-46B6-A5D2-3DAEC193152A}"/>
    <cellStyle name="Normal 5 5 5 3" xfId="5664" xr:uid="{00000000-0005-0000-0000-0000901B0000}"/>
    <cellStyle name="Normal 5 5 5 3 2" xfId="14099" xr:uid="{2D6DE0E1-D861-456B-9D58-81B86AF471B8}"/>
    <cellStyle name="Normal 5 5 5 4" xfId="9881" xr:uid="{B289D9B4-0367-476F-99EA-1641B21E0E71}"/>
    <cellStyle name="Normal 5 5 6" xfId="1769" xr:uid="{00000000-0005-0000-0000-0000911B0000}"/>
    <cellStyle name="Normal 5 5 6 2" xfId="3999" xr:uid="{00000000-0005-0000-0000-0000921B0000}"/>
    <cellStyle name="Normal 5 5 6 2 2" xfId="8222" xr:uid="{00000000-0005-0000-0000-0000931B0000}"/>
    <cellStyle name="Normal 5 5 6 2 2 2" xfId="16657" xr:uid="{B1008797-DEC3-442F-93AB-315F6E7C92FD}"/>
    <cellStyle name="Normal 5 5 6 2 3" xfId="12439" xr:uid="{3765F326-77BD-496B-97F9-5681D2FE3998}"/>
    <cellStyle name="Normal 5 5 6 3" xfId="6077" xr:uid="{00000000-0005-0000-0000-0000941B0000}"/>
    <cellStyle name="Normal 5 5 6 3 2" xfId="14512" xr:uid="{151F9EB1-FC17-4D02-B2A4-024DE6793EDD}"/>
    <cellStyle name="Normal 5 5 6 4" xfId="10294" xr:uid="{273BEB8F-A6DA-44B8-A593-9C240ACB6E7C}"/>
    <cellStyle name="Normal 5 5 7" xfId="2183" xr:uid="{00000000-0005-0000-0000-0000951B0000}"/>
    <cellStyle name="Normal 5 5 7 2" xfId="4412" xr:uid="{00000000-0005-0000-0000-0000961B0000}"/>
    <cellStyle name="Normal 5 5 7 2 2" xfId="8635" xr:uid="{00000000-0005-0000-0000-0000971B0000}"/>
    <cellStyle name="Normal 5 5 7 2 2 2" xfId="17070" xr:uid="{208A184D-1DEB-4454-9B10-73CDD51E2094}"/>
    <cellStyle name="Normal 5 5 7 2 3" xfId="12852" xr:uid="{49E634BB-B2F2-4233-B36B-369B1EABD36B}"/>
    <cellStyle name="Normal 5 5 7 3" xfId="6490" xr:uid="{00000000-0005-0000-0000-0000981B0000}"/>
    <cellStyle name="Normal 5 5 7 3 2" xfId="14925" xr:uid="{1972218C-4894-4411-9758-4E31E29FC334}"/>
    <cellStyle name="Normal 5 5 7 4" xfId="10707" xr:uid="{218888BA-43EE-4B7A-89D4-AA32A1EBED73}"/>
    <cellStyle name="Normal 5 5 8" xfId="2619" xr:uid="{00000000-0005-0000-0000-0000991B0000}"/>
    <cellStyle name="Normal 5 5 8 2" xfId="6903" xr:uid="{00000000-0005-0000-0000-00009A1B0000}"/>
    <cellStyle name="Normal 5 5 8 2 2" xfId="15338" xr:uid="{B5CAD34C-1D41-45F2-B707-DA1216EF8B08}"/>
    <cellStyle name="Normal 5 5 8 3" xfId="11120" xr:uid="{CA5D01D9-2FE4-43B4-95FA-75CFF39A2B2D}"/>
    <cellStyle name="Normal 5 5 9" xfId="4838" xr:uid="{00000000-0005-0000-0000-00009B1B0000}"/>
    <cellStyle name="Normal 5 5 9 2" xfId="13273" xr:uid="{4F6CD3B5-81D3-408E-B1E5-A99EF456673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C7ED4034-D64E-43F8-A46D-A6283E9E0E0D}"/>
    <cellStyle name="Normal 5 6 2 2 2 3" xfId="11618" xr:uid="{8881B894-19DC-4ED4-9ECA-C23E5D2E20CB}"/>
    <cellStyle name="Normal 5 6 2 2 3" xfId="5256" xr:uid="{00000000-0005-0000-0000-0000A11B0000}"/>
    <cellStyle name="Normal 5 6 2 2 3 2" xfId="13691" xr:uid="{AF580450-0B72-4031-86E0-7D414177284E}"/>
    <cellStyle name="Normal 5 6 2 2 4" xfId="9473" xr:uid="{44C18DFF-A5DF-4556-B7CC-90B7B71DCD2B}"/>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6210645D-4B65-432A-B327-DCFDE0A13C5A}"/>
    <cellStyle name="Normal 5 6 2 3 2 3" xfId="12031" xr:uid="{42304B34-3A90-47B3-A2BF-7485B75D85D5}"/>
    <cellStyle name="Normal 5 6 2 3 3" xfId="5669" xr:uid="{00000000-0005-0000-0000-0000A51B0000}"/>
    <cellStyle name="Normal 5 6 2 3 3 2" xfId="14104" xr:uid="{F368D09E-EC62-4B15-82BC-C85447A696C2}"/>
    <cellStyle name="Normal 5 6 2 3 4" xfId="9886" xr:uid="{AD180B9A-F797-4D3C-85D1-F9CC2A62ED5F}"/>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2319CE16-3154-4A7F-A376-406E72A5A6A2}"/>
    <cellStyle name="Normal 5 6 2 4 2 3" xfId="12444" xr:uid="{4C7B955B-022B-4DF7-8EF0-6A41DCDA6FE2}"/>
    <cellStyle name="Normal 5 6 2 4 3" xfId="6082" xr:uid="{00000000-0005-0000-0000-0000A91B0000}"/>
    <cellStyle name="Normal 5 6 2 4 3 2" xfId="14517" xr:uid="{A3F0E23E-FBFC-4557-9A37-1C3D97BC7DA9}"/>
    <cellStyle name="Normal 5 6 2 4 4" xfId="10299" xr:uid="{21A92DA3-1628-4D2E-BF46-BB693D040667}"/>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07A04376-93C5-4793-978D-F9D58144A66F}"/>
    <cellStyle name="Normal 5 6 2 5 2 3" xfId="12857" xr:uid="{8D762F6C-3927-42B8-9B3E-A502F701C176}"/>
    <cellStyle name="Normal 5 6 2 5 3" xfId="6495" xr:uid="{00000000-0005-0000-0000-0000AD1B0000}"/>
    <cellStyle name="Normal 5 6 2 5 3 2" xfId="14930" xr:uid="{EAF60569-B1CE-4298-970B-99E101F3F224}"/>
    <cellStyle name="Normal 5 6 2 5 4" xfId="10712" xr:uid="{FA203CDE-75D9-43B6-A2CC-CDAA35006928}"/>
    <cellStyle name="Normal 5 6 2 6" xfId="2624" xr:uid="{00000000-0005-0000-0000-0000AE1B0000}"/>
    <cellStyle name="Normal 5 6 2 6 2" xfId="6908" xr:uid="{00000000-0005-0000-0000-0000AF1B0000}"/>
    <cellStyle name="Normal 5 6 2 6 2 2" xfId="15343" xr:uid="{9CEC91E3-7267-4A13-B3AB-91F7A5876822}"/>
    <cellStyle name="Normal 5 6 2 6 3" xfId="11125" xr:uid="{C8B96589-5982-4EB2-92F5-EB4AF20C4690}"/>
    <cellStyle name="Normal 5 6 2 7" xfId="4843" xr:uid="{00000000-0005-0000-0000-0000B01B0000}"/>
    <cellStyle name="Normal 5 6 2 7 2" xfId="13278" xr:uid="{8072EED4-8ACE-4AD1-BD82-00B945951BE7}"/>
    <cellStyle name="Normal 5 6 2 8" xfId="9060" xr:uid="{5A8BBD02-DA68-4194-9609-1BB369A33FC7}"/>
    <cellStyle name="Normal 5 6 3" xfId="943" xr:uid="{00000000-0005-0000-0000-0000B11B0000}"/>
    <cellStyle name="Normal 5 6 3 2" xfId="3177" xr:uid="{00000000-0005-0000-0000-0000B21B0000}"/>
    <cellStyle name="Normal 5 6 3 2 2" xfId="7400" xr:uid="{00000000-0005-0000-0000-0000B31B0000}"/>
    <cellStyle name="Normal 5 6 3 2 2 2" xfId="15835" xr:uid="{CEA341A8-0AE4-4865-B7C7-4E3D1251CCA4}"/>
    <cellStyle name="Normal 5 6 3 2 3" xfId="11617" xr:uid="{1BEBC708-81E0-4344-B54A-6F2EBD26F66F}"/>
    <cellStyle name="Normal 5 6 3 3" xfId="5255" xr:uid="{00000000-0005-0000-0000-0000B41B0000}"/>
    <cellStyle name="Normal 5 6 3 3 2" xfId="13690" xr:uid="{87A37508-AC1B-460C-8DD3-E62EE541100A}"/>
    <cellStyle name="Normal 5 6 3 4" xfId="9472" xr:uid="{C9A915CF-9EB4-42CD-BAA2-467F904C9ADE}"/>
    <cellStyle name="Normal 5 6 4" xfId="1360" xr:uid="{00000000-0005-0000-0000-0000B51B0000}"/>
    <cellStyle name="Normal 5 6 4 2" xfId="3590" xr:uid="{00000000-0005-0000-0000-0000B61B0000}"/>
    <cellStyle name="Normal 5 6 4 2 2" xfId="7813" xr:uid="{00000000-0005-0000-0000-0000B71B0000}"/>
    <cellStyle name="Normal 5 6 4 2 2 2" xfId="16248" xr:uid="{623669D0-08C4-4916-81A0-AD1399B30BE0}"/>
    <cellStyle name="Normal 5 6 4 2 3" xfId="12030" xr:uid="{EC03B6BD-D9E4-4955-B9A3-E9DB732E1FBF}"/>
    <cellStyle name="Normal 5 6 4 3" xfId="5668" xr:uid="{00000000-0005-0000-0000-0000B81B0000}"/>
    <cellStyle name="Normal 5 6 4 3 2" xfId="14103" xr:uid="{A214B27A-F83B-4248-BF0F-4BD09E64BEF7}"/>
    <cellStyle name="Normal 5 6 4 4" xfId="9885" xr:uid="{E08856CA-C1C2-4386-8337-F62947F133CC}"/>
    <cellStyle name="Normal 5 6 5" xfId="1773" xr:uid="{00000000-0005-0000-0000-0000B91B0000}"/>
    <cellStyle name="Normal 5 6 5 2" xfId="4003" xr:uid="{00000000-0005-0000-0000-0000BA1B0000}"/>
    <cellStyle name="Normal 5 6 5 2 2" xfId="8226" xr:uid="{00000000-0005-0000-0000-0000BB1B0000}"/>
    <cellStyle name="Normal 5 6 5 2 2 2" xfId="16661" xr:uid="{5C2B3AAE-465E-4DB5-82CB-FECC638EC3C0}"/>
    <cellStyle name="Normal 5 6 5 2 3" xfId="12443" xr:uid="{2BADC4BF-AC75-4D09-8859-5161F04674F1}"/>
    <cellStyle name="Normal 5 6 5 3" xfId="6081" xr:uid="{00000000-0005-0000-0000-0000BC1B0000}"/>
    <cellStyle name="Normal 5 6 5 3 2" xfId="14516" xr:uid="{309761C7-3570-4A35-9091-11F3B0F6944B}"/>
    <cellStyle name="Normal 5 6 5 4" xfId="10298" xr:uid="{4E356B2B-AFFC-48A8-8AB7-122DE79BF594}"/>
    <cellStyle name="Normal 5 6 6" xfId="2187" xr:uid="{00000000-0005-0000-0000-0000BD1B0000}"/>
    <cellStyle name="Normal 5 6 6 2" xfId="4416" xr:uid="{00000000-0005-0000-0000-0000BE1B0000}"/>
    <cellStyle name="Normal 5 6 6 2 2" xfId="8639" xr:uid="{00000000-0005-0000-0000-0000BF1B0000}"/>
    <cellStyle name="Normal 5 6 6 2 2 2" xfId="17074" xr:uid="{07153251-F32A-4D35-A8BD-26C72F5AB98F}"/>
    <cellStyle name="Normal 5 6 6 2 3" xfId="12856" xr:uid="{43A7FF6D-7D6A-4719-9972-4C1298D4AE46}"/>
    <cellStyle name="Normal 5 6 6 3" xfId="6494" xr:uid="{00000000-0005-0000-0000-0000C01B0000}"/>
    <cellStyle name="Normal 5 6 6 3 2" xfId="14929" xr:uid="{1C75637B-4219-4739-9F88-71D865BE4FCB}"/>
    <cellStyle name="Normal 5 6 6 4" xfId="10711" xr:uid="{669A5834-C084-4E4C-952A-39B051FC50E1}"/>
    <cellStyle name="Normal 5 6 7" xfId="2623" xr:uid="{00000000-0005-0000-0000-0000C11B0000}"/>
    <cellStyle name="Normal 5 6 7 2" xfId="6907" xr:uid="{00000000-0005-0000-0000-0000C21B0000}"/>
    <cellStyle name="Normal 5 6 7 2 2" xfId="15342" xr:uid="{4F2733D1-BDBF-473F-86D9-2D388F3D1074}"/>
    <cellStyle name="Normal 5 6 7 3" xfId="11124" xr:uid="{81C471C2-5263-44A3-8F48-DBF935211BE2}"/>
    <cellStyle name="Normal 5 6 8" xfId="4842" xr:uid="{00000000-0005-0000-0000-0000C31B0000}"/>
    <cellStyle name="Normal 5 6 8 2" xfId="13277" xr:uid="{EACA5D71-642A-462F-8844-8F885A416044}"/>
    <cellStyle name="Normal 5 6 9" xfId="9059" xr:uid="{91AA0E55-5BD4-4EF5-8A8C-61479469547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FAB01F33-B6CD-4220-90AC-B14185FB21D0}"/>
    <cellStyle name="Normal 5 7 2 2 3" xfId="11619" xr:uid="{C3943A2F-6D6F-47D0-A071-9D381F5C2D1A}"/>
    <cellStyle name="Normal 5 7 2 3" xfId="5257" xr:uid="{00000000-0005-0000-0000-0000C81B0000}"/>
    <cellStyle name="Normal 5 7 2 3 2" xfId="13692" xr:uid="{D7DB1F6D-D342-453D-A98F-E62C7331BCDC}"/>
    <cellStyle name="Normal 5 7 2 4" xfId="9474" xr:uid="{86702032-1EAF-47A1-98A5-2EA571A47500}"/>
    <cellStyle name="Normal 5 7 3" xfId="1362" xr:uid="{00000000-0005-0000-0000-0000C91B0000}"/>
    <cellStyle name="Normal 5 7 3 2" xfId="3592" xr:uid="{00000000-0005-0000-0000-0000CA1B0000}"/>
    <cellStyle name="Normal 5 7 3 2 2" xfId="7815" xr:uid="{00000000-0005-0000-0000-0000CB1B0000}"/>
    <cellStyle name="Normal 5 7 3 2 2 2" xfId="16250" xr:uid="{1AB5D66D-4B6B-41AB-80EA-D9EF09AF6E4A}"/>
    <cellStyle name="Normal 5 7 3 2 3" xfId="12032" xr:uid="{2B0FE3FD-562D-4AC5-93A4-4B9935315D46}"/>
    <cellStyle name="Normal 5 7 3 3" xfId="5670" xr:uid="{00000000-0005-0000-0000-0000CC1B0000}"/>
    <cellStyle name="Normal 5 7 3 3 2" xfId="14105" xr:uid="{782992D1-45E4-4A70-A681-10491ABC8D2E}"/>
    <cellStyle name="Normal 5 7 3 4" xfId="9887" xr:uid="{8557F9DB-BD8B-4D93-846A-AA51753CC422}"/>
    <cellStyle name="Normal 5 7 4" xfId="1775" xr:uid="{00000000-0005-0000-0000-0000CD1B0000}"/>
    <cellStyle name="Normal 5 7 4 2" xfId="4005" xr:uid="{00000000-0005-0000-0000-0000CE1B0000}"/>
    <cellStyle name="Normal 5 7 4 2 2" xfId="8228" xr:uid="{00000000-0005-0000-0000-0000CF1B0000}"/>
    <cellStyle name="Normal 5 7 4 2 2 2" xfId="16663" xr:uid="{97776341-9641-49A8-8DBA-3224E12A1D71}"/>
    <cellStyle name="Normal 5 7 4 2 3" xfId="12445" xr:uid="{5DB8239A-27C0-4C4D-BB7D-B47F1F73DBA3}"/>
    <cellStyle name="Normal 5 7 4 3" xfId="6083" xr:uid="{00000000-0005-0000-0000-0000D01B0000}"/>
    <cellStyle name="Normal 5 7 4 3 2" xfId="14518" xr:uid="{094E1CB4-A0B5-45AC-9A92-52975C5C5652}"/>
    <cellStyle name="Normal 5 7 4 4" xfId="10300" xr:uid="{D24C3C1F-76DE-42C2-AD74-96D587955CCF}"/>
    <cellStyle name="Normal 5 7 5" xfId="2189" xr:uid="{00000000-0005-0000-0000-0000D11B0000}"/>
    <cellStyle name="Normal 5 7 5 2" xfId="4418" xr:uid="{00000000-0005-0000-0000-0000D21B0000}"/>
    <cellStyle name="Normal 5 7 5 2 2" xfId="8641" xr:uid="{00000000-0005-0000-0000-0000D31B0000}"/>
    <cellStyle name="Normal 5 7 5 2 2 2" xfId="17076" xr:uid="{BF4D4BB7-6590-43B1-94F6-2B6094726009}"/>
    <cellStyle name="Normal 5 7 5 2 3" xfId="12858" xr:uid="{1D539138-2D56-4FD3-9639-31CBA1F8AB3E}"/>
    <cellStyle name="Normal 5 7 5 3" xfId="6496" xr:uid="{00000000-0005-0000-0000-0000D41B0000}"/>
    <cellStyle name="Normal 5 7 5 3 2" xfId="14931" xr:uid="{A1F2AAB6-407B-4C22-97F7-465263B4DBD7}"/>
    <cellStyle name="Normal 5 7 5 4" xfId="10713" xr:uid="{CF085770-C267-4D6C-9617-01AFFCDE6C6D}"/>
    <cellStyle name="Normal 5 7 6" xfId="2625" xr:uid="{00000000-0005-0000-0000-0000D51B0000}"/>
    <cellStyle name="Normal 5 7 6 2" xfId="6909" xr:uid="{00000000-0005-0000-0000-0000D61B0000}"/>
    <cellStyle name="Normal 5 7 6 2 2" xfId="15344" xr:uid="{804EA024-AA35-4E25-BA08-6181FBB9657E}"/>
    <cellStyle name="Normal 5 7 6 3" xfId="11126" xr:uid="{6747AE22-D41C-4E23-B723-F8EDAE49C261}"/>
    <cellStyle name="Normal 5 7 7" xfId="4844" xr:uid="{00000000-0005-0000-0000-0000D71B0000}"/>
    <cellStyle name="Normal 5 7 7 2" xfId="13279" xr:uid="{076EB71A-651B-4022-868B-A6C4FEEC265B}"/>
    <cellStyle name="Normal 5 7 8" xfId="9061" xr:uid="{B5BF2AA8-CC05-45BE-8FEF-5ECE8DA65765}"/>
    <cellStyle name="Normal 5 8" xfId="881" xr:uid="{00000000-0005-0000-0000-0000D81B0000}"/>
    <cellStyle name="Normal 5 8 2" xfId="3116" xr:uid="{00000000-0005-0000-0000-0000D91B0000}"/>
    <cellStyle name="Normal 5 8 2 2" xfId="7339" xr:uid="{00000000-0005-0000-0000-0000DA1B0000}"/>
    <cellStyle name="Normal 5 8 2 2 2" xfId="15774" xr:uid="{FD727A47-ED49-4FBE-92C2-42C2598B9C20}"/>
    <cellStyle name="Normal 5 8 2 3" xfId="11556" xr:uid="{E35FE90A-AE77-4F2C-AB81-9153115B4CCC}"/>
    <cellStyle name="Normal 5 8 3" xfId="5194" xr:uid="{00000000-0005-0000-0000-0000DB1B0000}"/>
    <cellStyle name="Normal 5 8 3 2" xfId="13629" xr:uid="{89A5C3F4-44B8-484D-9887-6B617988B793}"/>
    <cellStyle name="Normal 5 8 4" xfId="9411" xr:uid="{A4D685E7-6465-4C39-A92A-EEBE64F9680F}"/>
    <cellStyle name="Normal 5 9" xfId="1299" xr:uid="{00000000-0005-0000-0000-0000DC1B0000}"/>
    <cellStyle name="Normal 5 9 2" xfId="3529" xr:uid="{00000000-0005-0000-0000-0000DD1B0000}"/>
    <cellStyle name="Normal 5 9 2 2" xfId="7752" xr:uid="{00000000-0005-0000-0000-0000DE1B0000}"/>
    <cellStyle name="Normal 5 9 2 2 2" xfId="16187" xr:uid="{9675CB62-E01C-4F0E-ACE0-B659652E0BDB}"/>
    <cellStyle name="Normal 5 9 2 3" xfId="11969" xr:uid="{7D1E795E-6012-4ABC-8E7C-1A4E364BFC7C}"/>
    <cellStyle name="Normal 5 9 3" xfId="5607" xr:uid="{00000000-0005-0000-0000-0000DF1B0000}"/>
    <cellStyle name="Normal 5 9 3 2" xfId="14042" xr:uid="{303D56AB-3299-41C6-82BF-DABF11BB0CB2}"/>
    <cellStyle name="Normal 5 9 4" xfId="9824" xr:uid="{506BEDBF-DFE0-42E9-AE76-CA446A32CC9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72DD3055-9DB3-4C41-8F71-31BA50462741}"/>
    <cellStyle name="Normal 8 10 2 3" xfId="12859" xr:uid="{D31CCE24-6E6F-47C1-99E3-424F6CD68F7A}"/>
    <cellStyle name="Normal 8 10 3" xfId="6497" xr:uid="{00000000-0005-0000-0000-0000EB1B0000}"/>
    <cellStyle name="Normal 8 10 3 2" xfId="14932" xr:uid="{4F4CEA28-9096-4896-89EE-86B742E0058B}"/>
    <cellStyle name="Normal 8 10 4" xfId="10714" xr:uid="{3DC5B6C2-3D52-4D06-869A-337365EDAC9A}"/>
    <cellStyle name="Normal 8 11" xfId="2626" xr:uid="{00000000-0005-0000-0000-0000EC1B0000}"/>
    <cellStyle name="Normal 8 11 2" xfId="6910" xr:uid="{00000000-0005-0000-0000-0000ED1B0000}"/>
    <cellStyle name="Normal 8 11 2 2" xfId="15345" xr:uid="{C33FC121-8A1D-4D79-8442-162B70EB3BAD}"/>
    <cellStyle name="Normal 8 11 3" xfId="11127" xr:uid="{B9E5F153-15BA-41E3-B429-CC03A27C6EEE}"/>
    <cellStyle name="Normal 8 12" xfId="4845" xr:uid="{00000000-0005-0000-0000-0000EE1B0000}"/>
    <cellStyle name="Normal 8 12 2" xfId="13280" xr:uid="{1CC8AE09-2594-4533-A8EF-5306B6AD0484}"/>
    <cellStyle name="Normal 8 13" xfId="9062" xr:uid="{B539D324-CF92-4D16-8DE4-1408A6064CFB}"/>
    <cellStyle name="Normal 8 2" xfId="479" xr:uid="{00000000-0005-0000-0000-0000EF1B0000}"/>
    <cellStyle name="Normal 8 2 10" xfId="2627" xr:uid="{00000000-0005-0000-0000-0000F01B0000}"/>
    <cellStyle name="Normal 8 2 10 2" xfId="6911" xr:uid="{00000000-0005-0000-0000-0000F11B0000}"/>
    <cellStyle name="Normal 8 2 10 2 2" xfId="15346" xr:uid="{A876735A-C7A5-4204-80EB-6957B92992F1}"/>
    <cellStyle name="Normal 8 2 10 3" xfId="11128" xr:uid="{D312B5BB-686D-4DB6-9717-A3E49D8234BB}"/>
    <cellStyle name="Normal 8 2 11" xfId="4846" xr:uid="{00000000-0005-0000-0000-0000F21B0000}"/>
    <cellStyle name="Normal 8 2 11 2" xfId="13281" xr:uid="{645AAE7C-41E7-4101-9191-39C29BB6615B}"/>
    <cellStyle name="Normal 8 2 12" xfId="9063" xr:uid="{2914A0DF-0FB0-471E-AF75-08083765E19D}"/>
    <cellStyle name="Normal 8 2 2" xfId="480" xr:uid="{00000000-0005-0000-0000-0000F31B0000}"/>
    <cellStyle name="Normal 8 2 2 10" xfId="4847" xr:uid="{00000000-0005-0000-0000-0000F41B0000}"/>
    <cellStyle name="Normal 8 2 2 10 2" xfId="13282" xr:uid="{85AF5410-D5B0-405D-BA89-E019DA0DCCC5}"/>
    <cellStyle name="Normal 8 2 2 11" xfId="9064" xr:uid="{D670769E-FF8C-4522-B348-A38F4AB1F0D2}"/>
    <cellStyle name="Normal 8 2 2 2" xfId="481" xr:uid="{00000000-0005-0000-0000-0000F51B0000}"/>
    <cellStyle name="Normal 8 2 2 2 10" xfId="9065" xr:uid="{B37AC9E8-B39F-438E-BFB3-EBD868FCC855}"/>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C42B6E90-DBD1-46B7-8AA8-761C47D71C85}"/>
    <cellStyle name="Normal 8 2 2 2 2 2 2 2 3" xfId="11625" xr:uid="{81B8DB17-39F2-477B-9488-AD1D92214554}"/>
    <cellStyle name="Normal 8 2 2 2 2 2 2 3" xfId="5263" xr:uid="{00000000-0005-0000-0000-0000FB1B0000}"/>
    <cellStyle name="Normal 8 2 2 2 2 2 2 3 2" xfId="13698" xr:uid="{B854BF24-BCA7-4DCF-86B1-52885F3C94F3}"/>
    <cellStyle name="Normal 8 2 2 2 2 2 2 4" xfId="9480" xr:uid="{5B217D29-262F-4396-BA12-4022B605A0CD}"/>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2A55F86F-7931-40A5-8805-657287BBE655}"/>
    <cellStyle name="Normal 8 2 2 2 2 2 3 2 3" xfId="12038" xr:uid="{48EE48FC-F281-4C63-B4DD-9CC876598B2D}"/>
    <cellStyle name="Normal 8 2 2 2 2 2 3 3" xfId="5676" xr:uid="{00000000-0005-0000-0000-0000FF1B0000}"/>
    <cellStyle name="Normal 8 2 2 2 2 2 3 3 2" xfId="14111" xr:uid="{1D2930E3-FA84-4EBB-9237-C6E46F2939D1}"/>
    <cellStyle name="Normal 8 2 2 2 2 2 3 4" xfId="9893" xr:uid="{77615653-EF25-4281-B949-45EA535E4828}"/>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561A4C1D-2D5D-4994-8B46-E9400B8BAD18}"/>
    <cellStyle name="Normal 8 2 2 2 2 2 4 2 3" xfId="12451" xr:uid="{1F2328CD-C7E9-4BEE-B23E-88A796935E2A}"/>
    <cellStyle name="Normal 8 2 2 2 2 2 4 3" xfId="6089" xr:uid="{00000000-0005-0000-0000-0000031C0000}"/>
    <cellStyle name="Normal 8 2 2 2 2 2 4 3 2" xfId="14524" xr:uid="{D2D69A87-C0D1-4DE5-9E6E-58FCB7377B92}"/>
    <cellStyle name="Normal 8 2 2 2 2 2 4 4" xfId="10306" xr:uid="{6A4DDD40-B0B8-4DEB-AFFA-C33ED36E94F2}"/>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981A4698-75DE-452A-A1EB-8CA5A645AC75}"/>
    <cellStyle name="Normal 8 2 2 2 2 2 5 2 3" xfId="12864" xr:uid="{5359BEC3-3D1D-47F9-979A-711929596AE0}"/>
    <cellStyle name="Normal 8 2 2 2 2 2 5 3" xfId="6502" xr:uid="{00000000-0005-0000-0000-0000071C0000}"/>
    <cellStyle name="Normal 8 2 2 2 2 2 5 3 2" xfId="14937" xr:uid="{1390AED2-C342-46F2-A027-9870D7ACD0E6}"/>
    <cellStyle name="Normal 8 2 2 2 2 2 5 4" xfId="10719" xr:uid="{2BE89385-B225-40D5-8C13-2315B9811BB4}"/>
    <cellStyle name="Normal 8 2 2 2 2 2 6" xfId="2631" xr:uid="{00000000-0005-0000-0000-0000081C0000}"/>
    <cellStyle name="Normal 8 2 2 2 2 2 6 2" xfId="6915" xr:uid="{00000000-0005-0000-0000-0000091C0000}"/>
    <cellStyle name="Normal 8 2 2 2 2 2 6 2 2" xfId="15350" xr:uid="{444CBEEB-2D61-4A48-B36A-8FCB083DBB79}"/>
    <cellStyle name="Normal 8 2 2 2 2 2 6 3" xfId="11132" xr:uid="{039A9ACC-8443-4D3F-81C5-A7B2F81AB409}"/>
    <cellStyle name="Normal 8 2 2 2 2 2 7" xfId="4850" xr:uid="{00000000-0005-0000-0000-00000A1C0000}"/>
    <cellStyle name="Normal 8 2 2 2 2 2 7 2" xfId="13285" xr:uid="{74FA6BFD-28DD-4334-A227-CF7792596664}"/>
    <cellStyle name="Normal 8 2 2 2 2 2 8" xfId="9067" xr:uid="{48D6A3C2-5D49-434E-A17E-F9A4A8BAE4A2}"/>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A2439E2B-3610-46DA-842E-25CF04278E8B}"/>
    <cellStyle name="Normal 8 2 2 2 2 3 2 3" xfId="11624" xr:uid="{B9722261-213C-4C68-A88C-F40172C4D907}"/>
    <cellStyle name="Normal 8 2 2 2 2 3 3" xfId="5262" xr:uid="{00000000-0005-0000-0000-00000E1C0000}"/>
    <cellStyle name="Normal 8 2 2 2 2 3 3 2" xfId="13697" xr:uid="{9189B89F-4BC4-411D-A0EC-7352C3518FD6}"/>
    <cellStyle name="Normal 8 2 2 2 2 3 4" xfId="9479" xr:uid="{1077AD60-80AF-4AE7-9BE3-2D8334565A21}"/>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81976675-CA5F-41A8-A8E0-42616447E87F}"/>
    <cellStyle name="Normal 8 2 2 2 2 4 2 3" xfId="12037" xr:uid="{EBEF63E8-1C2E-402C-B3A9-49C6E8518A22}"/>
    <cellStyle name="Normal 8 2 2 2 2 4 3" xfId="5675" xr:uid="{00000000-0005-0000-0000-0000121C0000}"/>
    <cellStyle name="Normal 8 2 2 2 2 4 3 2" xfId="14110" xr:uid="{07D8444B-F87F-4341-AC4A-31F9BF96E60B}"/>
    <cellStyle name="Normal 8 2 2 2 2 4 4" xfId="9892" xr:uid="{6F1DC883-CD54-4AEB-9E01-B30FEAE6962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54BEFD55-516F-41EB-A04F-DDE1C259FF5D}"/>
    <cellStyle name="Normal 8 2 2 2 2 5 2 3" xfId="12450" xr:uid="{4D034876-1A3D-4CF2-AF9E-653221ABA4DA}"/>
    <cellStyle name="Normal 8 2 2 2 2 5 3" xfId="6088" xr:uid="{00000000-0005-0000-0000-0000161C0000}"/>
    <cellStyle name="Normal 8 2 2 2 2 5 3 2" xfId="14523" xr:uid="{84FA2AEA-AFC5-4313-8C74-9BD761D741F8}"/>
    <cellStyle name="Normal 8 2 2 2 2 5 4" xfId="10305" xr:uid="{1F8B6364-A74F-4DAF-AF36-CCFD9238C453}"/>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EC02894A-6B30-4B88-9C5B-A5FA000BF02F}"/>
    <cellStyle name="Normal 8 2 2 2 2 6 2 3" xfId="12863" xr:uid="{5338FA3D-B455-4BE2-96D8-E21C1C6C3AA6}"/>
    <cellStyle name="Normal 8 2 2 2 2 6 3" xfId="6501" xr:uid="{00000000-0005-0000-0000-00001A1C0000}"/>
    <cellStyle name="Normal 8 2 2 2 2 6 3 2" xfId="14936" xr:uid="{904D7560-E5D3-4EA8-BA65-84ACA4E01C20}"/>
    <cellStyle name="Normal 8 2 2 2 2 6 4" xfId="10718" xr:uid="{25AF8F19-E345-4DD2-8FB0-DD2F61420DC1}"/>
    <cellStyle name="Normal 8 2 2 2 2 7" xfId="2630" xr:uid="{00000000-0005-0000-0000-00001B1C0000}"/>
    <cellStyle name="Normal 8 2 2 2 2 7 2" xfId="6914" xr:uid="{00000000-0005-0000-0000-00001C1C0000}"/>
    <cellStyle name="Normal 8 2 2 2 2 7 2 2" xfId="15349" xr:uid="{C2741E06-FBE0-40CF-B58C-48587FF7C18C}"/>
    <cellStyle name="Normal 8 2 2 2 2 7 3" xfId="11131" xr:uid="{E5E37CBE-2B1D-4B96-9005-C4ABB43633D5}"/>
    <cellStyle name="Normal 8 2 2 2 2 8" xfId="4849" xr:uid="{00000000-0005-0000-0000-00001D1C0000}"/>
    <cellStyle name="Normal 8 2 2 2 2 8 2" xfId="13284" xr:uid="{DAB72598-71D2-48FB-8972-0248A7795ECE}"/>
    <cellStyle name="Normal 8 2 2 2 2 9" xfId="9066" xr:uid="{2E8AB9DA-4D31-4BA7-A318-CB059752012E}"/>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8CEF0E3D-FC31-4610-998C-56064C3CDBD8}"/>
    <cellStyle name="Normal 8 2 2 2 3 2 2 3" xfId="11626" xr:uid="{043BB373-90A4-47BE-9A34-970879AD56A0}"/>
    <cellStyle name="Normal 8 2 2 2 3 2 3" xfId="5264" xr:uid="{00000000-0005-0000-0000-0000221C0000}"/>
    <cellStyle name="Normal 8 2 2 2 3 2 3 2" xfId="13699" xr:uid="{BE207C16-32C3-4E17-BB1F-805AC578A9F2}"/>
    <cellStyle name="Normal 8 2 2 2 3 2 4" xfId="9481" xr:uid="{1472C56D-A3A3-4FAF-8E6A-07D2B1264A1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1387095D-63AB-488E-9C96-F48E916E1A58}"/>
    <cellStyle name="Normal 8 2 2 2 3 3 2 3" xfId="12039" xr:uid="{1560F783-A626-43C0-86AE-E9EFFC0947F4}"/>
    <cellStyle name="Normal 8 2 2 2 3 3 3" xfId="5677" xr:uid="{00000000-0005-0000-0000-0000261C0000}"/>
    <cellStyle name="Normal 8 2 2 2 3 3 3 2" xfId="14112" xr:uid="{5F04863F-889C-47D3-AFE8-D271EE4FDEB2}"/>
    <cellStyle name="Normal 8 2 2 2 3 3 4" xfId="9894" xr:uid="{D3E6515D-6B49-41F0-8B3D-69E15E76988B}"/>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5B2FE5E7-F4C9-411E-98AC-0F2BFF08D9EF}"/>
    <cellStyle name="Normal 8 2 2 2 3 4 2 3" xfId="12452" xr:uid="{CB71A2A9-AF4D-490E-A626-BA1AD5FA79AB}"/>
    <cellStyle name="Normal 8 2 2 2 3 4 3" xfId="6090" xr:uid="{00000000-0005-0000-0000-00002A1C0000}"/>
    <cellStyle name="Normal 8 2 2 2 3 4 3 2" xfId="14525" xr:uid="{6C6D9504-1954-44AF-AF0D-398AF0103DC3}"/>
    <cellStyle name="Normal 8 2 2 2 3 4 4" xfId="10307" xr:uid="{0DD40F67-BDE9-40EE-A7B9-BDE4E6C08634}"/>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608E37CB-A6D1-43A7-8726-FF28F8405333}"/>
    <cellStyle name="Normal 8 2 2 2 3 5 2 3" xfId="12865" xr:uid="{DA749073-9672-4AFD-92D4-B6AD9CF5C60B}"/>
    <cellStyle name="Normal 8 2 2 2 3 5 3" xfId="6503" xr:uid="{00000000-0005-0000-0000-00002E1C0000}"/>
    <cellStyle name="Normal 8 2 2 2 3 5 3 2" xfId="14938" xr:uid="{B67E18C8-16EF-484D-BC07-51B83B534D04}"/>
    <cellStyle name="Normal 8 2 2 2 3 5 4" xfId="10720" xr:uid="{FA4AD793-F50E-4C51-933E-B677B39F4024}"/>
    <cellStyle name="Normal 8 2 2 2 3 6" xfId="2632" xr:uid="{00000000-0005-0000-0000-00002F1C0000}"/>
    <cellStyle name="Normal 8 2 2 2 3 6 2" xfId="6916" xr:uid="{00000000-0005-0000-0000-0000301C0000}"/>
    <cellStyle name="Normal 8 2 2 2 3 6 2 2" xfId="15351" xr:uid="{07A4913D-4A95-4DF5-AAAC-412CAA7EAD75}"/>
    <cellStyle name="Normal 8 2 2 2 3 6 3" xfId="11133" xr:uid="{A3AAC464-E07B-4542-AAB2-1C78016D6DF5}"/>
    <cellStyle name="Normal 8 2 2 2 3 7" xfId="4851" xr:uid="{00000000-0005-0000-0000-0000311C0000}"/>
    <cellStyle name="Normal 8 2 2 2 3 7 2" xfId="13286" xr:uid="{9B9A27C5-59C2-48B0-8C81-37BBA58E7309}"/>
    <cellStyle name="Normal 8 2 2 2 3 8" xfId="9068" xr:uid="{A89B9430-2AD2-4E25-A2BF-B1B062887C3B}"/>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88F41AD8-FE0A-493F-9F26-0333CCBC3A72}"/>
    <cellStyle name="Normal 8 2 2 2 4 2 3" xfId="11623" xr:uid="{0C129AF7-5E82-46B9-BCBF-CB73A4B0A30E}"/>
    <cellStyle name="Normal 8 2 2 2 4 3" xfId="5261" xr:uid="{00000000-0005-0000-0000-0000351C0000}"/>
    <cellStyle name="Normal 8 2 2 2 4 3 2" xfId="13696" xr:uid="{1BCBB8D1-86CF-4885-ACAD-C037059B60D5}"/>
    <cellStyle name="Normal 8 2 2 2 4 4" xfId="9478" xr:uid="{51D37FA2-8F6B-4603-B25F-1B4B9B21D3E0}"/>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B3EEE4C6-AB32-4463-804B-01CE6622AA8E}"/>
    <cellStyle name="Normal 8 2 2 2 5 2 3" xfId="12036" xr:uid="{546B82EB-12D6-412C-AD43-89DB52D97B9D}"/>
    <cellStyle name="Normal 8 2 2 2 5 3" xfId="5674" xr:uid="{00000000-0005-0000-0000-0000391C0000}"/>
    <cellStyle name="Normal 8 2 2 2 5 3 2" xfId="14109" xr:uid="{1056F813-6DDD-4FAE-A067-6F1429C35156}"/>
    <cellStyle name="Normal 8 2 2 2 5 4" xfId="9891" xr:uid="{93E999FC-E7BD-4C83-9E4F-B803C59C1A9E}"/>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06A82877-BCB2-4631-A1E9-9F36723C9D96}"/>
    <cellStyle name="Normal 8 2 2 2 6 2 3" xfId="12449" xr:uid="{AC233B79-24DB-454E-AF30-C3F5939F6370}"/>
    <cellStyle name="Normal 8 2 2 2 6 3" xfId="6087" xr:uid="{00000000-0005-0000-0000-00003D1C0000}"/>
    <cellStyle name="Normal 8 2 2 2 6 3 2" xfId="14522" xr:uid="{1BC3FB3A-8753-416B-A73B-777A23B8B3AD}"/>
    <cellStyle name="Normal 8 2 2 2 6 4" xfId="10304" xr:uid="{FDA16107-7257-42CE-8B6E-927079AC8C30}"/>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B39FB298-85DB-4262-90A3-3E6729008118}"/>
    <cellStyle name="Normal 8 2 2 2 7 2 3" xfId="12862" xr:uid="{36C25F8D-F4A3-4CFB-93A0-8460B9195A84}"/>
    <cellStyle name="Normal 8 2 2 2 7 3" xfId="6500" xr:uid="{00000000-0005-0000-0000-0000411C0000}"/>
    <cellStyle name="Normal 8 2 2 2 7 3 2" xfId="14935" xr:uid="{DAE286D6-FED8-4ED6-8520-FD8C217987EB}"/>
    <cellStyle name="Normal 8 2 2 2 7 4" xfId="10717" xr:uid="{0E89855C-0413-427D-8A82-34E046764BC8}"/>
    <cellStyle name="Normal 8 2 2 2 8" xfId="2629" xr:uid="{00000000-0005-0000-0000-0000421C0000}"/>
    <cellStyle name="Normal 8 2 2 2 8 2" xfId="6913" xr:uid="{00000000-0005-0000-0000-0000431C0000}"/>
    <cellStyle name="Normal 8 2 2 2 8 2 2" xfId="15348" xr:uid="{3CC6B10B-50DA-446A-9140-F85A71E3D292}"/>
    <cellStyle name="Normal 8 2 2 2 8 3" xfId="11130" xr:uid="{091F11E1-0CF3-4D0F-9385-D263CFC8B75A}"/>
    <cellStyle name="Normal 8 2 2 2 9" xfId="4848" xr:uid="{00000000-0005-0000-0000-0000441C0000}"/>
    <cellStyle name="Normal 8 2 2 2 9 2" xfId="13283" xr:uid="{B0F2D4FB-D7A9-4155-A080-7003BAB7CB23}"/>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13B772F9-CD7D-4C15-8BC5-716A9198F849}"/>
    <cellStyle name="Normal 8 2 2 3 2 2 2 3" xfId="11628" xr:uid="{8CBF4D4A-8F0B-45D1-9FF1-E580760189B0}"/>
    <cellStyle name="Normal 8 2 2 3 2 2 3" xfId="5266" xr:uid="{00000000-0005-0000-0000-00004A1C0000}"/>
    <cellStyle name="Normal 8 2 2 3 2 2 3 2" xfId="13701" xr:uid="{4666665D-EFC6-4EAA-BF44-257D6D3065B0}"/>
    <cellStyle name="Normal 8 2 2 3 2 2 4" xfId="9483" xr:uid="{87FCD744-F227-4C18-95EB-5C94C2A91236}"/>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F0AD0D12-1291-472B-B408-49C1A784BD68}"/>
    <cellStyle name="Normal 8 2 2 3 2 3 2 3" xfId="12041" xr:uid="{47D83B19-69C2-49E6-AFBA-4BDF0839969C}"/>
    <cellStyle name="Normal 8 2 2 3 2 3 3" xfId="5679" xr:uid="{00000000-0005-0000-0000-00004E1C0000}"/>
    <cellStyle name="Normal 8 2 2 3 2 3 3 2" xfId="14114" xr:uid="{B36598CC-789D-49AB-9601-73C65F2D1EE3}"/>
    <cellStyle name="Normal 8 2 2 3 2 3 4" xfId="9896" xr:uid="{D8590973-159A-4D5B-8E3A-1A64A5CE94AC}"/>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E34A0051-BEE6-425B-B710-2CAE8C926066}"/>
    <cellStyle name="Normal 8 2 2 3 2 4 2 3" xfId="12454" xr:uid="{EB3A42BF-2D33-441C-B8E5-ED278810E6F1}"/>
    <cellStyle name="Normal 8 2 2 3 2 4 3" xfId="6092" xr:uid="{00000000-0005-0000-0000-0000521C0000}"/>
    <cellStyle name="Normal 8 2 2 3 2 4 3 2" xfId="14527" xr:uid="{445DEA5E-2725-4F97-8465-753D6726E400}"/>
    <cellStyle name="Normal 8 2 2 3 2 4 4" xfId="10309" xr:uid="{A21B3676-7D03-45FC-B7C4-F1FBB4645585}"/>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A2A7B02D-48E1-4809-9878-9985D994334B}"/>
    <cellStyle name="Normal 8 2 2 3 2 5 2 3" xfId="12867" xr:uid="{ED1E77FF-8DD1-43E1-96E1-EFF0543506D1}"/>
    <cellStyle name="Normal 8 2 2 3 2 5 3" xfId="6505" xr:uid="{00000000-0005-0000-0000-0000561C0000}"/>
    <cellStyle name="Normal 8 2 2 3 2 5 3 2" xfId="14940" xr:uid="{8C918DF8-F347-4312-87B7-127747FF2448}"/>
    <cellStyle name="Normal 8 2 2 3 2 5 4" xfId="10722" xr:uid="{8EE699CE-DD80-46C6-BE70-088696F5BC60}"/>
    <cellStyle name="Normal 8 2 2 3 2 6" xfId="2634" xr:uid="{00000000-0005-0000-0000-0000571C0000}"/>
    <cellStyle name="Normal 8 2 2 3 2 6 2" xfId="6918" xr:uid="{00000000-0005-0000-0000-0000581C0000}"/>
    <cellStyle name="Normal 8 2 2 3 2 6 2 2" xfId="15353" xr:uid="{20A6F51F-34E6-48E3-87D9-115EA924F7CF}"/>
    <cellStyle name="Normal 8 2 2 3 2 6 3" xfId="11135" xr:uid="{A75F8DC0-30B9-4601-9FA6-34CEAE05EF09}"/>
    <cellStyle name="Normal 8 2 2 3 2 7" xfId="4853" xr:uid="{00000000-0005-0000-0000-0000591C0000}"/>
    <cellStyle name="Normal 8 2 2 3 2 7 2" xfId="13288" xr:uid="{0479A7CD-DCF6-47DC-95C0-D99097C672A1}"/>
    <cellStyle name="Normal 8 2 2 3 2 8" xfId="9070" xr:uid="{2DE9A3F0-915A-4F0F-AE68-99287586DD31}"/>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0E7121E4-D048-4C19-9A2C-8A241624BE32}"/>
    <cellStyle name="Normal 8 2 2 3 3 2 3" xfId="11627" xr:uid="{53AFC628-DB79-4704-A5F0-1F20A95C7BCE}"/>
    <cellStyle name="Normal 8 2 2 3 3 3" xfId="5265" xr:uid="{00000000-0005-0000-0000-00005D1C0000}"/>
    <cellStyle name="Normal 8 2 2 3 3 3 2" xfId="13700" xr:uid="{F4B2CCA2-E974-4EFA-A25F-89678EEECC84}"/>
    <cellStyle name="Normal 8 2 2 3 3 4" xfId="9482" xr:uid="{6F3A0D5E-47AB-4B60-9217-3B7BFD516021}"/>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3839D34E-2DAA-4B7B-A8EB-EA5FEE1DFDA2}"/>
    <cellStyle name="Normal 8 2 2 3 4 2 3" xfId="12040" xr:uid="{50233726-9912-4C8F-8BFD-4F2630930E70}"/>
    <cellStyle name="Normal 8 2 2 3 4 3" xfId="5678" xr:uid="{00000000-0005-0000-0000-0000611C0000}"/>
    <cellStyle name="Normal 8 2 2 3 4 3 2" xfId="14113" xr:uid="{197E7381-EB53-417F-9874-4E739A805E56}"/>
    <cellStyle name="Normal 8 2 2 3 4 4" xfId="9895" xr:uid="{E92E8CFD-2213-40D0-86A0-2F998101C557}"/>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BBC76FC4-B33E-4435-8435-74915D1996AF}"/>
    <cellStyle name="Normal 8 2 2 3 5 2 3" xfId="12453" xr:uid="{69487FC2-F954-4685-AAE3-4F4BC7A78976}"/>
    <cellStyle name="Normal 8 2 2 3 5 3" xfId="6091" xr:uid="{00000000-0005-0000-0000-0000651C0000}"/>
    <cellStyle name="Normal 8 2 2 3 5 3 2" xfId="14526" xr:uid="{413EAE22-89A4-4858-B889-49A62E5DB296}"/>
    <cellStyle name="Normal 8 2 2 3 5 4" xfId="10308" xr:uid="{D9236E6B-CDC7-4DE6-ADD0-24030A0FD4BA}"/>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CF9A8B50-3692-4939-8049-00363F28A0D9}"/>
    <cellStyle name="Normal 8 2 2 3 6 2 3" xfId="12866" xr:uid="{D08A63A8-3F7A-445A-AC12-7FE04D903ED0}"/>
    <cellStyle name="Normal 8 2 2 3 6 3" xfId="6504" xr:uid="{00000000-0005-0000-0000-0000691C0000}"/>
    <cellStyle name="Normal 8 2 2 3 6 3 2" xfId="14939" xr:uid="{5DF93136-8ABE-414A-9F76-9ADBFCCCB60E}"/>
    <cellStyle name="Normal 8 2 2 3 6 4" xfId="10721" xr:uid="{8565D6CA-8ED5-46C4-B586-883857A01794}"/>
    <cellStyle name="Normal 8 2 2 3 7" xfId="2633" xr:uid="{00000000-0005-0000-0000-00006A1C0000}"/>
    <cellStyle name="Normal 8 2 2 3 7 2" xfId="6917" xr:uid="{00000000-0005-0000-0000-00006B1C0000}"/>
    <cellStyle name="Normal 8 2 2 3 7 2 2" xfId="15352" xr:uid="{D9D9A900-1503-4B58-AF9A-CF1854405D02}"/>
    <cellStyle name="Normal 8 2 2 3 7 3" xfId="11134" xr:uid="{0A7A50EE-C2F7-4EE4-93DE-A53C3C0E7FAD}"/>
    <cellStyle name="Normal 8 2 2 3 8" xfId="4852" xr:uid="{00000000-0005-0000-0000-00006C1C0000}"/>
    <cellStyle name="Normal 8 2 2 3 8 2" xfId="13287" xr:uid="{69791A86-C1B1-4B7A-BF8B-55BB30AF29B4}"/>
    <cellStyle name="Normal 8 2 2 3 9" xfId="9069" xr:uid="{1170EEC1-BB54-4C48-AAF6-8F4558217EED}"/>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B4E2FA8E-83CF-492A-99B3-A55059577365}"/>
    <cellStyle name="Normal 8 2 2 4 2 2 3" xfId="11629" xr:uid="{10981E09-EAD5-4F33-BB14-C72667506325}"/>
    <cellStyle name="Normal 8 2 2 4 2 3" xfId="5267" xr:uid="{00000000-0005-0000-0000-0000711C0000}"/>
    <cellStyle name="Normal 8 2 2 4 2 3 2" xfId="13702" xr:uid="{9494C3D5-FBF9-4F1F-B0C5-8EC6F154FF97}"/>
    <cellStyle name="Normal 8 2 2 4 2 4" xfId="9484" xr:uid="{2710009B-569E-454F-BBED-F1D77F0737B1}"/>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14B6D57D-B1C5-4652-A65B-52852F38E086}"/>
    <cellStyle name="Normal 8 2 2 4 3 2 3" xfId="12042" xr:uid="{4C6E4247-9D9E-4384-9362-787CD6B600A3}"/>
    <cellStyle name="Normal 8 2 2 4 3 3" xfId="5680" xr:uid="{00000000-0005-0000-0000-0000751C0000}"/>
    <cellStyle name="Normal 8 2 2 4 3 3 2" xfId="14115" xr:uid="{59D3615B-7CCE-4B38-8D9C-BBFF0C907FF0}"/>
    <cellStyle name="Normal 8 2 2 4 3 4" xfId="9897" xr:uid="{09C4A27C-BAB4-4EFD-9F33-1800FDAD1C9C}"/>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5E73C212-5BB1-4A27-998C-EE707B76BD4E}"/>
    <cellStyle name="Normal 8 2 2 4 4 2 3" xfId="12455" xr:uid="{F22EAB56-AB10-4DF9-BC88-05C84D3ED034}"/>
    <cellStyle name="Normal 8 2 2 4 4 3" xfId="6093" xr:uid="{00000000-0005-0000-0000-0000791C0000}"/>
    <cellStyle name="Normal 8 2 2 4 4 3 2" xfId="14528" xr:uid="{357DFF81-F171-41D9-AC8C-6094174D13A1}"/>
    <cellStyle name="Normal 8 2 2 4 4 4" xfId="10310" xr:uid="{BC849A91-77CC-4B62-8C9E-8E08DA2BEDA4}"/>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BAC4CBA1-4E86-44DD-960F-61ADF8BA36C3}"/>
    <cellStyle name="Normal 8 2 2 4 5 2 3" xfId="12868" xr:uid="{A85991EB-D5E9-4FCD-BE9A-F9A6515C95D8}"/>
    <cellStyle name="Normal 8 2 2 4 5 3" xfId="6506" xr:uid="{00000000-0005-0000-0000-00007D1C0000}"/>
    <cellStyle name="Normal 8 2 2 4 5 3 2" xfId="14941" xr:uid="{44343DFA-661E-4B6A-A73E-70BDADA7BECF}"/>
    <cellStyle name="Normal 8 2 2 4 5 4" xfId="10723" xr:uid="{BB36B4D9-19F3-48B5-BA55-74A44DBA641E}"/>
    <cellStyle name="Normal 8 2 2 4 6" xfId="2635" xr:uid="{00000000-0005-0000-0000-00007E1C0000}"/>
    <cellStyle name="Normal 8 2 2 4 6 2" xfId="6919" xr:uid="{00000000-0005-0000-0000-00007F1C0000}"/>
    <cellStyle name="Normal 8 2 2 4 6 2 2" xfId="15354" xr:uid="{8FFEC70B-D7D2-4037-B440-CB9183866FFD}"/>
    <cellStyle name="Normal 8 2 2 4 6 3" xfId="11136" xr:uid="{17DC6A59-5A44-47BF-8A94-274A4F57975F}"/>
    <cellStyle name="Normal 8 2 2 4 7" xfId="4854" xr:uid="{00000000-0005-0000-0000-0000801C0000}"/>
    <cellStyle name="Normal 8 2 2 4 7 2" xfId="13289" xr:uid="{DD241053-F86B-4A7C-AE04-A2D9DF6BCD03}"/>
    <cellStyle name="Normal 8 2 2 4 8" xfId="9071" xr:uid="{BB1C567B-3C0C-4EEC-B9CC-45DD5956A4C0}"/>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56396B24-2377-4C72-A135-4F3F1CD1D770}"/>
    <cellStyle name="Normal 8 2 2 5 2 3" xfId="11622" xr:uid="{8B7CF55D-CCF3-46DD-9350-0262B956035E}"/>
    <cellStyle name="Normal 8 2 2 5 3" xfId="5260" xr:uid="{00000000-0005-0000-0000-0000841C0000}"/>
    <cellStyle name="Normal 8 2 2 5 3 2" xfId="13695" xr:uid="{6ECD7098-0C69-4D44-9F65-7DD5F356ACE8}"/>
    <cellStyle name="Normal 8 2 2 5 4" xfId="9477" xr:uid="{3F088A4E-5841-4DA5-983D-FD35A8E57672}"/>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8B9DDC81-D4BB-4DFE-95AF-A3C792797550}"/>
    <cellStyle name="Normal 8 2 2 6 2 3" xfId="12035" xr:uid="{CAE2F0EB-2D0E-4E45-9714-517AC8834AE2}"/>
    <cellStyle name="Normal 8 2 2 6 3" xfId="5673" xr:uid="{00000000-0005-0000-0000-0000881C0000}"/>
    <cellStyle name="Normal 8 2 2 6 3 2" xfId="14108" xr:uid="{6B304FBA-A9F9-4522-AEBD-78F65607518B}"/>
    <cellStyle name="Normal 8 2 2 6 4" xfId="9890" xr:uid="{3B47BC21-350F-4D6E-8F74-BC72E7208553}"/>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8F6CA4A9-49F6-47CC-A93F-2F27FB767F53}"/>
    <cellStyle name="Normal 8 2 2 7 2 3" xfId="12448" xr:uid="{0B1B2446-DEBC-4C51-A039-23DD9FFCF4A5}"/>
    <cellStyle name="Normal 8 2 2 7 3" xfId="6086" xr:uid="{00000000-0005-0000-0000-00008C1C0000}"/>
    <cellStyle name="Normal 8 2 2 7 3 2" xfId="14521" xr:uid="{79E345A1-BA4B-4693-8429-268DC7B7FB21}"/>
    <cellStyle name="Normal 8 2 2 7 4" xfId="10303" xr:uid="{1CF5D163-1545-42F2-919E-373E8A012E3E}"/>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B628E9A2-AA5E-4832-969B-3147459EB90C}"/>
    <cellStyle name="Normal 8 2 2 8 2 3" xfId="12861" xr:uid="{02F3E761-1549-4790-ACB6-75735AF92A1F}"/>
    <cellStyle name="Normal 8 2 2 8 3" xfId="6499" xr:uid="{00000000-0005-0000-0000-0000901C0000}"/>
    <cellStyle name="Normal 8 2 2 8 3 2" xfId="14934" xr:uid="{DA2B5FD4-4496-4AE5-B3A0-6001E3D870DC}"/>
    <cellStyle name="Normal 8 2 2 8 4" xfId="10716" xr:uid="{0BDBB17F-2BD1-4CAE-B3B7-2CA7F20A8A01}"/>
    <cellStyle name="Normal 8 2 2 9" xfId="2628" xr:uid="{00000000-0005-0000-0000-0000911C0000}"/>
    <cellStyle name="Normal 8 2 2 9 2" xfId="6912" xr:uid="{00000000-0005-0000-0000-0000921C0000}"/>
    <cellStyle name="Normal 8 2 2 9 2 2" xfId="15347" xr:uid="{EB097E5B-4DE9-4612-9BEC-CE7F2F9742FD}"/>
    <cellStyle name="Normal 8 2 2 9 3" xfId="11129" xr:uid="{596652C2-9B4C-4768-9937-98D0C6289F84}"/>
    <cellStyle name="Normal 8 2 3" xfId="488" xr:uid="{00000000-0005-0000-0000-0000931C0000}"/>
    <cellStyle name="Normal 8 2 3 10" xfId="9072" xr:uid="{C58365BE-5704-449C-8CB8-BF37E064C72C}"/>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42368059-06CF-416B-8812-412E58EA6333}"/>
    <cellStyle name="Normal 8 2 3 2 2 2 2 3" xfId="11632" xr:uid="{7ABBAAA6-3167-4B8B-888A-84654B273F82}"/>
    <cellStyle name="Normal 8 2 3 2 2 2 3" xfId="5270" xr:uid="{00000000-0005-0000-0000-0000991C0000}"/>
    <cellStyle name="Normal 8 2 3 2 2 2 3 2" xfId="13705" xr:uid="{A21D9305-735C-4B23-83B2-BD8200D8E241}"/>
    <cellStyle name="Normal 8 2 3 2 2 2 4" xfId="9487" xr:uid="{653C917F-711D-4FBA-BCBE-B2EA78E9234F}"/>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CE6E7EB8-0477-42FF-BF76-C357FA6C952C}"/>
    <cellStyle name="Normal 8 2 3 2 2 3 2 3" xfId="12045" xr:uid="{1A7DE2E2-927B-4B92-A588-9D8865529919}"/>
    <cellStyle name="Normal 8 2 3 2 2 3 3" xfId="5683" xr:uid="{00000000-0005-0000-0000-00009D1C0000}"/>
    <cellStyle name="Normal 8 2 3 2 2 3 3 2" xfId="14118" xr:uid="{41314FFA-8A73-4C5F-BB81-EE34E1996D99}"/>
    <cellStyle name="Normal 8 2 3 2 2 3 4" xfId="9900" xr:uid="{A5DF3F31-54C9-4E6E-8519-5B21235EF606}"/>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AED86B36-035C-452C-87FA-5C422E397AB6}"/>
    <cellStyle name="Normal 8 2 3 2 2 4 2 3" xfId="12458" xr:uid="{A7083930-52D7-44D7-B781-C30AC97387B0}"/>
    <cellStyle name="Normal 8 2 3 2 2 4 3" xfId="6096" xr:uid="{00000000-0005-0000-0000-0000A11C0000}"/>
    <cellStyle name="Normal 8 2 3 2 2 4 3 2" xfId="14531" xr:uid="{89DA3C36-C233-49AD-AADF-A11B73C0DBFD}"/>
    <cellStyle name="Normal 8 2 3 2 2 4 4" xfId="10313" xr:uid="{5624022B-E310-42E9-A9B2-1EC5F4EEB2D7}"/>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9AFF3DF2-0618-4B91-9DFA-721A2E57DEC6}"/>
    <cellStyle name="Normal 8 2 3 2 2 5 2 3" xfId="12871" xr:uid="{076D4208-315E-40A5-A061-7C1611650F3E}"/>
    <cellStyle name="Normal 8 2 3 2 2 5 3" xfId="6509" xr:uid="{00000000-0005-0000-0000-0000A51C0000}"/>
    <cellStyle name="Normal 8 2 3 2 2 5 3 2" xfId="14944" xr:uid="{8F0E2E75-B49F-4D26-AAB7-0353DDCB201E}"/>
    <cellStyle name="Normal 8 2 3 2 2 5 4" xfId="10726" xr:uid="{435A244C-D996-4998-B619-54996ADDE359}"/>
    <cellStyle name="Normal 8 2 3 2 2 6" xfId="2638" xr:uid="{00000000-0005-0000-0000-0000A61C0000}"/>
    <cellStyle name="Normal 8 2 3 2 2 6 2" xfId="6922" xr:uid="{00000000-0005-0000-0000-0000A71C0000}"/>
    <cellStyle name="Normal 8 2 3 2 2 6 2 2" xfId="15357" xr:uid="{1C281EBC-4931-4B2D-9F7B-4635585E2103}"/>
    <cellStyle name="Normal 8 2 3 2 2 6 3" xfId="11139" xr:uid="{00B0E138-790A-4893-9C45-5E9A548F732B}"/>
    <cellStyle name="Normal 8 2 3 2 2 7" xfId="4857" xr:uid="{00000000-0005-0000-0000-0000A81C0000}"/>
    <cellStyle name="Normal 8 2 3 2 2 7 2" xfId="13292" xr:uid="{D7EA440F-D7C8-4E7B-BC8D-C54408C2139A}"/>
    <cellStyle name="Normal 8 2 3 2 2 8" xfId="9074" xr:uid="{F74AB19A-46F2-45A3-B1B9-340C5DE72AAB}"/>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BEA82D7C-E58E-4496-A219-088269EB1B96}"/>
    <cellStyle name="Normal 8 2 3 2 3 2 3" xfId="11631" xr:uid="{90A48FE8-E6A9-4F4B-A06E-AB17BACFD33D}"/>
    <cellStyle name="Normal 8 2 3 2 3 3" xfId="5269" xr:uid="{00000000-0005-0000-0000-0000AC1C0000}"/>
    <cellStyle name="Normal 8 2 3 2 3 3 2" xfId="13704" xr:uid="{57430EFB-C6D6-4677-9C96-538E95AFEB35}"/>
    <cellStyle name="Normal 8 2 3 2 3 4" xfId="9486" xr:uid="{2FFCFB81-F366-4C17-8FF0-4B6B656EB57D}"/>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764F5611-5B61-4056-850D-F15587B11DB0}"/>
    <cellStyle name="Normal 8 2 3 2 4 2 3" xfId="12044" xr:uid="{E6F01CE5-9962-44D6-B1A7-4377CEF846DB}"/>
    <cellStyle name="Normal 8 2 3 2 4 3" xfId="5682" xr:uid="{00000000-0005-0000-0000-0000B01C0000}"/>
    <cellStyle name="Normal 8 2 3 2 4 3 2" xfId="14117" xr:uid="{B3363D14-EAB7-47E8-87A1-E5B995DDCC5E}"/>
    <cellStyle name="Normal 8 2 3 2 4 4" xfId="9899" xr:uid="{0F53B0A6-E317-4797-9C5B-3D3514E02BE6}"/>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2924E539-8C3B-4D4A-A804-349AE071CFA0}"/>
    <cellStyle name="Normal 8 2 3 2 5 2 3" xfId="12457" xr:uid="{D6128BE0-F09F-481B-8ED8-9E7C54EC7EA8}"/>
    <cellStyle name="Normal 8 2 3 2 5 3" xfId="6095" xr:uid="{00000000-0005-0000-0000-0000B41C0000}"/>
    <cellStyle name="Normal 8 2 3 2 5 3 2" xfId="14530" xr:uid="{6A997A3B-7B78-4275-9FD2-721637AA2E9D}"/>
    <cellStyle name="Normal 8 2 3 2 5 4" xfId="10312" xr:uid="{4E8E5DD2-E6F1-4F5C-AB50-76D8CFF8F6E7}"/>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D24503A8-5E51-4519-B5EA-438F56F7C5F7}"/>
    <cellStyle name="Normal 8 2 3 2 6 2 3" xfId="12870" xr:uid="{D2E1D064-B849-4CE9-8F1B-852F1C61BBB9}"/>
    <cellStyle name="Normal 8 2 3 2 6 3" xfId="6508" xr:uid="{00000000-0005-0000-0000-0000B81C0000}"/>
    <cellStyle name="Normal 8 2 3 2 6 3 2" xfId="14943" xr:uid="{B1E072FA-D115-4E9D-B606-69B13C6C8431}"/>
    <cellStyle name="Normal 8 2 3 2 6 4" xfId="10725" xr:uid="{B18BE982-D063-4167-8EDE-FE1E5223D7F7}"/>
    <cellStyle name="Normal 8 2 3 2 7" xfId="2637" xr:uid="{00000000-0005-0000-0000-0000B91C0000}"/>
    <cellStyle name="Normal 8 2 3 2 7 2" xfId="6921" xr:uid="{00000000-0005-0000-0000-0000BA1C0000}"/>
    <cellStyle name="Normal 8 2 3 2 7 2 2" xfId="15356" xr:uid="{C42C438A-E25B-4E5F-A647-7BCAC16175C7}"/>
    <cellStyle name="Normal 8 2 3 2 7 3" xfId="11138" xr:uid="{812D0C33-2ABD-447A-9C2E-3633BE782F56}"/>
    <cellStyle name="Normal 8 2 3 2 8" xfId="4856" xr:uid="{00000000-0005-0000-0000-0000BB1C0000}"/>
    <cellStyle name="Normal 8 2 3 2 8 2" xfId="13291" xr:uid="{A4897516-513A-4BD8-97A5-92B6EC17F807}"/>
    <cellStyle name="Normal 8 2 3 2 9" xfId="9073" xr:uid="{DF293AA3-6304-456B-9535-F4ADCB48EFA4}"/>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CE1D1B0E-4AF2-4D8D-8A3F-848CDB8F1B88}"/>
    <cellStyle name="Normal 8 2 3 3 2 2 3" xfId="11633" xr:uid="{43BF9ED1-6CDC-4E42-BBC5-00DF925928E2}"/>
    <cellStyle name="Normal 8 2 3 3 2 3" xfId="5271" xr:uid="{00000000-0005-0000-0000-0000C01C0000}"/>
    <cellStyle name="Normal 8 2 3 3 2 3 2" xfId="13706" xr:uid="{B01DF685-F7E5-483E-A504-429E93D0FE9C}"/>
    <cellStyle name="Normal 8 2 3 3 2 4" xfId="9488" xr:uid="{3B27FF8C-F712-48D9-AF41-48260548AA94}"/>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48BCF408-694C-4DD6-BC7C-9E5866892C17}"/>
    <cellStyle name="Normal 8 2 3 3 3 2 3" xfId="12046" xr:uid="{A40F22CE-6B66-4902-A6D2-2E94B7A5336D}"/>
    <cellStyle name="Normal 8 2 3 3 3 3" xfId="5684" xr:uid="{00000000-0005-0000-0000-0000C41C0000}"/>
    <cellStyle name="Normal 8 2 3 3 3 3 2" xfId="14119" xr:uid="{3D16491B-9D6D-4E21-A09D-3A91B9FF2679}"/>
    <cellStyle name="Normal 8 2 3 3 3 4" xfId="9901" xr:uid="{FA44FF48-B132-441F-AFA8-A6F31922EF57}"/>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C289D857-7897-46BE-B36F-FA93B2DC4229}"/>
    <cellStyle name="Normal 8 2 3 3 4 2 3" xfId="12459" xr:uid="{FA0132CD-BEC9-49D4-9E76-E858A2AAA498}"/>
    <cellStyle name="Normal 8 2 3 3 4 3" xfId="6097" xr:uid="{00000000-0005-0000-0000-0000C81C0000}"/>
    <cellStyle name="Normal 8 2 3 3 4 3 2" xfId="14532" xr:uid="{19EE6A86-4582-4533-8893-87C001312D97}"/>
    <cellStyle name="Normal 8 2 3 3 4 4" xfId="10314" xr:uid="{16221ECF-B5C9-493B-AC37-A447975D365C}"/>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A65D1A94-55A4-4FEE-8897-1EB174B5CDF0}"/>
    <cellStyle name="Normal 8 2 3 3 5 2 3" xfId="12872" xr:uid="{E121144E-BA48-40DE-B075-93CA8EB4F8AC}"/>
    <cellStyle name="Normal 8 2 3 3 5 3" xfId="6510" xr:uid="{00000000-0005-0000-0000-0000CC1C0000}"/>
    <cellStyle name="Normal 8 2 3 3 5 3 2" xfId="14945" xr:uid="{0EA6EC0F-EE71-48C1-AE1E-6C9E63891E5E}"/>
    <cellStyle name="Normal 8 2 3 3 5 4" xfId="10727" xr:uid="{1191524A-F231-4107-83F5-ED7DEDD3E086}"/>
    <cellStyle name="Normal 8 2 3 3 6" xfId="2639" xr:uid="{00000000-0005-0000-0000-0000CD1C0000}"/>
    <cellStyle name="Normal 8 2 3 3 6 2" xfId="6923" xr:uid="{00000000-0005-0000-0000-0000CE1C0000}"/>
    <cellStyle name="Normal 8 2 3 3 6 2 2" xfId="15358" xr:uid="{4CD9D020-4353-4A9C-994F-0B4323E8094C}"/>
    <cellStyle name="Normal 8 2 3 3 6 3" xfId="11140" xr:uid="{380E696A-BDC8-49E1-A121-5611E2BC2C29}"/>
    <cellStyle name="Normal 8 2 3 3 7" xfId="4858" xr:uid="{00000000-0005-0000-0000-0000CF1C0000}"/>
    <cellStyle name="Normal 8 2 3 3 7 2" xfId="13293" xr:uid="{11721DF2-8365-4FD3-8131-00125890451B}"/>
    <cellStyle name="Normal 8 2 3 3 8" xfId="9075" xr:uid="{E5B7F2BA-302C-467A-B4CD-0DA6D5B28BFF}"/>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F97032F7-45BC-44F4-B6B9-A86172B1FAF2}"/>
    <cellStyle name="Normal 8 2 3 4 2 3" xfId="11630" xr:uid="{376CC6E1-E516-4037-8451-1E23E284B33E}"/>
    <cellStyle name="Normal 8 2 3 4 3" xfId="5268" xr:uid="{00000000-0005-0000-0000-0000D31C0000}"/>
    <cellStyle name="Normal 8 2 3 4 3 2" xfId="13703" xr:uid="{883EB5A7-44D6-4076-ACF4-D788B902E482}"/>
    <cellStyle name="Normal 8 2 3 4 4" xfId="9485" xr:uid="{0CC30869-691B-48B9-9655-0EEFB454E3F8}"/>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D89BF1A5-1119-4E61-B7E2-280B8ACBF456}"/>
    <cellStyle name="Normal 8 2 3 5 2 3" xfId="12043" xr:uid="{C7C53674-B899-43DC-8111-FC262CDB2A83}"/>
    <cellStyle name="Normal 8 2 3 5 3" xfId="5681" xr:uid="{00000000-0005-0000-0000-0000D71C0000}"/>
    <cellStyle name="Normal 8 2 3 5 3 2" xfId="14116" xr:uid="{AA3BF501-5EB8-4E64-99FD-E01AD5093C26}"/>
    <cellStyle name="Normal 8 2 3 5 4" xfId="9898" xr:uid="{4235D929-055D-424C-B174-FCC87E0F7ABE}"/>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E254365A-27FE-4B70-B5E2-2BF9C8CC4041}"/>
    <cellStyle name="Normal 8 2 3 6 2 3" xfId="12456" xr:uid="{42DDF753-915B-47AE-9374-391C971E02D2}"/>
    <cellStyle name="Normal 8 2 3 6 3" xfId="6094" xr:uid="{00000000-0005-0000-0000-0000DB1C0000}"/>
    <cellStyle name="Normal 8 2 3 6 3 2" xfId="14529" xr:uid="{98987952-6A19-4F19-B564-D9EB0A31A709}"/>
    <cellStyle name="Normal 8 2 3 6 4" xfId="10311" xr:uid="{2A269E3A-E7A0-4EE5-8620-C09C03FA4F2C}"/>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E8ADEA02-571F-4758-A09F-73B75C0FC1D7}"/>
    <cellStyle name="Normal 8 2 3 7 2 3" xfId="12869" xr:uid="{FF641475-49CF-47F0-BB77-53EC8C81EC86}"/>
    <cellStyle name="Normal 8 2 3 7 3" xfId="6507" xr:uid="{00000000-0005-0000-0000-0000DF1C0000}"/>
    <cellStyle name="Normal 8 2 3 7 3 2" xfId="14942" xr:uid="{751B3735-EA60-4D3D-99A4-880AFA5566B7}"/>
    <cellStyle name="Normal 8 2 3 7 4" xfId="10724" xr:uid="{6057AF47-2C49-4223-8B34-1F0BB481544A}"/>
    <cellStyle name="Normal 8 2 3 8" xfId="2636" xr:uid="{00000000-0005-0000-0000-0000E01C0000}"/>
    <cellStyle name="Normal 8 2 3 8 2" xfId="6920" xr:uid="{00000000-0005-0000-0000-0000E11C0000}"/>
    <cellStyle name="Normal 8 2 3 8 2 2" xfId="15355" xr:uid="{B73ED883-FEA9-40B9-ABC9-44C859CDF656}"/>
    <cellStyle name="Normal 8 2 3 8 3" xfId="11137" xr:uid="{5ACA43F2-8B68-4788-B241-9D82E15274EB}"/>
    <cellStyle name="Normal 8 2 3 9" xfId="4855" xr:uid="{00000000-0005-0000-0000-0000E21C0000}"/>
    <cellStyle name="Normal 8 2 3 9 2" xfId="13290" xr:uid="{C03BC798-2C2D-47A5-8B7C-B16839E81559}"/>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3E5A2EFA-9E38-426F-A540-2B09D3D48EBA}"/>
    <cellStyle name="Normal 8 2 4 2 2 2 3" xfId="11635" xr:uid="{D216DA96-8A49-4A81-BF76-62836A17A02C}"/>
    <cellStyle name="Normal 8 2 4 2 2 3" xfId="5273" xr:uid="{00000000-0005-0000-0000-0000E81C0000}"/>
    <cellStyle name="Normal 8 2 4 2 2 3 2" xfId="13708" xr:uid="{A6A4015F-0FF6-4A6C-974F-0B0C2A73130F}"/>
    <cellStyle name="Normal 8 2 4 2 2 4" xfId="9490" xr:uid="{329012B0-8050-4108-A7B8-DF7EA8A5BDE8}"/>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18510C71-E754-4F1A-988E-D448E3806690}"/>
    <cellStyle name="Normal 8 2 4 2 3 2 3" xfId="12048" xr:uid="{FC60DAAB-6392-49DA-85FB-EB76C17E3030}"/>
    <cellStyle name="Normal 8 2 4 2 3 3" xfId="5686" xr:uid="{00000000-0005-0000-0000-0000EC1C0000}"/>
    <cellStyle name="Normal 8 2 4 2 3 3 2" xfId="14121" xr:uid="{F6C3ADBE-C879-4933-8866-27C2F6554276}"/>
    <cellStyle name="Normal 8 2 4 2 3 4" xfId="9903" xr:uid="{2FD0100F-E7FB-4DAD-935B-6D184630A440}"/>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948DEFCC-2439-4F39-A515-843B451C6662}"/>
    <cellStyle name="Normal 8 2 4 2 4 2 3" xfId="12461" xr:uid="{AE9EA485-22D4-44F9-BC5F-619403A2735E}"/>
    <cellStyle name="Normal 8 2 4 2 4 3" xfId="6099" xr:uid="{00000000-0005-0000-0000-0000F01C0000}"/>
    <cellStyle name="Normal 8 2 4 2 4 3 2" xfId="14534" xr:uid="{1E1BD5E4-372B-447C-A149-CD26903AAE33}"/>
    <cellStyle name="Normal 8 2 4 2 4 4" xfId="10316" xr:uid="{58838289-FEE6-4679-8254-FBB32DA7D092}"/>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EC41ED35-3ED8-40EA-9FBC-C8CA1775FA6A}"/>
    <cellStyle name="Normal 8 2 4 2 5 2 3" xfId="12874" xr:uid="{766BB667-4D26-4490-BC83-15A824303A39}"/>
    <cellStyle name="Normal 8 2 4 2 5 3" xfId="6512" xr:uid="{00000000-0005-0000-0000-0000F41C0000}"/>
    <cellStyle name="Normal 8 2 4 2 5 3 2" xfId="14947" xr:uid="{A9878476-E3BD-42C3-8F29-B80945598BAB}"/>
    <cellStyle name="Normal 8 2 4 2 5 4" xfId="10729" xr:uid="{1E6BC005-71B9-4C34-AC7C-1BA9DF784F9F}"/>
    <cellStyle name="Normal 8 2 4 2 6" xfId="2641" xr:uid="{00000000-0005-0000-0000-0000F51C0000}"/>
    <cellStyle name="Normal 8 2 4 2 6 2" xfId="6925" xr:uid="{00000000-0005-0000-0000-0000F61C0000}"/>
    <cellStyle name="Normal 8 2 4 2 6 2 2" xfId="15360" xr:uid="{55E020CD-78CA-468C-AF42-9912D3E4DA26}"/>
    <cellStyle name="Normal 8 2 4 2 6 3" xfId="11142" xr:uid="{9CF0CEF0-61FA-4A1C-B836-34A43692EB98}"/>
    <cellStyle name="Normal 8 2 4 2 7" xfId="4860" xr:uid="{00000000-0005-0000-0000-0000F71C0000}"/>
    <cellStyle name="Normal 8 2 4 2 7 2" xfId="13295" xr:uid="{600220E2-25BD-4A5B-A52A-2105C39050BE}"/>
    <cellStyle name="Normal 8 2 4 2 8" xfId="9077" xr:uid="{E7E20AA2-1906-401A-9E2E-0E6A2D6B6B91}"/>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74857D7E-7A77-41DF-B956-64590190B1F6}"/>
    <cellStyle name="Normal 8 2 4 3 2 3" xfId="11634" xr:uid="{B83F06CD-6E32-4FBE-ABA8-A74FF0932918}"/>
    <cellStyle name="Normal 8 2 4 3 3" xfId="5272" xr:uid="{00000000-0005-0000-0000-0000FB1C0000}"/>
    <cellStyle name="Normal 8 2 4 3 3 2" xfId="13707" xr:uid="{8B7464F7-9A1B-4E03-8C33-9DC43B3D6602}"/>
    <cellStyle name="Normal 8 2 4 3 4" xfId="9489" xr:uid="{EABAB7EE-1777-455D-8334-C53655766C7C}"/>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F3493362-A01E-4C71-BE59-9D581D6874ED}"/>
    <cellStyle name="Normal 8 2 4 4 2 3" xfId="12047" xr:uid="{A84E19B5-6B49-439B-8BE9-16BAC5015402}"/>
    <cellStyle name="Normal 8 2 4 4 3" xfId="5685" xr:uid="{00000000-0005-0000-0000-0000FF1C0000}"/>
    <cellStyle name="Normal 8 2 4 4 3 2" xfId="14120" xr:uid="{1AEC587F-2021-45D5-9B4E-39CE7B37D37D}"/>
    <cellStyle name="Normal 8 2 4 4 4" xfId="9902" xr:uid="{9F37E633-0F3C-477A-A9EF-7863BCF6AD09}"/>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07AF869C-CCD6-4E30-BC01-CE5421BE5B2B}"/>
    <cellStyle name="Normal 8 2 4 5 2 3" xfId="12460" xr:uid="{00FF1CAD-ED97-43BC-8E1D-327855145BB5}"/>
    <cellStyle name="Normal 8 2 4 5 3" xfId="6098" xr:uid="{00000000-0005-0000-0000-0000031D0000}"/>
    <cellStyle name="Normal 8 2 4 5 3 2" xfId="14533" xr:uid="{51E4BB35-2341-4F4A-8484-45BA454792B4}"/>
    <cellStyle name="Normal 8 2 4 5 4" xfId="10315" xr:uid="{70712E54-CB61-494E-8A88-B544D961952A}"/>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155D4E06-3D6E-47F4-BCCD-D13B993FE9C4}"/>
    <cellStyle name="Normal 8 2 4 6 2 3" xfId="12873" xr:uid="{4B04CE23-DCC5-49F8-BB17-279EB49C7FCE}"/>
    <cellStyle name="Normal 8 2 4 6 3" xfId="6511" xr:uid="{00000000-0005-0000-0000-0000071D0000}"/>
    <cellStyle name="Normal 8 2 4 6 3 2" xfId="14946" xr:uid="{28F5A065-D2FD-4597-A3F0-8658414F857A}"/>
    <cellStyle name="Normal 8 2 4 6 4" xfId="10728" xr:uid="{ECDEA006-AA15-4880-983B-9F85D66786FF}"/>
    <cellStyle name="Normal 8 2 4 7" xfId="2640" xr:uid="{00000000-0005-0000-0000-0000081D0000}"/>
    <cellStyle name="Normal 8 2 4 7 2" xfId="6924" xr:uid="{00000000-0005-0000-0000-0000091D0000}"/>
    <cellStyle name="Normal 8 2 4 7 2 2" xfId="15359" xr:uid="{9F616504-22F4-45CA-B92F-E532186004F6}"/>
    <cellStyle name="Normal 8 2 4 7 3" xfId="11141" xr:uid="{98C134F6-DA7B-482D-B496-209834CBB664}"/>
    <cellStyle name="Normal 8 2 4 8" xfId="4859" xr:uid="{00000000-0005-0000-0000-00000A1D0000}"/>
    <cellStyle name="Normal 8 2 4 8 2" xfId="13294" xr:uid="{EFD22AE4-FC0C-40A0-9256-5302652FA252}"/>
    <cellStyle name="Normal 8 2 4 9" xfId="9076" xr:uid="{C3A41F69-9F0D-402E-8A15-C70DF58A05F4}"/>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47C12879-8458-441F-80CE-6669D5E6DE0C}"/>
    <cellStyle name="Normal 8 2 5 2 2 3" xfId="11636" xr:uid="{74844A74-D9A3-4689-AE14-88592DBF2AA1}"/>
    <cellStyle name="Normal 8 2 5 2 3" xfId="5274" xr:uid="{00000000-0005-0000-0000-00000F1D0000}"/>
    <cellStyle name="Normal 8 2 5 2 3 2" xfId="13709" xr:uid="{5F545D5E-7DA5-46A1-88B7-CC665EE8C79A}"/>
    <cellStyle name="Normal 8 2 5 2 4" xfId="9491" xr:uid="{638FA8B9-B6C6-43D7-89D1-7B883671E058}"/>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37F76BDE-AB1C-4FDB-906C-74200F4A7D2F}"/>
    <cellStyle name="Normal 8 2 5 3 2 3" xfId="12049" xr:uid="{8754D14B-4471-4F70-B635-DBB7B74B2E31}"/>
    <cellStyle name="Normal 8 2 5 3 3" xfId="5687" xr:uid="{00000000-0005-0000-0000-0000131D0000}"/>
    <cellStyle name="Normal 8 2 5 3 3 2" xfId="14122" xr:uid="{10969130-053D-4993-B7C0-DD2C5515AD7A}"/>
    <cellStyle name="Normal 8 2 5 3 4" xfId="9904" xr:uid="{48454537-9DF3-43AF-9DEC-CB56FDB43334}"/>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C5242A92-98EB-4193-A180-7D97D48C0064}"/>
    <cellStyle name="Normal 8 2 5 4 2 3" xfId="12462" xr:uid="{DD73434B-8F00-4778-A4A6-27F26A606CE1}"/>
    <cellStyle name="Normal 8 2 5 4 3" xfId="6100" xr:uid="{00000000-0005-0000-0000-0000171D0000}"/>
    <cellStyle name="Normal 8 2 5 4 3 2" xfId="14535" xr:uid="{1EEFC844-0F24-42F8-8B89-4E078600197F}"/>
    <cellStyle name="Normal 8 2 5 4 4" xfId="10317" xr:uid="{393515D8-2768-426B-B0CF-E02D5DE6962E}"/>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FFD80E45-D2E0-46A7-B6F1-131DAAE56334}"/>
    <cellStyle name="Normal 8 2 5 5 2 3" xfId="12875" xr:uid="{51C5683E-D192-4874-803A-B8906B60358C}"/>
    <cellStyle name="Normal 8 2 5 5 3" xfId="6513" xr:uid="{00000000-0005-0000-0000-00001B1D0000}"/>
    <cellStyle name="Normal 8 2 5 5 3 2" xfId="14948" xr:uid="{F59B367D-1501-4E39-A546-07608F55D0EA}"/>
    <cellStyle name="Normal 8 2 5 5 4" xfId="10730" xr:uid="{C4F3789F-98CA-43C9-ABFC-6E773956CF6C}"/>
    <cellStyle name="Normal 8 2 5 6" xfId="2642" xr:uid="{00000000-0005-0000-0000-00001C1D0000}"/>
    <cellStyle name="Normal 8 2 5 6 2" xfId="6926" xr:uid="{00000000-0005-0000-0000-00001D1D0000}"/>
    <cellStyle name="Normal 8 2 5 6 2 2" xfId="15361" xr:uid="{2FDA30DE-EAB7-4150-A54F-A489986ED473}"/>
    <cellStyle name="Normal 8 2 5 6 3" xfId="11143" xr:uid="{98CD0899-2E46-4F2E-AFE3-254716868BAD}"/>
    <cellStyle name="Normal 8 2 5 7" xfId="4861" xr:uid="{00000000-0005-0000-0000-00001E1D0000}"/>
    <cellStyle name="Normal 8 2 5 7 2" xfId="13296" xr:uid="{7B222B0B-ADAD-450E-968E-BE598A21BC8B}"/>
    <cellStyle name="Normal 8 2 5 8" xfId="9078" xr:uid="{F17062AF-0906-4416-972A-EF42EC3239BA}"/>
    <cellStyle name="Normal 8 2 6" xfId="947" xr:uid="{00000000-0005-0000-0000-00001F1D0000}"/>
    <cellStyle name="Normal 8 2 6 2" xfId="3181" xr:uid="{00000000-0005-0000-0000-0000201D0000}"/>
    <cellStyle name="Normal 8 2 6 2 2" xfId="7404" xr:uid="{00000000-0005-0000-0000-0000211D0000}"/>
    <cellStyle name="Normal 8 2 6 2 2 2" xfId="15839" xr:uid="{ABEDB5B6-DE4C-4736-AFEE-E6DEA94C3F1C}"/>
    <cellStyle name="Normal 8 2 6 2 3" xfId="11621" xr:uid="{223AC7C4-AAC0-4D89-B3C2-8C2C11E63399}"/>
    <cellStyle name="Normal 8 2 6 3" xfId="5259" xr:uid="{00000000-0005-0000-0000-0000221D0000}"/>
    <cellStyle name="Normal 8 2 6 3 2" xfId="13694" xr:uid="{A9189359-A6BE-462D-85AF-6E869ADF026F}"/>
    <cellStyle name="Normal 8 2 6 4" xfId="9476" xr:uid="{AE3D777D-260F-4218-B8BF-D19388EE094A}"/>
    <cellStyle name="Normal 8 2 7" xfId="1364" xr:uid="{00000000-0005-0000-0000-0000231D0000}"/>
    <cellStyle name="Normal 8 2 7 2" xfId="3594" xr:uid="{00000000-0005-0000-0000-0000241D0000}"/>
    <cellStyle name="Normal 8 2 7 2 2" xfId="7817" xr:uid="{00000000-0005-0000-0000-0000251D0000}"/>
    <cellStyle name="Normal 8 2 7 2 2 2" xfId="16252" xr:uid="{F4C422B9-497C-4A32-B0E8-D1DBB945561D}"/>
    <cellStyle name="Normal 8 2 7 2 3" xfId="12034" xr:uid="{3F6D7CCF-5CC2-4AEB-9A5E-27A8598E95C5}"/>
    <cellStyle name="Normal 8 2 7 3" xfId="5672" xr:uid="{00000000-0005-0000-0000-0000261D0000}"/>
    <cellStyle name="Normal 8 2 7 3 2" xfId="14107" xr:uid="{13841BE6-3440-43BE-82F3-5DEC042DA2B1}"/>
    <cellStyle name="Normal 8 2 7 4" xfId="9889" xr:uid="{B7603720-5F7B-4F71-B57C-D0AB02610418}"/>
    <cellStyle name="Normal 8 2 8" xfId="1777" xr:uid="{00000000-0005-0000-0000-0000271D0000}"/>
    <cellStyle name="Normal 8 2 8 2" xfId="4007" xr:uid="{00000000-0005-0000-0000-0000281D0000}"/>
    <cellStyle name="Normal 8 2 8 2 2" xfId="8230" xr:uid="{00000000-0005-0000-0000-0000291D0000}"/>
    <cellStyle name="Normal 8 2 8 2 2 2" xfId="16665" xr:uid="{C88A1AB3-E9C0-42B2-BD91-E925BA90836A}"/>
    <cellStyle name="Normal 8 2 8 2 3" xfId="12447" xr:uid="{4F6D37B5-B17E-4118-970F-549B3E09D319}"/>
    <cellStyle name="Normal 8 2 8 3" xfId="6085" xr:uid="{00000000-0005-0000-0000-00002A1D0000}"/>
    <cellStyle name="Normal 8 2 8 3 2" xfId="14520" xr:uid="{6B34C43B-7D09-4FFF-A96B-386BBA1E7120}"/>
    <cellStyle name="Normal 8 2 8 4" xfId="10302" xr:uid="{9DBB908A-7A26-4BDE-8C83-366B820DA55D}"/>
    <cellStyle name="Normal 8 2 9" xfId="2191" xr:uid="{00000000-0005-0000-0000-00002B1D0000}"/>
    <cellStyle name="Normal 8 2 9 2" xfId="4420" xr:uid="{00000000-0005-0000-0000-00002C1D0000}"/>
    <cellStyle name="Normal 8 2 9 2 2" xfId="8643" xr:uid="{00000000-0005-0000-0000-00002D1D0000}"/>
    <cellStyle name="Normal 8 2 9 2 2 2" xfId="17078" xr:uid="{58013A2F-5A37-4D91-9409-87EACE05A6F5}"/>
    <cellStyle name="Normal 8 2 9 2 3" xfId="12860" xr:uid="{E45FF360-BDEC-428B-96EA-37CBC6D84922}"/>
    <cellStyle name="Normal 8 2 9 3" xfId="6498" xr:uid="{00000000-0005-0000-0000-00002E1D0000}"/>
    <cellStyle name="Normal 8 2 9 3 2" xfId="14933" xr:uid="{AFAB9220-4946-4061-B537-219D5C16F110}"/>
    <cellStyle name="Normal 8 2 9 4" xfId="10715" xr:uid="{954BF490-36CD-4171-A1ED-453E121EAD9D}"/>
    <cellStyle name="Normal 8 3" xfId="495" xr:uid="{00000000-0005-0000-0000-00002F1D0000}"/>
    <cellStyle name="Normal 8 3 10" xfId="4862" xr:uid="{00000000-0005-0000-0000-0000301D0000}"/>
    <cellStyle name="Normal 8 3 10 2" xfId="13297" xr:uid="{23BBA560-03B4-4D40-B1A5-E50D08BD0457}"/>
    <cellStyle name="Normal 8 3 11" xfId="9079" xr:uid="{5BCF9D57-2D1F-4167-9AD4-4BC82A8CA8D8}"/>
    <cellStyle name="Normal 8 3 2" xfId="496" xr:uid="{00000000-0005-0000-0000-0000311D0000}"/>
    <cellStyle name="Normal 8 3 2 10" xfId="9080" xr:uid="{08153E0D-5A8E-4C69-9D21-83BAC031D263}"/>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24A8F369-8109-404A-ADB7-AB92B796D1B7}"/>
    <cellStyle name="Normal 8 3 2 2 2 2 2 3" xfId="11640" xr:uid="{B87132B0-696A-4CFB-9B98-4BC9AAFE4BE2}"/>
    <cellStyle name="Normal 8 3 2 2 2 2 3" xfId="5278" xr:uid="{00000000-0005-0000-0000-0000371D0000}"/>
    <cellStyle name="Normal 8 3 2 2 2 2 3 2" xfId="13713" xr:uid="{A80CAF15-81A3-46CC-8A0E-8FF3B2F905C4}"/>
    <cellStyle name="Normal 8 3 2 2 2 2 4" xfId="9495" xr:uid="{6C1F1AF1-14D5-40E8-961A-1D5A21A87F51}"/>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8E024248-A5E6-4982-B9E9-B2849A37F295}"/>
    <cellStyle name="Normal 8 3 2 2 2 3 2 3" xfId="12053" xr:uid="{8F881AFD-ADD6-4326-8CFB-6A98DF94EA50}"/>
    <cellStyle name="Normal 8 3 2 2 2 3 3" xfId="5691" xr:uid="{00000000-0005-0000-0000-00003B1D0000}"/>
    <cellStyle name="Normal 8 3 2 2 2 3 3 2" xfId="14126" xr:uid="{96DF56DB-0873-4504-876F-A63D2DF44CB7}"/>
    <cellStyle name="Normal 8 3 2 2 2 3 4" xfId="9908" xr:uid="{449C214B-A872-4D1D-9193-63D5BB88B385}"/>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44FCF228-453D-469B-A6B8-F887848E6EBA}"/>
    <cellStyle name="Normal 8 3 2 2 2 4 2 3" xfId="12466" xr:uid="{9CBBDFF5-2A51-408A-B7DB-F751C8CCB329}"/>
    <cellStyle name="Normal 8 3 2 2 2 4 3" xfId="6104" xr:uid="{00000000-0005-0000-0000-00003F1D0000}"/>
    <cellStyle name="Normal 8 3 2 2 2 4 3 2" xfId="14539" xr:uid="{4F45340D-271A-41C7-A522-4B8C7A3EB27E}"/>
    <cellStyle name="Normal 8 3 2 2 2 4 4" xfId="10321" xr:uid="{F66A109C-D856-431D-8660-D0A268BDF41E}"/>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E78E53D9-9CE8-43BB-86A6-FBFF6DEF5057}"/>
    <cellStyle name="Normal 8 3 2 2 2 5 2 3" xfId="12879" xr:uid="{0B6B23C4-C00C-470A-9CCD-5FEEEE997ECB}"/>
    <cellStyle name="Normal 8 3 2 2 2 5 3" xfId="6517" xr:uid="{00000000-0005-0000-0000-0000431D0000}"/>
    <cellStyle name="Normal 8 3 2 2 2 5 3 2" xfId="14952" xr:uid="{D7FBF48C-6E98-4687-AF5E-E52780DE61A7}"/>
    <cellStyle name="Normal 8 3 2 2 2 5 4" xfId="10734" xr:uid="{77D2C748-0F24-4B85-AD37-625D3442807B}"/>
    <cellStyle name="Normal 8 3 2 2 2 6" xfId="2646" xr:uid="{00000000-0005-0000-0000-0000441D0000}"/>
    <cellStyle name="Normal 8 3 2 2 2 6 2" xfId="6930" xr:uid="{00000000-0005-0000-0000-0000451D0000}"/>
    <cellStyle name="Normal 8 3 2 2 2 6 2 2" xfId="15365" xr:uid="{217BFEFB-629E-4471-AD35-4139997DAA24}"/>
    <cellStyle name="Normal 8 3 2 2 2 6 3" xfId="11147" xr:uid="{050DF88E-DA74-4F62-AD82-44B4BC4BA12F}"/>
    <cellStyle name="Normal 8 3 2 2 2 7" xfId="4865" xr:uid="{00000000-0005-0000-0000-0000461D0000}"/>
    <cellStyle name="Normal 8 3 2 2 2 7 2" xfId="13300" xr:uid="{8BC05612-BDB4-498D-A207-7BAE51B28659}"/>
    <cellStyle name="Normal 8 3 2 2 2 8" xfId="9082" xr:uid="{B1709376-DC61-4821-B3B7-41DE6FB6B04C}"/>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55DAE168-C69C-40D5-8795-8F9F5CD23E9E}"/>
    <cellStyle name="Normal 8 3 2 2 3 2 3" xfId="11639" xr:uid="{C09B5532-37B8-47F8-B1AD-4CD3C2BC5F57}"/>
    <cellStyle name="Normal 8 3 2 2 3 3" xfId="5277" xr:uid="{00000000-0005-0000-0000-00004A1D0000}"/>
    <cellStyle name="Normal 8 3 2 2 3 3 2" xfId="13712" xr:uid="{EE056B4F-6DBD-4DA5-879F-8A2F08EF05A4}"/>
    <cellStyle name="Normal 8 3 2 2 3 4" xfId="9494" xr:uid="{EA465115-CC26-4032-A015-372EC757E4CA}"/>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9F99E7A9-F1DD-42ED-B88F-12CFBFA11807}"/>
    <cellStyle name="Normal 8 3 2 2 4 2 3" xfId="12052" xr:uid="{F2AEC274-7870-4449-B102-A10A86F14712}"/>
    <cellStyle name="Normal 8 3 2 2 4 3" xfId="5690" xr:uid="{00000000-0005-0000-0000-00004E1D0000}"/>
    <cellStyle name="Normal 8 3 2 2 4 3 2" xfId="14125" xr:uid="{D330A96A-865A-453A-B003-02DC1EF858E4}"/>
    <cellStyle name="Normal 8 3 2 2 4 4" xfId="9907" xr:uid="{F0867651-DC70-4A03-A95D-0A03E8B925F2}"/>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E240E4D0-891F-4299-9EDD-C7E08DE3F6FD}"/>
    <cellStyle name="Normal 8 3 2 2 5 2 3" xfId="12465" xr:uid="{3B252131-3A01-48B7-8B41-4EE39A04B042}"/>
    <cellStyle name="Normal 8 3 2 2 5 3" xfId="6103" xr:uid="{00000000-0005-0000-0000-0000521D0000}"/>
    <cellStyle name="Normal 8 3 2 2 5 3 2" xfId="14538" xr:uid="{DFB30F1B-F6BA-4A1C-889C-13F2D5EDE2F5}"/>
    <cellStyle name="Normal 8 3 2 2 5 4" xfId="10320" xr:uid="{7168E6F5-9709-4CD4-869F-4E7C90785A81}"/>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A7BD4314-6C7B-4FD9-822F-1EE5E9A0A3C0}"/>
    <cellStyle name="Normal 8 3 2 2 6 2 3" xfId="12878" xr:uid="{C613A95E-936D-4680-8372-BF295FCD1B31}"/>
    <cellStyle name="Normal 8 3 2 2 6 3" xfId="6516" xr:uid="{00000000-0005-0000-0000-0000561D0000}"/>
    <cellStyle name="Normal 8 3 2 2 6 3 2" xfId="14951" xr:uid="{DB8E68F5-88E5-475F-9DE0-A427B1CC4717}"/>
    <cellStyle name="Normal 8 3 2 2 6 4" xfId="10733" xr:uid="{B107372A-3F9B-43E5-8E3A-63A73E8D9F6A}"/>
    <cellStyle name="Normal 8 3 2 2 7" xfId="2645" xr:uid="{00000000-0005-0000-0000-0000571D0000}"/>
    <cellStyle name="Normal 8 3 2 2 7 2" xfId="6929" xr:uid="{00000000-0005-0000-0000-0000581D0000}"/>
    <cellStyle name="Normal 8 3 2 2 7 2 2" xfId="15364" xr:uid="{1138290A-BF14-4695-8C3E-8CB610183776}"/>
    <cellStyle name="Normal 8 3 2 2 7 3" xfId="11146" xr:uid="{0C7CD1AF-CA4E-466B-AA37-7C8646EB9CDA}"/>
    <cellStyle name="Normal 8 3 2 2 8" xfId="4864" xr:uid="{00000000-0005-0000-0000-0000591D0000}"/>
    <cellStyle name="Normal 8 3 2 2 8 2" xfId="13299" xr:uid="{DBB02526-9912-4DAA-9F86-EDCF724030B8}"/>
    <cellStyle name="Normal 8 3 2 2 9" xfId="9081" xr:uid="{BC670A19-7981-4692-A073-EDB4559B2F46}"/>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068DCC48-FD85-41FD-ADAA-335E84627C97}"/>
    <cellStyle name="Normal 8 3 2 3 2 2 3" xfId="11641" xr:uid="{9A8B959D-9521-49A0-84C3-0AE42FAB0815}"/>
    <cellStyle name="Normal 8 3 2 3 2 3" xfId="5279" xr:uid="{00000000-0005-0000-0000-00005E1D0000}"/>
    <cellStyle name="Normal 8 3 2 3 2 3 2" xfId="13714" xr:uid="{217BF872-D466-4E1C-9937-387FE64D4BC9}"/>
    <cellStyle name="Normal 8 3 2 3 2 4" xfId="9496" xr:uid="{DEF5FFA1-D990-4845-B5A3-F254DBF3EECF}"/>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E10C1563-6CBC-4B86-9BFD-1D3986A95F83}"/>
    <cellStyle name="Normal 8 3 2 3 3 2 3" xfId="12054" xr:uid="{B8CA5E3D-FEF2-4B3E-BDDD-2F0BF7CEF2BA}"/>
    <cellStyle name="Normal 8 3 2 3 3 3" xfId="5692" xr:uid="{00000000-0005-0000-0000-0000621D0000}"/>
    <cellStyle name="Normal 8 3 2 3 3 3 2" xfId="14127" xr:uid="{2F1168B3-2049-4838-A1E7-C88A7608DAC4}"/>
    <cellStyle name="Normal 8 3 2 3 3 4" xfId="9909" xr:uid="{47359550-BE8C-4F95-B047-E68A7376037E}"/>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34AC7446-7E40-484B-94E2-FE4BD7A85093}"/>
    <cellStyle name="Normal 8 3 2 3 4 2 3" xfId="12467" xr:uid="{0B21E513-B35C-436C-86F0-CEDD5879C04D}"/>
    <cellStyle name="Normal 8 3 2 3 4 3" xfId="6105" xr:uid="{00000000-0005-0000-0000-0000661D0000}"/>
    <cellStyle name="Normal 8 3 2 3 4 3 2" xfId="14540" xr:uid="{EA8556B1-FF23-42C5-BCD0-D09EFA7009FD}"/>
    <cellStyle name="Normal 8 3 2 3 4 4" xfId="10322" xr:uid="{1EBFD770-2076-4481-BFF6-BB44DE70BBE3}"/>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9A40C972-B2CC-4FEB-92FC-9ED0E6B8D44C}"/>
    <cellStyle name="Normal 8 3 2 3 5 2 3" xfId="12880" xr:uid="{D0932BBF-35DC-4081-8ABE-2C8BC65CF7EA}"/>
    <cellStyle name="Normal 8 3 2 3 5 3" xfId="6518" xr:uid="{00000000-0005-0000-0000-00006A1D0000}"/>
    <cellStyle name="Normal 8 3 2 3 5 3 2" xfId="14953" xr:uid="{5BFDC701-4EC4-47CB-9879-0B758DF56D3C}"/>
    <cellStyle name="Normal 8 3 2 3 5 4" xfId="10735" xr:uid="{2DFE7DB5-FEE9-44AB-99C7-0A4EF4393D73}"/>
    <cellStyle name="Normal 8 3 2 3 6" xfId="2647" xr:uid="{00000000-0005-0000-0000-00006B1D0000}"/>
    <cellStyle name="Normal 8 3 2 3 6 2" xfId="6931" xr:uid="{00000000-0005-0000-0000-00006C1D0000}"/>
    <cellStyle name="Normal 8 3 2 3 6 2 2" xfId="15366" xr:uid="{F63438F6-C1E5-4905-8279-A0BB3320E016}"/>
    <cellStyle name="Normal 8 3 2 3 6 3" xfId="11148" xr:uid="{9344E103-96DF-4110-A685-D6B8E4B6ECA1}"/>
    <cellStyle name="Normal 8 3 2 3 7" xfId="4866" xr:uid="{00000000-0005-0000-0000-00006D1D0000}"/>
    <cellStyle name="Normal 8 3 2 3 7 2" xfId="13301" xr:uid="{4EDD6CBB-6DED-42AE-BBA9-F5545166CC06}"/>
    <cellStyle name="Normal 8 3 2 3 8" xfId="9083" xr:uid="{CAD39FDE-1538-4931-834D-5BD53FB39E67}"/>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5D5481CB-C442-4197-B771-4CEEA9E055F4}"/>
    <cellStyle name="Normal 8 3 2 4 2 3" xfId="11638" xr:uid="{C983686A-DB58-4256-8AEB-38EA95A3FEBA}"/>
    <cellStyle name="Normal 8 3 2 4 3" xfId="5276" xr:uid="{00000000-0005-0000-0000-0000711D0000}"/>
    <cellStyle name="Normal 8 3 2 4 3 2" xfId="13711" xr:uid="{4D9E1967-C843-4F26-AF9D-FA178D4BBBBB}"/>
    <cellStyle name="Normal 8 3 2 4 4" xfId="9493" xr:uid="{E40B4C82-1DF5-4315-9F67-0A6D47E8CB29}"/>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4997E3F6-E8EB-4778-B3E9-6ADBE62C4AB2}"/>
    <cellStyle name="Normal 8 3 2 5 2 3" xfId="12051" xr:uid="{808B0163-A5AD-4077-9807-6A02418E2A9C}"/>
    <cellStyle name="Normal 8 3 2 5 3" xfId="5689" xr:uid="{00000000-0005-0000-0000-0000751D0000}"/>
    <cellStyle name="Normal 8 3 2 5 3 2" xfId="14124" xr:uid="{0D8ED5BA-59CC-4645-8F22-0CBF547D7E87}"/>
    <cellStyle name="Normal 8 3 2 5 4" xfId="9906" xr:uid="{92D0C7CE-EB1C-4EC7-AFA3-006C29F1F3E8}"/>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9AF7706A-3311-47B2-85D9-0D9378BB79AD}"/>
    <cellStyle name="Normal 8 3 2 6 2 3" xfId="12464" xr:uid="{5D2B59F8-0B2C-4365-89BD-6721B9E2F8D6}"/>
    <cellStyle name="Normal 8 3 2 6 3" xfId="6102" xr:uid="{00000000-0005-0000-0000-0000791D0000}"/>
    <cellStyle name="Normal 8 3 2 6 3 2" xfId="14537" xr:uid="{EA762815-5FE7-43F8-B510-BD55C521C35E}"/>
    <cellStyle name="Normal 8 3 2 6 4" xfId="10319" xr:uid="{729E9AB8-E6C5-472B-A8FE-22B598633ED4}"/>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6C68A0EA-4132-405A-BADD-3A87FDD47201}"/>
    <cellStyle name="Normal 8 3 2 7 2 3" xfId="12877" xr:uid="{9D15CC2A-1AE0-4A0B-88E7-080F94CB69A5}"/>
    <cellStyle name="Normal 8 3 2 7 3" xfId="6515" xr:uid="{00000000-0005-0000-0000-00007D1D0000}"/>
    <cellStyle name="Normal 8 3 2 7 3 2" xfId="14950" xr:uid="{C202EC5E-C412-4CFE-847A-EB8C96F806A0}"/>
    <cellStyle name="Normal 8 3 2 7 4" xfId="10732" xr:uid="{67B2F0B2-60C7-4E3B-AF94-0B301D077A99}"/>
    <cellStyle name="Normal 8 3 2 8" xfId="2644" xr:uid="{00000000-0005-0000-0000-00007E1D0000}"/>
    <cellStyle name="Normal 8 3 2 8 2" xfId="6928" xr:uid="{00000000-0005-0000-0000-00007F1D0000}"/>
    <cellStyle name="Normal 8 3 2 8 2 2" xfId="15363" xr:uid="{02290D14-4A79-46DD-BEEB-ED8AB775E886}"/>
    <cellStyle name="Normal 8 3 2 8 3" xfId="11145" xr:uid="{EF5B3152-522B-4CDB-AACA-E2C854D8BC11}"/>
    <cellStyle name="Normal 8 3 2 9" xfId="4863" xr:uid="{00000000-0005-0000-0000-0000801D0000}"/>
    <cellStyle name="Normal 8 3 2 9 2" xfId="13298" xr:uid="{826E69C5-26D7-445F-9834-B7C1F5C82D73}"/>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6309AFF6-4642-4972-9A1D-10312F369C96}"/>
    <cellStyle name="Normal 8 3 3 2 2 2 3" xfId="11643" xr:uid="{0AC0B090-BC11-41FF-AD71-8C9FA5E67A4B}"/>
    <cellStyle name="Normal 8 3 3 2 2 3" xfId="5281" xr:uid="{00000000-0005-0000-0000-0000861D0000}"/>
    <cellStyle name="Normal 8 3 3 2 2 3 2" xfId="13716" xr:uid="{C370AD41-87F7-4BB0-BE4B-1B90F08D4006}"/>
    <cellStyle name="Normal 8 3 3 2 2 4" xfId="9498" xr:uid="{4426AB89-1C12-45AC-9803-BB578E2152D2}"/>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461E6A56-9C9F-4D91-85EE-D7F38BE0C71E}"/>
    <cellStyle name="Normal 8 3 3 2 3 2 3" xfId="12056" xr:uid="{8632FF4B-79FA-43FF-800E-299EFD008DDC}"/>
    <cellStyle name="Normal 8 3 3 2 3 3" xfId="5694" xr:uid="{00000000-0005-0000-0000-00008A1D0000}"/>
    <cellStyle name="Normal 8 3 3 2 3 3 2" xfId="14129" xr:uid="{BA0FED48-FE5E-42BC-B3A9-F5D983364985}"/>
    <cellStyle name="Normal 8 3 3 2 3 4" xfId="9911" xr:uid="{1BC200D4-95FB-4BCA-B90A-4E758A18ABCD}"/>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A671CF13-603C-4B87-AB87-6655D8D826F2}"/>
    <cellStyle name="Normal 8 3 3 2 4 2 3" xfId="12469" xr:uid="{1E1325E9-07A7-480D-82D4-FC6E207065F1}"/>
    <cellStyle name="Normal 8 3 3 2 4 3" xfId="6107" xr:uid="{00000000-0005-0000-0000-00008E1D0000}"/>
    <cellStyle name="Normal 8 3 3 2 4 3 2" xfId="14542" xr:uid="{3836C370-2BC1-4F45-B613-97A7C176C044}"/>
    <cellStyle name="Normal 8 3 3 2 4 4" xfId="10324" xr:uid="{74DF4306-AFD2-45DE-A4FC-95D4250963C7}"/>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26B99F7B-A815-4D28-AEB1-1D941B6AB31C}"/>
    <cellStyle name="Normal 8 3 3 2 5 2 3" xfId="12882" xr:uid="{DD8B7FF6-9212-4340-ADA4-246837F0DB9A}"/>
    <cellStyle name="Normal 8 3 3 2 5 3" xfId="6520" xr:uid="{00000000-0005-0000-0000-0000921D0000}"/>
    <cellStyle name="Normal 8 3 3 2 5 3 2" xfId="14955" xr:uid="{EFF06012-846F-4189-98FE-7158C502AEFB}"/>
    <cellStyle name="Normal 8 3 3 2 5 4" xfId="10737" xr:uid="{00457877-96A0-47E0-8334-AEB450899E5B}"/>
    <cellStyle name="Normal 8 3 3 2 6" xfId="2649" xr:uid="{00000000-0005-0000-0000-0000931D0000}"/>
    <cellStyle name="Normal 8 3 3 2 6 2" xfId="6933" xr:uid="{00000000-0005-0000-0000-0000941D0000}"/>
    <cellStyle name="Normal 8 3 3 2 6 2 2" xfId="15368" xr:uid="{F2109EF6-170E-4E2D-9BD3-8871A2EA2416}"/>
    <cellStyle name="Normal 8 3 3 2 6 3" xfId="11150" xr:uid="{55CCC1BC-D66C-4D33-9B45-EA8A358F0B03}"/>
    <cellStyle name="Normal 8 3 3 2 7" xfId="4868" xr:uid="{00000000-0005-0000-0000-0000951D0000}"/>
    <cellStyle name="Normal 8 3 3 2 7 2" xfId="13303" xr:uid="{2098BF0E-2830-4D21-9670-12A2131D29C8}"/>
    <cellStyle name="Normal 8 3 3 2 8" xfId="9085" xr:uid="{B741F53F-DA62-497C-A587-6FAD0647D037}"/>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5CBF0200-742E-4A86-8E73-BD5A155BB75C}"/>
    <cellStyle name="Normal 8 3 3 3 2 3" xfId="11642" xr:uid="{6658B08D-3C80-4988-B1BD-E5AD84D38B5D}"/>
    <cellStyle name="Normal 8 3 3 3 3" xfId="5280" xr:uid="{00000000-0005-0000-0000-0000991D0000}"/>
    <cellStyle name="Normal 8 3 3 3 3 2" xfId="13715" xr:uid="{F9F27EFD-2B83-4A2B-AEB3-315727F3FB36}"/>
    <cellStyle name="Normal 8 3 3 3 4" xfId="9497" xr:uid="{C0DE21FF-E28B-4098-B7A9-C9B4CBE4C25F}"/>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4B4E66E2-0E37-4A3F-9DDC-C00F4D15AAD6}"/>
    <cellStyle name="Normal 8 3 3 4 2 3" xfId="12055" xr:uid="{3955EECE-BDCB-4E44-AC55-79EAD6A41790}"/>
    <cellStyle name="Normal 8 3 3 4 3" xfId="5693" xr:uid="{00000000-0005-0000-0000-00009D1D0000}"/>
    <cellStyle name="Normal 8 3 3 4 3 2" xfId="14128" xr:uid="{67F4DFEC-B375-4293-A0AE-E9B844CFCBB6}"/>
    <cellStyle name="Normal 8 3 3 4 4" xfId="9910" xr:uid="{AC0462D5-ED58-43B2-8AC2-F6D61851D994}"/>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658EEE09-16E6-4093-BC19-90680F32D7FD}"/>
    <cellStyle name="Normal 8 3 3 5 2 3" xfId="12468" xr:uid="{9CB4421E-91BF-4FD8-9F77-D97663A515E9}"/>
    <cellStyle name="Normal 8 3 3 5 3" xfId="6106" xr:uid="{00000000-0005-0000-0000-0000A11D0000}"/>
    <cellStyle name="Normal 8 3 3 5 3 2" xfId="14541" xr:uid="{C36D3A89-4C43-4E57-B963-FF387CCB6AD2}"/>
    <cellStyle name="Normal 8 3 3 5 4" xfId="10323" xr:uid="{A4A6A789-7407-433C-BD86-80E9BF6B0AE9}"/>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EB0FE175-6D2A-45FB-AD9B-E1B9C801BA7F}"/>
    <cellStyle name="Normal 8 3 3 6 2 3" xfId="12881" xr:uid="{6A957375-B50E-4119-9726-B965A02BC4D2}"/>
    <cellStyle name="Normal 8 3 3 6 3" xfId="6519" xr:uid="{00000000-0005-0000-0000-0000A51D0000}"/>
    <cellStyle name="Normal 8 3 3 6 3 2" xfId="14954" xr:uid="{A6363AE1-03A4-4B5A-BEC2-05D0131CC8DD}"/>
    <cellStyle name="Normal 8 3 3 6 4" xfId="10736" xr:uid="{6F324813-75CB-4DF8-8332-C0CE68D7E09D}"/>
    <cellStyle name="Normal 8 3 3 7" xfId="2648" xr:uid="{00000000-0005-0000-0000-0000A61D0000}"/>
    <cellStyle name="Normal 8 3 3 7 2" xfId="6932" xr:uid="{00000000-0005-0000-0000-0000A71D0000}"/>
    <cellStyle name="Normal 8 3 3 7 2 2" xfId="15367" xr:uid="{F1B04934-6DE2-4025-976A-15DEB407FE3A}"/>
    <cellStyle name="Normal 8 3 3 7 3" xfId="11149" xr:uid="{5C22A41F-16E5-4376-9CF1-F4FB1227B337}"/>
    <cellStyle name="Normal 8 3 3 8" xfId="4867" xr:uid="{00000000-0005-0000-0000-0000A81D0000}"/>
    <cellStyle name="Normal 8 3 3 8 2" xfId="13302" xr:uid="{28A4A2E1-F4EF-49F3-8CF1-26E1D88EDD8B}"/>
    <cellStyle name="Normal 8 3 3 9" xfId="9084" xr:uid="{259D66B6-A6AD-4CA8-AD49-EFDEA980F93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E5FD7FD8-AF45-4539-AFE4-E545D5E322D2}"/>
    <cellStyle name="Normal 8 3 4 2 2 3" xfId="11644" xr:uid="{E81F3376-ECE9-4D7D-9A44-C648A3567DC1}"/>
    <cellStyle name="Normal 8 3 4 2 3" xfId="5282" xr:uid="{00000000-0005-0000-0000-0000AD1D0000}"/>
    <cellStyle name="Normal 8 3 4 2 3 2" xfId="13717" xr:uid="{95C27120-3725-4D27-80F7-25EC81539A32}"/>
    <cellStyle name="Normal 8 3 4 2 4" xfId="9499" xr:uid="{1FB00247-7FD6-4AEF-AA4A-43079DC424E0}"/>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51C13478-AB93-4A78-BBD6-47F4A549E204}"/>
    <cellStyle name="Normal 8 3 4 3 2 3" xfId="12057" xr:uid="{818791BD-545E-4043-B3E4-3E1B8AB9F397}"/>
    <cellStyle name="Normal 8 3 4 3 3" xfId="5695" xr:uid="{00000000-0005-0000-0000-0000B11D0000}"/>
    <cellStyle name="Normal 8 3 4 3 3 2" xfId="14130" xr:uid="{124B8957-5B69-4792-9654-A754BA350BD1}"/>
    <cellStyle name="Normal 8 3 4 3 4" xfId="9912" xr:uid="{64C74306-C173-48D2-9538-C8B7D1E283E8}"/>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2D3021F0-6812-4695-8C16-5EE8F624377E}"/>
    <cellStyle name="Normal 8 3 4 4 2 3" xfId="12470" xr:uid="{425C757C-DEC2-4052-8DE6-BFAD8621CA80}"/>
    <cellStyle name="Normal 8 3 4 4 3" xfId="6108" xr:uid="{00000000-0005-0000-0000-0000B51D0000}"/>
    <cellStyle name="Normal 8 3 4 4 3 2" xfId="14543" xr:uid="{3686D2F5-C426-4015-AB70-CC0164949AD3}"/>
    <cellStyle name="Normal 8 3 4 4 4" xfId="10325" xr:uid="{7ECD1AD2-C0FB-49E4-BABA-D65C6CFB7D1E}"/>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9B02BA63-4AFF-4992-9113-496BE95CCB36}"/>
    <cellStyle name="Normal 8 3 4 5 2 3" xfId="12883" xr:uid="{57058C6D-D774-4E0B-96C4-A919F997F448}"/>
    <cellStyle name="Normal 8 3 4 5 3" xfId="6521" xr:uid="{00000000-0005-0000-0000-0000B91D0000}"/>
    <cellStyle name="Normal 8 3 4 5 3 2" xfId="14956" xr:uid="{EA92F38C-BC0A-4A64-822F-C223CF835721}"/>
    <cellStyle name="Normal 8 3 4 5 4" xfId="10738" xr:uid="{66EA353D-DF14-422E-A505-866F27B04EF1}"/>
    <cellStyle name="Normal 8 3 4 6" xfId="2650" xr:uid="{00000000-0005-0000-0000-0000BA1D0000}"/>
    <cellStyle name="Normal 8 3 4 6 2" xfId="6934" xr:uid="{00000000-0005-0000-0000-0000BB1D0000}"/>
    <cellStyle name="Normal 8 3 4 6 2 2" xfId="15369" xr:uid="{6D2C1CF0-6CB8-4721-A50D-EF437F43CCF0}"/>
    <cellStyle name="Normal 8 3 4 6 3" xfId="11151" xr:uid="{FD5DD94A-DF0A-4671-93D8-B37A5EBB4B40}"/>
    <cellStyle name="Normal 8 3 4 7" xfId="4869" xr:uid="{00000000-0005-0000-0000-0000BC1D0000}"/>
    <cellStyle name="Normal 8 3 4 7 2" xfId="13304" xr:uid="{462F224F-A38D-477B-92CA-215A27901075}"/>
    <cellStyle name="Normal 8 3 4 8" xfId="9086" xr:uid="{D1794C19-ED4B-48E8-88B9-739A4566594B}"/>
    <cellStyle name="Normal 8 3 5" xfId="963" xr:uid="{00000000-0005-0000-0000-0000BD1D0000}"/>
    <cellStyle name="Normal 8 3 5 2" xfId="3197" xr:uid="{00000000-0005-0000-0000-0000BE1D0000}"/>
    <cellStyle name="Normal 8 3 5 2 2" xfId="7420" xr:uid="{00000000-0005-0000-0000-0000BF1D0000}"/>
    <cellStyle name="Normal 8 3 5 2 2 2" xfId="15855" xr:uid="{6359ED6E-B341-4CDE-99EE-6895F3500238}"/>
    <cellStyle name="Normal 8 3 5 2 3" xfId="11637" xr:uid="{EC1B2C79-9B5B-4C98-AEDD-F2E34F9CCFEE}"/>
    <cellStyle name="Normal 8 3 5 3" xfId="5275" xr:uid="{00000000-0005-0000-0000-0000C01D0000}"/>
    <cellStyle name="Normal 8 3 5 3 2" xfId="13710" xr:uid="{7CBA5D7C-952D-440D-A6B6-6C930EBB4C93}"/>
    <cellStyle name="Normal 8 3 5 4" xfId="9492" xr:uid="{FE01A6E3-9019-481D-A980-3962DF3A7E8D}"/>
    <cellStyle name="Normal 8 3 6" xfId="1380" xr:uid="{00000000-0005-0000-0000-0000C11D0000}"/>
    <cellStyle name="Normal 8 3 6 2" xfId="3610" xr:uid="{00000000-0005-0000-0000-0000C21D0000}"/>
    <cellStyle name="Normal 8 3 6 2 2" xfId="7833" xr:uid="{00000000-0005-0000-0000-0000C31D0000}"/>
    <cellStyle name="Normal 8 3 6 2 2 2" xfId="16268" xr:uid="{F2E4D995-492F-4AB7-953F-183B39941109}"/>
    <cellStyle name="Normal 8 3 6 2 3" xfId="12050" xr:uid="{B22FF431-1D54-4904-A66F-D9BDA3DFD08D}"/>
    <cellStyle name="Normal 8 3 6 3" xfId="5688" xr:uid="{00000000-0005-0000-0000-0000C41D0000}"/>
    <cellStyle name="Normal 8 3 6 3 2" xfId="14123" xr:uid="{2ECF229F-A4E5-4E27-9A17-3FCC14AED4BA}"/>
    <cellStyle name="Normal 8 3 6 4" xfId="9905" xr:uid="{9D1179A7-3BFA-44D1-BC03-D38809FEDCD1}"/>
    <cellStyle name="Normal 8 3 7" xfId="1793" xr:uid="{00000000-0005-0000-0000-0000C51D0000}"/>
    <cellStyle name="Normal 8 3 7 2" xfId="4023" xr:uid="{00000000-0005-0000-0000-0000C61D0000}"/>
    <cellStyle name="Normal 8 3 7 2 2" xfId="8246" xr:uid="{00000000-0005-0000-0000-0000C71D0000}"/>
    <cellStyle name="Normal 8 3 7 2 2 2" xfId="16681" xr:uid="{B9626DC5-7A22-438B-8F7B-841D0503BBAB}"/>
    <cellStyle name="Normal 8 3 7 2 3" xfId="12463" xr:uid="{234FD6E9-E745-4957-98AD-CEB8BF943306}"/>
    <cellStyle name="Normal 8 3 7 3" xfId="6101" xr:uid="{00000000-0005-0000-0000-0000C81D0000}"/>
    <cellStyle name="Normal 8 3 7 3 2" xfId="14536" xr:uid="{3CFFF18A-65AA-49A8-AF26-BB71611DE6BE}"/>
    <cellStyle name="Normal 8 3 7 4" xfId="10318" xr:uid="{7E96F300-5B51-47CA-9843-5C85E6090259}"/>
    <cellStyle name="Normal 8 3 8" xfId="2207" xr:uid="{00000000-0005-0000-0000-0000C91D0000}"/>
    <cellStyle name="Normal 8 3 8 2" xfId="4436" xr:uid="{00000000-0005-0000-0000-0000CA1D0000}"/>
    <cellStyle name="Normal 8 3 8 2 2" xfId="8659" xr:uid="{00000000-0005-0000-0000-0000CB1D0000}"/>
    <cellStyle name="Normal 8 3 8 2 2 2" xfId="17094" xr:uid="{EDE68DA2-0D5A-41E6-9042-61FB0E2341DB}"/>
    <cellStyle name="Normal 8 3 8 2 3" xfId="12876" xr:uid="{C290A6C7-8FFD-46E4-A51D-7B637B8E7598}"/>
    <cellStyle name="Normal 8 3 8 3" xfId="6514" xr:uid="{00000000-0005-0000-0000-0000CC1D0000}"/>
    <cellStyle name="Normal 8 3 8 3 2" xfId="14949" xr:uid="{814A8D2F-22A9-4F62-AF5A-887B05D870CD}"/>
    <cellStyle name="Normal 8 3 8 4" xfId="10731" xr:uid="{497B99D9-C691-4B4F-9CC6-3AB38230C31A}"/>
    <cellStyle name="Normal 8 3 9" xfId="2643" xr:uid="{00000000-0005-0000-0000-0000CD1D0000}"/>
    <cellStyle name="Normal 8 3 9 2" xfId="6927" xr:uid="{00000000-0005-0000-0000-0000CE1D0000}"/>
    <cellStyle name="Normal 8 3 9 2 2" xfId="15362" xr:uid="{A25850B4-5E19-41C5-B109-995C4092802D}"/>
    <cellStyle name="Normal 8 3 9 3" xfId="11144" xr:uid="{9B9B1F0D-FCF5-49D0-BAF8-A470F52E2E59}"/>
    <cellStyle name="Normal 8 4" xfId="503" xr:uid="{00000000-0005-0000-0000-0000CF1D0000}"/>
    <cellStyle name="Normal 8 4 10" xfId="9087" xr:uid="{85324091-028E-49A9-AB65-DEBA691DDB9F}"/>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C6CCB8B4-3A58-4AEE-94E7-7BF9B2519FD4}"/>
    <cellStyle name="Normal 8 4 2 2 2 2 3" xfId="11647" xr:uid="{8B89FC43-065A-4D88-BD1E-44F347CEB983}"/>
    <cellStyle name="Normal 8 4 2 2 2 3" xfId="5285" xr:uid="{00000000-0005-0000-0000-0000D51D0000}"/>
    <cellStyle name="Normal 8 4 2 2 2 3 2" xfId="13720" xr:uid="{D785EA74-E908-4C1D-9258-5D5CC5FA1A47}"/>
    <cellStyle name="Normal 8 4 2 2 2 4" xfId="9502" xr:uid="{889E754C-6430-4E51-9FE0-798AA749DED5}"/>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E7CC3463-FDB8-4FB9-A0AF-1CDE8EDBD334}"/>
    <cellStyle name="Normal 8 4 2 2 3 2 3" xfId="12060" xr:uid="{8F5A87AC-8213-4CD1-81D2-B28B56135B4C}"/>
    <cellStyle name="Normal 8 4 2 2 3 3" xfId="5698" xr:uid="{00000000-0005-0000-0000-0000D91D0000}"/>
    <cellStyle name="Normal 8 4 2 2 3 3 2" xfId="14133" xr:uid="{A02A441E-3AE1-496C-BB03-0A5366259B32}"/>
    <cellStyle name="Normal 8 4 2 2 3 4" xfId="9915" xr:uid="{F83EA7F4-559B-4ACC-9C00-2481E539BC8A}"/>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58D4A1BF-AC05-48C1-BC4A-7E452C00D2A7}"/>
    <cellStyle name="Normal 8 4 2 2 4 2 3" xfId="12473" xr:uid="{BACDDBA6-5E3A-431E-9E18-0E8D09E8BA27}"/>
    <cellStyle name="Normal 8 4 2 2 4 3" xfId="6111" xr:uid="{00000000-0005-0000-0000-0000DD1D0000}"/>
    <cellStyle name="Normal 8 4 2 2 4 3 2" xfId="14546" xr:uid="{CF514F92-4FC7-4D09-BD97-21B20C946943}"/>
    <cellStyle name="Normal 8 4 2 2 4 4" xfId="10328" xr:uid="{17E77242-9D73-4794-8040-415501B915E8}"/>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88E8F078-1EC3-4910-94CE-FCA47B4E5A5F}"/>
    <cellStyle name="Normal 8 4 2 2 5 2 3" xfId="12886" xr:uid="{D5CE07BC-FA52-4C8E-8C6B-9A16CCB9570E}"/>
    <cellStyle name="Normal 8 4 2 2 5 3" xfId="6524" xr:uid="{00000000-0005-0000-0000-0000E11D0000}"/>
    <cellStyle name="Normal 8 4 2 2 5 3 2" xfId="14959" xr:uid="{53DDC36F-327B-433C-8A29-F029B61AFC32}"/>
    <cellStyle name="Normal 8 4 2 2 5 4" xfId="10741" xr:uid="{2A4445BC-53C2-4D80-B679-001511F950CB}"/>
    <cellStyle name="Normal 8 4 2 2 6" xfId="2653" xr:uid="{00000000-0005-0000-0000-0000E21D0000}"/>
    <cellStyle name="Normal 8 4 2 2 6 2" xfId="6937" xr:uid="{00000000-0005-0000-0000-0000E31D0000}"/>
    <cellStyle name="Normal 8 4 2 2 6 2 2" xfId="15372" xr:uid="{4C5621FB-F263-420A-9110-9D554CAD40E0}"/>
    <cellStyle name="Normal 8 4 2 2 6 3" xfId="11154" xr:uid="{ABF23250-4599-4615-8492-645B23364C77}"/>
    <cellStyle name="Normal 8 4 2 2 7" xfId="4872" xr:uid="{00000000-0005-0000-0000-0000E41D0000}"/>
    <cellStyle name="Normal 8 4 2 2 7 2" xfId="13307" xr:uid="{C9D42887-CF45-4202-BB94-4B891861E2C2}"/>
    <cellStyle name="Normal 8 4 2 2 8" xfId="9089" xr:uid="{92A192C0-A4FF-4B51-AF47-361E1BD8ADEA}"/>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D97C08D1-566C-498C-A390-A74275F54A51}"/>
    <cellStyle name="Normal 8 4 2 3 2 3" xfId="11646" xr:uid="{F6FD4947-5B70-4E5E-BE26-91E222543CA6}"/>
    <cellStyle name="Normal 8 4 2 3 3" xfId="5284" xr:uid="{00000000-0005-0000-0000-0000E81D0000}"/>
    <cellStyle name="Normal 8 4 2 3 3 2" xfId="13719" xr:uid="{408DEEA4-578B-4761-8A87-DAB5C83C5947}"/>
    <cellStyle name="Normal 8 4 2 3 4" xfId="9501" xr:uid="{066C7732-41F7-4339-A52A-3ECCBFE9054F}"/>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36080485-9379-4950-ADFD-F41B2FD3557A}"/>
    <cellStyle name="Normal 8 4 2 4 2 3" xfId="12059" xr:uid="{8A157AC1-556A-4AEB-8BDA-65EFF1446428}"/>
    <cellStyle name="Normal 8 4 2 4 3" xfId="5697" xr:uid="{00000000-0005-0000-0000-0000EC1D0000}"/>
    <cellStyle name="Normal 8 4 2 4 3 2" xfId="14132" xr:uid="{E8392616-D9B7-48E0-9131-DCC9557EDB8D}"/>
    <cellStyle name="Normal 8 4 2 4 4" xfId="9914" xr:uid="{AFEA3CB9-0D07-4794-A9D6-B424EF688397}"/>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A98C2304-EFC5-4164-BA4A-F46E77CB10CA}"/>
    <cellStyle name="Normal 8 4 2 5 2 3" xfId="12472" xr:uid="{1CA87FB3-1738-4AC9-873F-5C56CE66474B}"/>
    <cellStyle name="Normal 8 4 2 5 3" xfId="6110" xr:uid="{00000000-0005-0000-0000-0000F01D0000}"/>
    <cellStyle name="Normal 8 4 2 5 3 2" xfId="14545" xr:uid="{67A8F2A3-D62F-4E03-B13C-1F0A07442B39}"/>
    <cellStyle name="Normal 8 4 2 5 4" xfId="10327" xr:uid="{7F263F84-BE84-43D6-91C7-94D019F96369}"/>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DA88A4CC-4F6C-403F-8F28-BACB202786A2}"/>
    <cellStyle name="Normal 8 4 2 6 2 3" xfId="12885" xr:uid="{3FCF16E8-0A0F-4EB8-8448-F6D6908C8A66}"/>
    <cellStyle name="Normal 8 4 2 6 3" xfId="6523" xr:uid="{00000000-0005-0000-0000-0000F41D0000}"/>
    <cellStyle name="Normal 8 4 2 6 3 2" xfId="14958" xr:uid="{F5FA0588-3476-4B0B-8904-F27DE70C0101}"/>
    <cellStyle name="Normal 8 4 2 6 4" xfId="10740" xr:uid="{86690AF7-4BE2-4972-86A9-B7938977BE9C}"/>
    <cellStyle name="Normal 8 4 2 7" xfId="2652" xr:uid="{00000000-0005-0000-0000-0000F51D0000}"/>
    <cellStyle name="Normal 8 4 2 7 2" xfId="6936" xr:uid="{00000000-0005-0000-0000-0000F61D0000}"/>
    <cellStyle name="Normal 8 4 2 7 2 2" xfId="15371" xr:uid="{90D4D32B-1C3E-4565-9325-97F369234972}"/>
    <cellStyle name="Normal 8 4 2 7 3" xfId="11153" xr:uid="{2662B0F4-A193-4C42-BD34-6A4E66061D42}"/>
    <cellStyle name="Normal 8 4 2 8" xfId="4871" xr:uid="{00000000-0005-0000-0000-0000F71D0000}"/>
    <cellStyle name="Normal 8 4 2 8 2" xfId="13306" xr:uid="{0E3A7FB6-8F35-4895-9407-24AAB5ECD00F}"/>
    <cellStyle name="Normal 8 4 2 9" xfId="9088" xr:uid="{355A1B44-5768-4D94-8A24-CB23672344B7}"/>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382ED066-71E4-4D71-82B3-3DD9A4E07185}"/>
    <cellStyle name="Normal 8 4 3 2 2 3" xfId="11648" xr:uid="{8067B5BE-55FF-4DE6-9353-4AE1CD2111D7}"/>
    <cellStyle name="Normal 8 4 3 2 3" xfId="5286" xr:uid="{00000000-0005-0000-0000-0000FC1D0000}"/>
    <cellStyle name="Normal 8 4 3 2 3 2" xfId="13721" xr:uid="{30C242D8-DF05-4B20-B09F-5389C641815C}"/>
    <cellStyle name="Normal 8 4 3 2 4" xfId="9503" xr:uid="{07394FFC-7DFB-4BB6-89D0-334BBC35FF51}"/>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C6D6CFDB-80C6-4104-B1B7-D98DE41C603E}"/>
    <cellStyle name="Normal 8 4 3 3 2 3" xfId="12061" xr:uid="{73ABAFB7-5BF9-42D7-9654-9BC165866D4A}"/>
    <cellStyle name="Normal 8 4 3 3 3" xfId="5699" xr:uid="{00000000-0005-0000-0000-0000001E0000}"/>
    <cellStyle name="Normal 8 4 3 3 3 2" xfId="14134" xr:uid="{B499F9CE-A201-4611-9949-625A022232BF}"/>
    <cellStyle name="Normal 8 4 3 3 4" xfId="9916" xr:uid="{FCF15695-68A2-4F81-B921-4274C62697E9}"/>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09638459-445F-47CC-9E05-711D6FB2BBF2}"/>
    <cellStyle name="Normal 8 4 3 4 2 3" xfId="12474" xr:uid="{AC1140BC-8F1B-4CC2-96EB-F0C3F2581827}"/>
    <cellStyle name="Normal 8 4 3 4 3" xfId="6112" xr:uid="{00000000-0005-0000-0000-0000041E0000}"/>
    <cellStyle name="Normal 8 4 3 4 3 2" xfId="14547" xr:uid="{17889534-E4AB-4DF1-960F-56B6FFB2BEB5}"/>
    <cellStyle name="Normal 8 4 3 4 4" xfId="10329" xr:uid="{FDD22DAB-ED72-48D4-9AB4-BAE7352E6FE2}"/>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A2BC7A19-301A-4E33-8776-6EFED703D9F9}"/>
    <cellStyle name="Normal 8 4 3 5 2 3" xfId="12887" xr:uid="{1AF03BED-4A0D-4142-BAFA-AF514D3B93AE}"/>
    <cellStyle name="Normal 8 4 3 5 3" xfId="6525" xr:uid="{00000000-0005-0000-0000-0000081E0000}"/>
    <cellStyle name="Normal 8 4 3 5 3 2" xfId="14960" xr:uid="{719C0B2E-0639-4655-97A8-A0056976ACE4}"/>
    <cellStyle name="Normal 8 4 3 5 4" xfId="10742" xr:uid="{28DFD165-0909-4FB4-90E0-D20ACBC20CF5}"/>
    <cellStyle name="Normal 8 4 3 6" xfId="2654" xr:uid="{00000000-0005-0000-0000-0000091E0000}"/>
    <cellStyle name="Normal 8 4 3 6 2" xfId="6938" xr:uid="{00000000-0005-0000-0000-00000A1E0000}"/>
    <cellStyle name="Normal 8 4 3 6 2 2" xfId="15373" xr:uid="{49D234B6-4D3D-4881-B921-27F36E2B263F}"/>
    <cellStyle name="Normal 8 4 3 6 3" xfId="11155" xr:uid="{BA9359FC-4545-4157-A6E3-F49BD0C5C761}"/>
    <cellStyle name="Normal 8 4 3 7" xfId="4873" xr:uid="{00000000-0005-0000-0000-00000B1E0000}"/>
    <cellStyle name="Normal 8 4 3 7 2" xfId="13308" xr:uid="{5E5BC825-648A-4762-8537-B928D7D4B578}"/>
    <cellStyle name="Normal 8 4 3 8" xfId="9090" xr:uid="{4A9112DB-F5CA-4DB4-8984-704D2C4E7AC9}"/>
    <cellStyle name="Normal 8 4 4" xfId="971" xr:uid="{00000000-0005-0000-0000-00000C1E0000}"/>
    <cellStyle name="Normal 8 4 4 2" xfId="3205" xr:uid="{00000000-0005-0000-0000-00000D1E0000}"/>
    <cellStyle name="Normal 8 4 4 2 2" xfId="7428" xr:uid="{00000000-0005-0000-0000-00000E1E0000}"/>
    <cellStyle name="Normal 8 4 4 2 2 2" xfId="15863" xr:uid="{7E15974A-4796-4CAA-88F6-F7F26F0FA293}"/>
    <cellStyle name="Normal 8 4 4 2 3" xfId="11645" xr:uid="{346D1CAE-A815-432B-9137-AD372E0A1BFC}"/>
    <cellStyle name="Normal 8 4 4 3" xfId="5283" xr:uid="{00000000-0005-0000-0000-00000F1E0000}"/>
    <cellStyle name="Normal 8 4 4 3 2" xfId="13718" xr:uid="{C303766A-4565-4646-AF7E-F8A394EC0082}"/>
    <cellStyle name="Normal 8 4 4 4" xfId="9500" xr:uid="{A1877513-FC30-4AD7-9903-8506A6DEF20F}"/>
    <cellStyle name="Normal 8 4 5" xfId="1388" xr:uid="{00000000-0005-0000-0000-0000101E0000}"/>
    <cellStyle name="Normal 8 4 5 2" xfId="3618" xr:uid="{00000000-0005-0000-0000-0000111E0000}"/>
    <cellStyle name="Normal 8 4 5 2 2" xfId="7841" xr:uid="{00000000-0005-0000-0000-0000121E0000}"/>
    <cellStyle name="Normal 8 4 5 2 2 2" xfId="16276" xr:uid="{D0F00A34-359D-4923-A20F-07485A777EAE}"/>
    <cellStyle name="Normal 8 4 5 2 3" xfId="12058" xr:uid="{CB4E0AEF-74CF-4083-9FBF-134EF6F473A1}"/>
    <cellStyle name="Normal 8 4 5 3" xfId="5696" xr:uid="{00000000-0005-0000-0000-0000131E0000}"/>
    <cellStyle name="Normal 8 4 5 3 2" xfId="14131" xr:uid="{8A6CF777-76C7-4D1A-81FA-91702E9D9F4F}"/>
    <cellStyle name="Normal 8 4 5 4" xfId="9913" xr:uid="{530142FC-A6DA-4FCD-9857-6F922B80B7EB}"/>
    <cellStyle name="Normal 8 4 6" xfId="1801" xr:uid="{00000000-0005-0000-0000-0000141E0000}"/>
    <cellStyle name="Normal 8 4 6 2" xfId="4031" xr:uid="{00000000-0005-0000-0000-0000151E0000}"/>
    <cellStyle name="Normal 8 4 6 2 2" xfId="8254" xr:uid="{00000000-0005-0000-0000-0000161E0000}"/>
    <cellStyle name="Normal 8 4 6 2 2 2" xfId="16689" xr:uid="{15FE0D34-B578-4323-8DB9-F9E9D415B71D}"/>
    <cellStyle name="Normal 8 4 6 2 3" xfId="12471" xr:uid="{6EA8D433-8DC8-42F0-887A-8897541EE6E1}"/>
    <cellStyle name="Normal 8 4 6 3" xfId="6109" xr:uid="{00000000-0005-0000-0000-0000171E0000}"/>
    <cellStyle name="Normal 8 4 6 3 2" xfId="14544" xr:uid="{70FA8813-40F9-4746-98FD-0D769C9AD3FB}"/>
    <cellStyle name="Normal 8 4 6 4" xfId="10326" xr:uid="{6697C49F-33DB-454F-95A2-55AEBA5022A6}"/>
    <cellStyle name="Normal 8 4 7" xfId="2215" xr:uid="{00000000-0005-0000-0000-0000181E0000}"/>
    <cellStyle name="Normal 8 4 7 2" xfId="4444" xr:uid="{00000000-0005-0000-0000-0000191E0000}"/>
    <cellStyle name="Normal 8 4 7 2 2" xfId="8667" xr:uid="{00000000-0005-0000-0000-00001A1E0000}"/>
    <cellStyle name="Normal 8 4 7 2 2 2" xfId="17102" xr:uid="{AE7F68FB-DC5F-47DD-9471-035B973657EC}"/>
    <cellStyle name="Normal 8 4 7 2 3" xfId="12884" xr:uid="{546412EA-7184-4FFD-84D4-3BE0F0A62C9D}"/>
    <cellStyle name="Normal 8 4 7 3" xfId="6522" xr:uid="{00000000-0005-0000-0000-00001B1E0000}"/>
    <cellStyle name="Normal 8 4 7 3 2" xfId="14957" xr:uid="{544DD53F-FE7E-4A51-9E5A-5BC7E1764FEB}"/>
    <cellStyle name="Normal 8 4 7 4" xfId="10739" xr:uid="{E6F66CFF-8C4B-4635-A125-DF050D3510C2}"/>
    <cellStyle name="Normal 8 4 8" xfId="2651" xr:uid="{00000000-0005-0000-0000-00001C1E0000}"/>
    <cellStyle name="Normal 8 4 8 2" xfId="6935" xr:uid="{00000000-0005-0000-0000-00001D1E0000}"/>
    <cellStyle name="Normal 8 4 8 2 2" xfId="15370" xr:uid="{26D4862C-3617-42DF-BFD8-F4CC5F826221}"/>
    <cellStyle name="Normal 8 4 8 3" xfId="11152" xr:uid="{3B965D6E-1F24-4395-9E1F-25033C13FBCF}"/>
    <cellStyle name="Normal 8 4 9" xfId="4870" xr:uid="{00000000-0005-0000-0000-00001E1E0000}"/>
    <cellStyle name="Normal 8 4 9 2" xfId="13305" xr:uid="{BCA5B9E5-8074-4651-83DD-7A60C0D34F7A}"/>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51E592E9-E35F-473C-8CB4-DB1C972B9C5B}"/>
    <cellStyle name="Normal 8 5 2 2 2 3" xfId="11650" xr:uid="{803D37F2-5AFF-4BBF-94A7-96BBD8034CE6}"/>
    <cellStyle name="Normal 8 5 2 2 3" xfId="5288" xr:uid="{00000000-0005-0000-0000-0000241E0000}"/>
    <cellStyle name="Normal 8 5 2 2 3 2" xfId="13723" xr:uid="{3A9D3CBB-47A2-4030-AF57-DD8A682C9B4B}"/>
    <cellStyle name="Normal 8 5 2 2 4" xfId="9505" xr:uid="{1CCC9B75-8E6B-44E4-83A1-E546C995954D}"/>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94B08861-680C-41A6-BB3F-6708B55E6505}"/>
    <cellStyle name="Normal 8 5 2 3 2 3" xfId="12063" xr:uid="{B1A05B91-225D-4ED8-AD9F-AE63B39F2A51}"/>
    <cellStyle name="Normal 8 5 2 3 3" xfId="5701" xr:uid="{00000000-0005-0000-0000-0000281E0000}"/>
    <cellStyle name="Normal 8 5 2 3 3 2" xfId="14136" xr:uid="{E88573E8-BD8E-4839-A48C-5C9EB33C8F9E}"/>
    <cellStyle name="Normal 8 5 2 3 4" xfId="9918" xr:uid="{FD957742-69BC-4DDA-A347-5ACA06BD2DD7}"/>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A64B7E1E-EA93-4D66-A76D-2B9D864593F1}"/>
    <cellStyle name="Normal 8 5 2 4 2 3" xfId="12476" xr:uid="{92F57FB9-7A62-4DE0-95B7-00AC9D7E2BC8}"/>
    <cellStyle name="Normal 8 5 2 4 3" xfId="6114" xr:uid="{00000000-0005-0000-0000-00002C1E0000}"/>
    <cellStyle name="Normal 8 5 2 4 3 2" xfId="14549" xr:uid="{0190AAE2-B42D-40CC-9565-D9F58E1A1AF1}"/>
    <cellStyle name="Normal 8 5 2 4 4" xfId="10331" xr:uid="{2CBC5E64-7740-49C0-AE64-270FDE778D37}"/>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7527383D-EE24-4BAF-95C5-55667124400B}"/>
    <cellStyle name="Normal 8 5 2 5 2 3" xfId="12889" xr:uid="{7269BC48-B34F-47B2-9B01-79B54CAA8AFA}"/>
    <cellStyle name="Normal 8 5 2 5 3" xfId="6527" xr:uid="{00000000-0005-0000-0000-0000301E0000}"/>
    <cellStyle name="Normal 8 5 2 5 3 2" xfId="14962" xr:uid="{930E118B-420D-4A43-8628-AD8E13A1732F}"/>
    <cellStyle name="Normal 8 5 2 5 4" xfId="10744" xr:uid="{8C0622B0-43BE-4F23-8205-3B284EAEBF58}"/>
    <cellStyle name="Normal 8 5 2 6" xfId="2656" xr:uid="{00000000-0005-0000-0000-0000311E0000}"/>
    <cellStyle name="Normal 8 5 2 6 2" xfId="6940" xr:uid="{00000000-0005-0000-0000-0000321E0000}"/>
    <cellStyle name="Normal 8 5 2 6 2 2" xfId="15375" xr:uid="{2F944090-0BEA-4441-A1C0-1EC579EC9FD4}"/>
    <cellStyle name="Normal 8 5 2 6 3" xfId="11157" xr:uid="{9AB03EA2-F5F6-4786-A538-6F0871DEFAF6}"/>
    <cellStyle name="Normal 8 5 2 7" xfId="4875" xr:uid="{00000000-0005-0000-0000-0000331E0000}"/>
    <cellStyle name="Normal 8 5 2 7 2" xfId="13310" xr:uid="{FFC8C188-005C-40BC-A047-1D163B720BA1}"/>
    <cellStyle name="Normal 8 5 2 8" xfId="9092" xr:uid="{E2F7AA20-FBB5-4CC9-B034-61EA1F1A738D}"/>
    <cellStyle name="Normal 8 5 3" xfId="975" xr:uid="{00000000-0005-0000-0000-0000341E0000}"/>
    <cellStyle name="Normal 8 5 3 2" xfId="3209" xr:uid="{00000000-0005-0000-0000-0000351E0000}"/>
    <cellStyle name="Normal 8 5 3 2 2" xfId="7432" xr:uid="{00000000-0005-0000-0000-0000361E0000}"/>
    <cellStyle name="Normal 8 5 3 2 2 2" xfId="15867" xr:uid="{A9599D23-B849-46A8-B7B6-988D2ED91F95}"/>
    <cellStyle name="Normal 8 5 3 2 3" xfId="11649" xr:uid="{E7E3EF69-5BB9-4256-ADBE-7BBDAA638D36}"/>
    <cellStyle name="Normal 8 5 3 3" xfId="5287" xr:uid="{00000000-0005-0000-0000-0000371E0000}"/>
    <cellStyle name="Normal 8 5 3 3 2" xfId="13722" xr:uid="{40583A50-8E85-4D31-98CB-C081E714080A}"/>
    <cellStyle name="Normal 8 5 3 4" xfId="9504" xr:uid="{D1A19FE1-3C15-4706-B158-A33F6E930086}"/>
    <cellStyle name="Normal 8 5 4" xfId="1392" xr:uid="{00000000-0005-0000-0000-0000381E0000}"/>
    <cellStyle name="Normal 8 5 4 2" xfId="3622" xr:uid="{00000000-0005-0000-0000-0000391E0000}"/>
    <cellStyle name="Normal 8 5 4 2 2" xfId="7845" xr:uid="{00000000-0005-0000-0000-00003A1E0000}"/>
    <cellStyle name="Normal 8 5 4 2 2 2" xfId="16280" xr:uid="{F1B6E859-3A8A-4742-86E0-6E6E85292B13}"/>
    <cellStyle name="Normal 8 5 4 2 3" xfId="12062" xr:uid="{214ADF5F-E272-458B-BD43-A2FF879E78C1}"/>
    <cellStyle name="Normal 8 5 4 3" xfId="5700" xr:uid="{00000000-0005-0000-0000-00003B1E0000}"/>
    <cellStyle name="Normal 8 5 4 3 2" xfId="14135" xr:uid="{7D4F7515-A8D3-4377-A752-DB0BD1F876F1}"/>
    <cellStyle name="Normal 8 5 4 4" xfId="9917" xr:uid="{147F137B-5F08-45DA-9DE2-6FE3F4345616}"/>
    <cellStyle name="Normal 8 5 5" xfId="1805" xr:uid="{00000000-0005-0000-0000-00003C1E0000}"/>
    <cellStyle name="Normal 8 5 5 2" xfId="4035" xr:uid="{00000000-0005-0000-0000-00003D1E0000}"/>
    <cellStyle name="Normal 8 5 5 2 2" xfId="8258" xr:uid="{00000000-0005-0000-0000-00003E1E0000}"/>
    <cellStyle name="Normal 8 5 5 2 2 2" xfId="16693" xr:uid="{2A5219AC-8E7E-4B3B-82D1-6D3E4CD01815}"/>
    <cellStyle name="Normal 8 5 5 2 3" xfId="12475" xr:uid="{6D805214-0625-485D-BAD7-66B89C4F3116}"/>
    <cellStyle name="Normal 8 5 5 3" xfId="6113" xr:uid="{00000000-0005-0000-0000-00003F1E0000}"/>
    <cellStyle name="Normal 8 5 5 3 2" xfId="14548" xr:uid="{4F827AA1-A867-4D0E-9A28-C200FCB55BD5}"/>
    <cellStyle name="Normal 8 5 5 4" xfId="10330" xr:uid="{4D770C1C-CED2-4344-B47C-4DF48AD2168B}"/>
    <cellStyle name="Normal 8 5 6" xfId="2219" xr:uid="{00000000-0005-0000-0000-0000401E0000}"/>
    <cellStyle name="Normal 8 5 6 2" xfId="4448" xr:uid="{00000000-0005-0000-0000-0000411E0000}"/>
    <cellStyle name="Normal 8 5 6 2 2" xfId="8671" xr:uid="{00000000-0005-0000-0000-0000421E0000}"/>
    <cellStyle name="Normal 8 5 6 2 2 2" xfId="17106" xr:uid="{4CFC820A-52F7-4D12-9F88-C23D61606770}"/>
    <cellStyle name="Normal 8 5 6 2 3" xfId="12888" xr:uid="{4FFAFDE1-364A-4DCD-BF33-417AEAF5D47C}"/>
    <cellStyle name="Normal 8 5 6 3" xfId="6526" xr:uid="{00000000-0005-0000-0000-0000431E0000}"/>
    <cellStyle name="Normal 8 5 6 3 2" xfId="14961" xr:uid="{C9CD8064-70EE-4F41-B430-7A354E6CE949}"/>
    <cellStyle name="Normal 8 5 6 4" xfId="10743" xr:uid="{4A61CE75-2C6F-42EC-80C2-6F4A4D4FBC26}"/>
    <cellStyle name="Normal 8 5 7" xfId="2655" xr:uid="{00000000-0005-0000-0000-0000441E0000}"/>
    <cellStyle name="Normal 8 5 7 2" xfId="6939" xr:uid="{00000000-0005-0000-0000-0000451E0000}"/>
    <cellStyle name="Normal 8 5 7 2 2" xfId="15374" xr:uid="{08D0CC20-48C3-48A9-987B-6FFEE0B758C8}"/>
    <cellStyle name="Normal 8 5 7 3" xfId="11156" xr:uid="{1B132EEA-128B-4D12-8020-CC430B006F38}"/>
    <cellStyle name="Normal 8 5 8" xfId="4874" xr:uid="{00000000-0005-0000-0000-0000461E0000}"/>
    <cellStyle name="Normal 8 5 8 2" xfId="13309" xr:uid="{82870ED2-AFED-4A7E-B83A-251EFB1312FE}"/>
    <cellStyle name="Normal 8 5 9" xfId="9091" xr:uid="{69502650-52E6-46F4-9496-2D9C5B008E4F}"/>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4CE8D423-703D-436C-A7ED-B54C22D4037B}"/>
    <cellStyle name="Normal 8 6 2 2 3" xfId="11651" xr:uid="{075F54F1-0DE2-420D-A1CA-37EE6BAA299A}"/>
    <cellStyle name="Normal 8 6 2 3" xfId="5289" xr:uid="{00000000-0005-0000-0000-00004B1E0000}"/>
    <cellStyle name="Normal 8 6 2 3 2" xfId="13724" xr:uid="{D084EB54-BBBA-4C07-9C77-6F1C10AAD541}"/>
    <cellStyle name="Normal 8 6 2 4" xfId="9506" xr:uid="{271B23A8-D0CD-4B67-B4E5-0A7FC45988EF}"/>
    <cellStyle name="Normal 8 6 3" xfId="1394" xr:uid="{00000000-0005-0000-0000-00004C1E0000}"/>
    <cellStyle name="Normal 8 6 3 2" xfId="3624" xr:uid="{00000000-0005-0000-0000-00004D1E0000}"/>
    <cellStyle name="Normal 8 6 3 2 2" xfId="7847" xr:uid="{00000000-0005-0000-0000-00004E1E0000}"/>
    <cellStyle name="Normal 8 6 3 2 2 2" xfId="16282" xr:uid="{E56C7CD4-1426-4021-ABE4-0BDE2DE8ACFF}"/>
    <cellStyle name="Normal 8 6 3 2 3" xfId="12064" xr:uid="{6B38F90F-B333-4EA5-A15E-B9EE1580E3B0}"/>
    <cellStyle name="Normal 8 6 3 3" xfId="5702" xr:uid="{00000000-0005-0000-0000-00004F1E0000}"/>
    <cellStyle name="Normal 8 6 3 3 2" xfId="14137" xr:uid="{40D00595-DE72-406B-AA0C-C5D9C22632FE}"/>
    <cellStyle name="Normal 8 6 3 4" xfId="9919" xr:uid="{BF84A782-E585-4018-973F-505C1EC9D277}"/>
    <cellStyle name="Normal 8 6 4" xfId="1807" xr:uid="{00000000-0005-0000-0000-0000501E0000}"/>
    <cellStyle name="Normal 8 6 4 2" xfId="4037" xr:uid="{00000000-0005-0000-0000-0000511E0000}"/>
    <cellStyle name="Normal 8 6 4 2 2" xfId="8260" xr:uid="{00000000-0005-0000-0000-0000521E0000}"/>
    <cellStyle name="Normal 8 6 4 2 2 2" xfId="16695" xr:uid="{698EE09C-29DF-4035-A82B-FFC46629DBFF}"/>
    <cellStyle name="Normal 8 6 4 2 3" xfId="12477" xr:uid="{B8586DAF-6050-478F-B6E8-945F62892E83}"/>
    <cellStyle name="Normal 8 6 4 3" xfId="6115" xr:uid="{00000000-0005-0000-0000-0000531E0000}"/>
    <cellStyle name="Normal 8 6 4 3 2" xfId="14550" xr:uid="{8EB956F3-13C1-4F9F-AB9C-4EFD6348C2C3}"/>
    <cellStyle name="Normal 8 6 4 4" xfId="10332" xr:uid="{3D4125B7-28E3-4E94-B38B-3AB39083C6FC}"/>
    <cellStyle name="Normal 8 6 5" xfId="2221" xr:uid="{00000000-0005-0000-0000-0000541E0000}"/>
    <cellStyle name="Normal 8 6 5 2" xfId="4450" xr:uid="{00000000-0005-0000-0000-0000551E0000}"/>
    <cellStyle name="Normal 8 6 5 2 2" xfId="8673" xr:uid="{00000000-0005-0000-0000-0000561E0000}"/>
    <cellStyle name="Normal 8 6 5 2 2 2" xfId="17108" xr:uid="{C56B1D62-ADE5-48E9-8ED2-F523DDDFE523}"/>
    <cellStyle name="Normal 8 6 5 2 3" xfId="12890" xr:uid="{2756F7A1-F5CA-4309-9FBF-95BCCA44EED7}"/>
    <cellStyle name="Normal 8 6 5 3" xfId="6528" xr:uid="{00000000-0005-0000-0000-0000571E0000}"/>
    <cellStyle name="Normal 8 6 5 3 2" xfId="14963" xr:uid="{02ABE016-480F-41FC-8324-6F57A734A35E}"/>
    <cellStyle name="Normal 8 6 5 4" xfId="10745" xr:uid="{668DD70F-A22B-4386-BF3B-AD32912999E2}"/>
    <cellStyle name="Normal 8 6 6" xfId="2657" xr:uid="{00000000-0005-0000-0000-0000581E0000}"/>
    <cellStyle name="Normal 8 6 6 2" xfId="6941" xr:uid="{00000000-0005-0000-0000-0000591E0000}"/>
    <cellStyle name="Normal 8 6 6 2 2" xfId="15376" xr:uid="{AA62DF51-43C8-47EB-9C02-9CC520D6CD95}"/>
    <cellStyle name="Normal 8 6 6 3" xfId="11158" xr:uid="{B7E15004-FE8E-4CB8-BEDE-CAECB39B3A86}"/>
    <cellStyle name="Normal 8 6 7" xfId="4876" xr:uid="{00000000-0005-0000-0000-00005A1E0000}"/>
    <cellStyle name="Normal 8 6 7 2" xfId="13311" xr:uid="{1C3C14D2-A30A-40F1-A28C-3D8F6672717D}"/>
    <cellStyle name="Normal 8 6 8" xfId="9093" xr:uid="{5037E92D-0961-4C97-A21C-1D43238B015C}"/>
    <cellStyle name="Normal 8 7" xfId="946" xr:uid="{00000000-0005-0000-0000-00005B1E0000}"/>
    <cellStyle name="Normal 8 7 2" xfId="3180" xr:uid="{00000000-0005-0000-0000-00005C1E0000}"/>
    <cellStyle name="Normal 8 7 2 2" xfId="7403" xr:uid="{00000000-0005-0000-0000-00005D1E0000}"/>
    <cellStyle name="Normal 8 7 2 2 2" xfId="15838" xr:uid="{AFE273C0-863F-4A76-8D6B-DDC9E7D3D5C7}"/>
    <cellStyle name="Normal 8 7 2 3" xfId="11620" xr:uid="{5F1D41BA-B7D9-4DDF-B37F-21BB3118ABA3}"/>
    <cellStyle name="Normal 8 7 3" xfId="5258" xr:uid="{00000000-0005-0000-0000-00005E1E0000}"/>
    <cellStyle name="Normal 8 7 3 2" xfId="13693" xr:uid="{2783DF71-88A8-4EA7-8D9D-60AFAAD1A20B}"/>
    <cellStyle name="Normal 8 7 4" xfId="9475" xr:uid="{F1237453-4B77-4DC4-8E58-BDF142C97918}"/>
    <cellStyle name="Normal 8 8" xfId="1363" xr:uid="{00000000-0005-0000-0000-00005F1E0000}"/>
    <cellStyle name="Normal 8 8 2" xfId="3593" xr:uid="{00000000-0005-0000-0000-0000601E0000}"/>
    <cellStyle name="Normal 8 8 2 2" xfId="7816" xr:uid="{00000000-0005-0000-0000-0000611E0000}"/>
    <cellStyle name="Normal 8 8 2 2 2" xfId="16251" xr:uid="{ECF2EAF1-E45A-445B-98BC-A66A15EAF4AA}"/>
    <cellStyle name="Normal 8 8 2 3" xfId="12033" xr:uid="{E0391F65-989A-499E-84DF-FB436D195256}"/>
    <cellStyle name="Normal 8 8 3" xfId="5671" xr:uid="{00000000-0005-0000-0000-0000621E0000}"/>
    <cellStyle name="Normal 8 8 3 2" xfId="14106" xr:uid="{496554D7-B2E4-43AB-B279-B9E3A39D8AE0}"/>
    <cellStyle name="Normal 8 8 4" xfId="9888" xr:uid="{0D4DF2B2-E8A3-4864-BDF9-545294C98F5F}"/>
    <cellStyle name="Normal 8 9" xfId="1776" xr:uid="{00000000-0005-0000-0000-0000631E0000}"/>
    <cellStyle name="Normal 8 9 2" xfId="4006" xr:uid="{00000000-0005-0000-0000-0000641E0000}"/>
    <cellStyle name="Normal 8 9 2 2" xfId="8229" xr:uid="{00000000-0005-0000-0000-0000651E0000}"/>
    <cellStyle name="Normal 8 9 2 2 2" xfId="16664" xr:uid="{CBD08E0F-A82A-420B-9FA6-92290B6E2338}"/>
    <cellStyle name="Normal 8 9 2 3" xfId="12446" xr:uid="{CC8E3F5F-7828-4C0D-8CF1-756A6973BDCF}"/>
    <cellStyle name="Normal 8 9 3" xfId="6084" xr:uid="{00000000-0005-0000-0000-0000661E0000}"/>
    <cellStyle name="Normal 8 9 3 2" xfId="14519" xr:uid="{8455C505-D950-4548-B5F6-F1EEB7EFAB62}"/>
    <cellStyle name="Normal 8 9 4" xfId="10301" xr:uid="{852C5119-BE6F-41F2-ABA9-E82A9A748A94}"/>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BD56FDCE-D528-4EA3-BB6B-E9AB12DFC2B1}"/>
    <cellStyle name="Normal 9 2 10 3" xfId="11159" xr:uid="{961859F5-25D7-4080-B0A4-F221CE65DD2B}"/>
    <cellStyle name="Normal 9 2 11" xfId="4877" xr:uid="{00000000-0005-0000-0000-00006B1E0000}"/>
    <cellStyle name="Normal 9 2 11 2" xfId="13312" xr:uid="{38F3FB01-6BAB-4051-B067-82EF6160C4FE}"/>
    <cellStyle name="Normal 9 2 12" xfId="9094" xr:uid="{F39ECD38-A583-412D-82F1-BC436B4B044D}"/>
    <cellStyle name="Normal 9 2 2" xfId="512" xr:uid="{00000000-0005-0000-0000-00006C1E0000}"/>
    <cellStyle name="Normal 9 2 2 10" xfId="4878" xr:uid="{00000000-0005-0000-0000-00006D1E0000}"/>
    <cellStyle name="Normal 9 2 2 10 2" xfId="13313" xr:uid="{EF1855D8-FF6A-466E-952D-7529F822AD25}"/>
    <cellStyle name="Normal 9 2 2 11" xfId="9095" xr:uid="{BBF4927E-A8F6-4A78-A940-A7CA7709A7DD}"/>
    <cellStyle name="Normal 9 2 2 2" xfId="513" xr:uid="{00000000-0005-0000-0000-00006E1E0000}"/>
    <cellStyle name="Normal 9 2 2 2 10" xfId="9096" xr:uid="{90E6E202-99AB-49EA-A9EC-003733B7BB45}"/>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802346B5-4C24-41E6-9127-E135749BC76B}"/>
    <cellStyle name="Normal 9 2 2 2 2 2 2 2 3" xfId="11656" xr:uid="{F54EFA2F-6640-4B1A-BEC7-803F3B91B28A}"/>
    <cellStyle name="Normal 9 2 2 2 2 2 2 3" xfId="5294" xr:uid="{00000000-0005-0000-0000-0000741E0000}"/>
    <cellStyle name="Normal 9 2 2 2 2 2 2 3 2" xfId="13729" xr:uid="{5ADC4AB0-EA93-4EF1-A3DE-70C157A0A1A0}"/>
    <cellStyle name="Normal 9 2 2 2 2 2 2 4" xfId="9511" xr:uid="{F5E90954-D64C-4E06-9C85-6732DCD0A2D5}"/>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C6528C0E-0F7C-4297-8ABE-2BC8DC82BF30}"/>
    <cellStyle name="Normal 9 2 2 2 2 2 3 2 3" xfId="12069" xr:uid="{1A2113D9-BD52-41C4-AAAC-552900CDC139}"/>
    <cellStyle name="Normal 9 2 2 2 2 2 3 3" xfId="5707" xr:uid="{00000000-0005-0000-0000-0000781E0000}"/>
    <cellStyle name="Normal 9 2 2 2 2 2 3 3 2" xfId="14142" xr:uid="{778DDBD0-77E7-4ABF-968D-7AD2F98F99F1}"/>
    <cellStyle name="Normal 9 2 2 2 2 2 3 4" xfId="9924" xr:uid="{632B418D-BC72-4375-9C53-63C9C98A0D78}"/>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A29D91CA-6A02-4315-BD43-760B915F663B}"/>
    <cellStyle name="Normal 9 2 2 2 2 2 4 2 3" xfId="12482" xr:uid="{8B33A8DC-DABB-480C-8790-2288F74467EE}"/>
    <cellStyle name="Normal 9 2 2 2 2 2 4 3" xfId="6120" xr:uid="{00000000-0005-0000-0000-00007C1E0000}"/>
    <cellStyle name="Normal 9 2 2 2 2 2 4 3 2" xfId="14555" xr:uid="{DE8B2F2F-651D-46CE-9280-C8BFDA32DB09}"/>
    <cellStyle name="Normal 9 2 2 2 2 2 4 4" xfId="10337" xr:uid="{2AC83E5C-BB56-4A34-B3FC-6B2CAEFB83A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4B3C09BE-4DFC-4E8F-A91F-FCF6B2105015}"/>
    <cellStyle name="Normal 9 2 2 2 2 2 5 2 3" xfId="12895" xr:uid="{18A67772-19CE-44A2-A307-A11981DCEE8C}"/>
    <cellStyle name="Normal 9 2 2 2 2 2 5 3" xfId="6533" xr:uid="{00000000-0005-0000-0000-0000801E0000}"/>
    <cellStyle name="Normal 9 2 2 2 2 2 5 3 2" xfId="14968" xr:uid="{66A0CC35-A170-4F71-A7FD-1643AAE09A08}"/>
    <cellStyle name="Normal 9 2 2 2 2 2 5 4" xfId="10750" xr:uid="{24716227-D7A0-4C79-B263-191669CC59F5}"/>
    <cellStyle name="Normal 9 2 2 2 2 2 6" xfId="2662" xr:uid="{00000000-0005-0000-0000-0000811E0000}"/>
    <cellStyle name="Normal 9 2 2 2 2 2 6 2" xfId="6946" xr:uid="{00000000-0005-0000-0000-0000821E0000}"/>
    <cellStyle name="Normal 9 2 2 2 2 2 6 2 2" xfId="15381" xr:uid="{4261066C-509F-47FD-BD8D-F433F4A5357A}"/>
    <cellStyle name="Normal 9 2 2 2 2 2 6 3" xfId="11163" xr:uid="{8498DC8F-A482-447C-9977-A82DC2770057}"/>
    <cellStyle name="Normal 9 2 2 2 2 2 7" xfId="4881" xr:uid="{00000000-0005-0000-0000-0000831E0000}"/>
    <cellStyle name="Normal 9 2 2 2 2 2 7 2" xfId="13316" xr:uid="{3508A10D-58F1-4DEC-AD65-F860968B62EB}"/>
    <cellStyle name="Normal 9 2 2 2 2 2 8" xfId="9098" xr:uid="{ADD356ED-B0B3-431D-9154-A8BD11D1C4EF}"/>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2683F1F5-2631-4EB4-B3A9-E56D13C1862A}"/>
    <cellStyle name="Normal 9 2 2 2 2 3 2 3" xfId="11655" xr:uid="{3E31392E-96DA-42F8-B453-A6088BBAD0B2}"/>
    <cellStyle name="Normal 9 2 2 2 2 3 3" xfId="5293" xr:uid="{00000000-0005-0000-0000-0000871E0000}"/>
    <cellStyle name="Normal 9 2 2 2 2 3 3 2" xfId="13728" xr:uid="{942D8654-E68F-4751-BCCC-2AB232B07A2A}"/>
    <cellStyle name="Normal 9 2 2 2 2 3 4" xfId="9510" xr:uid="{52138072-711E-43D1-90C9-27769FED3DB2}"/>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82680DF3-BE47-46A6-AE3B-6E2B8F5A370B}"/>
    <cellStyle name="Normal 9 2 2 2 2 4 2 3" xfId="12068" xr:uid="{EDCE6857-D463-4852-B1A9-6239A6D1595B}"/>
    <cellStyle name="Normal 9 2 2 2 2 4 3" xfId="5706" xr:uid="{00000000-0005-0000-0000-00008B1E0000}"/>
    <cellStyle name="Normal 9 2 2 2 2 4 3 2" xfId="14141" xr:uid="{A15BB792-1033-4B22-B082-85E91786C3A9}"/>
    <cellStyle name="Normal 9 2 2 2 2 4 4" xfId="9923" xr:uid="{C01B4CBB-405D-451E-9AD7-0F9742678322}"/>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8ACB0633-2C03-426F-8758-02944725002C}"/>
    <cellStyle name="Normal 9 2 2 2 2 5 2 3" xfId="12481" xr:uid="{A82C5B52-DB76-4267-8553-6B2DEEFCAA36}"/>
    <cellStyle name="Normal 9 2 2 2 2 5 3" xfId="6119" xr:uid="{00000000-0005-0000-0000-00008F1E0000}"/>
    <cellStyle name="Normal 9 2 2 2 2 5 3 2" xfId="14554" xr:uid="{76BA3A36-D850-4697-A3AC-8D63A7556C33}"/>
    <cellStyle name="Normal 9 2 2 2 2 5 4" xfId="10336" xr:uid="{5A286D53-0314-422F-9932-71D029E0E7FC}"/>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1E7BAF61-6C72-4191-9982-048ABF9AC553}"/>
    <cellStyle name="Normal 9 2 2 2 2 6 2 3" xfId="12894" xr:uid="{18EFE5AF-1ED8-4A70-8344-0AC64A062CB2}"/>
    <cellStyle name="Normal 9 2 2 2 2 6 3" xfId="6532" xr:uid="{00000000-0005-0000-0000-0000931E0000}"/>
    <cellStyle name="Normal 9 2 2 2 2 6 3 2" xfId="14967" xr:uid="{E929189B-8E6F-4748-BD9E-5BD4412B200D}"/>
    <cellStyle name="Normal 9 2 2 2 2 6 4" xfId="10749" xr:uid="{9460EEEC-ECC3-4812-91DE-1C63DC213655}"/>
    <cellStyle name="Normal 9 2 2 2 2 7" xfId="2661" xr:uid="{00000000-0005-0000-0000-0000941E0000}"/>
    <cellStyle name="Normal 9 2 2 2 2 7 2" xfId="6945" xr:uid="{00000000-0005-0000-0000-0000951E0000}"/>
    <cellStyle name="Normal 9 2 2 2 2 7 2 2" xfId="15380" xr:uid="{2848C9EF-BC91-441E-876C-249FA59CA972}"/>
    <cellStyle name="Normal 9 2 2 2 2 7 3" xfId="11162" xr:uid="{8FA8D78C-2F0D-4350-82EB-3B15D88D0B39}"/>
    <cellStyle name="Normal 9 2 2 2 2 8" xfId="4880" xr:uid="{00000000-0005-0000-0000-0000961E0000}"/>
    <cellStyle name="Normal 9 2 2 2 2 8 2" xfId="13315" xr:uid="{A0A66CAE-132A-4ECE-B022-FD45D71E1618}"/>
    <cellStyle name="Normal 9 2 2 2 2 9" xfId="9097" xr:uid="{628F4E1E-73A5-4E0E-94D2-765E413AED4D}"/>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32BAA4B3-59E6-4B70-B5D2-3960AA3F5140}"/>
    <cellStyle name="Normal 9 2 2 2 3 2 2 3" xfId="11657" xr:uid="{5C16B7B6-D072-49DC-ACAC-9AC6473A3FD4}"/>
    <cellStyle name="Normal 9 2 2 2 3 2 3" xfId="5295" xr:uid="{00000000-0005-0000-0000-00009B1E0000}"/>
    <cellStyle name="Normal 9 2 2 2 3 2 3 2" xfId="13730" xr:uid="{2DD036EC-D953-451F-A765-F7C1D61F491F}"/>
    <cellStyle name="Normal 9 2 2 2 3 2 4" xfId="9512" xr:uid="{EE67A933-0AF0-4B44-92E1-C43E267EB9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55F62A92-A74E-4C13-AA9D-9DFBB6005417}"/>
    <cellStyle name="Normal 9 2 2 2 3 3 2 3" xfId="12070" xr:uid="{DEFB0D37-5A93-46A6-B98A-21EEFC23B986}"/>
    <cellStyle name="Normal 9 2 2 2 3 3 3" xfId="5708" xr:uid="{00000000-0005-0000-0000-00009F1E0000}"/>
    <cellStyle name="Normal 9 2 2 2 3 3 3 2" xfId="14143" xr:uid="{7F67362E-4564-468F-BB2A-96244ECE9943}"/>
    <cellStyle name="Normal 9 2 2 2 3 3 4" xfId="9925" xr:uid="{4E7076BE-1D6E-42EA-9FD8-0F90358C879F}"/>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90B037DD-219E-475E-AED6-83DD2E71F540}"/>
    <cellStyle name="Normal 9 2 2 2 3 4 2 3" xfId="12483" xr:uid="{FB8B46B3-2DFC-47E6-9729-98BAEE0A8C50}"/>
    <cellStyle name="Normal 9 2 2 2 3 4 3" xfId="6121" xr:uid="{00000000-0005-0000-0000-0000A31E0000}"/>
    <cellStyle name="Normal 9 2 2 2 3 4 3 2" xfId="14556" xr:uid="{E63BC63B-3FD6-4CE8-8914-9DA5DB51A8E4}"/>
    <cellStyle name="Normal 9 2 2 2 3 4 4" xfId="10338" xr:uid="{77F23D3E-4B8C-4318-8900-EC49B7B7530E}"/>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38B735AD-1146-42A1-8538-809EC2274048}"/>
    <cellStyle name="Normal 9 2 2 2 3 5 2 3" xfId="12896" xr:uid="{60230C06-2D20-4F9F-AB4B-D6F77417802A}"/>
    <cellStyle name="Normal 9 2 2 2 3 5 3" xfId="6534" xr:uid="{00000000-0005-0000-0000-0000A71E0000}"/>
    <cellStyle name="Normal 9 2 2 2 3 5 3 2" xfId="14969" xr:uid="{F1D20A50-ABCA-4EC0-B3D2-20DE6901B518}"/>
    <cellStyle name="Normal 9 2 2 2 3 5 4" xfId="10751" xr:uid="{6267066A-90F5-4E70-BBE6-7AEFA2FDA291}"/>
    <cellStyle name="Normal 9 2 2 2 3 6" xfId="2663" xr:uid="{00000000-0005-0000-0000-0000A81E0000}"/>
    <cellStyle name="Normal 9 2 2 2 3 6 2" xfId="6947" xr:uid="{00000000-0005-0000-0000-0000A91E0000}"/>
    <cellStyle name="Normal 9 2 2 2 3 6 2 2" xfId="15382" xr:uid="{36A00FFA-86A3-4C5B-8498-61DA44F2C867}"/>
    <cellStyle name="Normal 9 2 2 2 3 6 3" xfId="11164" xr:uid="{F9A9511C-2B1C-4EA1-AF69-C394DA86D6CF}"/>
    <cellStyle name="Normal 9 2 2 2 3 7" xfId="4882" xr:uid="{00000000-0005-0000-0000-0000AA1E0000}"/>
    <cellStyle name="Normal 9 2 2 2 3 7 2" xfId="13317" xr:uid="{D691142B-02E6-4F85-83CC-F493EF940618}"/>
    <cellStyle name="Normal 9 2 2 2 3 8" xfId="9099" xr:uid="{32CA1C60-11DF-44F1-9BB5-F31520BA8DE0}"/>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6E1ACFD9-A414-4874-8D00-7FEDD0C8276B}"/>
    <cellStyle name="Normal 9 2 2 2 4 2 3" xfId="11654" xr:uid="{3603EDB9-6AEE-4CCA-BF71-2B0E5D6DD4C3}"/>
    <cellStyle name="Normal 9 2 2 2 4 3" xfId="5292" xr:uid="{00000000-0005-0000-0000-0000AE1E0000}"/>
    <cellStyle name="Normal 9 2 2 2 4 3 2" xfId="13727" xr:uid="{830C4DF6-FD29-4520-83EB-B87EA40EAEDE}"/>
    <cellStyle name="Normal 9 2 2 2 4 4" xfId="9509" xr:uid="{04799A2D-79DD-47E3-B9DA-1D54ADBF1A1B}"/>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004E0212-BE9B-4ADE-9910-85D886038955}"/>
    <cellStyle name="Normal 9 2 2 2 5 2 3" xfId="12067" xr:uid="{E01C6742-3DD8-4365-AC9F-BB2E5A8E60B5}"/>
    <cellStyle name="Normal 9 2 2 2 5 3" xfId="5705" xr:uid="{00000000-0005-0000-0000-0000B21E0000}"/>
    <cellStyle name="Normal 9 2 2 2 5 3 2" xfId="14140" xr:uid="{6370794E-77C4-483C-A178-DD12C2BA40E0}"/>
    <cellStyle name="Normal 9 2 2 2 5 4" xfId="9922" xr:uid="{9B0E4F73-0D6C-4FE3-970E-0DFD04C4958F}"/>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F345882F-86E7-45AA-B597-DD491596AF31}"/>
    <cellStyle name="Normal 9 2 2 2 6 2 3" xfId="12480" xr:uid="{3D468517-96CD-432A-A385-05A0EF212EE4}"/>
    <cellStyle name="Normal 9 2 2 2 6 3" xfId="6118" xr:uid="{00000000-0005-0000-0000-0000B61E0000}"/>
    <cellStyle name="Normal 9 2 2 2 6 3 2" xfId="14553" xr:uid="{BF41D319-A687-4841-A409-C03FCCA06F53}"/>
    <cellStyle name="Normal 9 2 2 2 6 4" xfId="10335" xr:uid="{F237098F-1041-4A0B-A08D-740D9BE57904}"/>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C6FFF052-DCB7-4E4F-A9EB-F2E8B2EC8A0B}"/>
    <cellStyle name="Normal 9 2 2 2 7 2 3" xfId="12893" xr:uid="{A56D6471-36D0-4EB1-BFA5-637A55B6D180}"/>
    <cellStyle name="Normal 9 2 2 2 7 3" xfId="6531" xr:uid="{00000000-0005-0000-0000-0000BA1E0000}"/>
    <cellStyle name="Normal 9 2 2 2 7 3 2" xfId="14966" xr:uid="{BFED8A5C-4471-4764-ADDA-F55FB56E1FA2}"/>
    <cellStyle name="Normal 9 2 2 2 7 4" xfId="10748" xr:uid="{81F812BA-FBDE-46ED-BA08-81B534D329BC}"/>
    <cellStyle name="Normal 9 2 2 2 8" xfId="2660" xr:uid="{00000000-0005-0000-0000-0000BB1E0000}"/>
    <cellStyle name="Normal 9 2 2 2 8 2" xfId="6944" xr:uid="{00000000-0005-0000-0000-0000BC1E0000}"/>
    <cellStyle name="Normal 9 2 2 2 8 2 2" xfId="15379" xr:uid="{658F6E1B-9428-48F2-8550-01FB8C5E4B9C}"/>
    <cellStyle name="Normal 9 2 2 2 8 3" xfId="11161" xr:uid="{483984BE-2628-4FCB-9E3F-F42266FAF40E}"/>
    <cellStyle name="Normal 9 2 2 2 9" xfId="4879" xr:uid="{00000000-0005-0000-0000-0000BD1E0000}"/>
    <cellStyle name="Normal 9 2 2 2 9 2" xfId="13314" xr:uid="{910F0D8E-164B-4639-8FEF-0FC9C5E6BB73}"/>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9FB29842-F3C3-4C1A-915D-3841EA6E0904}"/>
    <cellStyle name="Normal 9 2 2 3 2 2 2 3" xfId="11659" xr:uid="{DB95BDA4-9DFE-48DE-B494-2421882EA746}"/>
    <cellStyle name="Normal 9 2 2 3 2 2 3" xfId="5297" xr:uid="{00000000-0005-0000-0000-0000C31E0000}"/>
    <cellStyle name="Normal 9 2 2 3 2 2 3 2" xfId="13732" xr:uid="{DE2133AB-2E23-4628-98CC-48942D945CCD}"/>
    <cellStyle name="Normal 9 2 2 3 2 2 4" xfId="9514" xr:uid="{B8A347AE-0D5F-48B3-A805-2C252EF18B14}"/>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8FB3C125-7AE7-46DC-8B23-E740CC6B2500}"/>
    <cellStyle name="Normal 9 2 2 3 2 3 2 3" xfId="12072" xr:uid="{7C59D8FF-DB82-40C0-AD11-87D3E3157936}"/>
    <cellStyle name="Normal 9 2 2 3 2 3 3" xfId="5710" xr:uid="{00000000-0005-0000-0000-0000C71E0000}"/>
    <cellStyle name="Normal 9 2 2 3 2 3 3 2" xfId="14145" xr:uid="{33C1402C-2A89-4C2C-9C76-B0209EED21EF}"/>
    <cellStyle name="Normal 9 2 2 3 2 3 4" xfId="9927" xr:uid="{CB50DF5E-F7D9-42E5-85BE-126E5FDB6B04}"/>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78EEC8BD-8338-4A16-AF5E-4BE195407DBD}"/>
    <cellStyle name="Normal 9 2 2 3 2 4 2 3" xfId="12485" xr:uid="{D9DB005F-BB36-4509-AD08-2031D595F5F0}"/>
    <cellStyle name="Normal 9 2 2 3 2 4 3" xfId="6123" xr:uid="{00000000-0005-0000-0000-0000CB1E0000}"/>
    <cellStyle name="Normal 9 2 2 3 2 4 3 2" xfId="14558" xr:uid="{0384BEBF-340B-4FB3-B814-43028B320691}"/>
    <cellStyle name="Normal 9 2 2 3 2 4 4" xfId="10340" xr:uid="{359AC4AD-D380-4563-9B06-0B9678DCF10E}"/>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F2891AAF-FC29-49A0-B5E6-758A5AAB47BA}"/>
    <cellStyle name="Normal 9 2 2 3 2 5 2 3" xfId="12898" xr:uid="{F3D14258-2BF2-4698-87CE-579FAF46CD29}"/>
    <cellStyle name="Normal 9 2 2 3 2 5 3" xfId="6536" xr:uid="{00000000-0005-0000-0000-0000CF1E0000}"/>
    <cellStyle name="Normal 9 2 2 3 2 5 3 2" xfId="14971" xr:uid="{7AC5004C-C9D2-40FB-9672-B176FB8FAB43}"/>
    <cellStyle name="Normal 9 2 2 3 2 5 4" xfId="10753" xr:uid="{A42D6212-ACA0-4A41-B019-F397AE9BCACC}"/>
    <cellStyle name="Normal 9 2 2 3 2 6" xfId="2665" xr:uid="{00000000-0005-0000-0000-0000D01E0000}"/>
    <cellStyle name="Normal 9 2 2 3 2 6 2" xfId="6949" xr:uid="{00000000-0005-0000-0000-0000D11E0000}"/>
    <cellStyle name="Normal 9 2 2 3 2 6 2 2" xfId="15384" xr:uid="{88436C98-EB5D-420B-AF96-091270F15B87}"/>
    <cellStyle name="Normal 9 2 2 3 2 6 3" xfId="11166" xr:uid="{F4518016-8478-46C0-8A4D-4B7BCAE761CD}"/>
    <cellStyle name="Normal 9 2 2 3 2 7" xfId="4884" xr:uid="{00000000-0005-0000-0000-0000D21E0000}"/>
    <cellStyle name="Normal 9 2 2 3 2 7 2" xfId="13319" xr:uid="{F138379E-A292-4CB2-868A-2C2B685599AA}"/>
    <cellStyle name="Normal 9 2 2 3 2 8" xfId="9101" xr:uid="{A14966F4-1A05-4C91-A3E3-D4C5BA46DBCA}"/>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5483AA0B-0111-4773-BD05-39F229242432}"/>
    <cellStyle name="Normal 9 2 2 3 3 2 3" xfId="11658" xr:uid="{0FB798B4-0522-4B24-8AF3-D4558B850C2C}"/>
    <cellStyle name="Normal 9 2 2 3 3 3" xfId="5296" xr:uid="{00000000-0005-0000-0000-0000D61E0000}"/>
    <cellStyle name="Normal 9 2 2 3 3 3 2" xfId="13731" xr:uid="{B47B4F73-09E0-411D-A62E-6080D5264DEC}"/>
    <cellStyle name="Normal 9 2 2 3 3 4" xfId="9513" xr:uid="{B46BDA00-0987-4185-B2DB-E8B112A0E8E4}"/>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CA2AC0B7-7CB4-42F3-943B-985AE7425D7F}"/>
    <cellStyle name="Normal 9 2 2 3 4 2 3" xfId="12071" xr:uid="{8C802045-0D84-455D-8F87-D5913B854697}"/>
    <cellStyle name="Normal 9 2 2 3 4 3" xfId="5709" xr:uid="{00000000-0005-0000-0000-0000DA1E0000}"/>
    <cellStyle name="Normal 9 2 2 3 4 3 2" xfId="14144" xr:uid="{96FCCBB3-5598-49AB-8926-D52094052409}"/>
    <cellStyle name="Normal 9 2 2 3 4 4" xfId="9926" xr:uid="{45781C21-27DC-4440-9D0D-BB96683988D6}"/>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D7E159C7-CCC1-4649-BA4D-ACF202A2D698}"/>
    <cellStyle name="Normal 9 2 2 3 5 2 3" xfId="12484" xr:uid="{DE043081-7F58-4852-9DD7-7136454E2F11}"/>
    <cellStyle name="Normal 9 2 2 3 5 3" xfId="6122" xr:uid="{00000000-0005-0000-0000-0000DE1E0000}"/>
    <cellStyle name="Normal 9 2 2 3 5 3 2" xfId="14557" xr:uid="{048D0B7B-BCAE-46A1-A680-8648E284CA85}"/>
    <cellStyle name="Normal 9 2 2 3 5 4" xfId="10339" xr:uid="{E84DE614-8E9D-4CC5-9055-4DB191659279}"/>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F410423B-B337-46D9-BBB6-6D854EFE2566}"/>
    <cellStyle name="Normal 9 2 2 3 6 2 3" xfId="12897" xr:uid="{6B3D4F54-1B67-497D-BB7F-B1F8A2CECCD6}"/>
    <cellStyle name="Normal 9 2 2 3 6 3" xfId="6535" xr:uid="{00000000-0005-0000-0000-0000E21E0000}"/>
    <cellStyle name="Normal 9 2 2 3 6 3 2" xfId="14970" xr:uid="{2A004005-B58E-4F0B-823F-2AD72A578A25}"/>
    <cellStyle name="Normal 9 2 2 3 6 4" xfId="10752" xr:uid="{3F8EAA28-C2F9-4F90-AFE7-FEB9BB6F45A5}"/>
    <cellStyle name="Normal 9 2 2 3 7" xfId="2664" xr:uid="{00000000-0005-0000-0000-0000E31E0000}"/>
    <cellStyle name="Normal 9 2 2 3 7 2" xfId="6948" xr:uid="{00000000-0005-0000-0000-0000E41E0000}"/>
    <cellStyle name="Normal 9 2 2 3 7 2 2" xfId="15383" xr:uid="{723FD77D-AF23-4D12-90D5-D7FB3114F435}"/>
    <cellStyle name="Normal 9 2 2 3 7 3" xfId="11165" xr:uid="{A29F5DB1-5CF4-454B-BAFE-8B555159151A}"/>
    <cellStyle name="Normal 9 2 2 3 8" xfId="4883" xr:uid="{00000000-0005-0000-0000-0000E51E0000}"/>
    <cellStyle name="Normal 9 2 2 3 8 2" xfId="13318" xr:uid="{F1078D13-AF66-4FB0-85BD-D567396ECEBD}"/>
    <cellStyle name="Normal 9 2 2 3 9" xfId="9100" xr:uid="{9CE34417-E106-4D99-9DB9-66F619C521AB}"/>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77715FC1-BDAF-43F8-9F22-5CF8B24D06A0}"/>
    <cellStyle name="Normal 9 2 2 4 2 2 3" xfId="11660" xr:uid="{3BFC201D-82B4-47CA-AACB-CB20B3EEF151}"/>
    <cellStyle name="Normal 9 2 2 4 2 3" xfId="5298" xr:uid="{00000000-0005-0000-0000-0000EA1E0000}"/>
    <cellStyle name="Normal 9 2 2 4 2 3 2" xfId="13733" xr:uid="{A0DEA154-86BD-4659-ABC8-3111544CA540}"/>
    <cellStyle name="Normal 9 2 2 4 2 4" xfId="9515" xr:uid="{103357B3-182A-4735-8866-C916D12DEB99}"/>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C13E78FE-4056-490D-BF28-534887391FD0}"/>
    <cellStyle name="Normal 9 2 2 4 3 2 3" xfId="12073" xr:uid="{6F73317D-DC66-4411-A130-98CDF741AFDC}"/>
    <cellStyle name="Normal 9 2 2 4 3 3" xfId="5711" xr:uid="{00000000-0005-0000-0000-0000EE1E0000}"/>
    <cellStyle name="Normal 9 2 2 4 3 3 2" xfId="14146" xr:uid="{5C1BD937-0908-440D-A3B2-79389EE82B1C}"/>
    <cellStyle name="Normal 9 2 2 4 3 4" xfId="9928" xr:uid="{F0A2E91C-2778-4442-8736-D1719453B859}"/>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54810C39-9550-40A7-A491-34C232C7BBAA}"/>
    <cellStyle name="Normal 9 2 2 4 4 2 3" xfId="12486" xr:uid="{0F0643EF-0758-4294-BA2A-2F65DAB84882}"/>
    <cellStyle name="Normal 9 2 2 4 4 3" xfId="6124" xr:uid="{00000000-0005-0000-0000-0000F21E0000}"/>
    <cellStyle name="Normal 9 2 2 4 4 3 2" xfId="14559" xr:uid="{8CFF51BB-4F2E-48E3-9578-CF24AB4A3B58}"/>
    <cellStyle name="Normal 9 2 2 4 4 4" xfId="10341" xr:uid="{E1B80B64-A265-4AFD-B5FF-3FF779D5EFB7}"/>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EB39DD2D-FA23-4CAE-927E-96DA06E26F93}"/>
    <cellStyle name="Normal 9 2 2 4 5 2 3" xfId="12899" xr:uid="{4D6532BA-5088-4750-8AC0-C19A7484D150}"/>
    <cellStyle name="Normal 9 2 2 4 5 3" xfId="6537" xr:uid="{00000000-0005-0000-0000-0000F61E0000}"/>
    <cellStyle name="Normal 9 2 2 4 5 3 2" xfId="14972" xr:uid="{BE901C46-D777-4DF0-AC4A-10DEDDC93B25}"/>
    <cellStyle name="Normal 9 2 2 4 5 4" xfId="10754" xr:uid="{90DCEDA1-DC83-4329-9BEC-2AA8B9B66626}"/>
    <cellStyle name="Normal 9 2 2 4 6" xfId="2666" xr:uid="{00000000-0005-0000-0000-0000F71E0000}"/>
    <cellStyle name="Normal 9 2 2 4 6 2" xfId="6950" xr:uid="{00000000-0005-0000-0000-0000F81E0000}"/>
    <cellStyle name="Normal 9 2 2 4 6 2 2" xfId="15385" xr:uid="{CA99AF88-BE7C-43D2-BF00-7BE80476B1EA}"/>
    <cellStyle name="Normal 9 2 2 4 6 3" xfId="11167" xr:uid="{65850398-EE7D-4A9F-914B-F1E148CDCCFC}"/>
    <cellStyle name="Normal 9 2 2 4 7" xfId="4885" xr:uid="{00000000-0005-0000-0000-0000F91E0000}"/>
    <cellStyle name="Normal 9 2 2 4 7 2" xfId="13320" xr:uid="{1848CFD0-6399-4B7E-95AD-6247BD80FF95}"/>
    <cellStyle name="Normal 9 2 2 4 8" xfId="9102" xr:uid="{6FC0FC49-5836-4F97-9BCE-9AC9CB3D53F4}"/>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A6342E81-D469-448D-9CFE-B68029563FC3}"/>
    <cellStyle name="Normal 9 2 2 5 2 3" xfId="11653" xr:uid="{63C01A2D-9C4D-454B-B1FA-572165F83F52}"/>
    <cellStyle name="Normal 9 2 2 5 3" xfId="5291" xr:uid="{00000000-0005-0000-0000-0000FD1E0000}"/>
    <cellStyle name="Normal 9 2 2 5 3 2" xfId="13726" xr:uid="{A61275A6-B8EA-45E2-9B29-366F5984B1EB}"/>
    <cellStyle name="Normal 9 2 2 5 4" xfId="9508" xr:uid="{63EA7F9B-0ADF-49B1-882C-FD7DF5B067F3}"/>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54CFAA9D-BBFF-4AEA-997F-AD763FE8A484}"/>
    <cellStyle name="Normal 9 2 2 6 2 3" xfId="12066" xr:uid="{460B45AE-F68B-4CBC-AB10-62A8370F41E0}"/>
    <cellStyle name="Normal 9 2 2 6 3" xfId="5704" xr:uid="{00000000-0005-0000-0000-0000011F0000}"/>
    <cellStyle name="Normal 9 2 2 6 3 2" xfId="14139" xr:uid="{44ED04E5-3800-4B86-BEF3-6B281B2F2C36}"/>
    <cellStyle name="Normal 9 2 2 6 4" xfId="9921" xr:uid="{15CFBFC9-BA28-471C-9D3E-72B9FE4AE7CD}"/>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DFFC6F18-1818-4342-AC78-7E5DF581BFE3}"/>
    <cellStyle name="Normal 9 2 2 7 2 3" xfId="12479" xr:uid="{81C7C609-0407-46A8-8C12-C694071E7196}"/>
    <cellStyle name="Normal 9 2 2 7 3" xfId="6117" xr:uid="{00000000-0005-0000-0000-0000051F0000}"/>
    <cellStyle name="Normal 9 2 2 7 3 2" xfId="14552" xr:uid="{27B20BD6-3F41-469B-AC56-3C095DF89F1C}"/>
    <cellStyle name="Normal 9 2 2 7 4" xfId="10334" xr:uid="{D6B1BA97-E30A-4468-A454-DAA72CB2BB99}"/>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1BE969B0-8CBB-4145-8E3F-2049AAE5E019}"/>
    <cellStyle name="Normal 9 2 2 8 2 3" xfId="12892" xr:uid="{9A11BEF7-B0CE-4AEA-91CA-973A444A9254}"/>
    <cellStyle name="Normal 9 2 2 8 3" xfId="6530" xr:uid="{00000000-0005-0000-0000-0000091F0000}"/>
    <cellStyle name="Normal 9 2 2 8 3 2" xfId="14965" xr:uid="{9BAA37C9-DE0F-4E71-A0B3-D109ED8D1A4C}"/>
    <cellStyle name="Normal 9 2 2 8 4" xfId="10747" xr:uid="{33C433B5-69FC-402A-A16D-6E7FAEB05EA5}"/>
    <cellStyle name="Normal 9 2 2 9" xfId="2659" xr:uid="{00000000-0005-0000-0000-00000A1F0000}"/>
    <cellStyle name="Normal 9 2 2 9 2" xfId="6943" xr:uid="{00000000-0005-0000-0000-00000B1F0000}"/>
    <cellStyle name="Normal 9 2 2 9 2 2" xfId="15378" xr:uid="{350F704E-0C77-4E93-A13D-02F4C0305425}"/>
    <cellStyle name="Normal 9 2 2 9 3" xfId="11160" xr:uid="{EA03CD68-2488-4EE7-9E25-008F3EAF0648}"/>
    <cellStyle name="Normal 9 2 3" xfId="520" xr:uid="{00000000-0005-0000-0000-00000C1F0000}"/>
    <cellStyle name="Normal 9 2 3 10" xfId="9103" xr:uid="{075F51C6-AB48-476C-ADD3-2E437BD83D66}"/>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17701E3A-3CF0-41AA-B566-B7888F98402D}"/>
    <cellStyle name="Normal 9 2 3 2 2 2 2 3" xfId="11663" xr:uid="{605F0E3A-4C65-462A-B62A-66500C1F4701}"/>
    <cellStyle name="Normal 9 2 3 2 2 2 3" xfId="5301" xr:uid="{00000000-0005-0000-0000-0000121F0000}"/>
    <cellStyle name="Normal 9 2 3 2 2 2 3 2" xfId="13736" xr:uid="{8803FBAC-4539-4BF2-B2CC-CF82936791D5}"/>
    <cellStyle name="Normal 9 2 3 2 2 2 4" xfId="9518" xr:uid="{2AE8EB03-E427-474E-BE16-1B306576E1DE}"/>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5E6EB735-EE0A-4705-9A97-5D4A163C1FA1}"/>
    <cellStyle name="Normal 9 2 3 2 2 3 2 3" xfId="12076" xr:uid="{D69B9EBA-F47E-408B-A8C3-EB1CFED498DE}"/>
    <cellStyle name="Normal 9 2 3 2 2 3 3" xfId="5714" xr:uid="{00000000-0005-0000-0000-0000161F0000}"/>
    <cellStyle name="Normal 9 2 3 2 2 3 3 2" xfId="14149" xr:uid="{47475A71-4676-439A-87B3-ED1C640903A4}"/>
    <cellStyle name="Normal 9 2 3 2 2 3 4" xfId="9931" xr:uid="{C918EED1-A073-48A0-8FE3-3B08E195C5CD}"/>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561C00CB-5E92-41DC-B024-9582618BD5FC}"/>
    <cellStyle name="Normal 9 2 3 2 2 4 2 3" xfId="12489" xr:uid="{000EE265-3017-4ED3-A0DD-34800D6A1912}"/>
    <cellStyle name="Normal 9 2 3 2 2 4 3" xfId="6127" xr:uid="{00000000-0005-0000-0000-00001A1F0000}"/>
    <cellStyle name="Normal 9 2 3 2 2 4 3 2" xfId="14562" xr:uid="{BE699B54-3257-40D0-83C5-4388CBD826B9}"/>
    <cellStyle name="Normal 9 2 3 2 2 4 4" xfId="10344" xr:uid="{AAC797C4-B179-4C04-A0BE-49EB07018C98}"/>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97AB48CE-3E68-4DE4-B57D-85F93B744E0C}"/>
    <cellStyle name="Normal 9 2 3 2 2 5 2 3" xfId="12902" xr:uid="{DFDDDEC5-BCB2-4FB8-B297-CCD7C51532A0}"/>
    <cellStyle name="Normal 9 2 3 2 2 5 3" xfId="6540" xr:uid="{00000000-0005-0000-0000-00001E1F0000}"/>
    <cellStyle name="Normal 9 2 3 2 2 5 3 2" xfId="14975" xr:uid="{FAD4D67A-A261-4BEC-9446-C3E34B1AF0BE}"/>
    <cellStyle name="Normal 9 2 3 2 2 5 4" xfId="10757" xr:uid="{BDD9DA64-1388-4E42-95ED-C88652AD2990}"/>
    <cellStyle name="Normal 9 2 3 2 2 6" xfId="2669" xr:uid="{00000000-0005-0000-0000-00001F1F0000}"/>
    <cellStyle name="Normal 9 2 3 2 2 6 2" xfId="6953" xr:uid="{00000000-0005-0000-0000-0000201F0000}"/>
    <cellStyle name="Normal 9 2 3 2 2 6 2 2" xfId="15388" xr:uid="{8EAFEA7A-E42D-4764-9F2A-E7EE7BFF67E9}"/>
    <cellStyle name="Normal 9 2 3 2 2 6 3" xfId="11170" xr:uid="{D78FC319-F768-41E6-98D8-1CEBC46EF557}"/>
    <cellStyle name="Normal 9 2 3 2 2 7" xfId="4888" xr:uid="{00000000-0005-0000-0000-0000211F0000}"/>
    <cellStyle name="Normal 9 2 3 2 2 7 2" xfId="13323" xr:uid="{56F81479-9E93-458D-A87F-52A993F46A3B}"/>
    <cellStyle name="Normal 9 2 3 2 2 8" xfId="9105" xr:uid="{5EB0B484-ADA4-4670-9483-1600AB0A1999}"/>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3E4491E4-16D5-4BDA-97AA-5B8688AF12D5}"/>
    <cellStyle name="Normal 9 2 3 2 3 2 3" xfId="11662" xr:uid="{EC8F289A-502B-4AA3-A3B6-5670406CC3CE}"/>
    <cellStyle name="Normal 9 2 3 2 3 3" xfId="5300" xr:uid="{00000000-0005-0000-0000-0000251F0000}"/>
    <cellStyle name="Normal 9 2 3 2 3 3 2" xfId="13735" xr:uid="{B957E294-3963-4009-AB2E-5E7142A637EE}"/>
    <cellStyle name="Normal 9 2 3 2 3 4" xfId="9517" xr:uid="{80F7713A-94CA-499B-B640-2C5EC1CB6637}"/>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7CEA7643-CC5B-4B4F-82C0-378FE5DD022E}"/>
    <cellStyle name="Normal 9 2 3 2 4 2 3" xfId="12075" xr:uid="{98697AD5-43A3-4AE0-85C1-7AFB3B63CD81}"/>
    <cellStyle name="Normal 9 2 3 2 4 3" xfId="5713" xr:uid="{00000000-0005-0000-0000-0000291F0000}"/>
    <cellStyle name="Normal 9 2 3 2 4 3 2" xfId="14148" xr:uid="{40350EA3-41B3-4B41-9523-F548057A9C32}"/>
    <cellStyle name="Normal 9 2 3 2 4 4" xfId="9930" xr:uid="{6BB6F8E1-45C2-441F-8047-021953D7BF08}"/>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F7473003-7927-49C8-B310-2646E9992D00}"/>
    <cellStyle name="Normal 9 2 3 2 5 2 3" xfId="12488" xr:uid="{C4562775-6A7B-4650-802C-217D18815030}"/>
    <cellStyle name="Normal 9 2 3 2 5 3" xfId="6126" xr:uid="{00000000-0005-0000-0000-00002D1F0000}"/>
    <cellStyle name="Normal 9 2 3 2 5 3 2" xfId="14561" xr:uid="{F1494C8B-878D-4C81-8995-62C6529405DB}"/>
    <cellStyle name="Normal 9 2 3 2 5 4" xfId="10343" xr:uid="{62EA2F5D-3334-4915-9CA1-329EA39047C3}"/>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B2E5A80D-51CE-41CE-B2EB-3238A7B873A9}"/>
    <cellStyle name="Normal 9 2 3 2 6 2 3" xfId="12901" xr:uid="{7229D7FA-1CC3-4658-A172-B01CF7005F08}"/>
    <cellStyle name="Normal 9 2 3 2 6 3" xfId="6539" xr:uid="{00000000-0005-0000-0000-0000311F0000}"/>
    <cellStyle name="Normal 9 2 3 2 6 3 2" xfId="14974" xr:uid="{430C851B-E19E-4D5D-A4AE-93527589D491}"/>
    <cellStyle name="Normal 9 2 3 2 6 4" xfId="10756" xr:uid="{9447D46C-8054-4E32-8105-1D206BC8EDD6}"/>
    <cellStyle name="Normal 9 2 3 2 7" xfId="2668" xr:uid="{00000000-0005-0000-0000-0000321F0000}"/>
    <cellStyle name="Normal 9 2 3 2 7 2" xfId="6952" xr:uid="{00000000-0005-0000-0000-0000331F0000}"/>
    <cellStyle name="Normal 9 2 3 2 7 2 2" xfId="15387" xr:uid="{C4ED674E-4DA0-494F-85E5-A211CDA8788A}"/>
    <cellStyle name="Normal 9 2 3 2 7 3" xfId="11169" xr:uid="{8A69DED5-02A9-4B1A-A88C-7906E2823757}"/>
    <cellStyle name="Normal 9 2 3 2 8" xfId="4887" xr:uid="{00000000-0005-0000-0000-0000341F0000}"/>
    <cellStyle name="Normal 9 2 3 2 8 2" xfId="13322" xr:uid="{D06F267D-5792-4080-A259-7A6F21314218}"/>
    <cellStyle name="Normal 9 2 3 2 9" xfId="9104" xr:uid="{C9F14E9C-2457-4510-B962-650D68C6A277}"/>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A73DF960-883E-445F-998B-E12E955FCE6A}"/>
    <cellStyle name="Normal 9 2 3 3 2 2 3" xfId="11664" xr:uid="{721186F6-D91F-4095-A2F6-035CC1708F14}"/>
    <cellStyle name="Normal 9 2 3 3 2 3" xfId="5302" xr:uid="{00000000-0005-0000-0000-0000391F0000}"/>
    <cellStyle name="Normal 9 2 3 3 2 3 2" xfId="13737" xr:uid="{A0436DCA-B923-4C44-B691-67972BBC4F5A}"/>
    <cellStyle name="Normal 9 2 3 3 2 4" xfId="9519" xr:uid="{C761EB33-153B-4F2B-B03C-980AD67F142C}"/>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7C38A912-2AC5-4F2D-BE76-482C2E5D794C}"/>
    <cellStyle name="Normal 9 2 3 3 3 2 3" xfId="12077" xr:uid="{180E0CA2-304B-42E8-A3F9-A91CD446FC93}"/>
    <cellStyle name="Normal 9 2 3 3 3 3" xfId="5715" xr:uid="{00000000-0005-0000-0000-00003D1F0000}"/>
    <cellStyle name="Normal 9 2 3 3 3 3 2" xfId="14150" xr:uid="{D9611A52-17B4-4E91-944E-B264842D2579}"/>
    <cellStyle name="Normal 9 2 3 3 3 4" xfId="9932" xr:uid="{B6718710-4421-4161-B4C4-92CA2C14D077}"/>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66ADAA23-78BB-44EF-8970-32D9593222A5}"/>
    <cellStyle name="Normal 9 2 3 3 4 2 3" xfId="12490" xr:uid="{43BF048E-0127-43B2-AF05-927FB9FF385F}"/>
    <cellStyle name="Normal 9 2 3 3 4 3" xfId="6128" xr:uid="{00000000-0005-0000-0000-0000411F0000}"/>
    <cellStyle name="Normal 9 2 3 3 4 3 2" xfId="14563" xr:uid="{CA981B9E-A595-4FA4-9E0D-49FDDA4B00E8}"/>
    <cellStyle name="Normal 9 2 3 3 4 4" xfId="10345" xr:uid="{C37F5545-68B5-465D-9918-D616D5B3300A}"/>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8788A0FA-28EA-4B4F-B3C8-15F1B5BD3034}"/>
    <cellStyle name="Normal 9 2 3 3 5 2 3" xfId="12903" xr:uid="{DA2F5334-80E9-4331-8B20-50DDEF51D055}"/>
    <cellStyle name="Normal 9 2 3 3 5 3" xfId="6541" xr:uid="{00000000-0005-0000-0000-0000451F0000}"/>
    <cellStyle name="Normal 9 2 3 3 5 3 2" xfId="14976" xr:uid="{B6DF6300-F9FE-4F11-8568-AE3703A91D21}"/>
    <cellStyle name="Normal 9 2 3 3 5 4" xfId="10758" xr:uid="{A51448A9-4886-44AC-B05E-9D59CB8ACC90}"/>
    <cellStyle name="Normal 9 2 3 3 6" xfId="2670" xr:uid="{00000000-0005-0000-0000-0000461F0000}"/>
    <cellStyle name="Normal 9 2 3 3 6 2" xfId="6954" xr:uid="{00000000-0005-0000-0000-0000471F0000}"/>
    <cellStyle name="Normal 9 2 3 3 6 2 2" xfId="15389" xr:uid="{91067561-3D93-422D-8385-721E0352C81F}"/>
    <cellStyle name="Normal 9 2 3 3 6 3" xfId="11171" xr:uid="{1471C602-4159-4A55-B867-A0652A16B434}"/>
    <cellStyle name="Normal 9 2 3 3 7" xfId="4889" xr:uid="{00000000-0005-0000-0000-0000481F0000}"/>
    <cellStyle name="Normal 9 2 3 3 7 2" xfId="13324" xr:uid="{AEF5CC9B-0E6B-42D2-AE8B-133EBB4ADA47}"/>
    <cellStyle name="Normal 9 2 3 3 8" xfId="9106" xr:uid="{D6874251-3E2C-4E9D-8610-8EF0C915AE5B}"/>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A4F9B3E3-04BF-4D7E-94B4-0B58845AEDE2}"/>
    <cellStyle name="Normal 9 2 3 4 2 3" xfId="11661" xr:uid="{57B6A796-5C66-4F09-B699-0E697EA304B1}"/>
    <cellStyle name="Normal 9 2 3 4 3" xfId="5299" xr:uid="{00000000-0005-0000-0000-00004C1F0000}"/>
    <cellStyle name="Normal 9 2 3 4 3 2" xfId="13734" xr:uid="{793C77EE-21C8-433A-9552-AF82AAF98C5F}"/>
    <cellStyle name="Normal 9 2 3 4 4" xfId="9516" xr:uid="{D2B4087B-76DE-4E0E-919C-830E1D5123C5}"/>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AC37849E-F52A-47CD-A056-38524D40A892}"/>
    <cellStyle name="Normal 9 2 3 5 2 3" xfId="12074" xr:uid="{D6A7A88A-381E-4427-BD4F-AB998540708F}"/>
    <cellStyle name="Normal 9 2 3 5 3" xfId="5712" xr:uid="{00000000-0005-0000-0000-0000501F0000}"/>
    <cellStyle name="Normal 9 2 3 5 3 2" xfId="14147" xr:uid="{47F4DF6D-4002-4F30-BA54-7CC8D0F31E8E}"/>
    <cellStyle name="Normal 9 2 3 5 4" xfId="9929" xr:uid="{2568DB89-B624-4B2A-9885-77B15D08CB0F}"/>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7655F0BB-8F1D-442D-AF4D-4C11D161B261}"/>
    <cellStyle name="Normal 9 2 3 6 2 3" xfId="12487" xr:uid="{174050AB-75CB-42B1-86B6-42328E980F75}"/>
    <cellStyle name="Normal 9 2 3 6 3" xfId="6125" xr:uid="{00000000-0005-0000-0000-0000541F0000}"/>
    <cellStyle name="Normal 9 2 3 6 3 2" xfId="14560" xr:uid="{383CC630-1BB8-48D3-86F9-866D342A33AB}"/>
    <cellStyle name="Normal 9 2 3 6 4" xfId="10342" xr:uid="{0BD55BFD-D52C-44A5-A296-D3F828C9590F}"/>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2E40DE13-938B-4FF5-8EA9-EC1CC049DCF6}"/>
    <cellStyle name="Normal 9 2 3 7 2 3" xfId="12900" xr:uid="{F2D51719-4B06-4275-AB0B-B1C2B97D85C2}"/>
    <cellStyle name="Normal 9 2 3 7 3" xfId="6538" xr:uid="{00000000-0005-0000-0000-0000581F0000}"/>
    <cellStyle name="Normal 9 2 3 7 3 2" xfId="14973" xr:uid="{8A9E3006-EF32-4B56-90DD-10313D4CD027}"/>
    <cellStyle name="Normal 9 2 3 7 4" xfId="10755" xr:uid="{6A0395F5-BEDB-4CFD-B784-987CBD111590}"/>
    <cellStyle name="Normal 9 2 3 8" xfId="2667" xr:uid="{00000000-0005-0000-0000-0000591F0000}"/>
    <cellStyle name="Normal 9 2 3 8 2" xfId="6951" xr:uid="{00000000-0005-0000-0000-00005A1F0000}"/>
    <cellStyle name="Normal 9 2 3 8 2 2" xfId="15386" xr:uid="{40C54507-C352-42B9-ABED-C9F64475A419}"/>
    <cellStyle name="Normal 9 2 3 8 3" xfId="11168" xr:uid="{19F4AE10-93D9-4626-BD7B-AA29C09A75F1}"/>
    <cellStyle name="Normal 9 2 3 9" xfId="4886" xr:uid="{00000000-0005-0000-0000-00005B1F0000}"/>
    <cellStyle name="Normal 9 2 3 9 2" xfId="13321" xr:uid="{A7A56AF1-3957-4B99-A912-BE0042F7738C}"/>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E024BC66-82ED-4DEE-9FEB-98C8E05425D3}"/>
    <cellStyle name="Normal 9 2 4 2 2 2 3" xfId="11666" xr:uid="{A9C3B422-8265-4966-8623-128C189B506A}"/>
    <cellStyle name="Normal 9 2 4 2 2 3" xfId="5304" xr:uid="{00000000-0005-0000-0000-0000611F0000}"/>
    <cellStyle name="Normal 9 2 4 2 2 3 2" xfId="13739" xr:uid="{579DEAE3-BE52-49F1-A20B-4E5FA7DF6B41}"/>
    <cellStyle name="Normal 9 2 4 2 2 4" xfId="9521" xr:uid="{E5A9FAB2-682F-4014-AACE-2C44FE412F72}"/>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D93B15AD-0671-40DF-98A5-3439C869A8EE}"/>
    <cellStyle name="Normal 9 2 4 2 3 2 3" xfId="12079" xr:uid="{A8AB9731-1C5F-4EB2-91D0-EDF792DB1D27}"/>
    <cellStyle name="Normal 9 2 4 2 3 3" xfId="5717" xr:uid="{00000000-0005-0000-0000-0000651F0000}"/>
    <cellStyle name="Normal 9 2 4 2 3 3 2" xfId="14152" xr:uid="{A0DEF63C-B902-4573-8D44-410F7C5D7098}"/>
    <cellStyle name="Normal 9 2 4 2 3 4" xfId="9934" xr:uid="{04A58E47-71A6-4EB9-9E54-2909AC13C49B}"/>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A7F25064-74D6-4137-AB01-8B980BD24EF0}"/>
    <cellStyle name="Normal 9 2 4 2 4 2 3" xfId="12492" xr:uid="{5399BE58-C5AB-4DB9-A2B9-3EEFCFDA4B16}"/>
    <cellStyle name="Normal 9 2 4 2 4 3" xfId="6130" xr:uid="{00000000-0005-0000-0000-0000691F0000}"/>
    <cellStyle name="Normal 9 2 4 2 4 3 2" xfId="14565" xr:uid="{B5B6445A-D5DA-4880-BFE8-E5038CEC99F7}"/>
    <cellStyle name="Normal 9 2 4 2 4 4" xfId="10347" xr:uid="{04C50DD9-4F9F-4297-8F80-3156C898D9A4}"/>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00F96C5B-C771-4D2E-B65C-01333766849D}"/>
    <cellStyle name="Normal 9 2 4 2 5 2 3" xfId="12905" xr:uid="{47D095D1-943E-43FC-8E79-DE7A6FED00B9}"/>
    <cellStyle name="Normal 9 2 4 2 5 3" xfId="6543" xr:uid="{00000000-0005-0000-0000-00006D1F0000}"/>
    <cellStyle name="Normal 9 2 4 2 5 3 2" xfId="14978" xr:uid="{89925218-CC0D-4E4A-876A-017CAE8656E3}"/>
    <cellStyle name="Normal 9 2 4 2 5 4" xfId="10760" xr:uid="{1C77B38B-2CE4-4136-8B99-EEA65C0F0C47}"/>
    <cellStyle name="Normal 9 2 4 2 6" xfId="2672" xr:uid="{00000000-0005-0000-0000-00006E1F0000}"/>
    <cellStyle name="Normal 9 2 4 2 6 2" xfId="6956" xr:uid="{00000000-0005-0000-0000-00006F1F0000}"/>
    <cellStyle name="Normal 9 2 4 2 6 2 2" xfId="15391" xr:uid="{5126C4CA-3AC4-4447-8F63-89F36327806D}"/>
    <cellStyle name="Normal 9 2 4 2 6 3" xfId="11173" xr:uid="{5A47530A-5211-494C-81FA-57BEE9E7EF06}"/>
    <cellStyle name="Normal 9 2 4 2 7" xfId="4891" xr:uid="{00000000-0005-0000-0000-0000701F0000}"/>
    <cellStyle name="Normal 9 2 4 2 7 2" xfId="13326" xr:uid="{0DF66F7D-21B4-4AEA-8584-6F8828ADA6CD}"/>
    <cellStyle name="Normal 9 2 4 2 8" xfId="9108" xr:uid="{B4E5EDDC-89B9-4FAC-9508-08B36AD61FEB}"/>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BA4885A9-A72F-4263-BC1B-3F924CC108B3}"/>
    <cellStyle name="Normal 9 2 4 3 2 3" xfId="11665" xr:uid="{4EBF9D2F-BA2E-46C3-B131-315372A19A40}"/>
    <cellStyle name="Normal 9 2 4 3 3" xfId="5303" xr:uid="{00000000-0005-0000-0000-0000741F0000}"/>
    <cellStyle name="Normal 9 2 4 3 3 2" xfId="13738" xr:uid="{4F5E7050-E9B3-464B-85A5-41B6D3AF3130}"/>
    <cellStyle name="Normal 9 2 4 3 4" xfId="9520" xr:uid="{8FD6CB05-9C47-4437-A8D1-096F0374197D}"/>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6F8430EB-0FF3-4EEE-8166-BD5929CC55A4}"/>
    <cellStyle name="Normal 9 2 4 4 2 3" xfId="12078" xr:uid="{F46308C1-B778-4F2E-A40A-ACF4ACEF0040}"/>
    <cellStyle name="Normal 9 2 4 4 3" xfId="5716" xr:uid="{00000000-0005-0000-0000-0000781F0000}"/>
    <cellStyle name="Normal 9 2 4 4 3 2" xfId="14151" xr:uid="{511FBAD1-400E-4C70-A47A-AF371D4F28FD}"/>
    <cellStyle name="Normal 9 2 4 4 4" xfId="9933" xr:uid="{6C8505E7-FDA8-4224-8780-4CF74A2D100C}"/>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CE057E22-E020-4F19-B754-CB9EF3CA6F74}"/>
    <cellStyle name="Normal 9 2 4 5 2 3" xfId="12491" xr:uid="{3391E533-1F93-4988-AEE1-8F83C8CC1AAC}"/>
    <cellStyle name="Normal 9 2 4 5 3" xfId="6129" xr:uid="{00000000-0005-0000-0000-00007C1F0000}"/>
    <cellStyle name="Normal 9 2 4 5 3 2" xfId="14564" xr:uid="{AF5C316A-5874-4DB6-BD3F-203BEA051311}"/>
    <cellStyle name="Normal 9 2 4 5 4" xfId="10346" xr:uid="{C1FC6EA4-AB36-44E1-B8FC-B0090DB8ACD2}"/>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2FA10E75-FE08-4437-992F-AEBD11D36F74}"/>
    <cellStyle name="Normal 9 2 4 6 2 3" xfId="12904" xr:uid="{CEC86EB6-A83D-4614-915F-B04BB85793A1}"/>
    <cellStyle name="Normal 9 2 4 6 3" xfId="6542" xr:uid="{00000000-0005-0000-0000-0000801F0000}"/>
    <cellStyle name="Normal 9 2 4 6 3 2" xfId="14977" xr:uid="{586040ED-819E-4C9A-AFEA-70640C790EC2}"/>
    <cellStyle name="Normal 9 2 4 6 4" xfId="10759" xr:uid="{1CBD0B52-F05D-43E0-99D6-F54A70CAAAFB}"/>
    <cellStyle name="Normal 9 2 4 7" xfId="2671" xr:uid="{00000000-0005-0000-0000-0000811F0000}"/>
    <cellStyle name="Normal 9 2 4 7 2" xfId="6955" xr:uid="{00000000-0005-0000-0000-0000821F0000}"/>
    <cellStyle name="Normal 9 2 4 7 2 2" xfId="15390" xr:uid="{DE3980BA-BCDF-4CC5-930E-1432C331FCA3}"/>
    <cellStyle name="Normal 9 2 4 7 3" xfId="11172" xr:uid="{38619524-0B52-4C5F-859E-92390B7884F2}"/>
    <cellStyle name="Normal 9 2 4 8" xfId="4890" xr:uid="{00000000-0005-0000-0000-0000831F0000}"/>
    <cellStyle name="Normal 9 2 4 8 2" xfId="13325" xr:uid="{3E921584-0CAD-402F-83E3-0F008A4F0A31}"/>
    <cellStyle name="Normal 9 2 4 9" xfId="9107" xr:uid="{65972039-1E24-4C64-8499-90A4C3900B6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99555F10-02F4-40C9-A819-22F505FF69D4}"/>
    <cellStyle name="Normal 9 2 5 2 2 3" xfId="11667" xr:uid="{30AA3AC1-1862-42AF-9799-C784BB3AAB1D}"/>
    <cellStyle name="Normal 9 2 5 2 3" xfId="5305" xr:uid="{00000000-0005-0000-0000-0000881F0000}"/>
    <cellStyle name="Normal 9 2 5 2 3 2" xfId="13740" xr:uid="{D37D582F-2E53-491B-9493-28493246BE60}"/>
    <cellStyle name="Normal 9 2 5 2 4" xfId="9522" xr:uid="{578EFF0C-96B1-4A23-B15D-B024164A0401}"/>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F36B5697-DD09-4700-8EF1-669322FAF527}"/>
    <cellStyle name="Normal 9 2 5 3 2 3" xfId="12080" xr:uid="{138DCC0F-3054-4E08-A0AF-CED2B98D90E4}"/>
    <cellStyle name="Normal 9 2 5 3 3" xfId="5718" xr:uid="{00000000-0005-0000-0000-00008C1F0000}"/>
    <cellStyle name="Normal 9 2 5 3 3 2" xfId="14153" xr:uid="{D1D5750E-32AA-42E3-8CE7-A0646541B48E}"/>
    <cellStyle name="Normal 9 2 5 3 4" xfId="9935" xr:uid="{4142A277-9407-45F3-8874-37A882C52144}"/>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A3DDC01D-4C4A-499D-821B-709D35AEEC04}"/>
    <cellStyle name="Normal 9 2 5 4 2 3" xfId="12493" xr:uid="{D373C23F-6352-4D79-AE3D-49D241A36540}"/>
    <cellStyle name="Normal 9 2 5 4 3" xfId="6131" xr:uid="{00000000-0005-0000-0000-0000901F0000}"/>
    <cellStyle name="Normal 9 2 5 4 3 2" xfId="14566" xr:uid="{7EC84312-A267-4EF7-8529-9FFDCF60404D}"/>
    <cellStyle name="Normal 9 2 5 4 4" xfId="10348" xr:uid="{50F6D7D9-4B7D-4515-AECF-0D77C9FEF9CC}"/>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DB467F2D-948B-4934-AA8F-D69E9C723EA1}"/>
    <cellStyle name="Normal 9 2 5 5 2 3" xfId="12906" xr:uid="{36EB85BB-269C-4443-896F-FF1B1B596F96}"/>
    <cellStyle name="Normal 9 2 5 5 3" xfId="6544" xr:uid="{00000000-0005-0000-0000-0000941F0000}"/>
    <cellStyle name="Normal 9 2 5 5 3 2" xfId="14979" xr:uid="{C0EA84F7-ADCC-433D-BADD-FDDD91824C3B}"/>
    <cellStyle name="Normal 9 2 5 5 4" xfId="10761" xr:uid="{91C361CB-D697-4B9A-BB9A-1D76766A2F73}"/>
    <cellStyle name="Normal 9 2 5 6" xfId="2673" xr:uid="{00000000-0005-0000-0000-0000951F0000}"/>
    <cellStyle name="Normal 9 2 5 6 2" xfId="6957" xr:uid="{00000000-0005-0000-0000-0000961F0000}"/>
    <cellStyle name="Normal 9 2 5 6 2 2" xfId="15392" xr:uid="{CF1775D2-13DF-4971-A8EC-B1CB7528B71D}"/>
    <cellStyle name="Normal 9 2 5 6 3" xfId="11174" xr:uid="{F5926EAF-A202-4F98-A8FD-60D53087E347}"/>
    <cellStyle name="Normal 9 2 5 7" xfId="4892" xr:uid="{00000000-0005-0000-0000-0000971F0000}"/>
    <cellStyle name="Normal 9 2 5 7 2" xfId="13327" xr:uid="{4F39A9EC-8E05-4864-8403-D955FA2D7570}"/>
    <cellStyle name="Normal 9 2 5 8" xfId="9109" xr:uid="{B607C8F7-BA89-4222-9183-D2C5293896E6}"/>
    <cellStyle name="Normal 9 2 6" xfId="979" xr:uid="{00000000-0005-0000-0000-0000981F0000}"/>
    <cellStyle name="Normal 9 2 6 2" xfId="3212" xr:uid="{00000000-0005-0000-0000-0000991F0000}"/>
    <cellStyle name="Normal 9 2 6 2 2" xfId="7435" xr:uid="{00000000-0005-0000-0000-00009A1F0000}"/>
    <cellStyle name="Normal 9 2 6 2 2 2" xfId="15870" xr:uid="{2059A35C-CDB7-4C4C-A130-DE0BCFEFEF5E}"/>
    <cellStyle name="Normal 9 2 6 2 3" xfId="11652" xr:uid="{73E5BDED-9D98-451C-BA4B-993CB712A3C8}"/>
    <cellStyle name="Normal 9 2 6 3" xfId="5290" xr:uid="{00000000-0005-0000-0000-00009B1F0000}"/>
    <cellStyle name="Normal 9 2 6 3 2" xfId="13725" xr:uid="{4F1EF77E-1C61-421E-BBDE-EFF398F1D8AF}"/>
    <cellStyle name="Normal 9 2 6 4" xfId="9507" xr:uid="{A2F495D0-24DF-44DE-B03B-C4C52B3AA119}"/>
    <cellStyle name="Normal 9 2 7" xfId="1395" xr:uid="{00000000-0005-0000-0000-00009C1F0000}"/>
    <cellStyle name="Normal 9 2 7 2" xfId="3625" xr:uid="{00000000-0005-0000-0000-00009D1F0000}"/>
    <cellStyle name="Normal 9 2 7 2 2" xfId="7848" xr:uid="{00000000-0005-0000-0000-00009E1F0000}"/>
    <cellStyle name="Normal 9 2 7 2 2 2" xfId="16283" xr:uid="{CB54C767-4D93-489A-92AE-01FEA8CCC195}"/>
    <cellStyle name="Normal 9 2 7 2 3" xfId="12065" xr:uid="{378D1CF9-7AFF-44C6-BF18-A19812A177FB}"/>
    <cellStyle name="Normal 9 2 7 3" xfId="5703" xr:uid="{00000000-0005-0000-0000-00009F1F0000}"/>
    <cellStyle name="Normal 9 2 7 3 2" xfId="14138" xr:uid="{CB31CFB1-82F7-4FEA-AFA1-1BD5021EF714}"/>
    <cellStyle name="Normal 9 2 7 4" xfId="9920" xr:uid="{DBFFFEC1-03FD-4E31-9B2A-3CF7752D4B22}"/>
    <cellStyle name="Normal 9 2 8" xfId="1808" xr:uid="{00000000-0005-0000-0000-0000A01F0000}"/>
    <cellStyle name="Normal 9 2 8 2" xfId="4038" xr:uid="{00000000-0005-0000-0000-0000A11F0000}"/>
    <cellStyle name="Normal 9 2 8 2 2" xfId="8261" xr:uid="{00000000-0005-0000-0000-0000A21F0000}"/>
    <cellStyle name="Normal 9 2 8 2 2 2" xfId="16696" xr:uid="{126D64BA-1801-476F-A337-CE96D86E3C0F}"/>
    <cellStyle name="Normal 9 2 8 2 3" xfId="12478" xr:uid="{B6F5B667-AFA2-4120-A246-CB0E0F1B918A}"/>
    <cellStyle name="Normal 9 2 8 3" xfId="6116" xr:uid="{00000000-0005-0000-0000-0000A31F0000}"/>
    <cellStyle name="Normal 9 2 8 3 2" xfId="14551" xr:uid="{270FE8B2-CFD0-4C23-A678-DD738CFF37FD}"/>
    <cellStyle name="Normal 9 2 8 4" xfId="10333" xr:uid="{08667375-1420-4DB9-8620-05546AA50800}"/>
    <cellStyle name="Normal 9 2 9" xfId="2222" xr:uid="{00000000-0005-0000-0000-0000A41F0000}"/>
    <cellStyle name="Normal 9 2 9 2" xfId="4451" xr:uid="{00000000-0005-0000-0000-0000A51F0000}"/>
    <cellStyle name="Normal 9 2 9 2 2" xfId="8674" xr:uid="{00000000-0005-0000-0000-0000A61F0000}"/>
    <cellStyle name="Normal 9 2 9 2 2 2" xfId="17109" xr:uid="{320368E1-6767-40C0-80D0-07308F6F5ED8}"/>
    <cellStyle name="Normal 9 2 9 2 3" xfId="12891" xr:uid="{1A10074E-6B13-49FB-9C95-C582251F01F0}"/>
    <cellStyle name="Normal 9 2 9 3" xfId="6529" xr:uid="{00000000-0005-0000-0000-0000A71F0000}"/>
    <cellStyle name="Normal 9 2 9 3 2" xfId="14964" xr:uid="{CD2179CF-A0CA-4105-9B6C-8627DBB6C823}"/>
    <cellStyle name="Normal 9 2 9 4" xfId="10746" xr:uid="{1C7CBEAA-BCD9-4EC1-8AC5-9770AA4B3BDA}"/>
    <cellStyle name="Normal 9 3" xfId="527" xr:uid="{00000000-0005-0000-0000-0000A81F0000}"/>
    <cellStyle name="Normal 9 3 10" xfId="4893" xr:uid="{00000000-0005-0000-0000-0000A91F0000}"/>
    <cellStyle name="Normal 9 3 10 2" xfId="13328" xr:uid="{4426B906-14A1-48F4-981A-8560F6933E08}"/>
    <cellStyle name="Normal 9 3 11" xfId="9110" xr:uid="{A4F829F6-5870-45F5-8E7F-A0604948600B}"/>
    <cellStyle name="Normal 9 3 2" xfId="528" xr:uid="{00000000-0005-0000-0000-0000AA1F0000}"/>
    <cellStyle name="Normal 9 3 2 10" xfId="9111" xr:uid="{8B47E15D-3BC9-48BA-BCDE-4EE0A289FBC8}"/>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A408EA0F-F752-473A-A383-03DCAA24EB80}"/>
    <cellStyle name="Normal 9 3 2 2 2 2 2 3" xfId="11671" xr:uid="{3F764804-16EA-4D07-B879-626D320D00A5}"/>
    <cellStyle name="Normal 9 3 2 2 2 2 3" xfId="5309" xr:uid="{00000000-0005-0000-0000-0000B01F0000}"/>
    <cellStyle name="Normal 9 3 2 2 2 2 3 2" xfId="13744" xr:uid="{4F3E40A0-6454-44A4-8394-42B3E8079564}"/>
    <cellStyle name="Normal 9 3 2 2 2 2 4" xfId="9526" xr:uid="{93C6BF81-FC6E-4FC5-BB14-5313530286EA}"/>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41ADC271-9786-4215-AF61-3A289929291F}"/>
    <cellStyle name="Normal 9 3 2 2 2 3 2 3" xfId="12084" xr:uid="{BE2E7279-9280-47C4-95AB-E980F0D8CAA8}"/>
    <cellStyle name="Normal 9 3 2 2 2 3 3" xfId="5722" xr:uid="{00000000-0005-0000-0000-0000B41F0000}"/>
    <cellStyle name="Normal 9 3 2 2 2 3 3 2" xfId="14157" xr:uid="{6F82127F-3F39-4854-9FE1-662F327E009E}"/>
    <cellStyle name="Normal 9 3 2 2 2 3 4" xfId="9939" xr:uid="{1B3914AC-50F3-4619-BD7E-FB8377E15842}"/>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AD397F17-C290-4CCC-AA75-FE1085869CD5}"/>
    <cellStyle name="Normal 9 3 2 2 2 4 2 3" xfId="12497" xr:uid="{B22A1A8B-8752-4127-A785-1D252BA82313}"/>
    <cellStyle name="Normal 9 3 2 2 2 4 3" xfId="6135" xr:uid="{00000000-0005-0000-0000-0000B81F0000}"/>
    <cellStyle name="Normal 9 3 2 2 2 4 3 2" xfId="14570" xr:uid="{DD5DCDC3-3896-44CD-8246-AF7038E1CB22}"/>
    <cellStyle name="Normal 9 3 2 2 2 4 4" xfId="10352" xr:uid="{9CE980D8-BADA-42D1-A2B1-9E216A06C903}"/>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32E401E9-B1DF-4A25-8105-58C48980FE1B}"/>
    <cellStyle name="Normal 9 3 2 2 2 5 2 3" xfId="12910" xr:uid="{DDBD6B64-81B0-4787-A3A3-A340E54DDC79}"/>
    <cellStyle name="Normal 9 3 2 2 2 5 3" xfId="6548" xr:uid="{00000000-0005-0000-0000-0000BC1F0000}"/>
    <cellStyle name="Normal 9 3 2 2 2 5 3 2" xfId="14983" xr:uid="{7388C6EA-F615-4ADC-94CC-9EC374561224}"/>
    <cellStyle name="Normal 9 3 2 2 2 5 4" xfId="10765" xr:uid="{6C3009A6-EC59-4376-9525-AE4AD7C74054}"/>
    <cellStyle name="Normal 9 3 2 2 2 6" xfId="2677" xr:uid="{00000000-0005-0000-0000-0000BD1F0000}"/>
    <cellStyle name="Normal 9 3 2 2 2 6 2" xfId="6961" xr:uid="{00000000-0005-0000-0000-0000BE1F0000}"/>
    <cellStyle name="Normal 9 3 2 2 2 6 2 2" xfId="15396" xr:uid="{634E6F46-5CB0-4344-B303-22749F7A9525}"/>
    <cellStyle name="Normal 9 3 2 2 2 6 3" xfId="11178" xr:uid="{A47F380D-05CA-4223-8DB9-E2D05D1C0F12}"/>
    <cellStyle name="Normal 9 3 2 2 2 7" xfId="4896" xr:uid="{00000000-0005-0000-0000-0000BF1F0000}"/>
    <cellStyle name="Normal 9 3 2 2 2 7 2" xfId="13331" xr:uid="{61F65FB7-FA0F-4FBC-9824-DE29DCFED910}"/>
    <cellStyle name="Normal 9 3 2 2 2 8" xfId="9113" xr:uid="{8C1F0AB0-08EF-4EC3-856F-ACB836D56C1C}"/>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850ABA3E-0A36-43B2-ADD6-1F9824BFD066}"/>
    <cellStyle name="Normal 9 3 2 2 3 2 3" xfId="11670" xr:uid="{2896B3CC-3EBE-4BE9-8C45-B3C40158B32B}"/>
    <cellStyle name="Normal 9 3 2 2 3 3" xfId="5308" xr:uid="{00000000-0005-0000-0000-0000C31F0000}"/>
    <cellStyle name="Normal 9 3 2 2 3 3 2" xfId="13743" xr:uid="{C3190E02-033C-4537-800D-E2747B693AA9}"/>
    <cellStyle name="Normal 9 3 2 2 3 4" xfId="9525" xr:uid="{97106019-A3C2-4B65-8BA8-7BEC70D914B4}"/>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094063F3-0B75-4825-BD0C-331F776278FB}"/>
    <cellStyle name="Normal 9 3 2 2 4 2 3" xfId="12083" xr:uid="{5B05B447-B862-4E04-8AE8-7129F75498A4}"/>
    <cellStyle name="Normal 9 3 2 2 4 3" xfId="5721" xr:uid="{00000000-0005-0000-0000-0000C71F0000}"/>
    <cellStyle name="Normal 9 3 2 2 4 3 2" xfId="14156" xr:uid="{802EBE17-5388-4936-AD06-7722D3C8227C}"/>
    <cellStyle name="Normal 9 3 2 2 4 4" xfId="9938" xr:uid="{4EBAA12C-CE91-4299-AA54-84B082FFD5CC}"/>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DDE37ABB-34E3-47FB-8F89-6A77FD839F83}"/>
    <cellStyle name="Normal 9 3 2 2 5 2 3" xfId="12496" xr:uid="{2C854B19-7117-4693-AFC8-7F96BE63A687}"/>
    <cellStyle name="Normal 9 3 2 2 5 3" xfId="6134" xr:uid="{00000000-0005-0000-0000-0000CB1F0000}"/>
    <cellStyle name="Normal 9 3 2 2 5 3 2" xfId="14569" xr:uid="{3EC52920-9E7B-4C2F-8451-136A1F8C3FE9}"/>
    <cellStyle name="Normal 9 3 2 2 5 4" xfId="10351" xr:uid="{73D95458-80D7-48C7-8A1A-819BBC1B65B7}"/>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46C89DC9-312B-429B-B823-C0823472C20D}"/>
    <cellStyle name="Normal 9 3 2 2 6 2 3" xfId="12909" xr:uid="{9BF56994-B7AB-4CC7-84DB-313F86C3F82A}"/>
    <cellStyle name="Normal 9 3 2 2 6 3" xfId="6547" xr:uid="{00000000-0005-0000-0000-0000CF1F0000}"/>
    <cellStyle name="Normal 9 3 2 2 6 3 2" xfId="14982" xr:uid="{36AD7FEF-4292-4C37-A58D-1B9B981A84BC}"/>
    <cellStyle name="Normal 9 3 2 2 6 4" xfId="10764" xr:uid="{E1E37B48-D807-4C47-8E1B-3D7AC1165A6C}"/>
    <cellStyle name="Normal 9 3 2 2 7" xfId="2676" xr:uid="{00000000-0005-0000-0000-0000D01F0000}"/>
    <cellStyle name="Normal 9 3 2 2 7 2" xfId="6960" xr:uid="{00000000-0005-0000-0000-0000D11F0000}"/>
    <cellStyle name="Normal 9 3 2 2 7 2 2" xfId="15395" xr:uid="{1BCF1023-8AF9-40EE-9870-53FF35641F02}"/>
    <cellStyle name="Normal 9 3 2 2 7 3" xfId="11177" xr:uid="{619D830C-A78A-4121-B337-05A59F94CADB}"/>
    <cellStyle name="Normal 9 3 2 2 8" xfId="4895" xr:uid="{00000000-0005-0000-0000-0000D21F0000}"/>
    <cellStyle name="Normal 9 3 2 2 8 2" xfId="13330" xr:uid="{9A374765-D25D-4C89-B239-DE1D136202D3}"/>
    <cellStyle name="Normal 9 3 2 2 9" xfId="9112" xr:uid="{6F709FB5-57ED-4E4D-BE2F-07D7C5F27649}"/>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FD36FBD4-7DB9-4594-964A-C73EA3CCDE1D}"/>
    <cellStyle name="Normal 9 3 2 3 2 2 3" xfId="11672" xr:uid="{F7A0F8B4-E676-4BAF-A56B-26A3C5C2BCBA}"/>
    <cellStyle name="Normal 9 3 2 3 2 3" xfId="5310" xr:uid="{00000000-0005-0000-0000-0000D71F0000}"/>
    <cellStyle name="Normal 9 3 2 3 2 3 2" xfId="13745" xr:uid="{E5DF0F11-F7EC-473F-BEF9-A21B2944EEFD}"/>
    <cellStyle name="Normal 9 3 2 3 2 4" xfId="9527" xr:uid="{DDB0C494-6344-404C-AEF7-994BA2B638E5}"/>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FEC007F4-88DE-421C-8BE7-47739877400C}"/>
    <cellStyle name="Normal 9 3 2 3 3 2 3" xfId="12085" xr:uid="{B6817161-FEB4-4B22-AC3F-27C3461FC074}"/>
    <cellStyle name="Normal 9 3 2 3 3 3" xfId="5723" xr:uid="{00000000-0005-0000-0000-0000DB1F0000}"/>
    <cellStyle name="Normal 9 3 2 3 3 3 2" xfId="14158" xr:uid="{687D504C-94DE-4D40-B922-1AA93314C2A7}"/>
    <cellStyle name="Normal 9 3 2 3 3 4" xfId="9940" xr:uid="{3680514C-7C85-430E-8543-FE854771BA5B}"/>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76B7939B-AD64-44A9-AC85-9AA9F4DA2770}"/>
    <cellStyle name="Normal 9 3 2 3 4 2 3" xfId="12498" xr:uid="{89B8972C-7025-450A-8EA7-59B0C6193EFE}"/>
    <cellStyle name="Normal 9 3 2 3 4 3" xfId="6136" xr:uid="{00000000-0005-0000-0000-0000DF1F0000}"/>
    <cellStyle name="Normal 9 3 2 3 4 3 2" xfId="14571" xr:uid="{7BAA14F6-5FB3-4A57-814C-9E200A4F0C34}"/>
    <cellStyle name="Normal 9 3 2 3 4 4" xfId="10353" xr:uid="{01171A6E-DC0B-49B6-AFCC-F9F7C072F9BB}"/>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9085AABA-1349-4EEE-95F6-0E3719F31CA6}"/>
    <cellStyle name="Normal 9 3 2 3 5 2 3" xfId="12911" xr:uid="{1AEC974D-1622-4C68-B79C-78DD3D6DE336}"/>
    <cellStyle name="Normal 9 3 2 3 5 3" xfId="6549" xr:uid="{00000000-0005-0000-0000-0000E31F0000}"/>
    <cellStyle name="Normal 9 3 2 3 5 3 2" xfId="14984" xr:uid="{45C9C88E-3D46-441A-9A76-E13911F49596}"/>
    <cellStyle name="Normal 9 3 2 3 5 4" xfId="10766" xr:uid="{22BE84B2-8B38-4D48-9F5D-2B15FB6B90D6}"/>
    <cellStyle name="Normal 9 3 2 3 6" xfId="2678" xr:uid="{00000000-0005-0000-0000-0000E41F0000}"/>
    <cellStyle name="Normal 9 3 2 3 6 2" xfId="6962" xr:uid="{00000000-0005-0000-0000-0000E51F0000}"/>
    <cellStyle name="Normal 9 3 2 3 6 2 2" xfId="15397" xr:uid="{905B695C-5551-451C-B666-73264280CD86}"/>
    <cellStyle name="Normal 9 3 2 3 6 3" xfId="11179" xr:uid="{13316A02-E4DF-4C7A-9EC1-BDD4EC5C6C2B}"/>
    <cellStyle name="Normal 9 3 2 3 7" xfId="4897" xr:uid="{00000000-0005-0000-0000-0000E61F0000}"/>
    <cellStyle name="Normal 9 3 2 3 7 2" xfId="13332" xr:uid="{D1A03925-4438-42E8-A803-436005CA50B1}"/>
    <cellStyle name="Normal 9 3 2 3 8" xfId="9114" xr:uid="{B9BE7DEA-BDD1-4B66-845A-99EF9FF398BB}"/>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1AEFF323-6CD0-4791-8DEF-9F1E631AD2C2}"/>
    <cellStyle name="Normal 9 3 2 4 2 3" xfId="11669" xr:uid="{372EEA7C-DF5C-4E02-BB7B-D70E0B61C90A}"/>
    <cellStyle name="Normal 9 3 2 4 3" xfId="5307" xr:uid="{00000000-0005-0000-0000-0000EA1F0000}"/>
    <cellStyle name="Normal 9 3 2 4 3 2" xfId="13742" xr:uid="{53B0236B-529E-4D65-A374-BAC8AC3B0BA9}"/>
    <cellStyle name="Normal 9 3 2 4 4" xfId="9524" xr:uid="{A6012790-DACA-4074-83E2-07838AE6792A}"/>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1AFE6103-B751-4D37-A6F2-7F9B42B81C4C}"/>
    <cellStyle name="Normal 9 3 2 5 2 3" xfId="12082" xr:uid="{873731E3-9B33-4FCD-87CA-6DD9E22FB927}"/>
    <cellStyle name="Normal 9 3 2 5 3" xfId="5720" xr:uid="{00000000-0005-0000-0000-0000EE1F0000}"/>
    <cellStyle name="Normal 9 3 2 5 3 2" xfId="14155" xr:uid="{FFA3757C-6E97-48B5-87CF-F3FEABE65D81}"/>
    <cellStyle name="Normal 9 3 2 5 4" xfId="9937" xr:uid="{3F5F4777-EA59-490E-B096-58AD65BD6BEC}"/>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492B7079-8C2C-4F18-81A4-5D6B7521332B}"/>
    <cellStyle name="Normal 9 3 2 6 2 3" xfId="12495" xr:uid="{5E505DA9-5A09-4C4D-A49E-D7A72DFC2191}"/>
    <cellStyle name="Normal 9 3 2 6 3" xfId="6133" xr:uid="{00000000-0005-0000-0000-0000F21F0000}"/>
    <cellStyle name="Normal 9 3 2 6 3 2" xfId="14568" xr:uid="{DEE36CA3-4423-4602-BA9C-DE8571C69C5E}"/>
    <cellStyle name="Normal 9 3 2 6 4" xfId="10350" xr:uid="{D9138962-A6C9-4B33-A817-5E2EDB864C44}"/>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52DE1DD5-5F9F-4F50-9513-B0505672E8A1}"/>
    <cellStyle name="Normal 9 3 2 7 2 3" xfId="12908" xr:uid="{404AD8DB-1948-48ED-9B7B-D30663689B7B}"/>
    <cellStyle name="Normal 9 3 2 7 3" xfId="6546" xr:uid="{00000000-0005-0000-0000-0000F61F0000}"/>
    <cellStyle name="Normal 9 3 2 7 3 2" xfId="14981" xr:uid="{1DC8F23F-DA68-4F82-A69B-C7B1151653BD}"/>
    <cellStyle name="Normal 9 3 2 7 4" xfId="10763" xr:uid="{B4D3FF6A-6098-42D6-B18F-9E2F3B1EE2CA}"/>
    <cellStyle name="Normal 9 3 2 8" xfId="2675" xr:uid="{00000000-0005-0000-0000-0000F71F0000}"/>
    <cellStyle name="Normal 9 3 2 8 2" xfId="6959" xr:uid="{00000000-0005-0000-0000-0000F81F0000}"/>
    <cellStyle name="Normal 9 3 2 8 2 2" xfId="15394" xr:uid="{A03CB1B5-CE26-4306-A522-BE720638983F}"/>
    <cellStyle name="Normal 9 3 2 8 3" xfId="11176" xr:uid="{E6D9D27D-8517-4C53-AD8C-C4DFE933FDAA}"/>
    <cellStyle name="Normal 9 3 2 9" xfId="4894" xr:uid="{00000000-0005-0000-0000-0000F91F0000}"/>
    <cellStyle name="Normal 9 3 2 9 2" xfId="13329" xr:uid="{3BF6C22B-35B0-441C-9C18-75D2944C5F1C}"/>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9561F0EA-CCEC-4364-8727-13DBE0FE6115}"/>
    <cellStyle name="Normal 9 3 3 2 2 2 3" xfId="11674" xr:uid="{C28E82EB-7092-4950-B33F-3AC2E0FF6C7B}"/>
    <cellStyle name="Normal 9 3 3 2 2 3" xfId="5312" xr:uid="{00000000-0005-0000-0000-0000FF1F0000}"/>
    <cellStyle name="Normal 9 3 3 2 2 3 2" xfId="13747" xr:uid="{7EFEDFB6-1D6A-4E71-A4FF-B7EC26EDFECA}"/>
    <cellStyle name="Normal 9 3 3 2 2 4" xfId="9529" xr:uid="{47F74241-BE7E-492C-868E-876E1A795116}"/>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87A6694F-2817-4D08-B5B5-FE758919AC7C}"/>
    <cellStyle name="Normal 9 3 3 2 3 2 3" xfId="12087" xr:uid="{AE3D3C3F-8C58-43AC-BB82-1977E8F65DEC}"/>
    <cellStyle name="Normal 9 3 3 2 3 3" xfId="5725" xr:uid="{00000000-0005-0000-0000-000003200000}"/>
    <cellStyle name="Normal 9 3 3 2 3 3 2" xfId="14160" xr:uid="{1835A0FA-B0A3-401A-8987-6949F385C999}"/>
    <cellStyle name="Normal 9 3 3 2 3 4" xfId="9942" xr:uid="{FA395717-1771-45E6-A33E-368F76F0F361}"/>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F72B9832-C06A-4A69-BDFE-E7488F9AF7D0}"/>
    <cellStyle name="Normal 9 3 3 2 4 2 3" xfId="12500" xr:uid="{299F3B47-8A82-47C5-A367-2F09A20ACBFA}"/>
    <cellStyle name="Normal 9 3 3 2 4 3" xfId="6138" xr:uid="{00000000-0005-0000-0000-000007200000}"/>
    <cellStyle name="Normal 9 3 3 2 4 3 2" xfId="14573" xr:uid="{313AA23C-7453-43A9-88E2-89DE82D57FC5}"/>
    <cellStyle name="Normal 9 3 3 2 4 4" xfId="10355" xr:uid="{8657644F-E968-404B-8B94-8467B9C1FADD}"/>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528B5D90-1A99-4381-BF10-14DCAF2156AA}"/>
    <cellStyle name="Normal 9 3 3 2 5 2 3" xfId="12913" xr:uid="{EF046AA6-B49E-46A3-B631-9E05222E9616}"/>
    <cellStyle name="Normal 9 3 3 2 5 3" xfId="6551" xr:uid="{00000000-0005-0000-0000-00000B200000}"/>
    <cellStyle name="Normal 9 3 3 2 5 3 2" xfId="14986" xr:uid="{565217EF-109F-4877-B38A-DB80D3E27EC4}"/>
    <cellStyle name="Normal 9 3 3 2 5 4" xfId="10768" xr:uid="{433059C7-75D9-41E0-91D5-ABB610E16992}"/>
    <cellStyle name="Normal 9 3 3 2 6" xfId="2680" xr:uid="{00000000-0005-0000-0000-00000C200000}"/>
    <cellStyle name="Normal 9 3 3 2 6 2" xfId="6964" xr:uid="{00000000-0005-0000-0000-00000D200000}"/>
    <cellStyle name="Normal 9 3 3 2 6 2 2" xfId="15399" xr:uid="{F0E74888-2141-4B72-A8BC-6F61D48FB8CF}"/>
    <cellStyle name="Normal 9 3 3 2 6 3" xfId="11181" xr:uid="{E4261732-359B-493B-83DD-9F2FCCF56665}"/>
    <cellStyle name="Normal 9 3 3 2 7" xfId="4899" xr:uid="{00000000-0005-0000-0000-00000E200000}"/>
    <cellStyle name="Normal 9 3 3 2 7 2" xfId="13334" xr:uid="{D024B54E-F77E-4B07-BB27-129642D9F158}"/>
    <cellStyle name="Normal 9 3 3 2 8" xfId="9116" xr:uid="{C2F03EA3-5C44-49A9-A059-96AA96E5D0D6}"/>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8819EDDA-2AAE-4CD6-8202-31F99826662E}"/>
    <cellStyle name="Normal 9 3 3 3 2 3" xfId="11673" xr:uid="{11830518-26A4-4FF7-8945-AF22D986A60E}"/>
    <cellStyle name="Normal 9 3 3 3 3" xfId="5311" xr:uid="{00000000-0005-0000-0000-000012200000}"/>
    <cellStyle name="Normal 9 3 3 3 3 2" xfId="13746" xr:uid="{86447E09-BFBF-4413-A478-208C4E1969C4}"/>
    <cellStyle name="Normal 9 3 3 3 4" xfId="9528" xr:uid="{7CA93B82-C83A-435D-900C-91EA52E979E3}"/>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547ACB5D-D65D-4A23-BEBE-9A86F54B4405}"/>
    <cellStyle name="Normal 9 3 3 4 2 3" xfId="12086" xr:uid="{3B31360A-7CAD-4040-B3D9-EECF3F7A3189}"/>
    <cellStyle name="Normal 9 3 3 4 3" xfId="5724" xr:uid="{00000000-0005-0000-0000-000016200000}"/>
    <cellStyle name="Normal 9 3 3 4 3 2" xfId="14159" xr:uid="{B885BE25-AC28-4D03-9FFD-26EB3273A880}"/>
    <cellStyle name="Normal 9 3 3 4 4" xfId="9941" xr:uid="{12B55C1A-DDD3-4066-9522-4E4AB2F6C47B}"/>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C7773891-8C23-45E1-9D7C-EFB92552E850}"/>
    <cellStyle name="Normal 9 3 3 5 2 3" xfId="12499" xr:uid="{D2DD3E0E-AA22-430E-BC9A-3EE6D45B494E}"/>
    <cellStyle name="Normal 9 3 3 5 3" xfId="6137" xr:uid="{00000000-0005-0000-0000-00001A200000}"/>
    <cellStyle name="Normal 9 3 3 5 3 2" xfId="14572" xr:uid="{491BEFCE-0FD2-412E-99A5-C2E6FFBED67A}"/>
    <cellStyle name="Normal 9 3 3 5 4" xfId="10354" xr:uid="{9D3D223E-B47E-480A-976B-67672D67610D}"/>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C873707F-0838-4032-8FB3-ED7E097F7D3F}"/>
    <cellStyle name="Normal 9 3 3 6 2 3" xfId="12912" xr:uid="{AB2EE483-79D4-4748-99DD-1A285041208C}"/>
    <cellStyle name="Normal 9 3 3 6 3" xfId="6550" xr:uid="{00000000-0005-0000-0000-00001E200000}"/>
    <cellStyle name="Normal 9 3 3 6 3 2" xfId="14985" xr:uid="{FA728A98-299F-4A66-BDD6-894B6E0A5D6E}"/>
    <cellStyle name="Normal 9 3 3 6 4" xfId="10767" xr:uid="{11A1C06B-E691-45D3-9680-0B87155BDD6E}"/>
    <cellStyle name="Normal 9 3 3 7" xfId="2679" xr:uid="{00000000-0005-0000-0000-00001F200000}"/>
    <cellStyle name="Normal 9 3 3 7 2" xfId="6963" xr:uid="{00000000-0005-0000-0000-000020200000}"/>
    <cellStyle name="Normal 9 3 3 7 2 2" xfId="15398" xr:uid="{776DB386-7602-454F-BD1B-BCD5C240778E}"/>
    <cellStyle name="Normal 9 3 3 7 3" xfId="11180" xr:uid="{F1A599E2-39B9-4909-95F2-C92F39EB7545}"/>
    <cellStyle name="Normal 9 3 3 8" xfId="4898" xr:uid="{00000000-0005-0000-0000-000021200000}"/>
    <cellStyle name="Normal 9 3 3 8 2" xfId="13333" xr:uid="{5DAD8C84-CD34-4592-9520-618489CCCD9B}"/>
    <cellStyle name="Normal 9 3 3 9" xfId="9115" xr:uid="{29C76156-2BC3-4DFD-B403-2C5A1AA2A633}"/>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B1C40F0B-A985-4627-B80E-ADE4EF346B4F}"/>
    <cellStyle name="Normal 9 3 4 2 2 3" xfId="11675" xr:uid="{81155C20-85FC-4767-B108-6B994BDA113C}"/>
    <cellStyle name="Normal 9 3 4 2 3" xfId="5313" xr:uid="{00000000-0005-0000-0000-000026200000}"/>
    <cellStyle name="Normal 9 3 4 2 3 2" xfId="13748" xr:uid="{FF361240-8A5D-4C62-B5C2-D19AB0E2BBF1}"/>
    <cellStyle name="Normal 9 3 4 2 4" xfId="9530" xr:uid="{A14C6A65-0B53-423E-818C-C0BA42E39FF4}"/>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B727BBE1-52E7-4531-900B-D4A479318E04}"/>
    <cellStyle name="Normal 9 3 4 3 2 3" xfId="12088" xr:uid="{54BCEB64-9EEB-443B-8330-56C2151761C4}"/>
    <cellStyle name="Normal 9 3 4 3 3" xfId="5726" xr:uid="{00000000-0005-0000-0000-00002A200000}"/>
    <cellStyle name="Normal 9 3 4 3 3 2" xfId="14161" xr:uid="{8775EFEE-9D05-4102-9387-A8F3C9C8A3D4}"/>
    <cellStyle name="Normal 9 3 4 3 4" xfId="9943" xr:uid="{AC6ABC8F-74BF-42E2-AC25-E18BC16C52FB}"/>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FD58EC2F-C284-4FE5-88C3-1286EC03D697}"/>
    <cellStyle name="Normal 9 3 4 4 2 3" xfId="12501" xr:uid="{5D0F4979-5C58-4447-9B56-4A1CA7E66153}"/>
    <cellStyle name="Normal 9 3 4 4 3" xfId="6139" xr:uid="{00000000-0005-0000-0000-00002E200000}"/>
    <cellStyle name="Normal 9 3 4 4 3 2" xfId="14574" xr:uid="{ECA79662-667B-42B6-A804-94612AD2E64E}"/>
    <cellStyle name="Normal 9 3 4 4 4" xfId="10356" xr:uid="{B2F5BAD9-7392-47D8-95BC-EAFF28FFCDBD}"/>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C8D8DE35-DE79-4801-9EE9-805E3CEEEA82}"/>
    <cellStyle name="Normal 9 3 4 5 2 3" xfId="12914" xr:uid="{C4366E72-58D0-46F9-948A-0C56F2B31FE8}"/>
    <cellStyle name="Normal 9 3 4 5 3" xfId="6552" xr:uid="{00000000-0005-0000-0000-000032200000}"/>
    <cellStyle name="Normal 9 3 4 5 3 2" xfId="14987" xr:uid="{589380DE-8E2B-4C57-9896-FAE8E3884BAD}"/>
    <cellStyle name="Normal 9 3 4 5 4" xfId="10769" xr:uid="{79AAED94-BABC-433D-B9A9-49E7927DD610}"/>
    <cellStyle name="Normal 9 3 4 6" xfId="2681" xr:uid="{00000000-0005-0000-0000-000033200000}"/>
    <cellStyle name="Normal 9 3 4 6 2" xfId="6965" xr:uid="{00000000-0005-0000-0000-000034200000}"/>
    <cellStyle name="Normal 9 3 4 6 2 2" xfId="15400" xr:uid="{656DDE91-F5CD-42D0-A6CC-1EFDE718A3A4}"/>
    <cellStyle name="Normal 9 3 4 6 3" xfId="11182" xr:uid="{4DDEE583-2EAC-45C1-AFD7-FE7EA39F8EC4}"/>
    <cellStyle name="Normal 9 3 4 7" xfId="4900" xr:uid="{00000000-0005-0000-0000-000035200000}"/>
    <cellStyle name="Normal 9 3 4 7 2" xfId="13335" xr:uid="{15B7EC6E-B49D-4B2D-BC5D-533433A069D3}"/>
    <cellStyle name="Normal 9 3 4 8" xfId="9117" xr:uid="{439675D8-1E60-4A07-88C4-00E3E67619CE}"/>
    <cellStyle name="Normal 9 3 5" xfId="995" xr:uid="{00000000-0005-0000-0000-000036200000}"/>
    <cellStyle name="Normal 9 3 5 2" xfId="3228" xr:uid="{00000000-0005-0000-0000-000037200000}"/>
    <cellStyle name="Normal 9 3 5 2 2" xfId="7451" xr:uid="{00000000-0005-0000-0000-000038200000}"/>
    <cellStyle name="Normal 9 3 5 2 2 2" xfId="15886" xr:uid="{2DF2DD69-CF31-4B31-B8E3-3AB80821D3C5}"/>
    <cellStyle name="Normal 9 3 5 2 3" xfId="11668" xr:uid="{050CBA9A-395D-4A43-A6A0-068E3E6600D8}"/>
    <cellStyle name="Normal 9 3 5 3" xfId="5306" xr:uid="{00000000-0005-0000-0000-000039200000}"/>
    <cellStyle name="Normal 9 3 5 3 2" xfId="13741" xr:uid="{6DA9B12E-1F1A-4F8A-923F-42AD17B8CCC8}"/>
    <cellStyle name="Normal 9 3 5 4" xfId="9523" xr:uid="{320BB7DB-7434-4B01-806C-72E0880B9BD4}"/>
    <cellStyle name="Normal 9 3 6" xfId="1411" xr:uid="{00000000-0005-0000-0000-00003A200000}"/>
    <cellStyle name="Normal 9 3 6 2" xfId="3641" xr:uid="{00000000-0005-0000-0000-00003B200000}"/>
    <cellStyle name="Normal 9 3 6 2 2" xfId="7864" xr:uid="{00000000-0005-0000-0000-00003C200000}"/>
    <cellStyle name="Normal 9 3 6 2 2 2" xfId="16299" xr:uid="{D45A97B2-D094-46EE-B1AA-505FDF212508}"/>
    <cellStyle name="Normal 9 3 6 2 3" xfId="12081" xr:uid="{164525AC-F693-4B83-9940-8AB67D56B1E6}"/>
    <cellStyle name="Normal 9 3 6 3" xfId="5719" xr:uid="{00000000-0005-0000-0000-00003D200000}"/>
    <cellStyle name="Normal 9 3 6 3 2" xfId="14154" xr:uid="{9E37594F-EA98-472C-B47C-3D83495ECD77}"/>
    <cellStyle name="Normal 9 3 6 4" xfId="9936" xr:uid="{4137AE95-8345-4417-9F58-837B896067D5}"/>
    <cellStyle name="Normal 9 3 7" xfId="1824" xr:uid="{00000000-0005-0000-0000-00003E200000}"/>
    <cellStyle name="Normal 9 3 7 2" xfId="4054" xr:uid="{00000000-0005-0000-0000-00003F200000}"/>
    <cellStyle name="Normal 9 3 7 2 2" xfId="8277" xr:uid="{00000000-0005-0000-0000-000040200000}"/>
    <cellStyle name="Normal 9 3 7 2 2 2" xfId="16712" xr:uid="{C46318CE-4523-4EEE-A314-B78240BD01AC}"/>
    <cellStyle name="Normal 9 3 7 2 3" xfId="12494" xr:uid="{0BFE9D03-DA08-4023-85E5-054E79F080A4}"/>
    <cellStyle name="Normal 9 3 7 3" xfId="6132" xr:uid="{00000000-0005-0000-0000-000041200000}"/>
    <cellStyle name="Normal 9 3 7 3 2" xfId="14567" xr:uid="{0D46F70F-F9EB-4F2D-AF55-C21CF95CE205}"/>
    <cellStyle name="Normal 9 3 7 4" xfId="10349" xr:uid="{BA885988-0BCC-45B8-9055-6040C86071FC}"/>
    <cellStyle name="Normal 9 3 8" xfId="2238" xr:uid="{00000000-0005-0000-0000-000042200000}"/>
    <cellStyle name="Normal 9 3 8 2" xfId="4467" xr:uid="{00000000-0005-0000-0000-000043200000}"/>
    <cellStyle name="Normal 9 3 8 2 2" xfId="8690" xr:uid="{00000000-0005-0000-0000-000044200000}"/>
    <cellStyle name="Normal 9 3 8 2 2 2" xfId="17125" xr:uid="{9D323074-EA38-4080-BAD9-FEBFD4EF8399}"/>
    <cellStyle name="Normal 9 3 8 2 3" xfId="12907" xr:uid="{4EE358A7-8339-49DD-844C-1F85DA34B79D}"/>
    <cellStyle name="Normal 9 3 8 3" xfId="6545" xr:uid="{00000000-0005-0000-0000-000045200000}"/>
    <cellStyle name="Normal 9 3 8 3 2" xfId="14980" xr:uid="{D08378A8-C6B8-4139-A751-5AA1EA327E83}"/>
    <cellStyle name="Normal 9 3 8 4" xfId="10762" xr:uid="{6928DD15-BA39-4EA5-A619-06C89D394BF7}"/>
    <cellStyle name="Normal 9 3 9" xfId="2674" xr:uid="{00000000-0005-0000-0000-000046200000}"/>
    <cellStyle name="Normal 9 3 9 2" xfId="6958" xr:uid="{00000000-0005-0000-0000-000047200000}"/>
    <cellStyle name="Normal 9 3 9 2 2" xfId="15393" xr:uid="{BEF5E12B-4DEF-40C0-9EA6-22A5CA745EE0}"/>
    <cellStyle name="Normal 9 3 9 3" xfId="11175" xr:uid="{1B38A8CD-421F-415B-820A-2475E9A5C817}"/>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ABE68BF6-A122-48A5-8EAD-35AFC0577CE6}"/>
    <cellStyle name="Normal 9 5 2 2 2 3" xfId="11677" xr:uid="{43B4AA8E-C38F-40B3-9E90-B9C7C43E0772}"/>
    <cellStyle name="Normal 9 5 2 2 3" xfId="5315" xr:uid="{00000000-0005-0000-0000-00004F200000}"/>
    <cellStyle name="Normal 9 5 2 2 3 2" xfId="13750" xr:uid="{58D3F5F1-B2F7-48EA-9A36-26B54C95C076}"/>
    <cellStyle name="Normal 9 5 2 2 4" xfId="9532" xr:uid="{F08FA881-7D50-4D86-BBB7-42254D2979A4}"/>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47DBE014-39A0-4E6E-8269-6F5DB7259040}"/>
    <cellStyle name="Normal 9 5 2 3 2 3" xfId="12090" xr:uid="{4D7A41EB-1E94-4A16-9730-2ADEAFB2C6BE}"/>
    <cellStyle name="Normal 9 5 2 3 3" xfId="5728" xr:uid="{00000000-0005-0000-0000-000053200000}"/>
    <cellStyle name="Normal 9 5 2 3 3 2" xfId="14163" xr:uid="{F05BE13C-CC70-46FD-8C03-D7AC4B2970A1}"/>
    <cellStyle name="Normal 9 5 2 3 4" xfId="9945" xr:uid="{18FFF493-5D92-4F31-88F4-1A5BC48CBC1C}"/>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132C7B38-4B65-4124-A627-4790AF10FC5C}"/>
    <cellStyle name="Normal 9 5 2 4 2 3" xfId="12503" xr:uid="{3894DA1F-2E82-463C-B428-385BA913BFCB}"/>
    <cellStyle name="Normal 9 5 2 4 3" xfId="6141" xr:uid="{00000000-0005-0000-0000-000057200000}"/>
    <cellStyle name="Normal 9 5 2 4 3 2" xfId="14576" xr:uid="{ABF540C9-1133-4883-9538-334CF9BA4BC8}"/>
    <cellStyle name="Normal 9 5 2 4 4" xfId="10358" xr:uid="{5EB0ABAB-2AB9-4701-84C6-63DDA4BF4E9D}"/>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F1202EC5-0A1E-40B1-A773-30250167E75C}"/>
    <cellStyle name="Normal 9 5 2 5 2 3" xfId="12916" xr:uid="{DFDF16AD-113F-4E8C-A19A-D44974E2DD2F}"/>
    <cellStyle name="Normal 9 5 2 5 3" xfId="6554" xr:uid="{00000000-0005-0000-0000-00005B200000}"/>
    <cellStyle name="Normal 9 5 2 5 3 2" xfId="14989" xr:uid="{E0AA155E-792D-4E73-96CC-772081D4DF4A}"/>
    <cellStyle name="Normal 9 5 2 5 4" xfId="10771" xr:uid="{52FFE774-2823-4532-94FD-F0495F197DC7}"/>
    <cellStyle name="Normal 9 5 2 6" xfId="2683" xr:uid="{00000000-0005-0000-0000-00005C200000}"/>
    <cellStyle name="Normal 9 5 2 6 2" xfId="6967" xr:uid="{00000000-0005-0000-0000-00005D200000}"/>
    <cellStyle name="Normal 9 5 2 6 2 2" xfId="15402" xr:uid="{5F57145C-45EB-4FD1-AFA5-0D6B381189BF}"/>
    <cellStyle name="Normal 9 5 2 6 3" xfId="11184" xr:uid="{492969D3-4688-4CB9-B92B-4C7B16F70416}"/>
    <cellStyle name="Normal 9 5 2 7" xfId="4902" xr:uid="{00000000-0005-0000-0000-00005E200000}"/>
    <cellStyle name="Normal 9 5 2 7 2" xfId="13337" xr:uid="{C2CBF2A9-7320-47B9-A249-61E589ADA50F}"/>
    <cellStyle name="Normal 9 5 2 8" xfId="9119" xr:uid="{2134A9BF-3754-4FA1-BA2E-A787551D1D70}"/>
    <cellStyle name="Normal 9 5 3" xfId="1004" xr:uid="{00000000-0005-0000-0000-00005F200000}"/>
    <cellStyle name="Normal 9 5 3 2" xfId="3236" xr:uid="{00000000-0005-0000-0000-000060200000}"/>
    <cellStyle name="Normal 9 5 3 2 2" xfId="7459" xr:uid="{00000000-0005-0000-0000-000061200000}"/>
    <cellStyle name="Normal 9 5 3 2 2 2" xfId="15894" xr:uid="{DE389223-E288-493B-B300-4199ED01CA98}"/>
    <cellStyle name="Normal 9 5 3 2 3" xfId="11676" xr:uid="{EACBA45B-D902-4417-BCDD-62EDB2383C61}"/>
    <cellStyle name="Normal 9 5 3 3" xfId="5314" xr:uid="{00000000-0005-0000-0000-000062200000}"/>
    <cellStyle name="Normal 9 5 3 3 2" xfId="13749" xr:uid="{654E4929-90E5-4B3B-B6C4-CC16ED06E8CC}"/>
    <cellStyle name="Normal 9 5 3 4" xfId="9531" xr:uid="{F3D08418-2E15-438A-AB0D-1E8E7776D233}"/>
    <cellStyle name="Normal 9 5 4" xfId="1419" xr:uid="{00000000-0005-0000-0000-000063200000}"/>
    <cellStyle name="Normal 9 5 4 2" xfId="3649" xr:uid="{00000000-0005-0000-0000-000064200000}"/>
    <cellStyle name="Normal 9 5 4 2 2" xfId="7872" xr:uid="{00000000-0005-0000-0000-000065200000}"/>
    <cellStyle name="Normal 9 5 4 2 2 2" xfId="16307" xr:uid="{380368BB-B08A-426A-AAB7-6880A44CD89F}"/>
    <cellStyle name="Normal 9 5 4 2 3" xfId="12089" xr:uid="{2E025C9F-E3CE-4C9A-B329-591C866BE105}"/>
    <cellStyle name="Normal 9 5 4 3" xfId="5727" xr:uid="{00000000-0005-0000-0000-000066200000}"/>
    <cellStyle name="Normal 9 5 4 3 2" xfId="14162" xr:uid="{DD435113-DF08-41A3-AECC-BF550EE26E4A}"/>
    <cellStyle name="Normal 9 5 4 4" xfId="9944" xr:uid="{96A6559B-EE82-4F00-B3B7-607528C7F606}"/>
    <cellStyle name="Normal 9 5 5" xfId="1832" xr:uid="{00000000-0005-0000-0000-000067200000}"/>
    <cellStyle name="Normal 9 5 5 2" xfId="4062" xr:uid="{00000000-0005-0000-0000-000068200000}"/>
    <cellStyle name="Normal 9 5 5 2 2" xfId="8285" xr:uid="{00000000-0005-0000-0000-000069200000}"/>
    <cellStyle name="Normal 9 5 5 2 2 2" xfId="16720" xr:uid="{13966086-E279-404B-A8F7-C4A073A66062}"/>
    <cellStyle name="Normal 9 5 5 2 3" xfId="12502" xr:uid="{C129F999-ADCF-495F-B880-12BA3F88F6A7}"/>
    <cellStyle name="Normal 9 5 5 3" xfId="6140" xr:uid="{00000000-0005-0000-0000-00006A200000}"/>
    <cellStyle name="Normal 9 5 5 3 2" xfId="14575" xr:uid="{EA8FEBB9-065D-4B51-9CF4-856E7F176D47}"/>
    <cellStyle name="Normal 9 5 5 4" xfId="10357" xr:uid="{C30AFD75-08C3-4E05-A92A-C9D8E04557BD}"/>
    <cellStyle name="Normal 9 5 6" xfId="2246" xr:uid="{00000000-0005-0000-0000-00006B200000}"/>
    <cellStyle name="Normal 9 5 6 2" xfId="4475" xr:uid="{00000000-0005-0000-0000-00006C200000}"/>
    <cellStyle name="Normal 9 5 6 2 2" xfId="8698" xr:uid="{00000000-0005-0000-0000-00006D200000}"/>
    <cellStyle name="Normal 9 5 6 2 2 2" xfId="17133" xr:uid="{48DDF4DA-BA81-44A7-B3C0-4C4EC662B463}"/>
    <cellStyle name="Normal 9 5 6 2 3" xfId="12915" xr:uid="{C654F077-D830-4C68-AE68-61B32D492612}"/>
    <cellStyle name="Normal 9 5 6 3" xfId="6553" xr:uid="{00000000-0005-0000-0000-00006E200000}"/>
    <cellStyle name="Normal 9 5 6 3 2" xfId="14988" xr:uid="{D6AC23F4-6B28-43D6-BA5E-427EFE3C62E5}"/>
    <cellStyle name="Normal 9 5 6 4" xfId="10770" xr:uid="{A927F0B0-550B-41C3-8D3B-56B9C8946970}"/>
    <cellStyle name="Normal 9 5 7" xfId="2682" xr:uid="{00000000-0005-0000-0000-00006F200000}"/>
    <cellStyle name="Normal 9 5 7 2" xfId="6966" xr:uid="{00000000-0005-0000-0000-000070200000}"/>
    <cellStyle name="Normal 9 5 7 2 2" xfId="15401" xr:uid="{8BD50A73-C3EB-43E1-8F3D-B82C536BCEE5}"/>
    <cellStyle name="Normal 9 5 7 3" xfId="11183" xr:uid="{44B38757-2604-493D-A801-22A5E6C200AC}"/>
    <cellStyle name="Normal 9 5 8" xfId="4901" xr:uid="{00000000-0005-0000-0000-000071200000}"/>
    <cellStyle name="Normal 9 5 8 2" xfId="13336" xr:uid="{8F9AC509-6CA9-4FEE-9FEB-CC0782401F5C}"/>
    <cellStyle name="Normal 9 5 9" xfId="9118" xr:uid="{428624E6-7767-43AB-A1E4-A4683C244999}"/>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8B2B46B1-E84D-4C3E-9802-E13F7AA54C6E}"/>
    <cellStyle name="Normal 9 6 2 2 3" xfId="11678" xr:uid="{94FB586F-FE63-45C8-AF85-BC1F103491F8}"/>
    <cellStyle name="Normal 9 6 2 3" xfId="5316" xr:uid="{00000000-0005-0000-0000-000076200000}"/>
    <cellStyle name="Normal 9 6 2 3 2" xfId="13751" xr:uid="{0B156172-191A-4897-9841-D4BE4EE28C80}"/>
    <cellStyle name="Normal 9 6 2 4" xfId="9533" xr:uid="{489ADB6C-0FBA-43F6-997F-DC66221C9207}"/>
    <cellStyle name="Normal 9 6 3" xfId="1421" xr:uid="{00000000-0005-0000-0000-000077200000}"/>
    <cellStyle name="Normal 9 6 3 2" xfId="3651" xr:uid="{00000000-0005-0000-0000-000078200000}"/>
    <cellStyle name="Normal 9 6 3 2 2" xfId="7874" xr:uid="{00000000-0005-0000-0000-000079200000}"/>
    <cellStyle name="Normal 9 6 3 2 2 2" xfId="16309" xr:uid="{ED9C6947-F2A8-43FA-8915-8DE9C6E8599D}"/>
    <cellStyle name="Normal 9 6 3 2 3" xfId="12091" xr:uid="{DCDBE678-096F-446C-86A8-AC586CBBBE61}"/>
    <cellStyle name="Normal 9 6 3 3" xfId="5729" xr:uid="{00000000-0005-0000-0000-00007A200000}"/>
    <cellStyle name="Normal 9 6 3 3 2" xfId="14164" xr:uid="{23347902-BAD7-4FF7-9251-FBA41B3FD226}"/>
    <cellStyle name="Normal 9 6 3 4" xfId="9946" xr:uid="{92101DCE-2A0F-457E-A7B0-BADFE9BDECD3}"/>
    <cellStyle name="Normal 9 6 4" xfId="1834" xr:uid="{00000000-0005-0000-0000-00007B200000}"/>
    <cellStyle name="Normal 9 6 4 2" xfId="4064" xr:uid="{00000000-0005-0000-0000-00007C200000}"/>
    <cellStyle name="Normal 9 6 4 2 2" xfId="8287" xr:uid="{00000000-0005-0000-0000-00007D200000}"/>
    <cellStyle name="Normal 9 6 4 2 2 2" xfId="16722" xr:uid="{D2F9EE1F-8498-4CBD-8BDB-F4D08B80C2FC}"/>
    <cellStyle name="Normal 9 6 4 2 3" xfId="12504" xr:uid="{9D6372B2-316C-47DA-B341-5CD433F92CB9}"/>
    <cellStyle name="Normal 9 6 4 3" xfId="6142" xr:uid="{00000000-0005-0000-0000-00007E200000}"/>
    <cellStyle name="Normal 9 6 4 3 2" xfId="14577" xr:uid="{7A460812-4D9B-4285-BAB5-FB531C5D3743}"/>
    <cellStyle name="Normal 9 6 4 4" xfId="10359" xr:uid="{26360FF5-0C16-4448-BE27-5E0757EBAE42}"/>
    <cellStyle name="Normal 9 6 5" xfId="2248" xr:uid="{00000000-0005-0000-0000-00007F200000}"/>
    <cellStyle name="Normal 9 6 5 2" xfId="4477" xr:uid="{00000000-0005-0000-0000-000080200000}"/>
    <cellStyle name="Normal 9 6 5 2 2" xfId="8700" xr:uid="{00000000-0005-0000-0000-000081200000}"/>
    <cellStyle name="Normal 9 6 5 2 2 2" xfId="17135" xr:uid="{283341C2-9BDF-49D0-84C9-6E37E16B6B78}"/>
    <cellStyle name="Normal 9 6 5 2 3" xfId="12917" xr:uid="{26EEFE78-7B74-4DBB-9D8B-C214C7F97C05}"/>
    <cellStyle name="Normal 9 6 5 3" xfId="6555" xr:uid="{00000000-0005-0000-0000-000082200000}"/>
    <cellStyle name="Normal 9 6 5 3 2" xfId="14990" xr:uid="{BD959CB4-5F61-4621-A2A5-B0FAE77C112D}"/>
    <cellStyle name="Normal 9 6 5 4" xfId="10772" xr:uid="{27452542-1D8B-490E-9F10-D8D035993149}"/>
    <cellStyle name="Normal 9 6 6" xfId="2684" xr:uid="{00000000-0005-0000-0000-000083200000}"/>
    <cellStyle name="Normal 9 6 6 2" xfId="6968" xr:uid="{00000000-0005-0000-0000-000084200000}"/>
    <cellStyle name="Normal 9 6 6 2 2" xfId="15403" xr:uid="{7CABD9EE-8068-480A-9721-20F963ABE22F}"/>
    <cellStyle name="Normal 9 6 6 3" xfId="11185" xr:uid="{283CFD29-58EC-482C-84EA-07176872B738}"/>
    <cellStyle name="Normal 9 6 7" xfId="4903" xr:uid="{00000000-0005-0000-0000-000085200000}"/>
    <cellStyle name="Normal 9 6 7 2" xfId="13338" xr:uid="{C0420BE2-FE4D-4942-B68A-DABFEF7B49F1}"/>
    <cellStyle name="Normal 9 6 8" xfId="9120" xr:uid="{F102F1AC-E962-473D-9D12-63A65BDD2A1C}"/>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39887756-14CE-41E7-AD37-C47E04C2ABD4}"/>
    <cellStyle name="Note 2 2 10 3" xfId="11266" xr:uid="{9A2A2C64-2807-48E1-8EF0-D96431574E95}"/>
    <cellStyle name="Note 2 2 11" xfId="4904" xr:uid="{00000000-0005-0000-0000-000094200000}"/>
    <cellStyle name="Note 2 2 11 2" xfId="13339" xr:uid="{6099F9B7-AB39-431D-8099-A7C0FEF783F8}"/>
    <cellStyle name="Note 2 2 12" xfId="9121" xr:uid="{54C163C0-6937-412F-816D-819F72EAA9F1}"/>
    <cellStyle name="Note 2 2 2" xfId="547" xr:uid="{00000000-0005-0000-0000-000095200000}"/>
    <cellStyle name="Note 2 2 2 10" xfId="4905" xr:uid="{00000000-0005-0000-0000-000096200000}"/>
    <cellStyle name="Note 2 2 2 10 2" xfId="13340" xr:uid="{5528AFEA-263D-4F5D-B593-05FF9545E2F5}"/>
    <cellStyle name="Note 2 2 2 11" xfId="9122" xr:uid="{3EB308C9-10D3-4DB6-BCA1-FC071452BDAA}"/>
    <cellStyle name="Note 2 2 2 2" xfId="548" xr:uid="{00000000-0005-0000-0000-000097200000}"/>
    <cellStyle name="Note 2 2 2 2 10" xfId="9123" xr:uid="{F75CB087-4957-4158-8840-3D27484D6550}"/>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ACE1BD00-7DBF-414A-A700-A781E6BEA30F}"/>
    <cellStyle name="Note 2 2 2 2 2 2 3" xfId="11681" xr:uid="{0ACD62B4-BF20-49E3-88E3-02C25BE69702}"/>
    <cellStyle name="Note 2 2 2 2 2 3" xfId="5319" xr:uid="{00000000-0005-0000-0000-00009B200000}"/>
    <cellStyle name="Note 2 2 2 2 2 3 2" xfId="13754" xr:uid="{0253CBDD-FE6A-494F-AEC9-E33F1677755F}"/>
    <cellStyle name="Note 2 2 2 2 2 4" xfId="9536" xr:uid="{8ECFBFA3-0EF1-4A71-B3FD-BBC9D48EB146}"/>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CD8A8132-3310-453F-99A9-F7D8277F4B78}"/>
    <cellStyle name="Note 2 2 2 2 3 2 3" xfId="12094" xr:uid="{6224EAB2-9555-402F-A44E-9E8AE0350144}"/>
    <cellStyle name="Note 2 2 2 2 3 3" xfId="5732" xr:uid="{00000000-0005-0000-0000-00009F200000}"/>
    <cellStyle name="Note 2 2 2 2 3 3 2" xfId="14167" xr:uid="{451C7E97-EB55-4D7B-AC55-D222F5DE9F91}"/>
    <cellStyle name="Note 2 2 2 2 3 4" xfId="9949" xr:uid="{56832643-050D-4641-AEA3-EB9ADD825C7D}"/>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62F52F02-B74C-415D-AF97-E6C8D1E8275B}"/>
    <cellStyle name="Note 2 2 2 2 4 2 3" xfId="12507" xr:uid="{4DCAF7A4-2F9B-4AFD-B394-5B620ADA878B}"/>
    <cellStyle name="Note 2 2 2 2 4 3" xfId="6145" xr:uid="{00000000-0005-0000-0000-0000A3200000}"/>
    <cellStyle name="Note 2 2 2 2 4 3 2" xfId="14580" xr:uid="{032B0352-84D9-4838-90F8-C4C1E963D014}"/>
    <cellStyle name="Note 2 2 2 2 4 4" xfId="10362" xr:uid="{DAB2C88C-3875-4B09-9BFD-0532316D2312}"/>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F6E161DF-12C8-4B3D-A4FC-B3DED4EBDDB4}"/>
    <cellStyle name="Note 2 2 2 2 5 2 3" xfId="12920" xr:uid="{793DD238-5813-4F82-903E-CBB96AA9F7E2}"/>
    <cellStyle name="Note 2 2 2 2 5 3" xfId="6558" xr:uid="{00000000-0005-0000-0000-0000A7200000}"/>
    <cellStyle name="Note 2 2 2 2 5 3 2" xfId="14993" xr:uid="{0CEFB4B8-3F33-43CE-AEC3-D178C8A19520}"/>
    <cellStyle name="Note 2 2 2 2 5 4" xfId="10775" xr:uid="{92F7FC08-C4F8-4249-8D02-1439CB352BB5}"/>
    <cellStyle name="Note 2 2 2 2 6" xfId="2687" xr:uid="{00000000-0005-0000-0000-0000A8200000}"/>
    <cellStyle name="Note 2 2 2 2 6 2" xfId="6971" xr:uid="{00000000-0005-0000-0000-0000A9200000}"/>
    <cellStyle name="Note 2 2 2 2 6 2 2" xfId="15406" xr:uid="{8EEFF243-5060-4D56-A0C3-C62020043F79}"/>
    <cellStyle name="Note 2 2 2 2 6 3" xfId="11188" xr:uid="{BB0EAB1B-BDD4-47F0-95EB-AEFD81E5E579}"/>
    <cellStyle name="Note 2 2 2 2 7" xfId="2746" xr:uid="{00000000-0005-0000-0000-0000AA200000}"/>
    <cellStyle name="Note 2 2 2 2 8" xfId="2827" xr:uid="{00000000-0005-0000-0000-0000AB200000}"/>
    <cellStyle name="Note 2 2 2 2 8 2" xfId="7051" xr:uid="{00000000-0005-0000-0000-0000AC200000}"/>
    <cellStyle name="Note 2 2 2 2 8 2 2" xfId="15486" xr:uid="{8CDC44FA-AEEE-4A0E-8CBA-C2ABBA9E949F}"/>
    <cellStyle name="Note 2 2 2 2 8 3" xfId="11268" xr:uid="{C03D32EF-EB20-4A58-8318-C10E46B9AE4E}"/>
    <cellStyle name="Note 2 2 2 2 9" xfId="4906" xr:uid="{00000000-0005-0000-0000-0000AD200000}"/>
    <cellStyle name="Note 2 2 2 2 9 2" xfId="13341" xr:uid="{6C6B39DA-B2CA-48E0-B00A-11713330B5C9}"/>
    <cellStyle name="Note 2 2 2 3" xfId="1008" xr:uid="{00000000-0005-0000-0000-0000AE200000}"/>
    <cellStyle name="Note 2 2 2 3 2" xfId="3240" xr:uid="{00000000-0005-0000-0000-0000AF200000}"/>
    <cellStyle name="Note 2 2 2 3 2 2" xfId="7463" xr:uid="{00000000-0005-0000-0000-0000B0200000}"/>
    <cellStyle name="Note 2 2 2 3 2 2 2" xfId="15898" xr:uid="{DCB0BCD6-723B-494C-B52A-5386934F0FA3}"/>
    <cellStyle name="Note 2 2 2 3 2 3" xfId="11680" xr:uid="{973E848D-1C69-48D6-9E71-DE187BC0183B}"/>
    <cellStyle name="Note 2 2 2 3 3" xfId="5318" xr:uid="{00000000-0005-0000-0000-0000B1200000}"/>
    <cellStyle name="Note 2 2 2 3 3 2" xfId="13753" xr:uid="{C084323C-AC55-448E-ADA6-1E51952BD98C}"/>
    <cellStyle name="Note 2 2 2 3 4" xfId="9535" xr:uid="{930AAA9D-E6AE-4238-A97F-BC1E063957B1}"/>
    <cellStyle name="Note 2 2 2 4" xfId="1423" xr:uid="{00000000-0005-0000-0000-0000B2200000}"/>
    <cellStyle name="Note 2 2 2 4 2" xfId="3653" xr:uid="{00000000-0005-0000-0000-0000B3200000}"/>
    <cellStyle name="Note 2 2 2 4 2 2" xfId="7876" xr:uid="{00000000-0005-0000-0000-0000B4200000}"/>
    <cellStyle name="Note 2 2 2 4 2 2 2" xfId="16311" xr:uid="{EEFD7CDD-294C-4A47-8FAC-9BCBBEB577FF}"/>
    <cellStyle name="Note 2 2 2 4 2 3" xfId="12093" xr:uid="{3F575806-D14A-46B9-8FC7-501C7F5C0862}"/>
    <cellStyle name="Note 2 2 2 4 3" xfId="5731" xr:uid="{00000000-0005-0000-0000-0000B5200000}"/>
    <cellStyle name="Note 2 2 2 4 3 2" xfId="14166" xr:uid="{DC1F11EB-7BC1-40A7-A58B-49F0E3C5EAFA}"/>
    <cellStyle name="Note 2 2 2 4 4" xfId="9948" xr:uid="{64D44AD7-51B5-4318-A73C-3A31D897EFD9}"/>
    <cellStyle name="Note 2 2 2 5" xfId="1837" xr:uid="{00000000-0005-0000-0000-0000B6200000}"/>
    <cellStyle name="Note 2 2 2 5 2" xfId="4066" xr:uid="{00000000-0005-0000-0000-0000B7200000}"/>
    <cellStyle name="Note 2 2 2 5 2 2" xfId="8289" xr:uid="{00000000-0005-0000-0000-0000B8200000}"/>
    <cellStyle name="Note 2 2 2 5 2 2 2" xfId="16724" xr:uid="{36F3E6EE-CB3B-4261-A410-6B8406F0767E}"/>
    <cellStyle name="Note 2 2 2 5 2 3" xfId="12506" xr:uid="{1E0527EF-CCC0-44F6-823C-50747160B198}"/>
    <cellStyle name="Note 2 2 2 5 3" xfId="6144" xr:uid="{00000000-0005-0000-0000-0000B9200000}"/>
    <cellStyle name="Note 2 2 2 5 3 2" xfId="14579" xr:uid="{C55BBB3F-E11A-4D66-B5E0-273133C4738A}"/>
    <cellStyle name="Note 2 2 2 5 4" xfId="10361" xr:uid="{45E2B984-94F2-4E41-AE0E-E29A577CD2C3}"/>
    <cellStyle name="Note 2 2 2 6" xfId="2250" xr:uid="{00000000-0005-0000-0000-0000BA200000}"/>
    <cellStyle name="Note 2 2 2 6 2" xfId="4479" xr:uid="{00000000-0005-0000-0000-0000BB200000}"/>
    <cellStyle name="Note 2 2 2 6 2 2" xfId="8702" xr:uid="{00000000-0005-0000-0000-0000BC200000}"/>
    <cellStyle name="Note 2 2 2 6 2 2 2" xfId="17137" xr:uid="{F6B65F45-B217-4EC7-AD90-823A5BB7FF7C}"/>
    <cellStyle name="Note 2 2 2 6 2 3" xfId="12919" xr:uid="{E7D3F174-F1D6-4264-BF08-CA51F642471B}"/>
    <cellStyle name="Note 2 2 2 6 3" xfId="6557" xr:uid="{00000000-0005-0000-0000-0000BD200000}"/>
    <cellStyle name="Note 2 2 2 6 3 2" xfId="14992" xr:uid="{FE98FD2B-482F-423F-999F-405722EFD805}"/>
    <cellStyle name="Note 2 2 2 6 4" xfId="10774" xr:uid="{D01B152D-2EFF-47FB-99FE-4E5F4AAA9B9D}"/>
    <cellStyle name="Note 2 2 2 7" xfId="2686" xr:uid="{00000000-0005-0000-0000-0000BE200000}"/>
    <cellStyle name="Note 2 2 2 7 2" xfId="6970" xr:uid="{00000000-0005-0000-0000-0000BF200000}"/>
    <cellStyle name="Note 2 2 2 7 2 2" xfId="15405" xr:uid="{21690624-4D42-461E-8021-38EC3DA1B9C7}"/>
    <cellStyle name="Note 2 2 2 7 3" xfId="11187" xr:uid="{5E77A6F1-1C09-477F-B31B-A4F3AE3A3E5D}"/>
    <cellStyle name="Note 2 2 2 8" xfId="2745" xr:uid="{00000000-0005-0000-0000-0000C0200000}"/>
    <cellStyle name="Note 2 2 2 9" xfId="2826" xr:uid="{00000000-0005-0000-0000-0000C1200000}"/>
    <cellStyle name="Note 2 2 2 9 2" xfId="7050" xr:uid="{00000000-0005-0000-0000-0000C2200000}"/>
    <cellStyle name="Note 2 2 2 9 2 2" xfId="15485" xr:uid="{F907F20C-FFC2-4FFB-ACFD-97901E42BFD5}"/>
    <cellStyle name="Note 2 2 2 9 3" xfId="11267" xr:uid="{5929EBFD-913A-4747-895F-4AF713337E03}"/>
    <cellStyle name="Note 2 2 3" xfId="549" xr:uid="{00000000-0005-0000-0000-0000C3200000}"/>
    <cellStyle name="Note 2 2 3 10" xfId="9124" xr:uid="{F5DD3F13-EE22-43FD-8524-B423054ACDE3}"/>
    <cellStyle name="Note 2 2 3 2" xfId="1010" xr:uid="{00000000-0005-0000-0000-0000C4200000}"/>
    <cellStyle name="Note 2 2 3 2 2" xfId="3242" xr:uid="{00000000-0005-0000-0000-0000C5200000}"/>
    <cellStyle name="Note 2 2 3 2 2 2" xfId="7465" xr:uid="{00000000-0005-0000-0000-0000C6200000}"/>
    <cellStyle name="Note 2 2 3 2 2 2 2" xfId="15900" xr:uid="{74F5B2CB-817B-4342-81B2-2F115D4D6658}"/>
    <cellStyle name="Note 2 2 3 2 2 3" xfId="11682" xr:uid="{4FE2A389-98E5-4ADB-8B33-7953660EFA6F}"/>
    <cellStyle name="Note 2 2 3 2 3" xfId="5320" xr:uid="{00000000-0005-0000-0000-0000C7200000}"/>
    <cellStyle name="Note 2 2 3 2 3 2" xfId="13755" xr:uid="{BD6D59D3-A631-4E01-B213-269E387338F6}"/>
    <cellStyle name="Note 2 2 3 2 4" xfId="9537" xr:uid="{CEA5BB6D-0CF5-4C98-B1DA-BDD8DCFBC867}"/>
    <cellStyle name="Note 2 2 3 3" xfId="1425" xr:uid="{00000000-0005-0000-0000-0000C8200000}"/>
    <cellStyle name="Note 2 2 3 3 2" xfId="3655" xr:uid="{00000000-0005-0000-0000-0000C9200000}"/>
    <cellStyle name="Note 2 2 3 3 2 2" xfId="7878" xr:uid="{00000000-0005-0000-0000-0000CA200000}"/>
    <cellStyle name="Note 2 2 3 3 2 2 2" xfId="16313" xr:uid="{6EA3A5DC-8724-48D4-9FEC-4051C2DD4B26}"/>
    <cellStyle name="Note 2 2 3 3 2 3" xfId="12095" xr:uid="{7A5388D3-DFAC-4028-A59A-9EE47CBCB5E2}"/>
    <cellStyle name="Note 2 2 3 3 3" xfId="5733" xr:uid="{00000000-0005-0000-0000-0000CB200000}"/>
    <cellStyle name="Note 2 2 3 3 3 2" xfId="14168" xr:uid="{93529402-743D-47DE-BAF3-AE548F75CD2B}"/>
    <cellStyle name="Note 2 2 3 3 4" xfId="9950" xr:uid="{D279AD25-24FD-4EB1-ADEA-19B58DC68B34}"/>
    <cellStyle name="Note 2 2 3 4" xfId="1839" xr:uid="{00000000-0005-0000-0000-0000CC200000}"/>
    <cellStyle name="Note 2 2 3 4 2" xfId="4068" xr:uid="{00000000-0005-0000-0000-0000CD200000}"/>
    <cellStyle name="Note 2 2 3 4 2 2" xfId="8291" xr:uid="{00000000-0005-0000-0000-0000CE200000}"/>
    <cellStyle name="Note 2 2 3 4 2 2 2" xfId="16726" xr:uid="{E8D10716-74D4-4B0C-9138-AE4AECC8703C}"/>
    <cellStyle name="Note 2 2 3 4 2 3" xfId="12508" xr:uid="{2CCC868C-63FE-4FC4-B4DA-B63C29BDFB3F}"/>
    <cellStyle name="Note 2 2 3 4 3" xfId="6146" xr:uid="{00000000-0005-0000-0000-0000CF200000}"/>
    <cellStyle name="Note 2 2 3 4 3 2" xfId="14581" xr:uid="{37B71F8C-7E1E-427B-A4BC-5478061E9E33}"/>
    <cellStyle name="Note 2 2 3 4 4" xfId="10363" xr:uid="{DBEBC884-E877-484D-B7A0-CBA7BD7A1795}"/>
    <cellStyle name="Note 2 2 3 5" xfId="2252" xr:uid="{00000000-0005-0000-0000-0000D0200000}"/>
    <cellStyle name="Note 2 2 3 5 2" xfId="4481" xr:uid="{00000000-0005-0000-0000-0000D1200000}"/>
    <cellStyle name="Note 2 2 3 5 2 2" xfId="8704" xr:uid="{00000000-0005-0000-0000-0000D2200000}"/>
    <cellStyle name="Note 2 2 3 5 2 2 2" xfId="17139" xr:uid="{306F8B8E-52AA-4FBC-8E5A-133D7DAF6354}"/>
    <cellStyle name="Note 2 2 3 5 2 3" xfId="12921" xr:uid="{4304C566-5F70-4DB2-A993-3B805E591B84}"/>
    <cellStyle name="Note 2 2 3 5 3" xfId="6559" xr:uid="{00000000-0005-0000-0000-0000D3200000}"/>
    <cellStyle name="Note 2 2 3 5 3 2" xfId="14994" xr:uid="{12D8586F-7606-4B9E-A54F-882AFCBA6A80}"/>
    <cellStyle name="Note 2 2 3 5 4" xfId="10776" xr:uid="{6442B358-E3AB-4DAE-9487-5813FA6AC242}"/>
    <cellStyle name="Note 2 2 3 6" xfId="2688" xr:uid="{00000000-0005-0000-0000-0000D4200000}"/>
    <cellStyle name="Note 2 2 3 6 2" xfId="6972" xr:uid="{00000000-0005-0000-0000-0000D5200000}"/>
    <cellStyle name="Note 2 2 3 6 2 2" xfId="15407" xr:uid="{B6686F9A-E484-4375-814D-E7ACC2D8DC04}"/>
    <cellStyle name="Note 2 2 3 6 3" xfId="11189" xr:uid="{EF7B670E-FD72-4FEA-96DC-76F1225A3E54}"/>
    <cellStyle name="Note 2 2 3 7" xfId="2747" xr:uid="{00000000-0005-0000-0000-0000D6200000}"/>
    <cellStyle name="Note 2 2 3 8" xfId="2828" xr:uid="{00000000-0005-0000-0000-0000D7200000}"/>
    <cellStyle name="Note 2 2 3 8 2" xfId="7052" xr:uid="{00000000-0005-0000-0000-0000D8200000}"/>
    <cellStyle name="Note 2 2 3 8 2 2" xfId="15487" xr:uid="{CBBE1A8A-C37E-42CB-AD5F-A65E0F0D9EA6}"/>
    <cellStyle name="Note 2 2 3 8 3" xfId="11269" xr:uid="{3A3F4FA2-EFE8-4C4B-AB9B-58ADDF92328F}"/>
    <cellStyle name="Note 2 2 3 9" xfId="4907" xr:uid="{00000000-0005-0000-0000-0000D9200000}"/>
    <cellStyle name="Note 2 2 3 9 2" xfId="13342" xr:uid="{2984C616-3F00-4EA8-B0C2-6CF9B6474430}"/>
    <cellStyle name="Note 2 2 4" xfId="1007" xr:uid="{00000000-0005-0000-0000-0000DA200000}"/>
    <cellStyle name="Note 2 2 4 2" xfId="3239" xr:uid="{00000000-0005-0000-0000-0000DB200000}"/>
    <cellStyle name="Note 2 2 4 2 2" xfId="7462" xr:uid="{00000000-0005-0000-0000-0000DC200000}"/>
    <cellStyle name="Note 2 2 4 2 2 2" xfId="15897" xr:uid="{F020F7C6-5744-4971-AF17-7DBF098A3CF8}"/>
    <cellStyle name="Note 2 2 4 2 3" xfId="11679" xr:uid="{4E941CFC-7914-4AB5-AD65-153D71C00567}"/>
    <cellStyle name="Note 2 2 4 3" xfId="5317" xr:uid="{00000000-0005-0000-0000-0000DD200000}"/>
    <cellStyle name="Note 2 2 4 3 2" xfId="13752" xr:uid="{9AFB69A3-4AF9-4F79-8111-5AE5DC58529C}"/>
    <cellStyle name="Note 2 2 4 4" xfId="9534" xr:uid="{585FBD2C-9E73-481F-8969-8D6A63015314}"/>
    <cellStyle name="Note 2 2 5" xfId="1422" xr:uid="{00000000-0005-0000-0000-0000DE200000}"/>
    <cellStyle name="Note 2 2 5 2" xfId="3652" xr:uid="{00000000-0005-0000-0000-0000DF200000}"/>
    <cellStyle name="Note 2 2 5 2 2" xfId="7875" xr:uid="{00000000-0005-0000-0000-0000E0200000}"/>
    <cellStyle name="Note 2 2 5 2 2 2" xfId="16310" xr:uid="{ACE76BFE-4688-47A9-9CD1-5782035A1494}"/>
    <cellStyle name="Note 2 2 5 2 3" xfId="12092" xr:uid="{65673460-6459-43C5-BB9A-04B9A20B20B1}"/>
    <cellStyle name="Note 2 2 5 3" xfId="5730" xr:uid="{00000000-0005-0000-0000-0000E1200000}"/>
    <cellStyle name="Note 2 2 5 3 2" xfId="14165" xr:uid="{6D0A51CF-A8DE-49BB-8592-8B5267F56CC2}"/>
    <cellStyle name="Note 2 2 5 4" xfId="9947" xr:uid="{485192EF-8A81-4BA8-946D-EA8AB18237FD}"/>
    <cellStyle name="Note 2 2 6" xfId="1836" xr:uid="{00000000-0005-0000-0000-0000E2200000}"/>
    <cellStyle name="Note 2 2 6 2" xfId="4065" xr:uid="{00000000-0005-0000-0000-0000E3200000}"/>
    <cellStyle name="Note 2 2 6 2 2" xfId="8288" xr:uid="{00000000-0005-0000-0000-0000E4200000}"/>
    <cellStyle name="Note 2 2 6 2 2 2" xfId="16723" xr:uid="{6C395A3B-4C46-4C14-A4D3-74B520E26041}"/>
    <cellStyle name="Note 2 2 6 2 3" xfId="12505" xr:uid="{67182B26-9115-497B-A885-C8A85F5034B3}"/>
    <cellStyle name="Note 2 2 6 3" xfId="6143" xr:uid="{00000000-0005-0000-0000-0000E5200000}"/>
    <cellStyle name="Note 2 2 6 3 2" xfId="14578" xr:uid="{19FD86B0-02E2-4716-8F23-1719EEC30D27}"/>
    <cellStyle name="Note 2 2 6 4" xfId="10360" xr:uid="{D7A06E05-51B9-4D7F-8384-9ECDC3756372}"/>
    <cellStyle name="Note 2 2 7" xfId="2249" xr:uid="{00000000-0005-0000-0000-0000E6200000}"/>
    <cellStyle name="Note 2 2 7 2" xfId="4478" xr:uid="{00000000-0005-0000-0000-0000E7200000}"/>
    <cellStyle name="Note 2 2 7 2 2" xfId="8701" xr:uid="{00000000-0005-0000-0000-0000E8200000}"/>
    <cellStyle name="Note 2 2 7 2 2 2" xfId="17136" xr:uid="{2D4FB472-8A37-492B-9B77-A0F18A684006}"/>
    <cellStyle name="Note 2 2 7 2 3" xfId="12918" xr:uid="{E72C93A7-BD17-42DB-B14B-1437D41F9E74}"/>
    <cellStyle name="Note 2 2 7 3" xfId="6556" xr:uid="{00000000-0005-0000-0000-0000E9200000}"/>
    <cellStyle name="Note 2 2 7 3 2" xfId="14991" xr:uid="{297FC661-56D1-45FE-BFF8-BCC6BC560B2F}"/>
    <cellStyle name="Note 2 2 7 4" xfId="10773" xr:uid="{4ACEFA3D-7F1D-40E0-B5C7-A1FCBEC8E732}"/>
    <cellStyle name="Note 2 2 8" xfId="2685" xr:uid="{00000000-0005-0000-0000-0000EA200000}"/>
    <cellStyle name="Note 2 2 8 2" xfId="6969" xr:uid="{00000000-0005-0000-0000-0000EB200000}"/>
    <cellStyle name="Note 2 2 8 2 2" xfId="15404" xr:uid="{7CE9CCB8-72BF-429C-948E-4FFDA984D4EB}"/>
    <cellStyle name="Note 2 2 8 3" xfId="11186" xr:uid="{213FC6F6-948F-427D-B4A9-E563FADBD617}"/>
    <cellStyle name="Note 2 2 9" xfId="2744" xr:uid="{00000000-0005-0000-0000-0000EC200000}"/>
    <cellStyle name="Note 2 3" xfId="550" xr:uid="{00000000-0005-0000-0000-0000ED200000}"/>
    <cellStyle name="Note 2 3 10" xfId="4908" xr:uid="{00000000-0005-0000-0000-0000EE200000}"/>
    <cellStyle name="Note 2 3 10 2" xfId="13343" xr:uid="{42A6C942-A94A-4D57-A18A-618013B7A6A2}"/>
    <cellStyle name="Note 2 3 11" xfId="9125" xr:uid="{1D1BB046-5B45-4E13-91CC-DDCA08D21F35}"/>
    <cellStyle name="Note 2 3 2" xfId="551" xr:uid="{00000000-0005-0000-0000-0000EF200000}"/>
    <cellStyle name="Note 2 3 2 10" xfId="9126" xr:uid="{FD35876F-C652-432D-8E3D-1257236D692D}"/>
    <cellStyle name="Note 2 3 2 2" xfId="1012" xr:uid="{00000000-0005-0000-0000-0000F0200000}"/>
    <cellStyle name="Note 2 3 2 2 2" xfId="3244" xr:uid="{00000000-0005-0000-0000-0000F1200000}"/>
    <cellStyle name="Note 2 3 2 2 2 2" xfId="7467" xr:uid="{00000000-0005-0000-0000-0000F2200000}"/>
    <cellStyle name="Note 2 3 2 2 2 2 2" xfId="15902" xr:uid="{E283CA32-9128-4022-A6B5-F44081B919B7}"/>
    <cellStyle name="Note 2 3 2 2 2 3" xfId="11684" xr:uid="{5CED0684-627F-4C6D-9FA5-DE1A342C35DC}"/>
    <cellStyle name="Note 2 3 2 2 3" xfId="5322" xr:uid="{00000000-0005-0000-0000-0000F3200000}"/>
    <cellStyle name="Note 2 3 2 2 3 2" xfId="13757" xr:uid="{AAAA9D23-939F-479F-B32C-F007BCF011D5}"/>
    <cellStyle name="Note 2 3 2 2 4" xfId="9539" xr:uid="{32FFA952-6FD4-4BDF-859E-86AFD8CEBFB8}"/>
    <cellStyle name="Note 2 3 2 3" xfId="1427" xr:uid="{00000000-0005-0000-0000-0000F4200000}"/>
    <cellStyle name="Note 2 3 2 3 2" xfId="3657" xr:uid="{00000000-0005-0000-0000-0000F5200000}"/>
    <cellStyle name="Note 2 3 2 3 2 2" xfId="7880" xr:uid="{00000000-0005-0000-0000-0000F6200000}"/>
    <cellStyle name="Note 2 3 2 3 2 2 2" xfId="16315" xr:uid="{7E2F99C1-90A2-4993-99C9-3D64F8DB2D1D}"/>
    <cellStyle name="Note 2 3 2 3 2 3" xfId="12097" xr:uid="{B1E4BF03-3F7E-4BC1-8253-601B539D116B}"/>
    <cellStyle name="Note 2 3 2 3 3" xfId="5735" xr:uid="{00000000-0005-0000-0000-0000F7200000}"/>
    <cellStyle name="Note 2 3 2 3 3 2" xfId="14170" xr:uid="{1D732460-EC26-46AE-83AF-9B44E4016757}"/>
    <cellStyle name="Note 2 3 2 3 4" xfId="9952" xr:uid="{FD21750C-AAAE-4182-B216-15875CCC4F9B}"/>
    <cellStyle name="Note 2 3 2 4" xfId="1841" xr:uid="{00000000-0005-0000-0000-0000F8200000}"/>
    <cellStyle name="Note 2 3 2 4 2" xfId="4070" xr:uid="{00000000-0005-0000-0000-0000F9200000}"/>
    <cellStyle name="Note 2 3 2 4 2 2" xfId="8293" xr:uid="{00000000-0005-0000-0000-0000FA200000}"/>
    <cellStyle name="Note 2 3 2 4 2 2 2" xfId="16728" xr:uid="{382BB5C0-D765-4C68-8B99-B11678B92238}"/>
    <cellStyle name="Note 2 3 2 4 2 3" xfId="12510" xr:uid="{A9AA8288-D645-4FE7-8C85-7638263AA218}"/>
    <cellStyle name="Note 2 3 2 4 3" xfId="6148" xr:uid="{00000000-0005-0000-0000-0000FB200000}"/>
    <cellStyle name="Note 2 3 2 4 3 2" xfId="14583" xr:uid="{A32CFE5E-F4B9-4A3C-B73A-057703A6D39B}"/>
    <cellStyle name="Note 2 3 2 4 4" xfId="10365" xr:uid="{83AB74E5-4E92-4A41-96F7-849CE6EEF388}"/>
    <cellStyle name="Note 2 3 2 5" xfId="2254" xr:uid="{00000000-0005-0000-0000-0000FC200000}"/>
    <cellStyle name="Note 2 3 2 5 2" xfId="4483" xr:uid="{00000000-0005-0000-0000-0000FD200000}"/>
    <cellStyle name="Note 2 3 2 5 2 2" xfId="8706" xr:uid="{00000000-0005-0000-0000-0000FE200000}"/>
    <cellStyle name="Note 2 3 2 5 2 2 2" xfId="17141" xr:uid="{656E898E-28F9-4E1A-95B3-E595672E1CAF}"/>
    <cellStyle name="Note 2 3 2 5 2 3" xfId="12923" xr:uid="{7AA4A57D-F963-4C6D-A3E0-6C4DFECDB551}"/>
    <cellStyle name="Note 2 3 2 5 3" xfId="6561" xr:uid="{00000000-0005-0000-0000-0000FF200000}"/>
    <cellStyle name="Note 2 3 2 5 3 2" xfId="14996" xr:uid="{FCC48498-1103-4B56-B17D-8627FF3CB141}"/>
    <cellStyle name="Note 2 3 2 5 4" xfId="10778" xr:uid="{CF68D523-D94B-4110-8565-462D0B8FFD99}"/>
    <cellStyle name="Note 2 3 2 6" xfId="2690" xr:uid="{00000000-0005-0000-0000-000000210000}"/>
    <cellStyle name="Note 2 3 2 6 2" xfId="6974" xr:uid="{00000000-0005-0000-0000-000001210000}"/>
    <cellStyle name="Note 2 3 2 6 2 2" xfId="15409" xr:uid="{7F9F06A0-F78F-4B6F-9727-035B8E789347}"/>
    <cellStyle name="Note 2 3 2 6 3" xfId="11191" xr:uid="{74DCB4BB-C242-4D48-BD65-FAF4007182D2}"/>
    <cellStyle name="Note 2 3 2 7" xfId="2749" xr:uid="{00000000-0005-0000-0000-000002210000}"/>
    <cellStyle name="Note 2 3 2 8" xfId="2830" xr:uid="{00000000-0005-0000-0000-000003210000}"/>
    <cellStyle name="Note 2 3 2 8 2" xfId="7054" xr:uid="{00000000-0005-0000-0000-000004210000}"/>
    <cellStyle name="Note 2 3 2 8 2 2" xfId="15489" xr:uid="{21961E91-193E-4ACB-BAEE-A7A67E8615DE}"/>
    <cellStyle name="Note 2 3 2 8 3" xfId="11271" xr:uid="{58788462-9D80-46AF-BDE1-EE7440AC29F0}"/>
    <cellStyle name="Note 2 3 2 9" xfId="4909" xr:uid="{00000000-0005-0000-0000-000005210000}"/>
    <cellStyle name="Note 2 3 2 9 2" xfId="13344" xr:uid="{9225635C-ADC6-41D1-8215-B8D03B37BCB9}"/>
    <cellStyle name="Note 2 3 3" xfId="1011" xr:uid="{00000000-0005-0000-0000-000006210000}"/>
    <cellStyle name="Note 2 3 3 2" xfId="3243" xr:uid="{00000000-0005-0000-0000-000007210000}"/>
    <cellStyle name="Note 2 3 3 2 2" xfId="7466" xr:uid="{00000000-0005-0000-0000-000008210000}"/>
    <cellStyle name="Note 2 3 3 2 2 2" xfId="15901" xr:uid="{D56317D4-E2AA-4D49-9D93-9C6A0451F906}"/>
    <cellStyle name="Note 2 3 3 2 3" xfId="11683" xr:uid="{AD45E929-8989-43DB-9371-8C94F4AE1186}"/>
    <cellStyle name="Note 2 3 3 3" xfId="5321" xr:uid="{00000000-0005-0000-0000-000009210000}"/>
    <cellStyle name="Note 2 3 3 3 2" xfId="13756" xr:uid="{25BC1143-DD09-4860-8FF1-74BE36D2502E}"/>
    <cellStyle name="Note 2 3 3 4" xfId="9538" xr:uid="{D45817A2-71F0-4EEE-9776-F2C818DBC19E}"/>
    <cellStyle name="Note 2 3 4" xfId="1426" xr:uid="{00000000-0005-0000-0000-00000A210000}"/>
    <cellStyle name="Note 2 3 4 2" xfId="3656" xr:uid="{00000000-0005-0000-0000-00000B210000}"/>
    <cellStyle name="Note 2 3 4 2 2" xfId="7879" xr:uid="{00000000-0005-0000-0000-00000C210000}"/>
    <cellStyle name="Note 2 3 4 2 2 2" xfId="16314" xr:uid="{016E165B-D010-4D37-A8C6-59B55B1C1876}"/>
    <cellStyle name="Note 2 3 4 2 3" xfId="12096" xr:uid="{3CAB1899-16FE-4526-9AE9-43FBAEB6CB59}"/>
    <cellStyle name="Note 2 3 4 3" xfId="5734" xr:uid="{00000000-0005-0000-0000-00000D210000}"/>
    <cellStyle name="Note 2 3 4 3 2" xfId="14169" xr:uid="{2E5CA690-14C1-40F0-ACFE-1FF8D5CDFFAE}"/>
    <cellStyle name="Note 2 3 4 4" xfId="9951" xr:uid="{E62410A0-B808-4A67-A427-EBF5A9A7BDF7}"/>
    <cellStyle name="Note 2 3 5" xfId="1840" xr:uid="{00000000-0005-0000-0000-00000E210000}"/>
    <cellStyle name="Note 2 3 5 2" xfId="4069" xr:uid="{00000000-0005-0000-0000-00000F210000}"/>
    <cellStyle name="Note 2 3 5 2 2" xfId="8292" xr:uid="{00000000-0005-0000-0000-000010210000}"/>
    <cellStyle name="Note 2 3 5 2 2 2" xfId="16727" xr:uid="{AF00F191-8482-4EBC-AFC8-7FD3B9DDD398}"/>
    <cellStyle name="Note 2 3 5 2 3" xfId="12509" xr:uid="{AB8CF4E0-7542-48A5-8947-CF58FAD6C396}"/>
    <cellStyle name="Note 2 3 5 3" xfId="6147" xr:uid="{00000000-0005-0000-0000-000011210000}"/>
    <cellStyle name="Note 2 3 5 3 2" xfId="14582" xr:uid="{2CF332C8-A333-42BF-9866-571CBB8585B4}"/>
    <cellStyle name="Note 2 3 5 4" xfId="10364" xr:uid="{79C78BF2-EE3F-4364-95EB-D56FBA8B380D}"/>
    <cellStyle name="Note 2 3 6" xfId="2253" xr:uid="{00000000-0005-0000-0000-000012210000}"/>
    <cellStyle name="Note 2 3 6 2" xfId="4482" xr:uid="{00000000-0005-0000-0000-000013210000}"/>
    <cellStyle name="Note 2 3 6 2 2" xfId="8705" xr:uid="{00000000-0005-0000-0000-000014210000}"/>
    <cellStyle name="Note 2 3 6 2 2 2" xfId="17140" xr:uid="{7E3F4013-6FED-420E-9837-0715213649AC}"/>
    <cellStyle name="Note 2 3 6 2 3" xfId="12922" xr:uid="{92A4EACF-3E0D-427B-A90E-ABE684802C66}"/>
    <cellStyle name="Note 2 3 6 3" xfId="6560" xr:uid="{00000000-0005-0000-0000-000015210000}"/>
    <cellStyle name="Note 2 3 6 3 2" xfId="14995" xr:uid="{30EF48F3-BAC7-45E7-A570-DC79F4E68C63}"/>
    <cellStyle name="Note 2 3 6 4" xfId="10777" xr:uid="{F821DC13-D960-43F5-A9E3-04051D48620B}"/>
    <cellStyle name="Note 2 3 7" xfId="2689" xr:uid="{00000000-0005-0000-0000-000016210000}"/>
    <cellStyle name="Note 2 3 7 2" xfId="6973" xr:uid="{00000000-0005-0000-0000-000017210000}"/>
    <cellStyle name="Note 2 3 7 2 2" xfId="15408" xr:uid="{B242C781-EF55-4A9B-BE7A-990B54C77D9F}"/>
    <cellStyle name="Note 2 3 7 3" xfId="11190" xr:uid="{87FA779A-ABAC-494B-8EFA-8D4F7F09E225}"/>
    <cellStyle name="Note 2 3 8" xfId="2748" xr:uid="{00000000-0005-0000-0000-000018210000}"/>
    <cellStyle name="Note 2 3 9" xfId="2829" xr:uid="{00000000-0005-0000-0000-000019210000}"/>
    <cellStyle name="Note 2 3 9 2" xfId="7053" xr:uid="{00000000-0005-0000-0000-00001A210000}"/>
    <cellStyle name="Note 2 3 9 2 2" xfId="15488" xr:uid="{9CAF21EC-FCC5-4FEA-A3B0-D278C0628A3F}"/>
    <cellStyle name="Note 2 3 9 3" xfId="11270" xr:uid="{412BC274-DA11-4215-8524-F29CD3D882E4}"/>
    <cellStyle name="Note 2 4" xfId="552" xr:uid="{00000000-0005-0000-0000-00001B210000}"/>
    <cellStyle name="Note 2 4 10" xfId="9127" xr:uid="{0A79A6A6-AF70-486D-906F-5A51DAA49981}"/>
    <cellStyle name="Note 2 4 2" xfId="1013" xr:uid="{00000000-0005-0000-0000-00001C210000}"/>
    <cellStyle name="Note 2 4 2 2" xfId="3245" xr:uid="{00000000-0005-0000-0000-00001D210000}"/>
    <cellStyle name="Note 2 4 2 2 2" xfId="7468" xr:uid="{00000000-0005-0000-0000-00001E210000}"/>
    <cellStyle name="Note 2 4 2 2 2 2" xfId="15903" xr:uid="{114FFA46-6037-454A-BAAE-6563FC614D5D}"/>
    <cellStyle name="Note 2 4 2 2 3" xfId="11685" xr:uid="{1AA112D6-982E-40DA-89EA-B58D06EF6C0B}"/>
    <cellStyle name="Note 2 4 2 3" xfId="5323" xr:uid="{00000000-0005-0000-0000-00001F210000}"/>
    <cellStyle name="Note 2 4 2 3 2" xfId="13758" xr:uid="{AB934D7C-75D6-4E17-AB27-450F7CB15516}"/>
    <cellStyle name="Note 2 4 2 4" xfId="9540" xr:uid="{58C2DF03-B57D-4410-9172-4415D687E27F}"/>
    <cellStyle name="Note 2 4 3" xfId="1428" xr:uid="{00000000-0005-0000-0000-000020210000}"/>
    <cellStyle name="Note 2 4 3 2" xfId="3658" xr:uid="{00000000-0005-0000-0000-000021210000}"/>
    <cellStyle name="Note 2 4 3 2 2" xfId="7881" xr:uid="{00000000-0005-0000-0000-000022210000}"/>
    <cellStyle name="Note 2 4 3 2 2 2" xfId="16316" xr:uid="{9B65F1C3-44FC-4E95-8893-A36FFF560837}"/>
    <cellStyle name="Note 2 4 3 2 3" xfId="12098" xr:uid="{679DEFC5-3EE1-48BC-8CDF-DF71E0E6FB5B}"/>
    <cellStyle name="Note 2 4 3 3" xfId="5736" xr:uid="{00000000-0005-0000-0000-000023210000}"/>
    <cellStyle name="Note 2 4 3 3 2" xfId="14171" xr:uid="{D8D69309-C80E-48F2-876B-60B9E659F930}"/>
    <cellStyle name="Note 2 4 3 4" xfId="9953" xr:uid="{ED0C19D3-19F8-4B41-8928-49A5BF68FCDC}"/>
    <cellStyle name="Note 2 4 4" xfId="1842" xr:uid="{00000000-0005-0000-0000-000024210000}"/>
    <cellStyle name="Note 2 4 4 2" xfId="4071" xr:uid="{00000000-0005-0000-0000-000025210000}"/>
    <cellStyle name="Note 2 4 4 2 2" xfId="8294" xr:uid="{00000000-0005-0000-0000-000026210000}"/>
    <cellStyle name="Note 2 4 4 2 2 2" xfId="16729" xr:uid="{98731AA6-98F4-49F0-862D-E2A2CA923043}"/>
    <cellStyle name="Note 2 4 4 2 3" xfId="12511" xr:uid="{57F0B706-9B96-4C07-AE25-AF3F9139C513}"/>
    <cellStyle name="Note 2 4 4 3" xfId="6149" xr:uid="{00000000-0005-0000-0000-000027210000}"/>
    <cellStyle name="Note 2 4 4 3 2" xfId="14584" xr:uid="{210C892C-73AA-437E-B852-001B38C31B56}"/>
    <cellStyle name="Note 2 4 4 4" xfId="10366" xr:uid="{6C15580B-E237-49B7-A9F9-9021220A0481}"/>
    <cellStyle name="Note 2 4 5" xfId="2255" xr:uid="{00000000-0005-0000-0000-000028210000}"/>
    <cellStyle name="Note 2 4 5 2" xfId="4484" xr:uid="{00000000-0005-0000-0000-000029210000}"/>
    <cellStyle name="Note 2 4 5 2 2" xfId="8707" xr:uid="{00000000-0005-0000-0000-00002A210000}"/>
    <cellStyle name="Note 2 4 5 2 2 2" xfId="17142" xr:uid="{E6AFC394-5090-4A6F-B7B1-3D2465475E58}"/>
    <cellStyle name="Note 2 4 5 2 3" xfId="12924" xr:uid="{3F6160A7-5E6D-4DF6-94EB-CD8115CFC95C}"/>
    <cellStyle name="Note 2 4 5 3" xfId="6562" xr:uid="{00000000-0005-0000-0000-00002B210000}"/>
    <cellStyle name="Note 2 4 5 3 2" xfId="14997" xr:uid="{79514CA3-C34B-4A81-84C5-2867C540D13C}"/>
    <cellStyle name="Note 2 4 5 4" xfId="10779" xr:uid="{1C687285-A91A-44FA-A453-25A72BD018E7}"/>
    <cellStyle name="Note 2 4 6" xfId="2691" xr:uid="{00000000-0005-0000-0000-00002C210000}"/>
    <cellStyle name="Note 2 4 6 2" xfId="6975" xr:uid="{00000000-0005-0000-0000-00002D210000}"/>
    <cellStyle name="Note 2 4 6 2 2" xfId="15410" xr:uid="{428FB9E4-8368-49EA-848B-09E1472A96D3}"/>
    <cellStyle name="Note 2 4 6 3" xfId="11192" xr:uid="{5648ABBB-E9D7-43F4-9A29-4B63496D6F6D}"/>
    <cellStyle name="Note 2 4 7" xfId="2750" xr:uid="{00000000-0005-0000-0000-00002E210000}"/>
    <cellStyle name="Note 2 4 8" xfId="2831" xr:uid="{00000000-0005-0000-0000-00002F210000}"/>
    <cellStyle name="Note 2 4 8 2" xfId="7055" xr:uid="{00000000-0005-0000-0000-000030210000}"/>
    <cellStyle name="Note 2 4 8 2 2" xfId="15490" xr:uid="{15D7439E-4AB7-4150-BDCA-3E26CAE29C3F}"/>
    <cellStyle name="Note 2 4 8 3" xfId="11272" xr:uid="{073B75E6-C478-4475-A330-2210FC322E97}"/>
    <cellStyle name="Note 2 4 9" xfId="4910" xr:uid="{00000000-0005-0000-0000-000031210000}"/>
    <cellStyle name="Note 2 4 9 2" xfId="13345" xr:uid="{E78CEB67-5B2D-496E-B9E1-6EF6D6F9AF89}"/>
    <cellStyle name="Note 2 5" xfId="553" xr:uid="{00000000-0005-0000-0000-000032210000}"/>
    <cellStyle name="Note 2 5 10" xfId="9128" xr:uid="{71159E9F-A44D-416B-8207-9F5185B629B8}"/>
    <cellStyle name="Note 2 5 2" xfId="1014" xr:uid="{00000000-0005-0000-0000-000033210000}"/>
    <cellStyle name="Note 2 5 2 2" xfId="3246" xr:uid="{00000000-0005-0000-0000-000034210000}"/>
    <cellStyle name="Note 2 5 2 2 2" xfId="7469" xr:uid="{00000000-0005-0000-0000-000035210000}"/>
    <cellStyle name="Note 2 5 2 2 2 2" xfId="15904" xr:uid="{E69BC949-7C6D-4479-8894-E0688D7F83FD}"/>
    <cellStyle name="Note 2 5 2 2 3" xfId="11686" xr:uid="{D091E2FC-6327-4AE9-A095-5ABEA7183662}"/>
    <cellStyle name="Note 2 5 2 3" xfId="5324" xr:uid="{00000000-0005-0000-0000-000036210000}"/>
    <cellStyle name="Note 2 5 2 3 2" xfId="13759" xr:uid="{9C7C8539-A691-4F1B-8EA3-D1AAFCF1C956}"/>
    <cellStyle name="Note 2 5 2 4" xfId="9541" xr:uid="{C50D80E4-DC7B-45BF-A412-B2B5B739F2DA}"/>
    <cellStyle name="Note 2 5 3" xfId="1429" xr:uid="{00000000-0005-0000-0000-000037210000}"/>
    <cellStyle name="Note 2 5 3 2" xfId="3659" xr:uid="{00000000-0005-0000-0000-000038210000}"/>
    <cellStyle name="Note 2 5 3 2 2" xfId="7882" xr:uid="{00000000-0005-0000-0000-000039210000}"/>
    <cellStyle name="Note 2 5 3 2 2 2" xfId="16317" xr:uid="{3752408F-600B-47F9-B227-550D109B844B}"/>
    <cellStyle name="Note 2 5 3 2 3" xfId="12099" xr:uid="{939C0A36-4D27-4480-B683-836A03A77FB0}"/>
    <cellStyle name="Note 2 5 3 3" xfId="5737" xr:uid="{00000000-0005-0000-0000-00003A210000}"/>
    <cellStyle name="Note 2 5 3 3 2" xfId="14172" xr:uid="{795AAB4A-1C4D-419B-9553-1F951AFEB226}"/>
    <cellStyle name="Note 2 5 3 4" xfId="9954" xr:uid="{75612B2F-8026-431B-B3CB-3ADDBF334E75}"/>
    <cellStyle name="Note 2 5 4" xfId="1843" xr:uid="{00000000-0005-0000-0000-00003B210000}"/>
    <cellStyle name="Note 2 5 4 2" xfId="4072" xr:uid="{00000000-0005-0000-0000-00003C210000}"/>
    <cellStyle name="Note 2 5 4 2 2" xfId="8295" xr:uid="{00000000-0005-0000-0000-00003D210000}"/>
    <cellStyle name="Note 2 5 4 2 2 2" xfId="16730" xr:uid="{1B760D90-9D4D-4AF1-A15E-D29DDFCDA5F6}"/>
    <cellStyle name="Note 2 5 4 2 3" xfId="12512" xr:uid="{6165747E-729E-4F46-B025-4E6FC3D9961B}"/>
    <cellStyle name="Note 2 5 4 3" xfId="6150" xr:uid="{00000000-0005-0000-0000-00003E210000}"/>
    <cellStyle name="Note 2 5 4 3 2" xfId="14585" xr:uid="{E9499D5F-85F4-48A2-9E08-3FCCE5E67E15}"/>
    <cellStyle name="Note 2 5 4 4" xfId="10367" xr:uid="{082135C8-53E0-46C6-A0E0-EF68F90B0AF6}"/>
    <cellStyle name="Note 2 5 5" xfId="2256" xr:uid="{00000000-0005-0000-0000-00003F210000}"/>
    <cellStyle name="Note 2 5 5 2" xfId="4485" xr:uid="{00000000-0005-0000-0000-000040210000}"/>
    <cellStyle name="Note 2 5 5 2 2" xfId="8708" xr:uid="{00000000-0005-0000-0000-000041210000}"/>
    <cellStyle name="Note 2 5 5 2 2 2" xfId="17143" xr:uid="{BF6B0C70-3741-442A-9D65-C5F5FEF57544}"/>
    <cellStyle name="Note 2 5 5 2 3" xfId="12925" xr:uid="{A6ABA687-C86F-4C5C-B8B9-79584B610F35}"/>
    <cellStyle name="Note 2 5 5 3" xfId="6563" xr:uid="{00000000-0005-0000-0000-000042210000}"/>
    <cellStyle name="Note 2 5 5 3 2" xfId="14998" xr:uid="{035536E9-753F-4ECB-8B39-106064AF2884}"/>
    <cellStyle name="Note 2 5 5 4" xfId="10780" xr:uid="{1EF7C89C-CD8D-4AE7-9CEB-56CE8AA571A2}"/>
    <cellStyle name="Note 2 5 6" xfId="2692" xr:uid="{00000000-0005-0000-0000-000043210000}"/>
    <cellStyle name="Note 2 5 6 2" xfId="6976" xr:uid="{00000000-0005-0000-0000-000044210000}"/>
    <cellStyle name="Note 2 5 6 2 2" xfId="15411" xr:uid="{53128C2B-CE05-42D6-A7FB-0D5DC5DE4454}"/>
    <cellStyle name="Note 2 5 6 3" xfId="11193" xr:uid="{78202FA8-526B-4E97-BF3F-9E436A4262B3}"/>
    <cellStyle name="Note 2 5 7" xfId="2751" xr:uid="{00000000-0005-0000-0000-000045210000}"/>
    <cellStyle name="Note 2 5 8" xfId="2832" xr:uid="{00000000-0005-0000-0000-000046210000}"/>
    <cellStyle name="Note 2 5 8 2" xfId="7056" xr:uid="{00000000-0005-0000-0000-000047210000}"/>
    <cellStyle name="Note 2 5 8 2 2" xfId="15491" xr:uid="{5B2AAF10-598B-4FEF-9D18-79F9C9FB2D8C}"/>
    <cellStyle name="Note 2 5 8 3" xfId="11273" xr:uid="{1CB4D414-3DB6-419E-9469-D8BE604DB72B}"/>
    <cellStyle name="Note 2 5 9" xfId="4911" xr:uid="{00000000-0005-0000-0000-000048210000}"/>
    <cellStyle name="Note 2 5 9 2" xfId="13346" xr:uid="{75C6A3F2-C3ED-4704-AE78-A22A8F3AF6A4}"/>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4437A211-E2D3-437B-BCB6-AC7C632F4D1A}"/>
    <cellStyle name="Note 3 2 10 3" xfId="11274" xr:uid="{D45835A1-048A-4A85-9B9E-271274196E2E}"/>
    <cellStyle name="Note 3 2 11" xfId="4912" xr:uid="{00000000-0005-0000-0000-00004D210000}"/>
    <cellStyle name="Note 3 2 11 2" xfId="13347" xr:uid="{D5FF7BE4-A664-44A8-BF5B-D4EB6D62E20B}"/>
    <cellStyle name="Note 3 2 12" xfId="9129" xr:uid="{05A9F8A2-BEE3-4004-8468-8FD0848D6566}"/>
    <cellStyle name="Note 3 2 2" xfId="556" xr:uid="{00000000-0005-0000-0000-00004E210000}"/>
    <cellStyle name="Note 3 2 2 10" xfId="4913" xr:uid="{00000000-0005-0000-0000-00004F210000}"/>
    <cellStyle name="Note 3 2 2 10 2" xfId="13348" xr:uid="{2272EA64-A4C0-4CFF-BE55-AA09601413DD}"/>
    <cellStyle name="Note 3 2 2 11" xfId="9130" xr:uid="{EE1CB30E-6066-401B-B85C-19B557264FED}"/>
    <cellStyle name="Note 3 2 2 2" xfId="557" xr:uid="{00000000-0005-0000-0000-000050210000}"/>
    <cellStyle name="Note 3 2 2 2 10" xfId="9131" xr:uid="{1FCF552F-CF61-4C94-83BD-72F922BA6021}"/>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D56C2389-280F-44E5-A72E-BB271D2342FF}"/>
    <cellStyle name="Note 3 2 2 2 2 2 3" xfId="11689" xr:uid="{0EFEA5A1-9BBD-421A-9243-AFC295541C7B}"/>
    <cellStyle name="Note 3 2 2 2 2 3" xfId="5327" xr:uid="{00000000-0005-0000-0000-000054210000}"/>
    <cellStyle name="Note 3 2 2 2 2 3 2" xfId="13762" xr:uid="{B9FA3A55-DFFC-4AC9-9E6B-74EA6D1BEB7E}"/>
    <cellStyle name="Note 3 2 2 2 2 4" xfId="9544" xr:uid="{61C19A5C-9F8A-4EAD-9DE7-CF2B1BE30570}"/>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65C3030D-0838-4238-A651-B0472727C5EA}"/>
    <cellStyle name="Note 3 2 2 2 3 2 3" xfId="12102" xr:uid="{17D4D206-84F4-4B0C-9630-9D5448F1611F}"/>
    <cellStyle name="Note 3 2 2 2 3 3" xfId="5740" xr:uid="{00000000-0005-0000-0000-000058210000}"/>
    <cellStyle name="Note 3 2 2 2 3 3 2" xfId="14175" xr:uid="{ADB56F39-4340-4E0C-9273-9CD3DD1A0503}"/>
    <cellStyle name="Note 3 2 2 2 3 4" xfId="9957" xr:uid="{1342EBE8-D2A6-4852-BE00-48A4B696A6DA}"/>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08359A8D-BC02-4139-A865-C278EF163BDA}"/>
    <cellStyle name="Note 3 2 2 2 4 2 3" xfId="12515" xr:uid="{6754565F-EEED-45AC-B048-78537A37AF2E}"/>
    <cellStyle name="Note 3 2 2 2 4 3" xfId="6153" xr:uid="{00000000-0005-0000-0000-00005C210000}"/>
    <cellStyle name="Note 3 2 2 2 4 3 2" xfId="14588" xr:uid="{B6EE6E65-89AB-46F3-B736-0E3974A44792}"/>
    <cellStyle name="Note 3 2 2 2 4 4" xfId="10370" xr:uid="{04A5AB9A-5C1B-41E3-8AA8-87987D2CDF27}"/>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19143966-DEC0-46D5-9C5F-3DA122926232}"/>
    <cellStyle name="Note 3 2 2 2 5 2 3" xfId="12928" xr:uid="{78FD9956-704B-4709-83F0-39500C2D10E7}"/>
    <cellStyle name="Note 3 2 2 2 5 3" xfId="6566" xr:uid="{00000000-0005-0000-0000-000060210000}"/>
    <cellStyle name="Note 3 2 2 2 5 3 2" xfId="15001" xr:uid="{F45E1278-2012-490D-90E7-7558FDA980A8}"/>
    <cellStyle name="Note 3 2 2 2 5 4" xfId="10783" xr:uid="{D8DD4150-8F9F-4107-877D-BC2F78FEBBB8}"/>
    <cellStyle name="Note 3 2 2 2 6" xfId="2695" xr:uid="{00000000-0005-0000-0000-000061210000}"/>
    <cellStyle name="Note 3 2 2 2 6 2" xfId="6979" xr:uid="{00000000-0005-0000-0000-000062210000}"/>
    <cellStyle name="Note 3 2 2 2 6 2 2" xfId="15414" xr:uid="{CF0F8578-B68B-4CAE-A83F-CC260E26869B}"/>
    <cellStyle name="Note 3 2 2 2 6 3" xfId="11196" xr:uid="{4AB2E2FC-5B51-4178-8B6D-AA65DE39FD52}"/>
    <cellStyle name="Note 3 2 2 2 7" xfId="2754" xr:uid="{00000000-0005-0000-0000-000063210000}"/>
    <cellStyle name="Note 3 2 2 2 8" xfId="2835" xr:uid="{00000000-0005-0000-0000-000064210000}"/>
    <cellStyle name="Note 3 2 2 2 8 2" xfId="7059" xr:uid="{00000000-0005-0000-0000-000065210000}"/>
    <cellStyle name="Note 3 2 2 2 8 2 2" xfId="15494" xr:uid="{C1592EAC-E691-43E9-BE6F-A4F4A38CC121}"/>
    <cellStyle name="Note 3 2 2 2 8 3" xfId="11276" xr:uid="{050F9FD3-C054-4447-9348-39FFA0E7A550}"/>
    <cellStyle name="Note 3 2 2 2 9" xfId="4914" xr:uid="{00000000-0005-0000-0000-000066210000}"/>
    <cellStyle name="Note 3 2 2 2 9 2" xfId="13349" xr:uid="{6A9E855A-D9F2-4882-A649-B160C4D77D2E}"/>
    <cellStyle name="Note 3 2 2 3" xfId="1016" xr:uid="{00000000-0005-0000-0000-000067210000}"/>
    <cellStyle name="Note 3 2 2 3 2" xfId="3248" xr:uid="{00000000-0005-0000-0000-000068210000}"/>
    <cellStyle name="Note 3 2 2 3 2 2" xfId="7471" xr:uid="{00000000-0005-0000-0000-000069210000}"/>
    <cellStyle name="Note 3 2 2 3 2 2 2" xfId="15906" xr:uid="{51AF21AD-D6B7-4BAD-93E6-B0B3CE33822D}"/>
    <cellStyle name="Note 3 2 2 3 2 3" xfId="11688" xr:uid="{723CEF9C-A26A-49D0-9C7C-F93ABA6CDD61}"/>
    <cellStyle name="Note 3 2 2 3 3" xfId="5326" xr:uid="{00000000-0005-0000-0000-00006A210000}"/>
    <cellStyle name="Note 3 2 2 3 3 2" xfId="13761" xr:uid="{3FCD3AE6-1AD8-4010-ADC9-0A4992186F70}"/>
    <cellStyle name="Note 3 2 2 3 4" xfId="9543" xr:uid="{37A3062F-BECE-4B2A-AA0B-A5AC6E39194A}"/>
    <cellStyle name="Note 3 2 2 4" xfId="1431" xr:uid="{00000000-0005-0000-0000-00006B210000}"/>
    <cellStyle name="Note 3 2 2 4 2" xfId="3661" xr:uid="{00000000-0005-0000-0000-00006C210000}"/>
    <cellStyle name="Note 3 2 2 4 2 2" xfId="7884" xr:uid="{00000000-0005-0000-0000-00006D210000}"/>
    <cellStyle name="Note 3 2 2 4 2 2 2" xfId="16319" xr:uid="{186D898F-339E-4DA3-9518-722B3D0B9481}"/>
    <cellStyle name="Note 3 2 2 4 2 3" xfId="12101" xr:uid="{EEFED115-C5C1-4690-A9C7-FDE7A5CEED52}"/>
    <cellStyle name="Note 3 2 2 4 3" xfId="5739" xr:uid="{00000000-0005-0000-0000-00006E210000}"/>
    <cellStyle name="Note 3 2 2 4 3 2" xfId="14174" xr:uid="{85581D5C-53E3-4C01-B9A3-03CF239F26B1}"/>
    <cellStyle name="Note 3 2 2 4 4" xfId="9956" xr:uid="{34C62612-D2AE-4010-9310-5F109541BA53}"/>
    <cellStyle name="Note 3 2 2 5" xfId="1845" xr:uid="{00000000-0005-0000-0000-00006F210000}"/>
    <cellStyle name="Note 3 2 2 5 2" xfId="4074" xr:uid="{00000000-0005-0000-0000-000070210000}"/>
    <cellStyle name="Note 3 2 2 5 2 2" xfId="8297" xr:uid="{00000000-0005-0000-0000-000071210000}"/>
    <cellStyle name="Note 3 2 2 5 2 2 2" xfId="16732" xr:uid="{D3BC8E25-D3CF-4382-B29E-A936603481F3}"/>
    <cellStyle name="Note 3 2 2 5 2 3" xfId="12514" xr:uid="{2D210E8C-7139-48DA-ABD3-09299752F3EE}"/>
    <cellStyle name="Note 3 2 2 5 3" xfId="6152" xr:uid="{00000000-0005-0000-0000-000072210000}"/>
    <cellStyle name="Note 3 2 2 5 3 2" xfId="14587" xr:uid="{8CBEB4BC-25C1-4ABB-8BB3-C1E66BC4E99C}"/>
    <cellStyle name="Note 3 2 2 5 4" xfId="10369" xr:uid="{B191B608-6DE9-48B1-883E-67D60F9D266E}"/>
    <cellStyle name="Note 3 2 2 6" xfId="2258" xr:uid="{00000000-0005-0000-0000-000073210000}"/>
    <cellStyle name="Note 3 2 2 6 2" xfId="4487" xr:uid="{00000000-0005-0000-0000-000074210000}"/>
    <cellStyle name="Note 3 2 2 6 2 2" xfId="8710" xr:uid="{00000000-0005-0000-0000-000075210000}"/>
    <cellStyle name="Note 3 2 2 6 2 2 2" xfId="17145" xr:uid="{95D14D5D-4B8C-496A-A186-E6C722332FA0}"/>
    <cellStyle name="Note 3 2 2 6 2 3" xfId="12927" xr:uid="{035B6DF0-A1AF-4F48-8768-4ACB7B4C4F39}"/>
    <cellStyle name="Note 3 2 2 6 3" xfId="6565" xr:uid="{00000000-0005-0000-0000-000076210000}"/>
    <cellStyle name="Note 3 2 2 6 3 2" xfId="15000" xr:uid="{4B8DD6B3-1219-4415-94AB-D0F55C8BF4CF}"/>
    <cellStyle name="Note 3 2 2 6 4" xfId="10782" xr:uid="{1A8D1760-ADFE-4788-BAE0-9148D93FBB8A}"/>
    <cellStyle name="Note 3 2 2 7" xfId="2694" xr:uid="{00000000-0005-0000-0000-000077210000}"/>
    <cellStyle name="Note 3 2 2 7 2" xfId="6978" xr:uid="{00000000-0005-0000-0000-000078210000}"/>
    <cellStyle name="Note 3 2 2 7 2 2" xfId="15413" xr:uid="{409AF0FC-10D0-47FD-9AAC-47AB111C85F8}"/>
    <cellStyle name="Note 3 2 2 7 3" xfId="11195" xr:uid="{5C799A8C-61CC-4246-B246-934041B86F26}"/>
    <cellStyle name="Note 3 2 2 8" xfId="2753" xr:uid="{00000000-0005-0000-0000-000079210000}"/>
    <cellStyle name="Note 3 2 2 9" xfId="2834" xr:uid="{00000000-0005-0000-0000-00007A210000}"/>
    <cellStyle name="Note 3 2 2 9 2" xfId="7058" xr:uid="{00000000-0005-0000-0000-00007B210000}"/>
    <cellStyle name="Note 3 2 2 9 2 2" xfId="15493" xr:uid="{EBB41C97-959F-407F-9473-D8D9958A9701}"/>
    <cellStyle name="Note 3 2 2 9 3" xfId="11275" xr:uid="{6E6573E5-362D-4045-91A0-2D04CC85BCFD}"/>
    <cellStyle name="Note 3 2 3" xfId="558" xr:uid="{00000000-0005-0000-0000-00007C210000}"/>
    <cellStyle name="Note 3 2 3 10" xfId="9132" xr:uid="{3B896A4B-4D3D-4152-B1EF-C9A142A7C637}"/>
    <cellStyle name="Note 3 2 3 2" xfId="1018" xr:uid="{00000000-0005-0000-0000-00007D210000}"/>
    <cellStyle name="Note 3 2 3 2 2" xfId="3250" xr:uid="{00000000-0005-0000-0000-00007E210000}"/>
    <cellStyle name="Note 3 2 3 2 2 2" xfId="7473" xr:uid="{00000000-0005-0000-0000-00007F210000}"/>
    <cellStyle name="Note 3 2 3 2 2 2 2" xfId="15908" xr:uid="{CFF13D8C-2024-469B-A5F4-A620D3DBAEFE}"/>
    <cellStyle name="Note 3 2 3 2 2 3" xfId="11690" xr:uid="{ACE655E0-7215-4929-89AD-7A51F3325274}"/>
    <cellStyle name="Note 3 2 3 2 3" xfId="5328" xr:uid="{00000000-0005-0000-0000-000080210000}"/>
    <cellStyle name="Note 3 2 3 2 3 2" xfId="13763" xr:uid="{98861B38-2E10-473E-A637-439657F4897B}"/>
    <cellStyle name="Note 3 2 3 2 4" xfId="9545" xr:uid="{0D569410-FDA8-40BE-8A76-C857FF66B1E7}"/>
    <cellStyle name="Note 3 2 3 3" xfId="1433" xr:uid="{00000000-0005-0000-0000-000081210000}"/>
    <cellStyle name="Note 3 2 3 3 2" xfId="3663" xr:uid="{00000000-0005-0000-0000-000082210000}"/>
    <cellStyle name="Note 3 2 3 3 2 2" xfId="7886" xr:uid="{00000000-0005-0000-0000-000083210000}"/>
    <cellStyle name="Note 3 2 3 3 2 2 2" xfId="16321" xr:uid="{515E39A7-0FBF-43A3-9F39-CD63A8A81A6A}"/>
    <cellStyle name="Note 3 2 3 3 2 3" xfId="12103" xr:uid="{39D5A187-B56A-4A48-993A-F2A0D354FABA}"/>
    <cellStyle name="Note 3 2 3 3 3" xfId="5741" xr:uid="{00000000-0005-0000-0000-000084210000}"/>
    <cellStyle name="Note 3 2 3 3 3 2" xfId="14176" xr:uid="{22FE38B3-A2C6-400B-BFEC-CF30B46532EA}"/>
    <cellStyle name="Note 3 2 3 3 4" xfId="9958" xr:uid="{EE061632-9DDD-4B8E-85F2-ACA0ED450B86}"/>
    <cellStyle name="Note 3 2 3 4" xfId="1847" xr:uid="{00000000-0005-0000-0000-000085210000}"/>
    <cellStyle name="Note 3 2 3 4 2" xfId="4076" xr:uid="{00000000-0005-0000-0000-000086210000}"/>
    <cellStyle name="Note 3 2 3 4 2 2" xfId="8299" xr:uid="{00000000-0005-0000-0000-000087210000}"/>
    <cellStyle name="Note 3 2 3 4 2 2 2" xfId="16734" xr:uid="{D5447A4D-ED4F-4BAE-BABF-45A64F0C5AB2}"/>
    <cellStyle name="Note 3 2 3 4 2 3" xfId="12516" xr:uid="{7395D4AC-AB42-495F-B16E-93AB669A7E39}"/>
    <cellStyle name="Note 3 2 3 4 3" xfId="6154" xr:uid="{00000000-0005-0000-0000-000088210000}"/>
    <cellStyle name="Note 3 2 3 4 3 2" xfId="14589" xr:uid="{D027B120-7DF4-4BCE-80CB-C23B4BCACE95}"/>
    <cellStyle name="Note 3 2 3 4 4" xfId="10371" xr:uid="{56562457-BC33-446F-AD88-1E50117874F8}"/>
    <cellStyle name="Note 3 2 3 5" xfId="2260" xr:uid="{00000000-0005-0000-0000-000089210000}"/>
    <cellStyle name="Note 3 2 3 5 2" xfId="4489" xr:uid="{00000000-0005-0000-0000-00008A210000}"/>
    <cellStyle name="Note 3 2 3 5 2 2" xfId="8712" xr:uid="{00000000-0005-0000-0000-00008B210000}"/>
    <cellStyle name="Note 3 2 3 5 2 2 2" xfId="17147" xr:uid="{B8197FB9-8F51-4A60-AA11-F87B63A62A04}"/>
    <cellStyle name="Note 3 2 3 5 2 3" xfId="12929" xr:uid="{80C05E2E-8E9F-44FA-A833-2DA2E4EED0FC}"/>
    <cellStyle name="Note 3 2 3 5 3" xfId="6567" xr:uid="{00000000-0005-0000-0000-00008C210000}"/>
    <cellStyle name="Note 3 2 3 5 3 2" xfId="15002" xr:uid="{ADAC0EE5-F262-4E1C-B56F-E147DF24789E}"/>
    <cellStyle name="Note 3 2 3 5 4" xfId="10784" xr:uid="{047FCEE0-DBAD-4C89-BD42-15D239572DB1}"/>
    <cellStyle name="Note 3 2 3 6" xfId="2696" xr:uid="{00000000-0005-0000-0000-00008D210000}"/>
    <cellStyle name="Note 3 2 3 6 2" xfId="6980" xr:uid="{00000000-0005-0000-0000-00008E210000}"/>
    <cellStyle name="Note 3 2 3 6 2 2" xfId="15415" xr:uid="{4B49897B-9715-44C6-B797-6839E4397191}"/>
    <cellStyle name="Note 3 2 3 6 3" xfId="11197" xr:uid="{6F5E313A-74EC-48AF-905E-F57D83D27956}"/>
    <cellStyle name="Note 3 2 3 7" xfId="2755" xr:uid="{00000000-0005-0000-0000-00008F210000}"/>
    <cellStyle name="Note 3 2 3 8" xfId="2836" xr:uid="{00000000-0005-0000-0000-000090210000}"/>
    <cellStyle name="Note 3 2 3 8 2" xfId="7060" xr:uid="{00000000-0005-0000-0000-000091210000}"/>
    <cellStyle name="Note 3 2 3 8 2 2" xfId="15495" xr:uid="{64F56FA1-1291-4DFC-9564-4CA3ABC6E62E}"/>
    <cellStyle name="Note 3 2 3 8 3" xfId="11277" xr:uid="{AF911EF8-5657-4F88-984F-B2062B6B0F72}"/>
    <cellStyle name="Note 3 2 3 9" xfId="4915" xr:uid="{00000000-0005-0000-0000-000092210000}"/>
    <cellStyle name="Note 3 2 3 9 2" xfId="13350" xr:uid="{8946156F-09B2-4C54-BD86-62D29E1D7615}"/>
    <cellStyle name="Note 3 2 4" xfId="1015" xr:uid="{00000000-0005-0000-0000-000093210000}"/>
    <cellStyle name="Note 3 2 4 2" xfId="3247" xr:uid="{00000000-0005-0000-0000-000094210000}"/>
    <cellStyle name="Note 3 2 4 2 2" xfId="7470" xr:uid="{00000000-0005-0000-0000-000095210000}"/>
    <cellStyle name="Note 3 2 4 2 2 2" xfId="15905" xr:uid="{8E41D21C-D22C-4D4E-9E36-764E0E3CC2D9}"/>
    <cellStyle name="Note 3 2 4 2 3" xfId="11687" xr:uid="{69DCF39C-A075-4CF7-9E08-B00F552D483A}"/>
    <cellStyle name="Note 3 2 4 3" xfId="5325" xr:uid="{00000000-0005-0000-0000-000096210000}"/>
    <cellStyle name="Note 3 2 4 3 2" xfId="13760" xr:uid="{D94CD2C5-59D5-41A6-8A23-FC0434CFF943}"/>
    <cellStyle name="Note 3 2 4 4" xfId="9542" xr:uid="{E29F884D-4A60-4986-9C0B-6B8109732903}"/>
    <cellStyle name="Note 3 2 5" xfId="1430" xr:uid="{00000000-0005-0000-0000-000097210000}"/>
    <cellStyle name="Note 3 2 5 2" xfId="3660" xr:uid="{00000000-0005-0000-0000-000098210000}"/>
    <cellStyle name="Note 3 2 5 2 2" xfId="7883" xr:uid="{00000000-0005-0000-0000-000099210000}"/>
    <cellStyle name="Note 3 2 5 2 2 2" xfId="16318" xr:uid="{4EDF1C7C-C882-425F-A488-26786E088703}"/>
    <cellStyle name="Note 3 2 5 2 3" xfId="12100" xr:uid="{483AD38E-6621-4F6D-B91B-978627AC10D7}"/>
    <cellStyle name="Note 3 2 5 3" xfId="5738" xr:uid="{00000000-0005-0000-0000-00009A210000}"/>
    <cellStyle name="Note 3 2 5 3 2" xfId="14173" xr:uid="{C0C20C1E-6253-4699-95C2-EF3F0A312B67}"/>
    <cellStyle name="Note 3 2 5 4" xfId="9955" xr:uid="{78D19F18-3EB2-495B-A57B-B6B12787B653}"/>
    <cellStyle name="Note 3 2 6" xfId="1844" xr:uid="{00000000-0005-0000-0000-00009B210000}"/>
    <cellStyle name="Note 3 2 6 2" xfId="4073" xr:uid="{00000000-0005-0000-0000-00009C210000}"/>
    <cellStyle name="Note 3 2 6 2 2" xfId="8296" xr:uid="{00000000-0005-0000-0000-00009D210000}"/>
    <cellStyle name="Note 3 2 6 2 2 2" xfId="16731" xr:uid="{81367A38-C632-42C9-A39D-90E9CD4483E1}"/>
    <cellStyle name="Note 3 2 6 2 3" xfId="12513" xr:uid="{9C438374-EDE2-4E8C-BB19-4C7AC42485D6}"/>
    <cellStyle name="Note 3 2 6 3" xfId="6151" xr:uid="{00000000-0005-0000-0000-00009E210000}"/>
    <cellStyle name="Note 3 2 6 3 2" xfId="14586" xr:uid="{0FF4EE1B-08AB-4837-A8D1-85112610DD63}"/>
    <cellStyle name="Note 3 2 6 4" xfId="10368" xr:uid="{170B5A6F-FC93-49BB-AC7A-7887F932A4B7}"/>
    <cellStyle name="Note 3 2 7" xfId="2257" xr:uid="{00000000-0005-0000-0000-00009F210000}"/>
    <cellStyle name="Note 3 2 7 2" xfId="4486" xr:uid="{00000000-0005-0000-0000-0000A0210000}"/>
    <cellStyle name="Note 3 2 7 2 2" xfId="8709" xr:uid="{00000000-0005-0000-0000-0000A1210000}"/>
    <cellStyle name="Note 3 2 7 2 2 2" xfId="17144" xr:uid="{8599D4E1-3156-4254-85F2-333227038E35}"/>
    <cellStyle name="Note 3 2 7 2 3" xfId="12926" xr:uid="{7CEAF334-3210-493A-B170-E2DC7F55885C}"/>
    <cellStyle name="Note 3 2 7 3" xfId="6564" xr:uid="{00000000-0005-0000-0000-0000A2210000}"/>
    <cellStyle name="Note 3 2 7 3 2" xfId="14999" xr:uid="{99F37581-366D-4E8D-A4F1-C181FB6D9823}"/>
    <cellStyle name="Note 3 2 7 4" xfId="10781" xr:uid="{57638750-533B-42C0-9C17-7527807B728B}"/>
    <cellStyle name="Note 3 2 8" xfId="2693" xr:uid="{00000000-0005-0000-0000-0000A3210000}"/>
    <cellStyle name="Note 3 2 8 2" xfId="6977" xr:uid="{00000000-0005-0000-0000-0000A4210000}"/>
    <cellStyle name="Note 3 2 8 2 2" xfId="15412" xr:uid="{C2CF7924-0637-49CF-BC30-E054A7A42B9B}"/>
    <cellStyle name="Note 3 2 8 3" xfId="11194" xr:uid="{BC4E95D9-68F5-467E-BC1E-589AF0C84C63}"/>
    <cellStyle name="Note 3 2 9" xfId="2752" xr:uid="{00000000-0005-0000-0000-0000A5210000}"/>
    <cellStyle name="Note 3 3" xfId="559" xr:uid="{00000000-0005-0000-0000-0000A6210000}"/>
    <cellStyle name="Note 3 3 10" xfId="4916" xr:uid="{00000000-0005-0000-0000-0000A7210000}"/>
    <cellStyle name="Note 3 3 10 2" xfId="13351" xr:uid="{C5118742-229C-4BE1-AF4B-5BE3C8D3C169}"/>
    <cellStyle name="Note 3 3 11" xfId="9133" xr:uid="{681AB6EA-C5FA-4FC5-BB9F-5940F1BD8A64}"/>
    <cellStyle name="Note 3 3 2" xfId="560" xr:uid="{00000000-0005-0000-0000-0000A8210000}"/>
    <cellStyle name="Note 3 3 2 10" xfId="9134" xr:uid="{55FED511-11D7-4DD8-9EB6-2F24D730D1C8}"/>
    <cellStyle name="Note 3 3 2 2" xfId="1020" xr:uid="{00000000-0005-0000-0000-0000A9210000}"/>
    <cellStyle name="Note 3 3 2 2 2" xfId="3252" xr:uid="{00000000-0005-0000-0000-0000AA210000}"/>
    <cellStyle name="Note 3 3 2 2 2 2" xfId="7475" xr:uid="{00000000-0005-0000-0000-0000AB210000}"/>
    <cellStyle name="Note 3 3 2 2 2 2 2" xfId="15910" xr:uid="{C7322A10-1392-46B8-9D1C-1E5E855D619E}"/>
    <cellStyle name="Note 3 3 2 2 2 3" xfId="11692" xr:uid="{04076494-F774-416F-BE86-4B9D3AB6A3A5}"/>
    <cellStyle name="Note 3 3 2 2 3" xfId="5330" xr:uid="{00000000-0005-0000-0000-0000AC210000}"/>
    <cellStyle name="Note 3 3 2 2 3 2" xfId="13765" xr:uid="{EC027992-7911-47A6-9325-C730832500FF}"/>
    <cellStyle name="Note 3 3 2 2 4" xfId="9547" xr:uid="{EA6E0955-B1A3-40B1-A7DE-26E5115B28F8}"/>
    <cellStyle name="Note 3 3 2 3" xfId="1435" xr:uid="{00000000-0005-0000-0000-0000AD210000}"/>
    <cellStyle name="Note 3 3 2 3 2" xfId="3665" xr:uid="{00000000-0005-0000-0000-0000AE210000}"/>
    <cellStyle name="Note 3 3 2 3 2 2" xfId="7888" xr:uid="{00000000-0005-0000-0000-0000AF210000}"/>
    <cellStyle name="Note 3 3 2 3 2 2 2" xfId="16323" xr:uid="{9257087A-63F0-42AA-9091-6DE27A905D10}"/>
    <cellStyle name="Note 3 3 2 3 2 3" xfId="12105" xr:uid="{4B30FDF5-9F25-4337-AA6A-BC4250120D02}"/>
    <cellStyle name="Note 3 3 2 3 3" xfId="5743" xr:uid="{00000000-0005-0000-0000-0000B0210000}"/>
    <cellStyle name="Note 3 3 2 3 3 2" xfId="14178" xr:uid="{98509E39-C3C2-40D5-BB6E-A96F9A71EB4B}"/>
    <cellStyle name="Note 3 3 2 3 4" xfId="9960" xr:uid="{E05B5CF9-1F65-48BF-80E1-A323939843BE}"/>
    <cellStyle name="Note 3 3 2 4" xfId="1849" xr:uid="{00000000-0005-0000-0000-0000B1210000}"/>
    <cellStyle name="Note 3 3 2 4 2" xfId="4078" xr:uid="{00000000-0005-0000-0000-0000B2210000}"/>
    <cellStyle name="Note 3 3 2 4 2 2" xfId="8301" xr:uid="{00000000-0005-0000-0000-0000B3210000}"/>
    <cellStyle name="Note 3 3 2 4 2 2 2" xfId="16736" xr:uid="{5E830412-70D2-45F9-BBBE-F1CFA5592D2F}"/>
    <cellStyle name="Note 3 3 2 4 2 3" xfId="12518" xr:uid="{0C239D39-5E0A-4EDE-8D0F-C7998D5BE670}"/>
    <cellStyle name="Note 3 3 2 4 3" xfId="6156" xr:uid="{00000000-0005-0000-0000-0000B4210000}"/>
    <cellStyle name="Note 3 3 2 4 3 2" xfId="14591" xr:uid="{FCDD6913-51D3-43CC-8182-FC297B9B1130}"/>
    <cellStyle name="Note 3 3 2 4 4" xfId="10373" xr:uid="{E87387D6-34BE-47E1-A890-F63A250FADDB}"/>
    <cellStyle name="Note 3 3 2 5" xfId="2262" xr:uid="{00000000-0005-0000-0000-0000B5210000}"/>
    <cellStyle name="Note 3 3 2 5 2" xfId="4491" xr:uid="{00000000-0005-0000-0000-0000B6210000}"/>
    <cellStyle name="Note 3 3 2 5 2 2" xfId="8714" xr:uid="{00000000-0005-0000-0000-0000B7210000}"/>
    <cellStyle name="Note 3 3 2 5 2 2 2" xfId="17149" xr:uid="{3A755C11-86E0-4E81-8901-81A992B0AF1F}"/>
    <cellStyle name="Note 3 3 2 5 2 3" xfId="12931" xr:uid="{FBE60B36-96FF-4E22-AED4-5DBB842806DC}"/>
    <cellStyle name="Note 3 3 2 5 3" xfId="6569" xr:uid="{00000000-0005-0000-0000-0000B8210000}"/>
    <cellStyle name="Note 3 3 2 5 3 2" xfId="15004" xr:uid="{2C42A778-76F2-447C-BE3E-32A7F30E936A}"/>
    <cellStyle name="Note 3 3 2 5 4" xfId="10786" xr:uid="{76874B28-CA4A-4665-AFE8-BA8FB4E5C490}"/>
    <cellStyle name="Note 3 3 2 6" xfId="2698" xr:uid="{00000000-0005-0000-0000-0000B9210000}"/>
    <cellStyle name="Note 3 3 2 6 2" xfId="6982" xr:uid="{00000000-0005-0000-0000-0000BA210000}"/>
    <cellStyle name="Note 3 3 2 6 2 2" xfId="15417" xr:uid="{BCF93901-10C0-4B13-B7F3-513D2B8DE342}"/>
    <cellStyle name="Note 3 3 2 6 3" xfId="11199" xr:uid="{0D992A91-9012-4766-94B1-F449B025DCDF}"/>
    <cellStyle name="Note 3 3 2 7" xfId="2757" xr:uid="{00000000-0005-0000-0000-0000BB210000}"/>
    <cellStyle name="Note 3 3 2 8" xfId="2838" xr:uid="{00000000-0005-0000-0000-0000BC210000}"/>
    <cellStyle name="Note 3 3 2 8 2" xfId="7062" xr:uid="{00000000-0005-0000-0000-0000BD210000}"/>
    <cellStyle name="Note 3 3 2 8 2 2" xfId="15497" xr:uid="{27BF8455-B3AE-445B-B133-DC9145766303}"/>
    <cellStyle name="Note 3 3 2 8 3" xfId="11279" xr:uid="{D6590670-04F5-4A6E-902A-B60545516461}"/>
    <cellStyle name="Note 3 3 2 9" xfId="4917" xr:uid="{00000000-0005-0000-0000-0000BE210000}"/>
    <cellStyle name="Note 3 3 2 9 2" xfId="13352" xr:uid="{872BA45B-9D04-4CC8-A4A7-DC4504E31F16}"/>
    <cellStyle name="Note 3 3 3" xfId="1019" xr:uid="{00000000-0005-0000-0000-0000BF210000}"/>
    <cellStyle name="Note 3 3 3 2" xfId="3251" xr:uid="{00000000-0005-0000-0000-0000C0210000}"/>
    <cellStyle name="Note 3 3 3 2 2" xfId="7474" xr:uid="{00000000-0005-0000-0000-0000C1210000}"/>
    <cellStyle name="Note 3 3 3 2 2 2" xfId="15909" xr:uid="{06D16800-DBB2-40C5-9C73-BB17897535DE}"/>
    <cellStyle name="Note 3 3 3 2 3" xfId="11691" xr:uid="{C734B916-467F-47A7-B6CA-D6ADA930296E}"/>
    <cellStyle name="Note 3 3 3 3" xfId="5329" xr:uid="{00000000-0005-0000-0000-0000C2210000}"/>
    <cellStyle name="Note 3 3 3 3 2" xfId="13764" xr:uid="{01C9B827-EE21-4D65-92F9-467942086ED3}"/>
    <cellStyle name="Note 3 3 3 4" xfId="9546" xr:uid="{6BC09F58-C3E4-4C74-A03B-C6F57787A33C}"/>
    <cellStyle name="Note 3 3 4" xfId="1434" xr:uid="{00000000-0005-0000-0000-0000C3210000}"/>
    <cellStyle name="Note 3 3 4 2" xfId="3664" xr:uid="{00000000-0005-0000-0000-0000C4210000}"/>
    <cellStyle name="Note 3 3 4 2 2" xfId="7887" xr:uid="{00000000-0005-0000-0000-0000C5210000}"/>
    <cellStyle name="Note 3 3 4 2 2 2" xfId="16322" xr:uid="{036C8691-E770-494D-AAA5-13A9E7B18F31}"/>
    <cellStyle name="Note 3 3 4 2 3" xfId="12104" xr:uid="{8FD01720-26C4-4844-B44A-9CF2FDF460AC}"/>
    <cellStyle name="Note 3 3 4 3" xfId="5742" xr:uid="{00000000-0005-0000-0000-0000C6210000}"/>
    <cellStyle name="Note 3 3 4 3 2" xfId="14177" xr:uid="{65AB2CD8-0529-4112-A54F-DDE15408241B}"/>
    <cellStyle name="Note 3 3 4 4" xfId="9959" xr:uid="{B10933E8-CB8D-40ED-8988-5A229E4F8E8B}"/>
    <cellStyle name="Note 3 3 5" xfId="1848" xr:uid="{00000000-0005-0000-0000-0000C7210000}"/>
    <cellStyle name="Note 3 3 5 2" xfId="4077" xr:uid="{00000000-0005-0000-0000-0000C8210000}"/>
    <cellStyle name="Note 3 3 5 2 2" xfId="8300" xr:uid="{00000000-0005-0000-0000-0000C9210000}"/>
    <cellStyle name="Note 3 3 5 2 2 2" xfId="16735" xr:uid="{0401F3C3-0AA6-4083-A36C-EDB88451ADF6}"/>
    <cellStyle name="Note 3 3 5 2 3" xfId="12517" xr:uid="{59349C1A-D8AE-47F8-9826-C8B349F18A57}"/>
    <cellStyle name="Note 3 3 5 3" xfId="6155" xr:uid="{00000000-0005-0000-0000-0000CA210000}"/>
    <cellStyle name="Note 3 3 5 3 2" xfId="14590" xr:uid="{9967D789-33F3-4ED2-96E9-CFA09DD58798}"/>
    <cellStyle name="Note 3 3 5 4" xfId="10372" xr:uid="{20083E58-AE94-491F-8A73-23BD9050BA92}"/>
    <cellStyle name="Note 3 3 6" xfId="2261" xr:uid="{00000000-0005-0000-0000-0000CB210000}"/>
    <cellStyle name="Note 3 3 6 2" xfId="4490" xr:uid="{00000000-0005-0000-0000-0000CC210000}"/>
    <cellStyle name="Note 3 3 6 2 2" xfId="8713" xr:uid="{00000000-0005-0000-0000-0000CD210000}"/>
    <cellStyle name="Note 3 3 6 2 2 2" xfId="17148" xr:uid="{B489FF2A-26BD-4498-8C84-69B5F562D563}"/>
    <cellStyle name="Note 3 3 6 2 3" xfId="12930" xr:uid="{C10A6521-4582-42E7-8CDC-63CDA1C9CFCE}"/>
    <cellStyle name="Note 3 3 6 3" xfId="6568" xr:uid="{00000000-0005-0000-0000-0000CE210000}"/>
    <cellStyle name="Note 3 3 6 3 2" xfId="15003" xr:uid="{84E551ED-92A3-452F-B12E-2425610E80CD}"/>
    <cellStyle name="Note 3 3 6 4" xfId="10785" xr:uid="{A5D6FD3A-B375-4893-8C41-49E0E9AA9262}"/>
    <cellStyle name="Note 3 3 7" xfId="2697" xr:uid="{00000000-0005-0000-0000-0000CF210000}"/>
    <cellStyle name="Note 3 3 7 2" xfId="6981" xr:uid="{00000000-0005-0000-0000-0000D0210000}"/>
    <cellStyle name="Note 3 3 7 2 2" xfId="15416" xr:uid="{2DAC75A5-C0E1-4C17-B0FE-2FCB6BB72A43}"/>
    <cellStyle name="Note 3 3 7 3" xfId="11198" xr:uid="{6AB78F4A-2839-45C6-B3A5-04F7D2DDFEAA}"/>
    <cellStyle name="Note 3 3 8" xfId="2756" xr:uid="{00000000-0005-0000-0000-0000D1210000}"/>
    <cellStyle name="Note 3 3 9" xfId="2837" xr:uid="{00000000-0005-0000-0000-0000D2210000}"/>
    <cellStyle name="Note 3 3 9 2" xfId="7061" xr:uid="{00000000-0005-0000-0000-0000D3210000}"/>
    <cellStyle name="Note 3 3 9 2 2" xfId="15496" xr:uid="{C614A97A-D22B-4FA7-B688-E6BE4AA9D0CC}"/>
    <cellStyle name="Note 3 3 9 3" xfId="11278" xr:uid="{4B5BD2C9-DAB0-4478-BF1F-70F9C612FD3F}"/>
    <cellStyle name="Note 3 4" xfId="561" xr:uid="{00000000-0005-0000-0000-0000D4210000}"/>
    <cellStyle name="Note 3 4 10" xfId="9135" xr:uid="{7FC97C4E-D019-4160-9F14-7E50D10CBB64}"/>
    <cellStyle name="Note 3 4 2" xfId="1021" xr:uid="{00000000-0005-0000-0000-0000D5210000}"/>
    <cellStyle name="Note 3 4 2 2" xfId="3253" xr:uid="{00000000-0005-0000-0000-0000D6210000}"/>
    <cellStyle name="Note 3 4 2 2 2" xfId="7476" xr:uid="{00000000-0005-0000-0000-0000D7210000}"/>
    <cellStyle name="Note 3 4 2 2 2 2" xfId="15911" xr:uid="{D3500747-11B7-4A82-926B-14AF4741B23A}"/>
    <cellStyle name="Note 3 4 2 2 3" xfId="11693" xr:uid="{954D3B1B-B990-4ABF-8212-63C2ADBF12A3}"/>
    <cellStyle name="Note 3 4 2 3" xfId="5331" xr:uid="{00000000-0005-0000-0000-0000D8210000}"/>
    <cellStyle name="Note 3 4 2 3 2" xfId="13766" xr:uid="{DAD45DD6-45F2-4133-96C9-C0C1DC9776A2}"/>
    <cellStyle name="Note 3 4 2 4" xfId="9548" xr:uid="{1201285E-FAF3-4A7A-8572-144157E46638}"/>
    <cellStyle name="Note 3 4 3" xfId="1436" xr:uid="{00000000-0005-0000-0000-0000D9210000}"/>
    <cellStyle name="Note 3 4 3 2" xfId="3666" xr:uid="{00000000-0005-0000-0000-0000DA210000}"/>
    <cellStyle name="Note 3 4 3 2 2" xfId="7889" xr:uid="{00000000-0005-0000-0000-0000DB210000}"/>
    <cellStyle name="Note 3 4 3 2 2 2" xfId="16324" xr:uid="{2033DDF9-3948-45BB-8689-2B3A533E7C0A}"/>
    <cellStyle name="Note 3 4 3 2 3" xfId="12106" xr:uid="{6D9F3397-7602-4C63-B34C-27B9DEBBA6C6}"/>
    <cellStyle name="Note 3 4 3 3" xfId="5744" xr:uid="{00000000-0005-0000-0000-0000DC210000}"/>
    <cellStyle name="Note 3 4 3 3 2" xfId="14179" xr:uid="{0B23C2F1-B531-4B98-8112-0E524220B3F3}"/>
    <cellStyle name="Note 3 4 3 4" xfId="9961" xr:uid="{C0A933FA-4AE5-43DA-A921-74BB0C495DF9}"/>
    <cellStyle name="Note 3 4 4" xfId="1850" xr:uid="{00000000-0005-0000-0000-0000DD210000}"/>
    <cellStyle name="Note 3 4 4 2" xfId="4079" xr:uid="{00000000-0005-0000-0000-0000DE210000}"/>
    <cellStyle name="Note 3 4 4 2 2" xfId="8302" xr:uid="{00000000-0005-0000-0000-0000DF210000}"/>
    <cellStyle name="Note 3 4 4 2 2 2" xfId="16737" xr:uid="{113CB872-DE5E-4D0E-90A1-0C9D5DEE88DF}"/>
    <cellStyle name="Note 3 4 4 2 3" xfId="12519" xr:uid="{0BD526D2-6AF4-4A92-9BE9-3CF0E04765DE}"/>
    <cellStyle name="Note 3 4 4 3" xfId="6157" xr:uid="{00000000-0005-0000-0000-0000E0210000}"/>
    <cellStyle name="Note 3 4 4 3 2" xfId="14592" xr:uid="{6835D71C-64A2-478D-86A5-D94F7FAE9272}"/>
    <cellStyle name="Note 3 4 4 4" xfId="10374" xr:uid="{CE237CA3-F0A3-48A1-8871-841BE03F03D1}"/>
    <cellStyle name="Note 3 4 5" xfId="2263" xr:uid="{00000000-0005-0000-0000-0000E1210000}"/>
    <cellStyle name="Note 3 4 5 2" xfId="4492" xr:uid="{00000000-0005-0000-0000-0000E2210000}"/>
    <cellStyle name="Note 3 4 5 2 2" xfId="8715" xr:uid="{00000000-0005-0000-0000-0000E3210000}"/>
    <cellStyle name="Note 3 4 5 2 2 2" xfId="17150" xr:uid="{FE681966-644B-410F-8851-5421C282E559}"/>
    <cellStyle name="Note 3 4 5 2 3" xfId="12932" xr:uid="{49A77D74-7404-4F1B-A8A6-2131FF197011}"/>
    <cellStyle name="Note 3 4 5 3" xfId="6570" xr:uid="{00000000-0005-0000-0000-0000E4210000}"/>
    <cellStyle name="Note 3 4 5 3 2" xfId="15005" xr:uid="{2C1305C6-FA71-4C5E-97CD-A183A6153174}"/>
    <cellStyle name="Note 3 4 5 4" xfId="10787" xr:uid="{D4753072-986B-421E-912F-8998BC843371}"/>
    <cellStyle name="Note 3 4 6" xfId="2699" xr:uid="{00000000-0005-0000-0000-0000E5210000}"/>
    <cellStyle name="Note 3 4 6 2" xfId="6983" xr:uid="{00000000-0005-0000-0000-0000E6210000}"/>
    <cellStyle name="Note 3 4 6 2 2" xfId="15418" xr:uid="{B8CD61D2-DFCD-4F01-A1FB-E9DF55AD939A}"/>
    <cellStyle name="Note 3 4 6 3" xfId="11200" xr:uid="{4291AE1F-323A-4D19-B426-50A6B5E66224}"/>
    <cellStyle name="Note 3 4 7" xfId="2758" xr:uid="{00000000-0005-0000-0000-0000E7210000}"/>
    <cellStyle name="Note 3 4 8" xfId="2839" xr:uid="{00000000-0005-0000-0000-0000E8210000}"/>
    <cellStyle name="Note 3 4 8 2" xfId="7063" xr:uid="{00000000-0005-0000-0000-0000E9210000}"/>
    <cellStyle name="Note 3 4 8 2 2" xfId="15498" xr:uid="{8CCF7D1F-0B64-4219-A0B7-A4808FA86754}"/>
    <cellStyle name="Note 3 4 8 3" xfId="11280" xr:uid="{6D18F13A-CA44-4A6C-A7DD-1B2E1CFFDFB8}"/>
    <cellStyle name="Note 3 4 9" xfId="4918" xr:uid="{00000000-0005-0000-0000-0000EA210000}"/>
    <cellStyle name="Note 3 4 9 2" xfId="13353" xr:uid="{AD37E0AD-3F15-4C75-930B-80D45220E0C2}"/>
    <cellStyle name="Note 3 5" xfId="562" xr:uid="{00000000-0005-0000-0000-0000EB210000}"/>
    <cellStyle name="Note 3 5 10" xfId="9136" xr:uid="{DBF56AB6-680E-42D5-824A-F02F30D12B27}"/>
    <cellStyle name="Note 3 5 2" xfId="1022" xr:uid="{00000000-0005-0000-0000-0000EC210000}"/>
    <cellStyle name="Note 3 5 2 2" xfId="3254" xr:uid="{00000000-0005-0000-0000-0000ED210000}"/>
    <cellStyle name="Note 3 5 2 2 2" xfId="7477" xr:uid="{00000000-0005-0000-0000-0000EE210000}"/>
    <cellStyle name="Note 3 5 2 2 2 2" xfId="15912" xr:uid="{61E80204-72E9-4F53-AE4D-E1D85E1BC97C}"/>
    <cellStyle name="Note 3 5 2 2 3" xfId="11694" xr:uid="{2FBE29A3-0965-42F5-A0E8-C37DB74DA590}"/>
    <cellStyle name="Note 3 5 2 3" xfId="5332" xr:uid="{00000000-0005-0000-0000-0000EF210000}"/>
    <cellStyle name="Note 3 5 2 3 2" xfId="13767" xr:uid="{A0ACE325-92EB-4F96-8990-270C1A4EEE0F}"/>
    <cellStyle name="Note 3 5 2 4" xfId="9549" xr:uid="{EEB66BFF-670B-4D53-8922-038C18625164}"/>
    <cellStyle name="Note 3 5 3" xfId="1437" xr:uid="{00000000-0005-0000-0000-0000F0210000}"/>
    <cellStyle name="Note 3 5 3 2" xfId="3667" xr:uid="{00000000-0005-0000-0000-0000F1210000}"/>
    <cellStyle name="Note 3 5 3 2 2" xfId="7890" xr:uid="{00000000-0005-0000-0000-0000F2210000}"/>
    <cellStyle name="Note 3 5 3 2 2 2" xfId="16325" xr:uid="{29235BE8-91C7-4DE0-8035-D9E0418996C7}"/>
    <cellStyle name="Note 3 5 3 2 3" xfId="12107" xr:uid="{4FD0860A-90B1-4BA9-9209-9B3A30525BE7}"/>
    <cellStyle name="Note 3 5 3 3" xfId="5745" xr:uid="{00000000-0005-0000-0000-0000F3210000}"/>
    <cellStyle name="Note 3 5 3 3 2" xfId="14180" xr:uid="{A584092F-D535-4E1A-8098-DAA92313575A}"/>
    <cellStyle name="Note 3 5 3 4" xfId="9962" xr:uid="{2069C081-CA43-4083-9397-4B234598BFE5}"/>
    <cellStyle name="Note 3 5 4" xfId="1851" xr:uid="{00000000-0005-0000-0000-0000F4210000}"/>
    <cellStyle name="Note 3 5 4 2" xfId="4080" xr:uid="{00000000-0005-0000-0000-0000F5210000}"/>
    <cellStyle name="Note 3 5 4 2 2" xfId="8303" xr:uid="{00000000-0005-0000-0000-0000F6210000}"/>
    <cellStyle name="Note 3 5 4 2 2 2" xfId="16738" xr:uid="{31FB5770-ED47-46AD-934E-8AEA7A661D7F}"/>
    <cellStyle name="Note 3 5 4 2 3" xfId="12520" xr:uid="{EBE116AD-F978-4B9C-B5CE-BDB0AD127600}"/>
    <cellStyle name="Note 3 5 4 3" xfId="6158" xr:uid="{00000000-0005-0000-0000-0000F7210000}"/>
    <cellStyle name="Note 3 5 4 3 2" xfId="14593" xr:uid="{0EC93CD8-516F-4CB8-8C2D-5F5039D7B2C5}"/>
    <cellStyle name="Note 3 5 4 4" xfId="10375" xr:uid="{B474907B-9531-43AC-B089-D330206FC6CE}"/>
    <cellStyle name="Note 3 5 5" xfId="2264" xr:uid="{00000000-0005-0000-0000-0000F8210000}"/>
    <cellStyle name="Note 3 5 5 2" xfId="4493" xr:uid="{00000000-0005-0000-0000-0000F9210000}"/>
    <cellStyle name="Note 3 5 5 2 2" xfId="8716" xr:uid="{00000000-0005-0000-0000-0000FA210000}"/>
    <cellStyle name="Note 3 5 5 2 2 2" xfId="17151" xr:uid="{1C5ADD79-C133-466E-A76B-DAB0BC094A18}"/>
    <cellStyle name="Note 3 5 5 2 3" xfId="12933" xr:uid="{21EBE45B-4579-4C32-AB68-895330603E22}"/>
    <cellStyle name="Note 3 5 5 3" xfId="6571" xr:uid="{00000000-0005-0000-0000-0000FB210000}"/>
    <cellStyle name="Note 3 5 5 3 2" xfId="15006" xr:uid="{0D33C48D-95BA-48F9-B8BB-255DE90F97F9}"/>
    <cellStyle name="Note 3 5 5 4" xfId="10788" xr:uid="{A564C644-E793-437F-BCF0-2490F6C2484F}"/>
    <cellStyle name="Note 3 5 6" xfId="2700" xr:uid="{00000000-0005-0000-0000-0000FC210000}"/>
    <cellStyle name="Note 3 5 6 2" xfId="6984" xr:uid="{00000000-0005-0000-0000-0000FD210000}"/>
    <cellStyle name="Note 3 5 6 2 2" xfId="15419" xr:uid="{F40AACCD-D4C0-4461-90D7-53ED920FE192}"/>
    <cellStyle name="Note 3 5 6 3" xfId="11201" xr:uid="{9FAA9532-0D68-4608-9A9D-973EB8F8AF5A}"/>
    <cellStyle name="Note 3 5 7" xfId="2759" xr:uid="{00000000-0005-0000-0000-0000FE210000}"/>
    <cellStyle name="Note 3 5 8" xfId="2840" xr:uid="{00000000-0005-0000-0000-0000FF210000}"/>
    <cellStyle name="Note 3 5 8 2" xfId="7064" xr:uid="{00000000-0005-0000-0000-000000220000}"/>
    <cellStyle name="Note 3 5 8 2 2" xfId="15499" xr:uid="{F731903B-D2EE-442D-ADCB-29FC3ADFFB48}"/>
    <cellStyle name="Note 3 5 8 3" xfId="11281" xr:uid="{EE93FDF4-F036-41CA-A16D-A2B930D83380}"/>
    <cellStyle name="Note 3 5 9" xfId="4919" xr:uid="{00000000-0005-0000-0000-000001220000}"/>
    <cellStyle name="Note 3 5 9 2" xfId="13354" xr:uid="{0C13585C-8272-4468-90AF-E60658AD146E}"/>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1F268C29-F298-4B0F-82FD-C00C4D107FD5}"/>
    <cellStyle name="Percent 4" xfId="4503" xr:uid="{00000000-0005-0000-0000-000007220000}"/>
    <cellStyle name="Percent 4 2" xfId="8719" xr:uid="{00000000-0005-0000-0000-000008220000}"/>
    <cellStyle name="Percent 4 3" xfId="8722" xr:uid="{D09CD3FC-D632-4B66-A68A-5CC92F993799}"/>
    <cellStyle name="Percent 4 4" xfId="12940" xr:uid="{C85CFA88-338A-4398-A97C-7C2C2FD526D3}"/>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65" zoomScaleNormal="100" zoomScaleSheetLayoutView="100" workbookViewId="0">
      <selection activeCell="D35" sqref="D35:AK3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7" t="s">
        <v>582</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1386</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9" t="s">
        <v>1390</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05" t="s">
        <v>2102</v>
      </c>
      <c r="F14" s="1805"/>
      <c r="G14" s="1805"/>
      <c r="H14" s="1805"/>
      <c r="I14" s="1805"/>
      <c r="J14" s="1805"/>
      <c r="K14" s="1805"/>
      <c r="L14" s="1805"/>
      <c r="M14" s="1805"/>
      <c r="N14" s="1805"/>
      <c r="O14" s="1805"/>
      <c r="P14" s="1805"/>
      <c r="Q14" s="1805"/>
      <c r="R14" s="1805"/>
      <c r="S14" s="1805"/>
      <c r="T14" s="1805"/>
      <c r="U14" s="1805"/>
      <c r="V14" s="1805"/>
      <c r="W14" s="1805"/>
      <c r="X14" s="1805"/>
      <c r="Y14" s="1805"/>
      <c r="Z14" s="1805"/>
      <c r="AA14" s="1805"/>
      <c r="AB14" s="1805"/>
      <c r="AC14" s="1805"/>
      <c r="AD14" s="1805"/>
      <c r="AE14" s="1805"/>
      <c r="AF14" s="1805"/>
      <c r="AG14" s="1805"/>
      <c r="AH14" s="1805"/>
      <c r="AI14" s="1805"/>
      <c r="AJ14" s="1805"/>
      <c r="AK14" s="1805"/>
      <c r="AL14" s="744"/>
    </row>
    <row r="15" spans="1:38" s="715" customFormat="1" ht="13.15" customHeight="1">
      <c r="A15" s="327"/>
      <c r="B15" s="325"/>
      <c r="C15" s="326"/>
      <c r="E15" s="1805"/>
      <c r="F15" s="1805"/>
      <c r="G15" s="1805"/>
      <c r="H15" s="1805"/>
      <c r="I15" s="1805"/>
      <c r="J15" s="1805"/>
      <c r="K15" s="1805"/>
      <c r="L15" s="1805"/>
      <c r="M15" s="1805"/>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c r="AL15" s="744"/>
    </row>
    <row r="16" spans="1:38" s="715" customFormat="1">
      <c r="A16" s="327"/>
      <c r="B16" s="325"/>
      <c r="C16" s="326"/>
      <c r="D16" s="744"/>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805"/>
      <c r="AC16" s="1805"/>
      <c r="AD16" s="1805"/>
      <c r="AE16" s="1805"/>
      <c r="AF16" s="1805"/>
      <c r="AG16" s="1805"/>
      <c r="AH16" s="1805"/>
      <c r="AI16" s="1805"/>
      <c r="AJ16" s="1805"/>
      <c r="AK16" s="1805"/>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5" t="s">
        <v>1517</v>
      </c>
      <c r="E18" s="1805"/>
      <c r="F18" s="1805"/>
      <c r="G18" s="1805"/>
      <c r="H18" s="1805"/>
      <c r="I18" s="1805"/>
      <c r="J18" s="1805"/>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325"/>
    </row>
    <row r="19" spans="1:38">
      <c r="A19" s="327"/>
      <c r="B19" s="325"/>
      <c r="C19" s="326"/>
      <c r="D19" s="1805"/>
      <c r="E19" s="1805"/>
      <c r="F19" s="1805"/>
      <c r="G19" s="1805"/>
      <c r="H19" s="1805"/>
      <c r="I19" s="1805"/>
      <c r="J19" s="1805"/>
      <c r="K19" s="1805"/>
      <c r="L19" s="1805"/>
      <c r="M19" s="1805"/>
      <c r="N19" s="1805"/>
      <c r="O19" s="1805"/>
      <c r="P19" s="1805"/>
      <c r="Q19" s="1805"/>
      <c r="R19" s="1805"/>
      <c r="S19" s="1805"/>
      <c r="T19" s="1805"/>
      <c r="U19" s="1805"/>
      <c r="V19" s="1805"/>
      <c r="W19" s="1805"/>
      <c r="X19" s="1805"/>
      <c r="Y19" s="1805"/>
      <c r="Z19" s="1805"/>
      <c r="AA19" s="1805"/>
      <c r="AB19" s="1805"/>
      <c r="AC19" s="1805"/>
      <c r="AD19" s="1805"/>
      <c r="AE19" s="1805"/>
      <c r="AF19" s="1805"/>
      <c r="AG19" s="1805"/>
      <c r="AH19" s="1805"/>
      <c r="AI19" s="1805"/>
      <c r="AJ19" s="1805"/>
      <c r="AK19" s="1805"/>
      <c r="AL19" s="325"/>
    </row>
    <row r="20" spans="1:38" s="715" customFormat="1">
      <c r="A20" s="327"/>
      <c r="B20" s="325"/>
      <c r="C20" s="326"/>
      <c r="D20" s="1805"/>
      <c r="E20" s="1805"/>
      <c r="F20" s="1805"/>
      <c r="G20" s="1805"/>
      <c r="H20" s="1805"/>
      <c r="I20" s="1805"/>
      <c r="J20" s="1805"/>
      <c r="K20" s="1805"/>
      <c r="L20" s="1805"/>
      <c r="M20" s="1805"/>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c r="AL20" s="325"/>
    </row>
    <row r="21" spans="1:38" s="715" customFormat="1" ht="13.15" customHeight="1">
      <c r="A21" s="327"/>
      <c r="B21" s="325"/>
      <c r="C21" s="326"/>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c r="AL21" s="325"/>
    </row>
    <row r="22" spans="1:38" s="715" customFormat="1">
      <c r="A22" s="327"/>
      <c r="B22" s="325"/>
      <c r="C22" s="326"/>
      <c r="D22" s="1805"/>
      <c r="E22" s="1805"/>
      <c r="F22" s="1805"/>
      <c r="G22" s="1805"/>
      <c r="H22" s="1805"/>
      <c r="I22" s="1805"/>
      <c r="J22" s="1805"/>
      <c r="K22" s="1805"/>
      <c r="L22" s="1805"/>
      <c r="M22" s="1805"/>
      <c r="N22" s="1805"/>
      <c r="O22" s="1805"/>
      <c r="P22" s="1805"/>
      <c r="Q22" s="1805"/>
      <c r="R22" s="1805"/>
      <c r="S22" s="1805"/>
      <c r="T22" s="1805"/>
      <c r="U22" s="1805"/>
      <c r="V22" s="1805"/>
      <c r="W22" s="1805"/>
      <c r="X22" s="1805"/>
      <c r="Y22" s="1805"/>
      <c r="Z22" s="1805"/>
      <c r="AA22" s="1805"/>
      <c r="AB22" s="1805"/>
      <c r="AC22" s="1805"/>
      <c r="AD22" s="1805"/>
      <c r="AE22" s="1805"/>
      <c r="AF22" s="1805"/>
      <c r="AG22" s="1805"/>
      <c r="AH22" s="1805"/>
      <c r="AI22" s="1805"/>
      <c r="AJ22" s="1805"/>
      <c r="AK22" s="1805"/>
      <c r="AL22" s="325"/>
    </row>
    <row r="23" spans="1:38" s="715" customFormat="1">
      <c r="A23" s="327"/>
      <c r="B23" s="325"/>
      <c r="C23" s="326"/>
      <c r="D23" s="1805"/>
      <c r="E23" s="1805"/>
      <c r="F23" s="1805"/>
      <c r="G23" s="1805"/>
      <c r="H23" s="1805"/>
      <c r="I23" s="1805"/>
      <c r="J23" s="1805"/>
      <c r="K23" s="1805"/>
      <c r="L23" s="1805"/>
      <c r="M23" s="1805"/>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c r="AL23" s="325"/>
    </row>
    <row r="24" spans="1:38">
      <c r="A24" s="327"/>
      <c r="B24" s="325"/>
      <c r="C24" s="326"/>
      <c r="D24" s="1805"/>
      <c r="E24" s="1805"/>
      <c r="F24" s="1805"/>
      <c r="G24" s="1805"/>
      <c r="H24" s="1805"/>
      <c r="I24" s="1805"/>
      <c r="J24" s="1805"/>
      <c r="K24" s="1805"/>
      <c r="L24" s="1805"/>
      <c r="M24" s="1805"/>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c r="AL24" s="325"/>
    </row>
    <row r="25" spans="1:38" s="715" customFormat="1">
      <c r="A25" s="327"/>
      <c r="B25" s="325"/>
      <c r="C25" s="326"/>
      <c r="D25" s="1805"/>
      <c r="E25" s="1805"/>
      <c r="F25" s="1805"/>
      <c r="G25" s="1805"/>
      <c r="H25" s="1805"/>
      <c r="I25" s="1805"/>
      <c r="J25" s="1805"/>
      <c r="K25" s="1805"/>
      <c r="L25" s="1805"/>
      <c r="M25" s="1805"/>
      <c r="N25" s="1805"/>
      <c r="O25" s="1805"/>
      <c r="P25" s="1805"/>
      <c r="Q25" s="1805"/>
      <c r="R25" s="1805"/>
      <c r="S25" s="1805"/>
      <c r="T25" s="1805"/>
      <c r="U25" s="1805"/>
      <c r="V25" s="1805"/>
      <c r="W25" s="1805"/>
      <c r="X25" s="1805"/>
      <c r="Y25" s="1805"/>
      <c r="Z25" s="1805"/>
      <c r="AA25" s="1805"/>
      <c r="AB25" s="1805"/>
      <c r="AC25" s="1805"/>
      <c r="AD25" s="1805"/>
      <c r="AE25" s="1805"/>
      <c r="AF25" s="1805"/>
      <c r="AG25" s="1805"/>
      <c r="AH25" s="1805"/>
      <c r="AI25" s="1805"/>
      <c r="AJ25" s="1805"/>
      <c r="AK25" s="1805"/>
      <c r="AL25" s="325"/>
    </row>
    <row r="26" spans="1:38" s="715" customFormat="1">
      <c r="A26" s="327"/>
      <c r="B26" s="325"/>
      <c r="C26" s="326"/>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325"/>
    </row>
    <row r="27" spans="1:38" s="715" customFormat="1" ht="11.85" customHeight="1">
      <c r="A27" s="327"/>
      <c r="B27" s="325"/>
      <c r="C27" s="326"/>
      <c r="D27" s="1805"/>
      <c r="E27" s="1805"/>
      <c r="F27" s="1805"/>
      <c r="G27" s="1805"/>
      <c r="H27" s="1805"/>
      <c r="I27" s="1805"/>
      <c r="J27" s="1805"/>
      <c r="K27" s="1805"/>
      <c r="L27" s="1805"/>
      <c r="M27" s="1805"/>
      <c r="N27" s="1805"/>
      <c r="O27" s="1805"/>
      <c r="P27" s="1805"/>
      <c r="Q27" s="1805"/>
      <c r="R27" s="1805"/>
      <c r="S27" s="1805"/>
      <c r="T27" s="1805"/>
      <c r="U27" s="1805"/>
      <c r="V27" s="1805"/>
      <c r="W27" s="1805"/>
      <c r="X27" s="1805"/>
      <c r="Y27" s="1805"/>
      <c r="Z27" s="1805"/>
      <c r="AA27" s="1805"/>
      <c r="AB27" s="1805"/>
      <c r="AC27" s="1805"/>
      <c r="AD27" s="1805"/>
      <c r="AE27" s="1805"/>
      <c r="AF27" s="1805"/>
      <c r="AG27" s="1805"/>
      <c r="AH27" s="1805"/>
      <c r="AI27" s="1805"/>
      <c r="AJ27" s="1805"/>
      <c r="AK27" s="1805"/>
      <c r="AL27" s="325"/>
    </row>
    <row r="28" spans="1:38" s="715" customFormat="1" ht="13.15" customHeight="1">
      <c r="A28" s="327"/>
      <c r="B28" s="325"/>
      <c r="C28" s="326"/>
      <c r="E28" s="1805" t="s">
        <v>2103</v>
      </c>
      <c r="F28" s="1805"/>
      <c r="G28" s="1805"/>
      <c r="H28" s="1805"/>
      <c r="I28" s="1805"/>
      <c r="J28" s="1805"/>
      <c r="K28" s="1805"/>
      <c r="L28" s="1805"/>
      <c r="M28" s="1805"/>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c r="AL28" s="325"/>
    </row>
    <row r="29" spans="1:38" s="715" customFormat="1" ht="13.15" customHeight="1">
      <c r="A29" s="327"/>
      <c r="B29" s="325"/>
      <c r="C29" s="326"/>
      <c r="E29" s="1805"/>
      <c r="F29" s="1805"/>
      <c r="G29" s="1805"/>
      <c r="H29" s="1805"/>
      <c r="I29" s="1805"/>
      <c r="J29" s="1805"/>
      <c r="K29" s="1805"/>
      <c r="L29" s="1805"/>
      <c r="M29" s="1805"/>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c r="AL29" s="325"/>
    </row>
    <row r="30" spans="1:38" s="715" customFormat="1">
      <c r="A30" s="327"/>
      <c r="B30" s="325"/>
      <c r="C30" s="326"/>
      <c r="D30" s="744"/>
      <c r="E30" s="1805"/>
      <c r="F30" s="1805"/>
      <c r="G30" s="1805"/>
      <c r="H30" s="1805"/>
      <c r="I30" s="1805"/>
      <c r="J30" s="1805"/>
      <c r="K30" s="1805"/>
      <c r="L30" s="1805"/>
      <c r="M30" s="1805"/>
      <c r="N30" s="1805"/>
      <c r="O30" s="1805"/>
      <c r="P30" s="1805"/>
      <c r="Q30" s="1805"/>
      <c r="R30" s="1805"/>
      <c r="S30" s="1805"/>
      <c r="T30" s="1805"/>
      <c r="U30" s="1805"/>
      <c r="V30" s="1805"/>
      <c r="W30" s="1805"/>
      <c r="X30" s="1805"/>
      <c r="Y30" s="1805"/>
      <c r="Z30" s="1805"/>
      <c r="AA30" s="1805"/>
      <c r="AB30" s="1805"/>
      <c r="AC30" s="1805"/>
      <c r="AD30" s="1805"/>
      <c r="AE30" s="1805"/>
      <c r="AF30" s="1805"/>
      <c r="AG30" s="1805"/>
      <c r="AH30" s="1805"/>
      <c r="AI30" s="1805"/>
      <c r="AJ30" s="1805"/>
      <c r="AK30" s="1805"/>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07" t="s">
        <v>1391</v>
      </c>
      <c r="E32" s="1807"/>
      <c r="F32" s="1807"/>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807"/>
      <c r="AH32" s="1807"/>
      <c r="AI32" s="1807"/>
      <c r="AJ32" s="1807"/>
      <c r="AK32" s="1807"/>
      <c r="AL32" s="325"/>
    </row>
    <row r="33" spans="1:38" s="715" customFormat="1">
      <c r="A33" s="327"/>
      <c r="B33" s="325"/>
      <c r="C33" s="326"/>
      <c r="D33" s="744"/>
      <c r="E33" s="1806" t="s">
        <v>2339</v>
      </c>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c r="AL33" s="325"/>
    </row>
    <row r="34" spans="1:38">
      <c r="A34" s="149"/>
      <c r="C34" s="5"/>
    </row>
    <row r="35" spans="1:38">
      <c r="A35" s="149"/>
      <c r="D35" s="1820" t="s">
        <v>2340</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13" t="s">
        <v>1090</v>
      </c>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c r="AH37" s="1813"/>
      <c r="AI37" s="1813"/>
      <c r="AJ37" s="1813"/>
      <c r="AK37" s="1813"/>
    </row>
    <row r="38" spans="1:38">
      <c r="A38" s="149"/>
      <c r="D38" s="250"/>
      <c r="E38" s="1813" t="s">
        <v>1389</v>
      </c>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c r="AF38" s="1813"/>
      <c r="AG38" s="1813"/>
      <c r="AH38" s="1813"/>
      <c r="AI38" s="1813"/>
      <c r="AJ38" s="1813"/>
      <c r="AK38" s="181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5" customFormat="1" ht="13.15" customHeight="1">
      <c r="A42" s="149"/>
      <c r="B42"/>
      <c r="C42" s="5"/>
      <c r="D42" s="149"/>
      <c r="E42" s="149" t="s">
        <v>689</v>
      </c>
      <c r="F42" s="1805" t="s">
        <v>1356</v>
      </c>
    </row>
    <row r="43" spans="1:38" s="1805"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12" t="s">
        <v>1470</v>
      </c>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E45" s="1812"/>
      <c r="AF45" s="1812"/>
      <c r="AG45" s="1812"/>
      <c r="AH45" s="1812"/>
      <c r="AI45" s="1812"/>
      <c r="AJ45" s="1812"/>
      <c r="AK45" s="1812"/>
      <c r="AL45" s="1812"/>
    </row>
    <row r="46" spans="1:38" s="768" customFormat="1">
      <c r="A46" s="149"/>
      <c r="B46" s="715"/>
      <c r="C46" s="5"/>
      <c r="D46" s="149"/>
      <c r="E46" s="149"/>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c r="AI46" s="1812"/>
      <c r="AJ46" s="1812"/>
      <c r="AK46" s="1812"/>
      <c r="AL46" s="1812"/>
    </row>
    <row r="47" spans="1:38" s="768" customFormat="1" ht="13.15" customHeight="1">
      <c r="A47" s="149"/>
      <c r="B47" s="715"/>
      <c r="C47" s="5"/>
      <c r="D47" s="149"/>
      <c r="E47" s="149"/>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c r="AI47" s="1812"/>
      <c r="AJ47" s="1812"/>
      <c r="AK47" s="1812"/>
      <c r="AL47" s="1812"/>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05" t="s">
        <v>1471</v>
      </c>
      <c r="G50" s="1805"/>
      <c r="H50" s="1805"/>
      <c r="I50" s="1805"/>
      <c r="J50" s="1805"/>
      <c r="K50" s="1805"/>
      <c r="L50" s="1805"/>
      <c r="M50" s="1805"/>
      <c r="N50" s="1805"/>
      <c r="O50" s="1805"/>
      <c r="P50" s="1805"/>
      <c r="Q50" s="1805"/>
      <c r="R50" s="1805"/>
      <c r="S50" s="1805"/>
      <c r="T50" s="1805"/>
      <c r="U50" s="1805"/>
      <c r="V50" s="1805"/>
      <c r="W50" s="1805"/>
      <c r="X50" s="1805"/>
      <c r="Y50" s="1805"/>
      <c r="Z50" s="1805"/>
      <c r="AA50" s="1805"/>
      <c r="AB50" s="1805"/>
      <c r="AC50" s="1805"/>
      <c r="AD50" s="1805"/>
      <c r="AE50" s="1805"/>
      <c r="AF50" s="1805"/>
      <c r="AG50" s="1805"/>
      <c r="AH50" s="1805"/>
      <c r="AI50" s="1805"/>
      <c r="AJ50" s="1805"/>
      <c r="AK50" s="1805"/>
    </row>
    <row r="51" spans="1:38">
      <c r="A51" s="149"/>
      <c r="C51" s="5"/>
      <c r="D51" s="149"/>
      <c r="E51" s="149"/>
      <c r="F51" s="1805"/>
      <c r="G51" s="1805"/>
      <c r="H51" s="1805"/>
      <c r="I51" s="1805"/>
      <c r="J51" s="1805"/>
      <c r="K51" s="1805"/>
      <c r="L51" s="1805"/>
      <c r="M51" s="1805"/>
      <c r="N51" s="1805"/>
      <c r="O51" s="1805"/>
      <c r="P51" s="1805"/>
      <c r="Q51" s="1805"/>
      <c r="R51" s="1805"/>
      <c r="S51" s="1805"/>
      <c r="T51" s="1805"/>
      <c r="U51" s="1805"/>
      <c r="V51" s="1805"/>
      <c r="W51" s="1805"/>
      <c r="X51" s="1805"/>
      <c r="Y51" s="1805"/>
      <c r="Z51" s="1805"/>
      <c r="AA51" s="1805"/>
      <c r="AB51" s="1805"/>
      <c r="AC51" s="1805"/>
      <c r="AD51" s="1805"/>
      <c r="AE51" s="1805"/>
      <c r="AF51" s="1805"/>
      <c r="AG51" s="1805"/>
      <c r="AH51" s="1805"/>
      <c r="AI51" s="1805"/>
      <c r="AJ51" s="1805"/>
      <c r="AK51" s="1805"/>
    </row>
    <row r="52" spans="1:38">
      <c r="A52" s="149"/>
      <c r="C52" s="5"/>
      <c r="D52" s="149"/>
      <c r="F52" s="1805"/>
      <c r="G52" s="1805"/>
      <c r="H52" s="1805"/>
      <c r="I52" s="1805"/>
      <c r="J52" s="1805"/>
      <c r="K52" s="1805"/>
      <c r="L52" s="1805"/>
      <c r="M52" s="1805"/>
      <c r="N52" s="1805"/>
      <c r="O52" s="1805"/>
      <c r="P52" s="1805"/>
      <c r="Q52" s="1805"/>
      <c r="R52" s="1805"/>
      <c r="S52" s="1805"/>
      <c r="T52" s="1805"/>
      <c r="U52" s="1805"/>
      <c r="V52" s="1805"/>
      <c r="W52" s="1805"/>
      <c r="X52" s="1805"/>
      <c r="Y52" s="1805"/>
      <c r="Z52" s="1805"/>
      <c r="AA52" s="1805"/>
      <c r="AB52" s="1805"/>
      <c r="AC52" s="1805"/>
      <c r="AD52" s="1805"/>
      <c r="AE52" s="1805"/>
      <c r="AF52" s="1805"/>
      <c r="AG52" s="1805"/>
      <c r="AH52" s="1805"/>
      <c r="AI52" s="1805"/>
      <c r="AJ52" s="1805"/>
      <c r="AK52" s="180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10" t="s">
        <v>1392</v>
      </c>
      <c r="H56" s="1810"/>
      <c r="I56" s="1810"/>
      <c r="J56" s="1810"/>
      <c r="K56" s="1810"/>
      <c r="L56" s="1810"/>
      <c r="M56" s="1810"/>
      <c r="N56" s="1810"/>
      <c r="O56" s="1810"/>
      <c r="P56" s="1810"/>
      <c r="Q56" s="1810"/>
      <c r="R56" s="1810"/>
      <c r="S56" s="1810"/>
      <c r="T56" s="1810"/>
      <c r="U56" s="1810"/>
      <c r="V56" s="1810"/>
      <c r="W56" s="1810"/>
      <c r="X56" s="1810"/>
      <c r="Y56" s="1810"/>
      <c r="Z56" s="1810"/>
      <c r="AA56" s="1810"/>
      <c r="AB56" s="1810"/>
      <c r="AC56" s="1810"/>
      <c r="AD56" s="1810"/>
      <c r="AE56" s="1810"/>
      <c r="AF56" s="1810"/>
      <c r="AG56" s="1810"/>
      <c r="AH56" s="1810"/>
      <c r="AI56" s="1810"/>
      <c r="AJ56" s="1810"/>
      <c r="AK56" s="1810"/>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0" t="s">
        <v>609</v>
      </c>
      <c r="H58" s="1810"/>
      <c r="I58" s="1810"/>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11" t="s">
        <v>1472</v>
      </c>
      <c r="H59" s="1811"/>
      <c r="I59" s="1811"/>
      <c r="J59" s="1811"/>
      <c r="K59" s="1811"/>
      <c r="L59" s="1811"/>
      <c r="M59" s="1811"/>
      <c r="N59" s="1811"/>
      <c r="O59" s="1811"/>
      <c r="P59" s="1811"/>
      <c r="Q59" s="1811"/>
      <c r="R59" s="1811"/>
      <c r="S59" s="1811"/>
      <c r="T59" s="1811"/>
      <c r="U59" s="1811"/>
      <c r="V59" s="1811"/>
      <c r="W59" s="1811"/>
      <c r="X59" s="1811"/>
      <c r="Y59" s="1811"/>
      <c r="Z59" s="1811"/>
      <c r="AA59" s="1811"/>
      <c r="AB59" s="1811"/>
      <c r="AC59" s="1811"/>
      <c r="AD59" s="1811"/>
      <c r="AE59" s="1811"/>
      <c r="AF59" s="1811"/>
      <c r="AG59" s="1811"/>
      <c r="AH59" s="1811"/>
      <c r="AI59" s="1811"/>
      <c r="AJ59" s="1811"/>
      <c r="AK59" s="1811"/>
      <c r="AL59" s="1811"/>
    </row>
    <row r="60" spans="1:38" s="2" customFormat="1">
      <c r="A60" s="327"/>
      <c r="B60" s="325"/>
      <c r="C60" s="326"/>
      <c r="D60" s="326"/>
      <c r="E60" s="327"/>
      <c r="F60" s="331"/>
      <c r="G60" s="1811"/>
      <c r="H60" s="1811"/>
      <c r="I60" s="1811"/>
      <c r="J60" s="1811"/>
      <c r="K60" s="1811"/>
      <c r="L60" s="1811"/>
      <c r="M60" s="1811"/>
      <c r="N60" s="1811"/>
      <c r="O60" s="1811"/>
      <c r="P60" s="1811"/>
      <c r="Q60" s="1811"/>
      <c r="R60" s="1811"/>
      <c r="S60" s="1811"/>
      <c r="T60" s="1811"/>
      <c r="U60" s="1811"/>
      <c r="V60" s="1811"/>
      <c r="W60" s="1811"/>
      <c r="X60" s="1811"/>
      <c r="Y60" s="1811"/>
      <c r="Z60" s="1811"/>
      <c r="AA60" s="1811"/>
      <c r="AB60" s="1811"/>
      <c r="AC60" s="1811"/>
      <c r="AD60" s="1811"/>
      <c r="AE60" s="1811"/>
      <c r="AF60" s="1811"/>
      <c r="AG60" s="1811"/>
      <c r="AH60" s="1811"/>
      <c r="AI60" s="1811"/>
      <c r="AJ60" s="1811"/>
      <c r="AK60" s="1811"/>
      <c r="AL60" s="1811"/>
    </row>
    <row r="61" spans="1:38">
      <c r="A61" s="329"/>
      <c r="B61" s="328"/>
      <c r="C61" s="330"/>
      <c r="D61" s="330"/>
      <c r="E61" s="329"/>
      <c r="F61" s="332"/>
      <c r="G61" s="776" t="s">
        <v>1516</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05" t="s">
        <v>1358</v>
      </c>
      <c r="H66" s="1805"/>
      <c r="I66" s="1805"/>
      <c r="J66" s="1805"/>
      <c r="K66" s="1805"/>
      <c r="L66" s="1805"/>
      <c r="M66" s="1805"/>
      <c r="N66" s="1805"/>
      <c r="O66" s="1805"/>
      <c r="P66" s="1805"/>
      <c r="Q66" s="1805"/>
      <c r="R66" s="1805"/>
      <c r="S66" s="1805"/>
      <c r="T66" s="1805"/>
      <c r="U66" s="1805"/>
      <c r="V66" s="1805"/>
      <c r="W66" s="1805"/>
      <c r="X66" s="1805"/>
      <c r="Y66" s="1805"/>
      <c r="Z66" s="1805"/>
      <c r="AA66" s="1805"/>
      <c r="AB66" s="1805"/>
      <c r="AC66" s="1805"/>
      <c r="AD66" s="1805"/>
      <c r="AE66" s="1805"/>
      <c r="AF66" s="1805"/>
      <c r="AG66" s="1805"/>
      <c r="AH66" s="1805"/>
      <c r="AI66" s="1805"/>
      <c r="AJ66" s="1805"/>
      <c r="AK66" s="1805"/>
    </row>
    <row r="67" spans="1:37">
      <c r="A67" s="149"/>
      <c r="C67" s="5"/>
      <c r="D67" s="149"/>
      <c r="E67" s="149"/>
      <c r="F67" s="9"/>
      <c r="G67" s="1805"/>
      <c r="H67" s="1805"/>
      <c r="I67" s="1805"/>
      <c r="J67" s="1805"/>
      <c r="K67" s="1805"/>
      <c r="L67" s="1805"/>
      <c r="M67" s="1805"/>
      <c r="N67" s="1805"/>
      <c r="O67" s="1805"/>
      <c r="P67" s="1805"/>
      <c r="Q67" s="1805"/>
      <c r="R67" s="1805"/>
      <c r="S67" s="1805"/>
      <c r="T67" s="1805"/>
      <c r="U67" s="1805"/>
      <c r="V67" s="1805"/>
      <c r="W67" s="1805"/>
      <c r="X67" s="1805"/>
      <c r="Y67" s="1805"/>
      <c r="Z67" s="1805"/>
      <c r="AA67" s="1805"/>
      <c r="AB67" s="1805"/>
      <c r="AC67" s="1805"/>
      <c r="AD67" s="1805"/>
      <c r="AE67" s="1805"/>
      <c r="AF67" s="1805"/>
      <c r="AG67" s="1805"/>
      <c r="AH67" s="1805"/>
      <c r="AI67" s="1805"/>
      <c r="AJ67" s="1805"/>
      <c r="AK67" s="1805"/>
    </row>
    <row r="68" spans="1:37">
      <c r="A68" s="149"/>
      <c r="C68" s="5"/>
      <c r="D68" s="149"/>
      <c r="E68" s="149"/>
      <c r="F68" s="9"/>
      <c r="G68" s="1805"/>
      <c r="H68" s="1805"/>
      <c r="I68" s="1805"/>
      <c r="J68" s="1805"/>
      <c r="K68" s="1805"/>
      <c r="L68" s="1805"/>
      <c r="M68" s="1805"/>
      <c r="N68" s="1805"/>
      <c r="O68" s="1805"/>
      <c r="P68" s="1805"/>
      <c r="Q68" s="1805"/>
      <c r="R68" s="1805"/>
      <c r="S68" s="1805"/>
      <c r="T68" s="1805"/>
      <c r="U68" s="1805"/>
      <c r="V68" s="1805"/>
      <c r="W68" s="1805"/>
      <c r="X68" s="1805"/>
      <c r="Y68" s="1805"/>
      <c r="Z68" s="1805"/>
      <c r="AA68" s="1805"/>
      <c r="AB68" s="1805"/>
      <c r="AC68" s="1805"/>
      <c r="AD68" s="1805"/>
      <c r="AE68" s="1805"/>
      <c r="AF68" s="1805"/>
      <c r="AG68" s="1805"/>
      <c r="AH68" s="1805"/>
      <c r="AI68" s="1805"/>
      <c r="AJ68" s="1805"/>
      <c r="AK68" s="1805"/>
    </row>
    <row r="69" spans="1:37" ht="13.15" customHeight="1">
      <c r="A69" s="149"/>
      <c r="C69" s="5"/>
      <c r="D69" s="149"/>
      <c r="E69" s="149"/>
      <c r="F69" s="9" t="s">
        <v>541</v>
      </c>
      <c r="G69" s="1805" t="s">
        <v>1359</v>
      </c>
      <c r="H69" s="1805"/>
      <c r="I69" s="1805"/>
      <c r="J69" s="1805"/>
      <c r="K69" s="1805"/>
      <c r="L69" s="1805"/>
      <c r="M69" s="1805"/>
      <c r="N69" s="1805"/>
      <c r="O69" s="1805"/>
      <c r="P69" s="1805"/>
      <c r="Q69" s="1805"/>
      <c r="R69" s="1805"/>
      <c r="S69" s="1805"/>
      <c r="T69" s="1805"/>
      <c r="U69" s="1805"/>
      <c r="V69" s="1805"/>
      <c r="W69" s="1805"/>
      <c r="X69" s="1805"/>
      <c r="Y69" s="1805"/>
      <c r="Z69" s="1805"/>
      <c r="AA69" s="1805"/>
      <c r="AB69" s="1805"/>
      <c r="AC69" s="1805"/>
      <c r="AD69" s="1805"/>
      <c r="AE69" s="1805"/>
      <c r="AF69" s="1805"/>
      <c r="AG69" s="1805"/>
      <c r="AH69" s="1805"/>
      <c r="AI69" s="1805"/>
      <c r="AJ69" s="1805"/>
      <c r="AK69" s="1805"/>
    </row>
    <row r="70" spans="1:37">
      <c r="A70" s="149"/>
      <c r="C70" s="5"/>
      <c r="D70" s="149"/>
      <c r="E70" s="149"/>
      <c r="F70" s="379"/>
      <c r="G70" s="1805"/>
      <c r="H70" s="1805"/>
      <c r="I70" s="1805"/>
      <c r="J70" s="1805"/>
      <c r="K70" s="1805"/>
      <c r="L70" s="1805"/>
      <c r="M70" s="1805"/>
      <c r="N70" s="1805"/>
      <c r="O70" s="1805"/>
      <c r="P70" s="1805"/>
      <c r="Q70" s="1805"/>
      <c r="R70" s="1805"/>
      <c r="S70" s="1805"/>
      <c r="T70" s="1805"/>
      <c r="U70" s="1805"/>
      <c r="V70" s="1805"/>
      <c r="W70" s="1805"/>
      <c r="X70" s="1805"/>
      <c r="Y70" s="1805"/>
      <c r="Z70" s="1805"/>
      <c r="AA70" s="1805"/>
      <c r="AB70" s="1805"/>
      <c r="AC70" s="1805"/>
      <c r="AD70" s="1805"/>
      <c r="AE70" s="1805"/>
      <c r="AF70" s="1805"/>
      <c r="AG70" s="1805"/>
      <c r="AH70" s="1805"/>
      <c r="AI70" s="1805"/>
      <c r="AJ70" s="1805"/>
      <c r="AK70" s="1805"/>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05" t="s">
        <v>1360</v>
      </c>
      <c r="H72" s="1805"/>
      <c r="I72" s="1805"/>
      <c r="J72" s="1805"/>
      <c r="K72" s="1805"/>
      <c r="L72" s="1805"/>
      <c r="M72" s="1805"/>
      <c r="N72" s="1805"/>
      <c r="O72" s="1805"/>
      <c r="P72" s="1805"/>
      <c r="Q72" s="1805"/>
      <c r="R72" s="1805"/>
      <c r="S72" s="1805"/>
      <c r="T72" s="1805"/>
      <c r="U72" s="1805"/>
      <c r="V72" s="1805"/>
      <c r="W72" s="1805"/>
      <c r="X72" s="1805"/>
      <c r="Y72" s="1805"/>
      <c r="Z72" s="1805"/>
      <c r="AA72" s="1805"/>
      <c r="AB72" s="1805"/>
      <c r="AC72" s="1805"/>
      <c r="AD72" s="1805"/>
      <c r="AE72" s="1805"/>
      <c r="AF72" s="1805"/>
      <c r="AG72" s="1805"/>
      <c r="AH72" s="1805"/>
      <c r="AI72" s="1805"/>
      <c r="AJ72" s="1805"/>
      <c r="AK72" s="1805"/>
    </row>
    <row r="73" spans="1:37">
      <c r="A73" s="149"/>
      <c r="C73" s="5"/>
      <c r="D73" s="149"/>
      <c r="E73" s="149"/>
      <c r="F73" s="249"/>
      <c r="G73" s="1805"/>
      <c r="H73" s="1805"/>
      <c r="I73" s="1805"/>
      <c r="J73" s="1805"/>
      <c r="K73" s="1805"/>
      <c r="L73" s="1805"/>
      <c r="M73" s="1805"/>
      <c r="N73" s="1805"/>
      <c r="O73" s="1805"/>
      <c r="P73" s="1805"/>
      <c r="Q73" s="1805"/>
      <c r="R73" s="1805"/>
      <c r="S73" s="1805"/>
      <c r="T73" s="1805"/>
      <c r="U73" s="1805"/>
      <c r="V73" s="1805"/>
      <c r="W73" s="1805"/>
      <c r="X73" s="1805"/>
      <c r="Y73" s="1805"/>
      <c r="Z73" s="1805"/>
      <c r="AA73" s="1805"/>
      <c r="AB73" s="1805"/>
      <c r="AC73" s="1805"/>
      <c r="AD73" s="1805"/>
      <c r="AE73" s="1805"/>
      <c r="AF73" s="1805"/>
      <c r="AG73" s="1805"/>
      <c r="AH73" s="1805"/>
      <c r="AI73" s="1805"/>
      <c r="AJ73" s="1805"/>
      <c r="AK73" s="1805"/>
    </row>
    <row r="74" spans="1:37">
      <c r="A74" s="149"/>
      <c r="C74" s="5"/>
      <c r="D74" s="149"/>
      <c r="E74" s="149"/>
      <c r="F74" s="249" t="s">
        <v>541</v>
      </c>
      <c r="G74" s="1805" t="s">
        <v>1361</v>
      </c>
      <c r="H74" s="1805"/>
      <c r="I74" s="1805"/>
      <c r="J74" s="1805"/>
      <c r="K74" s="1805"/>
      <c r="L74" s="1805"/>
      <c r="M74" s="1805"/>
      <c r="N74" s="1805"/>
      <c r="O74" s="1805"/>
      <c r="P74" s="1805"/>
      <c r="Q74" s="1805"/>
      <c r="R74" s="1805"/>
      <c r="S74" s="1805"/>
      <c r="T74" s="1805"/>
      <c r="U74" s="1805"/>
      <c r="V74" s="1805"/>
      <c r="W74" s="1805"/>
      <c r="X74" s="1805"/>
      <c r="Y74" s="1805"/>
      <c r="Z74" s="1805"/>
      <c r="AA74" s="1805"/>
      <c r="AB74" s="1805"/>
      <c r="AC74" s="1805"/>
      <c r="AD74" s="1805"/>
      <c r="AE74" s="1805"/>
      <c r="AF74" s="1805"/>
      <c r="AG74" s="1805"/>
      <c r="AH74" s="1805"/>
      <c r="AI74" s="1805"/>
      <c r="AJ74" s="1805"/>
      <c r="AK74" s="1805"/>
    </row>
    <row r="75" spans="1:37">
      <c r="A75" s="149"/>
      <c r="C75" s="5"/>
      <c r="D75" s="149"/>
      <c r="E75" s="149"/>
      <c r="F75" s="249"/>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05" t="s">
        <v>1362</v>
      </c>
      <c r="H82" s="1805"/>
      <c r="I82" s="1805"/>
      <c r="J82" s="1805"/>
      <c r="K82" s="1805"/>
      <c r="L82" s="1805"/>
      <c r="M82" s="1805"/>
      <c r="N82" s="1805"/>
      <c r="O82" s="1805"/>
      <c r="P82" s="1805"/>
      <c r="Q82" s="1805"/>
      <c r="R82" s="1805"/>
      <c r="S82" s="1805"/>
      <c r="T82" s="1805"/>
      <c r="U82" s="1805"/>
      <c r="V82" s="1805"/>
      <c r="W82" s="1805"/>
      <c r="X82" s="1805"/>
      <c r="Y82" s="1805"/>
      <c r="Z82" s="1805"/>
      <c r="AA82" s="1805"/>
      <c r="AB82" s="1805"/>
      <c r="AC82" s="1805"/>
      <c r="AD82" s="1805"/>
      <c r="AE82" s="1805"/>
      <c r="AF82" s="1805"/>
      <c r="AG82" s="1805"/>
      <c r="AH82" s="1805"/>
      <c r="AI82" s="1805"/>
      <c r="AJ82" s="1805"/>
      <c r="AK82" s="1805"/>
    </row>
    <row r="83" spans="1:37">
      <c r="A83" s="149"/>
      <c r="C83" s="5"/>
      <c r="D83" s="149"/>
      <c r="E83" s="149"/>
      <c r="F83" s="149"/>
      <c r="G83" s="1805"/>
      <c r="H83" s="1805"/>
      <c r="I83" s="1805"/>
      <c r="J83" s="1805"/>
      <c r="K83" s="1805"/>
      <c r="L83" s="1805"/>
      <c r="M83" s="1805"/>
      <c r="N83" s="1805"/>
      <c r="O83" s="1805"/>
      <c r="P83" s="1805"/>
      <c r="Q83" s="1805"/>
      <c r="R83" s="1805"/>
      <c r="S83" s="1805"/>
      <c r="T83" s="1805"/>
      <c r="U83" s="1805"/>
      <c r="V83" s="1805"/>
      <c r="W83" s="1805"/>
      <c r="X83" s="1805"/>
      <c r="Y83" s="1805"/>
      <c r="Z83" s="1805"/>
      <c r="AA83" s="1805"/>
      <c r="AB83" s="1805"/>
      <c r="AC83" s="1805"/>
      <c r="AD83" s="1805"/>
      <c r="AE83" s="1805"/>
      <c r="AF83" s="1805"/>
      <c r="AG83" s="1805"/>
      <c r="AH83" s="1805"/>
      <c r="AI83" s="1805"/>
      <c r="AJ83" s="1805"/>
      <c r="AK83" s="1805"/>
    </row>
    <row r="84" spans="1:37" s="715" customFormat="1">
      <c r="A84" s="149"/>
      <c r="C84" s="5"/>
      <c r="D84" s="149"/>
      <c r="E84" s="149"/>
      <c r="F84" s="149"/>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5"/>
      <c r="AK84" s="180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05" t="s">
        <v>1363</v>
      </c>
      <c r="H86" s="1805"/>
      <c r="I86" s="1805"/>
      <c r="J86" s="1805"/>
      <c r="K86" s="1805"/>
      <c r="L86" s="1805"/>
      <c r="M86" s="1805"/>
      <c r="N86" s="1805"/>
      <c r="O86" s="1805"/>
      <c r="P86" s="1805"/>
      <c r="Q86" s="1805"/>
      <c r="R86" s="1805"/>
      <c r="S86" s="1805"/>
      <c r="T86" s="1805"/>
      <c r="U86" s="1805"/>
      <c r="V86" s="1805"/>
      <c r="W86" s="1805"/>
      <c r="X86" s="1805"/>
      <c r="Y86" s="1805"/>
      <c r="Z86" s="1805"/>
      <c r="AA86" s="1805"/>
      <c r="AB86" s="1805"/>
      <c r="AC86" s="1805"/>
      <c r="AD86" s="1805"/>
      <c r="AE86" s="1805"/>
      <c r="AF86" s="1805"/>
      <c r="AG86" s="1805"/>
      <c r="AH86" s="1805"/>
      <c r="AI86" s="1805"/>
      <c r="AJ86" s="1805"/>
      <c r="AK86" s="1805"/>
    </row>
    <row r="87" spans="1:37">
      <c r="A87" s="149"/>
      <c r="C87" s="5"/>
      <c r="D87" s="149"/>
      <c r="E87" s="149"/>
      <c r="F87" s="149"/>
      <c r="G87" s="1805"/>
      <c r="H87" s="1805"/>
      <c r="I87" s="1805"/>
      <c r="J87" s="1805"/>
      <c r="K87" s="1805"/>
      <c r="L87" s="1805"/>
      <c r="M87" s="1805"/>
      <c r="N87" s="1805"/>
      <c r="O87" s="1805"/>
      <c r="P87" s="1805"/>
      <c r="Q87" s="1805"/>
      <c r="R87" s="1805"/>
      <c r="S87" s="1805"/>
      <c r="T87" s="1805"/>
      <c r="U87" s="1805"/>
      <c r="V87" s="1805"/>
      <c r="W87" s="1805"/>
      <c r="X87" s="1805"/>
      <c r="Y87" s="1805"/>
      <c r="Z87" s="1805"/>
      <c r="AA87" s="1805"/>
      <c r="AB87" s="1805"/>
      <c r="AC87" s="1805"/>
      <c r="AD87" s="1805"/>
      <c r="AE87" s="1805"/>
      <c r="AF87" s="1805"/>
      <c r="AG87" s="1805"/>
      <c r="AH87" s="1805"/>
      <c r="AI87" s="1805"/>
      <c r="AJ87" s="1805"/>
      <c r="AK87" s="1805"/>
    </row>
    <row r="88" spans="1:37">
      <c r="A88" s="149"/>
      <c r="C88" s="5"/>
      <c r="D88" s="149"/>
      <c r="E88" s="149"/>
      <c r="G88" s="1805"/>
      <c r="H88" s="1805"/>
      <c r="I88" s="1805"/>
      <c r="J88" s="1805"/>
      <c r="K88" s="1805"/>
      <c r="L88" s="1805"/>
      <c r="M88" s="1805"/>
      <c r="N88" s="1805"/>
      <c r="O88" s="1805"/>
      <c r="P88" s="1805"/>
      <c r="Q88" s="1805"/>
      <c r="R88" s="1805"/>
      <c r="S88" s="1805"/>
      <c r="T88" s="1805"/>
      <c r="U88" s="1805"/>
      <c r="V88" s="1805"/>
      <c r="W88" s="1805"/>
      <c r="X88" s="1805"/>
      <c r="Y88" s="1805"/>
      <c r="Z88" s="1805"/>
      <c r="AA88" s="1805"/>
      <c r="AB88" s="1805"/>
      <c r="AC88" s="1805"/>
      <c r="AD88" s="1805"/>
      <c r="AE88" s="1805"/>
      <c r="AF88" s="1805"/>
      <c r="AG88" s="1805"/>
      <c r="AH88" s="1805"/>
      <c r="AI88" s="1805"/>
      <c r="AJ88" s="1805"/>
      <c r="AK88" s="1805"/>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08" t="s">
        <v>1364</v>
      </c>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row>
    <row r="91" spans="1:37" s="715" customFormat="1">
      <c r="A91" s="149"/>
      <c r="C91" s="5"/>
      <c r="D91" s="149"/>
      <c r="E91" s="149"/>
      <c r="G91" s="1808"/>
      <c r="H91" s="1808"/>
      <c r="I91" s="1808"/>
      <c r="J91" s="1808"/>
      <c r="K91" s="1808"/>
      <c r="L91" s="1808"/>
      <c r="M91" s="1808"/>
      <c r="N91" s="1808"/>
      <c r="O91" s="1808"/>
      <c r="P91" s="1808"/>
      <c r="Q91" s="1808"/>
      <c r="R91" s="1808"/>
      <c r="S91" s="1808"/>
      <c r="T91" s="1808"/>
      <c r="U91" s="1808"/>
      <c r="V91" s="1808"/>
      <c r="W91" s="1808"/>
      <c r="X91" s="1808"/>
      <c r="Y91" s="1808"/>
      <c r="Z91" s="1808"/>
      <c r="AA91" s="1808"/>
      <c r="AB91" s="1808"/>
      <c r="AC91" s="1808"/>
      <c r="AD91" s="1808"/>
      <c r="AE91" s="1808"/>
      <c r="AF91" s="1808"/>
      <c r="AG91" s="1808"/>
      <c r="AH91" s="1808"/>
      <c r="AI91" s="1808"/>
      <c r="AJ91" s="1808"/>
      <c r="AK91" s="1808"/>
    </row>
    <row r="92" spans="1:37">
      <c r="A92" s="149"/>
      <c r="C92" s="5"/>
      <c r="D92" s="149"/>
      <c r="E92" s="149"/>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05" t="s">
        <v>1365</v>
      </c>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row>
    <row r="95" spans="1:37">
      <c r="A95" s="149"/>
      <c r="C95" s="5"/>
      <c r="D95" s="149"/>
      <c r="E95" s="149"/>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05" t="s">
        <v>1366</v>
      </c>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row>
    <row r="98" spans="1:38">
      <c r="A98" s="149"/>
      <c r="C98" s="183"/>
      <c r="D98" s="182"/>
      <c r="E98" s="182"/>
      <c r="F98" s="2"/>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2"/>
    </row>
    <row r="99" spans="1:38">
      <c r="A99" s="149"/>
      <c r="C99" s="183"/>
      <c r="D99" s="182"/>
      <c r="E99" s="182"/>
      <c r="F99" s="2"/>
      <c r="G99" s="1805"/>
      <c r="H99" s="1805"/>
      <c r="I99" s="1805"/>
      <c r="J99" s="1805"/>
      <c r="K99" s="1805"/>
      <c r="L99" s="1805"/>
      <c r="M99" s="1805"/>
      <c r="N99" s="1805"/>
      <c r="O99" s="1805"/>
      <c r="P99" s="1805"/>
      <c r="Q99" s="1805"/>
      <c r="R99" s="1805"/>
      <c r="S99" s="1805"/>
      <c r="T99" s="1805"/>
      <c r="U99" s="1805"/>
      <c r="V99" s="1805"/>
      <c r="W99" s="1805"/>
      <c r="X99" s="1805"/>
      <c r="Y99" s="1805"/>
      <c r="Z99" s="1805"/>
      <c r="AA99" s="1805"/>
      <c r="AB99" s="1805"/>
      <c r="AC99" s="1805"/>
      <c r="AD99" s="1805"/>
      <c r="AE99" s="1805"/>
      <c r="AF99" s="1805"/>
      <c r="AG99" s="1805"/>
      <c r="AH99" s="1805"/>
      <c r="AI99" s="1805"/>
      <c r="AJ99" s="1805"/>
      <c r="AK99" s="1805"/>
      <c r="AL99" s="2"/>
    </row>
    <row r="100" spans="1:38">
      <c r="A100" s="149"/>
      <c r="C100" s="2"/>
      <c r="D100" s="491"/>
      <c r="E100" s="1809" t="s">
        <v>1367</v>
      </c>
      <c r="F100" s="1809"/>
      <c r="G100" s="1809"/>
      <c r="H100" s="1809"/>
      <c r="I100" s="1809"/>
      <c r="J100" s="1809"/>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c r="AF100" s="1809"/>
      <c r="AG100" s="1809"/>
      <c r="AH100" s="1809"/>
      <c r="AI100" s="1809"/>
      <c r="AJ100" s="1809"/>
      <c r="AK100" s="1809"/>
      <c r="AL100" s="2"/>
    </row>
    <row r="101" spans="1:38">
      <c r="A101" s="149"/>
      <c r="D101" s="153"/>
      <c r="E101" s="1809"/>
      <c r="F101" s="1809"/>
      <c r="G101" s="1809"/>
      <c r="H101" s="1809"/>
      <c r="I101" s="1809"/>
      <c r="J101" s="1809"/>
      <c r="K101" s="1809"/>
      <c r="L101" s="1809"/>
      <c r="M101" s="1809"/>
      <c r="N101" s="1809"/>
      <c r="O101" s="1809"/>
      <c r="P101" s="1809"/>
      <c r="Q101" s="1809"/>
      <c r="R101" s="1809"/>
      <c r="S101" s="1809"/>
      <c r="T101" s="1809"/>
      <c r="U101" s="1809"/>
      <c r="V101" s="1809"/>
      <c r="W101" s="1809"/>
      <c r="X101" s="1809"/>
      <c r="Y101" s="1809"/>
      <c r="Z101" s="1809"/>
      <c r="AA101" s="1809"/>
      <c r="AB101" s="1809"/>
      <c r="AC101" s="1809"/>
      <c r="AD101" s="1809"/>
      <c r="AE101" s="1809"/>
      <c r="AF101" s="1809"/>
      <c r="AG101" s="1809"/>
      <c r="AH101" s="1809"/>
      <c r="AI101" s="1809"/>
      <c r="AJ101" s="1809"/>
      <c r="AK101" s="180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1485</v>
      </c>
      <c r="G133" s="5"/>
      <c r="H133" s="5"/>
      <c r="I133" s="5"/>
      <c r="J133" s="5"/>
      <c r="K133" s="5"/>
      <c r="L133" s="5"/>
      <c r="M133" s="5"/>
      <c r="N133" s="5"/>
    </row>
    <row r="134" spans="4:37" ht="12.75" customHeight="1">
      <c r="E134" s="882" t="s">
        <v>1483</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1484</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1419</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05" t="s">
        <v>1368</v>
      </c>
      <c r="H207" s="1805"/>
      <c r="I207" s="1805"/>
      <c r="J207" s="1805"/>
      <c r="K207" s="1805"/>
      <c r="L207" s="1805"/>
      <c r="M207" s="1805"/>
      <c r="N207" s="1805"/>
      <c r="O207" s="1805"/>
      <c r="P207" s="1805"/>
      <c r="Q207" s="1805"/>
      <c r="R207" s="1805"/>
      <c r="S207" s="1805"/>
      <c r="T207" s="1805"/>
      <c r="U207" s="1805"/>
      <c r="V207" s="1805"/>
      <c r="W207" s="1805"/>
      <c r="X207" s="1805"/>
      <c r="Y207" s="1805"/>
      <c r="Z207" s="1805"/>
      <c r="AA207" s="1805"/>
      <c r="AB207" s="1805"/>
      <c r="AC207" s="1805"/>
      <c r="AD207" s="1805"/>
      <c r="AE207" s="1805"/>
      <c r="AF207" s="1805"/>
      <c r="AG207" s="1805"/>
      <c r="AH207" s="1805"/>
      <c r="AI207" s="1805"/>
      <c r="AJ207" s="1805"/>
      <c r="AK207" s="1805"/>
    </row>
    <row r="208" spans="2:37">
      <c r="B208" s="149"/>
      <c r="C208" s="149"/>
      <c r="D208" s="5"/>
      <c r="G208" s="1805"/>
      <c r="H208" s="1805"/>
      <c r="I208" s="1805"/>
      <c r="J208" s="1805"/>
      <c r="K208" s="1805"/>
      <c r="L208" s="1805"/>
      <c r="M208" s="1805"/>
      <c r="N208" s="1805"/>
      <c r="O208" s="1805"/>
      <c r="P208" s="1805"/>
      <c r="Q208" s="1805"/>
      <c r="R208" s="1805"/>
      <c r="S208" s="1805"/>
      <c r="T208" s="1805"/>
      <c r="U208" s="1805"/>
      <c r="V208" s="1805"/>
      <c r="W208" s="1805"/>
      <c r="X208" s="1805"/>
      <c r="Y208" s="1805"/>
      <c r="Z208" s="1805"/>
      <c r="AA208" s="1805"/>
      <c r="AB208" s="1805"/>
      <c r="AC208" s="1805"/>
      <c r="AD208" s="1805"/>
      <c r="AE208" s="1805"/>
      <c r="AF208" s="1805"/>
      <c r="AG208" s="1805"/>
      <c r="AH208" s="1805"/>
      <c r="AI208" s="1805"/>
      <c r="AJ208" s="1805"/>
      <c r="AK208" s="180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05" t="s">
        <v>1343</v>
      </c>
      <c r="G338" s="1805"/>
      <c r="H338" s="1805"/>
      <c r="I338" s="1805"/>
      <c r="J338" s="1805"/>
      <c r="K338" s="1805"/>
      <c r="L338" s="1805"/>
      <c r="M338" s="1805"/>
      <c r="N338" s="1805"/>
      <c r="O338" s="1805"/>
      <c r="P338" s="1805"/>
      <c r="Q338" s="1805"/>
      <c r="R338" s="1805"/>
      <c r="S338" s="1805"/>
      <c r="T338" s="1805"/>
      <c r="U338" s="1805"/>
      <c r="V338" s="1805"/>
      <c r="W338" s="1805"/>
      <c r="X338" s="1805"/>
      <c r="Y338" s="1805"/>
      <c r="Z338" s="1805"/>
      <c r="AA338" s="1805"/>
      <c r="AB338" s="1805"/>
      <c r="AC338" s="1805"/>
      <c r="AD338" s="1805"/>
      <c r="AE338" s="1805"/>
      <c r="AF338" s="1805"/>
      <c r="AG338" s="1805"/>
      <c r="AH338" s="1805"/>
      <c r="AI338" s="1805"/>
      <c r="AJ338" s="1805"/>
      <c r="AK338" s="1805"/>
    </row>
    <row r="339" spans="2:37">
      <c r="B339" s="5"/>
      <c r="E339" s="149"/>
      <c r="F339" s="1805"/>
      <c r="G339" s="1805"/>
      <c r="H339" s="1805"/>
      <c r="I339" s="1805"/>
      <c r="J339" s="1805"/>
      <c r="K339" s="1805"/>
      <c r="L339" s="1805"/>
      <c r="M339" s="1805"/>
      <c r="N339" s="1805"/>
      <c r="O339" s="1805"/>
      <c r="P339" s="1805"/>
      <c r="Q339" s="1805"/>
      <c r="R339" s="1805"/>
      <c r="S339" s="1805"/>
      <c r="T339" s="1805"/>
      <c r="U339" s="1805"/>
      <c r="V339" s="1805"/>
      <c r="W339" s="1805"/>
      <c r="X339" s="1805"/>
      <c r="Y339" s="1805"/>
      <c r="Z339" s="1805"/>
      <c r="AA339" s="1805"/>
      <c r="AB339" s="1805"/>
      <c r="AC339" s="1805"/>
      <c r="AD339" s="1805"/>
      <c r="AE339" s="1805"/>
      <c r="AF339" s="1805"/>
      <c r="AG339" s="1805"/>
      <c r="AH339" s="1805"/>
      <c r="AI339" s="1805"/>
      <c r="AJ339" s="1805"/>
      <c r="AK339" s="1805"/>
    </row>
    <row r="340" spans="2:37">
      <c r="B340" s="5"/>
      <c r="E340" s="149"/>
      <c r="F340" s="1805"/>
      <c r="G340" s="1805"/>
      <c r="H340" s="1805"/>
      <c r="I340" s="1805"/>
      <c r="J340" s="1805"/>
      <c r="K340" s="1805"/>
      <c r="L340" s="1805"/>
      <c r="M340" s="1805"/>
      <c r="N340" s="1805"/>
      <c r="O340" s="1805"/>
      <c r="P340" s="1805"/>
      <c r="Q340" s="1805"/>
      <c r="R340" s="1805"/>
      <c r="S340" s="1805"/>
      <c r="T340" s="1805"/>
      <c r="U340" s="1805"/>
      <c r="V340" s="1805"/>
      <c r="W340" s="1805"/>
      <c r="X340" s="1805"/>
      <c r="Y340" s="1805"/>
      <c r="Z340" s="1805"/>
      <c r="AA340" s="1805"/>
      <c r="AB340" s="1805"/>
      <c r="AC340" s="1805"/>
      <c r="AD340" s="1805"/>
      <c r="AE340" s="1805"/>
      <c r="AF340" s="1805"/>
      <c r="AG340" s="1805"/>
      <c r="AH340" s="1805"/>
      <c r="AI340" s="1805"/>
      <c r="AJ340" s="1805"/>
      <c r="AK340" s="1805"/>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1439</v>
      </c>
      <c r="I342" s="183"/>
      <c r="J342" s="149"/>
      <c r="K342" s="149"/>
      <c r="L342" s="149"/>
      <c r="M342" s="149"/>
      <c r="N342" s="149"/>
      <c r="O342" s="149"/>
      <c r="P342" s="149"/>
      <c r="Q342" s="149"/>
      <c r="R342" s="149"/>
      <c r="S342" s="149"/>
    </row>
    <row r="343" spans="2:37" s="715" customFormat="1" ht="13.15" customHeight="1">
      <c r="B343" s="5"/>
      <c r="E343" s="1810" t="s">
        <v>1446</v>
      </c>
      <c r="F343" s="1810"/>
      <c r="G343" s="1810"/>
      <c r="H343" s="1810"/>
      <c r="I343" s="1810"/>
      <c r="J343" s="1810"/>
      <c r="K343" s="1810"/>
      <c r="L343" s="1810"/>
      <c r="M343" s="1810"/>
      <c r="N343" s="1810"/>
      <c r="O343" s="1810"/>
      <c r="P343" s="1810"/>
      <c r="Q343" s="1810"/>
      <c r="R343" s="1810"/>
      <c r="S343" s="1810"/>
      <c r="T343" s="1810"/>
      <c r="U343" s="1810"/>
      <c r="V343" s="1810"/>
      <c r="W343" s="1810"/>
      <c r="X343" s="1810"/>
      <c r="Y343" s="1810"/>
      <c r="Z343" s="1810"/>
      <c r="AA343" s="1810"/>
      <c r="AB343" s="1810"/>
      <c r="AC343" s="1810"/>
      <c r="AD343" s="1810"/>
      <c r="AE343" s="1810"/>
      <c r="AF343" s="1810"/>
      <c r="AG343" s="1810"/>
      <c r="AH343" s="1810"/>
      <c r="AI343" s="1810"/>
      <c r="AJ343" s="1810"/>
      <c r="AK343" s="1810"/>
    </row>
    <row r="344" spans="2:37" s="715" customFormat="1">
      <c r="B344" s="5"/>
      <c r="E344" s="1810"/>
      <c r="F344" s="1810"/>
      <c r="G344" s="1810"/>
      <c r="H344" s="1810"/>
      <c r="I344" s="1810"/>
      <c r="J344" s="1810"/>
      <c r="K344" s="1810"/>
      <c r="L344" s="1810"/>
      <c r="M344" s="1810"/>
      <c r="N344" s="1810"/>
      <c r="O344" s="1810"/>
      <c r="P344" s="1810"/>
      <c r="Q344" s="1810"/>
      <c r="R344" s="1810"/>
      <c r="S344" s="1810"/>
      <c r="T344" s="1810"/>
      <c r="U344" s="1810"/>
      <c r="V344" s="1810"/>
      <c r="W344" s="1810"/>
      <c r="X344" s="1810"/>
      <c r="Y344" s="1810"/>
      <c r="Z344" s="1810"/>
      <c r="AA344" s="1810"/>
      <c r="AB344" s="1810"/>
      <c r="AC344" s="1810"/>
      <c r="AD344" s="1810"/>
      <c r="AE344" s="1810"/>
      <c r="AF344" s="1810"/>
      <c r="AG344" s="1810"/>
      <c r="AH344" s="1810"/>
      <c r="AI344" s="1810"/>
      <c r="AJ344" s="1810"/>
      <c r="AK344" s="1810"/>
    </row>
    <row r="345" spans="2:37" s="715" customFormat="1">
      <c r="B345" s="5"/>
      <c r="E345" s="1810"/>
      <c r="F345" s="1810"/>
      <c r="G345" s="1810"/>
      <c r="H345" s="1810"/>
      <c r="I345" s="1810"/>
      <c r="J345" s="1810"/>
      <c r="K345" s="1810"/>
      <c r="L345" s="1810"/>
      <c r="M345" s="1810"/>
      <c r="N345" s="1810"/>
      <c r="O345" s="1810"/>
      <c r="P345" s="1810"/>
      <c r="Q345" s="1810"/>
      <c r="R345" s="1810"/>
      <c r="S345" s="1810"/>
      <c r="T345" s="1810"/>
      <c r="U345" s="1810"/>
      <c r="V345" s="1810"/>
      <c r="W345" s="1810"/>
      <c r="X345" s="1810"/>
      <c r="Y345" s="1810"/>
      <c r="Z345" s="1810"/>
      <c r="AA345" s="1810"/>
      <c r="AB345" s="1810"/>
      <c r="AC345" s="1810"/>
      <c r="AD345" s="1810"/>
      <c r="AE345" s="1810"/>
      <c r="AF345" s="1810"/>
      <c r="AG345" s="1810"/>
      <c r="AH345" s="1810"/>
      <c r="AI345" s="1810"/>
      <c r="AJ345" s="1810"/>
      <c r="AK345" s="1810"/>
    </row>
    <row r="346" spans="2:37" s="715" customFormat="1">
      <c r="B346" s="5"/>
      <c r="E346" s="1810"/>
      <c r="F346" s="1810"/>
      <c r="G346" s="1810"/>
      <c r="H346" s="1810"/>
      <c r="I346" s="1810"/>
      <c r="J346" s="1810"/>
      <c r="K346" s="1810"/>
      <c r="L346" s="1810"/>
      <c r="M346" s="1810"/>
      <c r="N346" s="1810"/>
      <c r="O346" s="1810"/>
      <c r="P346" s="1810"/>
      <c r="Q346" s="1810"/>
      <c r="R346" s="1810"/>
      <c r="S346" s="1810"/>
      <c r="T346" s="1810"/>
      <c r="U346" s="1810"/>
      <c r="V346" s="1810"/>
      <c r="W346" s="1810"/>
      <c r="X346" s="1810"/>
      <c r="Y346" s="1810"/>
      <c r="Z346" s="1810"/>
      <c r="AA346" s="1810"/>
      <c r="AB346" s="1810"/>
      <c r="AC346" s="1810"/>
      <c r="AD346" s="1810"/>
      <c r="AE346" s="1810"/>
      <c r="AF346" s="1810"/>
      <c r="AG346" s="1810"/>
      <c r="AH346" s="1810"/>
      <c r="AI346" s="1810"/>
      <c r="AJ346" s="1810"/>
      <c r="AK346" s="1810"/>
    </row>
    <row r="347" spans="2:37" s="715" customFormat="1">
      <c r="B347" s="5"/>
      <c r="E347" s="1810"/>
      <c r="F347" s="1810"/>
      <c r="G347" s="1810"/>
      <c r="H347" s="1810"/>
      <c r="I347" s="1810"/>
      <c r="J347" s="1810"/>
      <c r="K347" s="1810"/>
      <c r="L347" s="1810"/>
      <c r="M347" s="1810"/>
      <c r="N347" s="1810"/>
      <c r="O347" s="1810"/>
      <c r="P347" s="1810"/>
      <c r="Q347" s="1810"/>
      <c r="R347" s="1810"/>
      <c r="S347" s="1810"/>
      <c r="T347" s="1810"/>
      <c r="U347" s="1810"/>
      <c r="V347" s="1810"/>
      <c r="W347" s="1810"/>
      <c r="X347" s="1810"/>
      <c r="Y347" s="1810"/>
      <c r="Z347" s="1810"/>
      <c r="AA347" s="1810"/>
      <c r="AB347" s="1810"/>
      <c r="AC347" s="1810"/>
      <c r="AD347" s="1810"/>
      <c r="AE347" s="1810"/>
      <c r="AF347" s="1810"/>
      <c r="AG347" s="1810"/>
      <c r="AH347" s="1810"/>
      <c r="AI347" s="1810"/>
      <c r="AJ347" s="1810"/>
      <c r="AK347" s="1810"/>
    </row>
    <row r="348" spans="2:37" s="715" customFormat="1">
      <c r="B348" s="5"/>
      <c r="E348" s="6" t="s">
        <v>117</v>
      </c>
      <c r="F348" s="1805" t="s">
        <v>1448</v>
      </c>
      <c r="G348" s="1805"/>
      <c r="H348" s="1805"/>
      <c r="I348" s="1805"/>
      <c r="J348" s="1805"/>
      <c r="K348" s="1805"/>
      <c r="L348" s="1805"/>
      <c r="M348" s="1805"/>
      <c r="N348" s="1805"/>
      <c r="O348" s="1805"/>
      <c r="P348" s="1805"/>
      <c r="Q348" s="1805"/>
      <c r="R348" s="1805"/>
      <c r="S348" s="1805"/>
      <c r="T348" s="1805"/>
      <c r="U348" s="1805"/>
      <c r="V348" s="1805"/>
      <c r="W348" s="1805"/>
      <c r="X348" s="1805"/>
      <c r="Y348" s="1805"/>
      <c r="Z348" s="1805"/>
      <c r="AA348" s="1805"/>
      <c r="AB348" s="1805"/>
      <c r="AC348" s="1805"/>
      <c r="AD348" s="1805"/>
      <c r="AE348" s="1805"/>
      <c r="AF348" s="1805"/>
      <c r="AG348" s="1805"/>
      <c r="AH348" s="1805"/>
      <c r="AI348" s="1805"/>
      <c r="AJ348" s="1805"/>
      <c r="AK348" s="1805"/>
    </row>
    <row r="349" spans="2:37" s="715" customFormat="1">
      <c r="B349" s="5"/>
      <c r="E349" s="6"/>
      <c r="F349" s="1805"/>
      <c r="G349" s="1805"/>
      <c r="H349" s="1805"/>
      <c r="I349" s="1805"/>
      <c r="J349" s="1805"/>
      <c r="K349" s="1805"/>
      <c r="L349" s="1805"/>
      <c r="M349" s="1805"/>
      <c r="N349" s="1805"/>
      <c r="O349" s="1805"/>
      <c r="P349" s="1805"/>
      <c r="Q349" s="1805"/>
      <c r="R349" s="1805"/>
      <c r="S349" s="1805"/>
      <c r="T349" s="1805"/>
      <c r="U349" s="1805"/>
      <c r="V349" s="1805"/>
      <c r="W349" s="1805"/>
      <c r="X349" s="1805"/>
      <c r="Y349" s="1805"/>
      <c r="Z349" s="1805"/>
      <c r="AA349" s="1805"/>
      <c r="AB349" s="1805"/>
      <c r="AC349" s="1805"/>
      <c r="AD349" s="1805"/>
      <c r="AE349" s="1805"/>
      <c r="AF349" s="1805"/>
      <c r="AG349" s="1805"/>
      <c r="AH349" s="1805"/>
      <c r="AI349" s="1805"/>
      <c r="AJ349" s="1805"/>
      <c r="AK349" s="1805"/>
    </row>
    <row r="350" spans="2:37" s="715" customFormat="1">
      <c r="B350" s="5"/>
      <c r="E350" s="6"/>
      <c r="F350" s="1805"/>
      <c r="G350" s="1805"/>
      <c r="H350" s="1805"/>
      <c r="I350" s="1805"/>
      <c r="J350" s="1805"/>
      <c r="K350" s="1805"/>
      <c r="L350" s="1805"/>
      <c r="M350" s="1805"/>
      <c r="N350" s="1805"/>
      <c r="O350" s="1805"/>
      <c r="P350" s="1805"/>
      <c r="Q350" s="1805"/>
      <c r="R350" s="1805"/>
      <c r="S350" s="1805"/>
      <c r="T350" s="1805"/>
      <c r="U350" s="1805"/>
      <c r="V350" s="1805"/>
      <c r="W350" s="1805"/>
      <c r="X350" s="1805"/>
      <c r="Y350" s="1805"/>
      <c r="Z350" s="1805"/>
      <c r="AA350" s="1805"/>
      <c r="AB350" s="1805"/>
      <c r="AC350" s="1805"/>
      <c r="AD350" s="1805"/>
      <c r="AE350" s="1805"/>
      <c r="AF350" s="1805"/>
      <c r="AG350" s="1805"/>
      <c r="AH350" s="1805"/>
      <c r="AI350" s="1805"/>
      <c r="AJ350" s="1805"/>
      <c r="AK350" s="1805"/>
    </row>
    <row r="351" spans="2:37" s="715" customFormat="1">
      <c r="B351" s="5"/>
      <c r="E351" s="6"/>
      <c r="F351" s="1805"/>
      <c r="G351" s="1805"/>
      <c r="H351" s="1805"/>
      <c r="I351" s="1805"/>
      <c r="J351" s="1805"/>
      <c r="K351" s="1805"/>
      <c r="L351" s="1805"/>
      <c r="M351" s="1805"/>
      <c r="N351" s="1805"/>
      <c r="O351" s="1805"/>
      <c r="P351" s="1805"/>
      <c r="Q351" s="1805"/>
      <c r="R351" s="1805"/>
      <c r="S351" s="1805"/>
      <c r="T351" s="1805"/>
      <c r="U351" s="1805"/>
      <c r="V351" s="1805"/>
      <c r="W351" s="1805"/>
      <c r="X351" s="1805"/>
      <c r="Y351" s="1805"/>
      <c r="Z351" s="1805"/>
      <c r="AA351" s="1805"/>
      <c r="AB351" s="1805"/>
      <c r="AC351" s="1805"/>
      <c r="AD351" s="1805"/>
      <c r="AE351" s="1805"/>
      <c r="AF351" s="1805"/>
      <c r="AG351" s="1805"/>
      <c r="AH351" s="1805"/>
      <c r="AI351" s="1805"/>
      <c r="AJ351" s="1805"/>
      <c r="AK351" s="1805"/>
    </row>
    <row r="352" spans="2:37" s="715" customFormat="1">
      <c r="B352" s="5"/>
      <c r="E352" s="6" t="s">
        <v>118</v>
      </c>
      <c r="F352" s="1805" t="s">
        <v>1447</v>
      </c>
      <c r="G352" s="1805"/>
      <c r="H352" s="1805"/>
      <c r="I352" s="1805"/>
      <c r="J352" s="1805"/>
      <c r="K352" s="1805"/>
      <c r="L352" s="1805"/>
      <c r="M352" s="1805"/>
      <c r="N352" s="1805"/>
      <c r="O352" s="1805"/>
      <c r="P352" s="1805"/>
      <c r="Q352" s="1805"/>
      <c r="R352" s="1805"/>
      <c r="S352" s="1805"/>
      <c r="T352" s="1805"/>
      <c r="U352" s="1805"/>
      <c r="V352" s="1805"/>
      <c r="W352" s="1805"/>
      <c r="X352" s="1805"/>
      <c r="Y352" s="1805"/>
      <c r="Z352" s="1805"/>
      <c r="AA352" s="1805"/>
      <c r="AB352" s="1805"/>
      <c r="AC352" s="1805"/>
      <c r="AD352" s="1805"/>
      <c r="AE352" s="1805"/>
      <c r="AF352" s="1805"/>
      <c r="AG352" s="1805"/>
      <c r="AH352" s="1805"/>
      <c r="AI352" s="1805"/>
      <c r="AJ352" s="1805"/>
      <c r="AK352" s="1805"/>
    </row>
    <row r="353" spans="1:38" s="715" customFormat="1">
      <c r="B353" s="5"/>
      <c r="F353" s="1805"/>
      <c r="G353" s="1805"/>
      <c r="H353" s="1805"/>
      <c r="I353" s="1805"/>
      <c r="J353" s="1805"/>
      <c r="K353" s="1805"/>
      <c r="L353" s="1805"/>
      <c r="M353" s="1805"/>
      <c r="N353" s="1805"/>
      <c r="O353" s="1805"/>
      <c r="P353" s="1805"/>
      <c r="Q353" s="1805"/>
      <c r="R353" s="1805"/>
      <c r="S353" s="1805"/>
      <c r="T353" s="1805"/>
      <c r="U353" s="1805"/>
      <c r="V353" s="1805"/>
      <c r="W353" s="1805"/>
      <c r="X353" s="1805"/>
      <c r="Y353" s="1805"/>
      <c r="Z353" s="1805"/>
      <c r="AA353" s="1805"/>
      <c r="AB353" s="1805"/>
      <c r="AC353" s="1805"/>
      <c r="AD353" s="1805"/>
      <c r="AE353" s="1805"/>
      <c r="AF353" s="1805"/>
      <c r="AG353" s="1805"/>
      <c r="AH353" s="1805"/>
      <c r="AI353" s="1805"/>
      <c r="AJ353" s="1805"/>
      <c r="AK353" s="1805"/>
    </row>
    <row r="354" spans="1:38" s="715" customFormat="1">
      <c r="B354" s="5"/>
      <c r="F354" s="1805"/>
      <c r="G354" s="1805"/>
      <c r="H354" s="1805"/>
      <c r="I354" s="1805"/>
      <c r="J354" s="1805"/>
      <c r="K354" s="1805"/>
      <c r="L354" s="1805"/>
      <c r="M354" s="1805"/>
      <c r="N354" s="1805"/>
      <c r="O354" s="1805"/>
      <c r="P354" s="1805"/>
      <c r="Q354" s="1805"/>
      <c r="R354" s="1805"/>
      <c r="S354" s="1805"/>
      <c r="T354" s="1805"/>
      <c r="U354" s="1805"/>
      <c r="V354" s="1805"/>
      <c r="W354" s="1805"/>
      <c r="X354" s="1805"/>
      <c r="Y354" s="1805"/>
      <c r="Z354" s="1805"/>
      <c r="AA354" s="1805"/>
      <c r="AB354" s="1805"/>
      <c r="AC354" s="1805"/>
      <c r="AD354" s="1805"/>
      <c r="AE354" s="1805"/>
      <c r="AF354" s="1805"/>
      <c r="AG354" s="1805"/>
      <c r="AH354" s="1805"/>
      <c r="AI354" s="1805"/>
      <c r="AJ354" s="1805"/>
      <c r="AK354" s="1805"/>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14" t="s">
        <v>1437</v>
      </c>
      <c r="F367" s="1814"/>
      <c r="G367" s="1814"/>
      <c r="H367" s="1814"/>
      <c r="I367" s="1814"/>
      <c r="J367" s="1814"/>
      <c r="K367" s="1814"/>
      <c r="L367" s="1814"/>
      <c r="M367" s="1814"/>
      <c r="N367" s="1814"/>
      <c r="O367" s="1814"/>
      <c r="P367" s="1814"/>
      <c r="Q367" s="1814"/>
      <c r="R367" s="1814"/>
      <c r="S367" s="1814"/>
      <c r="T367" s="1814"/>
      <c r="U367" s="1814"/>
      <c r="V367" s="1814"/>
      <c r="W367" s="1814"/>
      <c r="X367" s="1814"/>
      <c r="Y367" s="1814"/>
      <c r="Z367" s="1814"/>
      <c r="AA367" s="1814"/>
      <c r="AB367" s="1814"/>
      <c r="AC367" s="1814"/>
      <c r="AD367" s="1814"/>
      <c r="AE367" s="1814"/>
      <c r="AF367" s="1814"/>
      <c r="AG367" s="1814"/>
      <c r="AH367" s="1814"/>
      <c r="AI367" s="1814"/>
      <c r="AJ367" s="1814"/>
      <c r="AK367" s="1814"/>
      <c r="AL367" s="1814"/>
    </row>
    <row r="368" spans="1:38" s="715" customFormat="1">
      <c r="B368" s="5"/>
      <c r="E368" s="1814"/>
      <c r="F368" s="1814"/>
      <c r="G368" s="1814"/>
      <c r="H368" s="1814"/>
      <c r="I368" s="1814"/>
      <c r="J368" s="1814"/>
      <c r="K368" s="1814"/>
      <c r="L368" s="1814"/>
      <c r="M368" s="1814"/>
      <c r="N368" s="1814"/>
      <c r="O368" s="1814"/>
      <c r="P368" s="1814"/>
      <c r="Q368" s="1814"/>
      <c r="R368" s="1814"/>
      <c r="S368" s="1814"/>
      <c r="T368" s="1814"/>
      <c r="U368" s="1814"/>
      <c r="V368" s="1814"/>
      <c r="W368" s="1814"/>
      <c r="X368" s="1814"/>
      <c r="Y368" s="1814"/>
      <c r="Z368" s="1814"/>
      <c r="AA368" s="1814"/>
      <c r="AB368" s="1814"/>
      <c r="AC368" s="1814"/>
      <c r="AD368" s="1814"/>
      <c r="AE368" s="1814"/>
      <c r="AF368" s="1814"/>
      <c r="AG368" s="1814"/>
      <c r="AH368" s="1814"/>
      <c r="AI368" s="1814"/>
      <c r="AJ368" s="1814"/>
      <c r="AK368" s="1814"/>
      <c r="AL368" s="1814"/>
    </row>
    <row r="369" spans="1:38" s="1816" customFormat="1">
      <c r="A369"/>
      <c r="B369" s="5"/>
      <c r="C369"/>
      <c r="D369"/>
      <c r="E369" s="1815" t="s">
        <v>1486</v>
      </c>
    </row>
    <row r="370" spans="1:38" s="181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1487</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1488</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07" t="s">
        <v>1497</v>
      </c>
      <c r="G388" s="1807"/>
      <c r="H388" s="1807"/>
      <c r="I388" s="1807"/>
      <c r="J388" s="1807"/>
      <c r="K388" s="1807"/>
      <c r="L388" s="1807"/>
      <c r="M388" s="1807"/>
      <c r="N388" s="1807"/>
      <c r="O388" s="1807"/>
      <c r="P388" s="1807"/>
      <c r="Q388" s="1807"/>
      <c r="R388" s="1807"/>
      <c r="S388" s="1807"/>
      <c r="T388" s="1807"/>
      <c r="U388" s="1807"/>
      <c r="V388" s="1807"/>
      <c r="W388" s="1807"/>
      <c r="X388" s="1807"/>
      <c r="Y388" s="1807"/>
      <c r="Z388" s="1807"/>
      <c r="AA388" s="1807"/>
      <c r="AB388" s="1807"/>
      <c r="AC388" s="1807"/>
      <c r="AD388" s="1807"/>
      <c r="AE388" s="1807"/>
      <c r="AF388" s="1807"/>
      <c r="AG388" s="1807"/>
      <c r="AH388" s="1807"/>
      <c r="AI388" s="1807"/>
      <c r="AJ388" s="1807"/>
      <c r="AK388" s="1807"/>
      <c r="AL388" s="675"/>
    </row>
    <row r="389" spans="1:38" s="715" customFormat="1">
      <c r="A389" s="675"/>
      <c r="B389" s="183"/>
      <c r="C389" s="675"/>
      <c r="D389" s="675"/>
      <c r="E389" s="676"/>
      <c r="F389" s="1807"/>
      <c r="G389" s="1807"/>
      <c r="H389" s="1807"/>
      <c r="I389" s="1807"/>
      <c r="J389" s="1807"/>
      <c r="K389" s="1807"/>
      <c r="L389" s="1807"/>
      <c r="M389" s="1807"/>
      <c r="N389" s="1807"/>
      <c r="O389" s="1807"/>
      <c r="P389" s="1807"/>
      <c r="Q389" s="1807"/>
      <c r="R389" s="1807"/>
      <c r="S389" s="1807"/>
      <c r="T389" s="1807"/>
      <c r="U389" s="1807"/>
      <c r="V389" s="1807"/>
      <c r="W389" s="1807"/>
      <c r="X389" s="1807"/>
      <c r="Y389" s="1807"/>
      <c r="Z389" s="1807"/>
      <c r="AA389" s="1807"/>
      <c r="AB389" s="1807"/>
      <c r="AC389" s="1807"/>
      <c r="AD389" s="1807"/>
      <c r="AE389" s="1807"/>
      <c r="AF389" s="1807"/>
      <c r="AG389" s="1807"/>
      <c r="AH389" s="1807"/>
      <c r="AI389" s="1807"/>
      <c r="AJ389" s="1807"/>
      <c r="AK389" s="1807"/>
      <c r="AL389" s="675"/>
    </row>
    <row r="390" spans="1:38" s="715" customFormat="1">
      <c r="A390" s="675"/>
      <c r="B390" s="183"/>
      <c r="C390" s="675"/>
      <c r="D390" s="675"/>
      <c r="E390" s="676"/>
      <c r="F390" s="1807"/>
      <c r="G390" s="1807"/>
      <c r="H390" s="1807"/>
      <c r="I390" s="1807"/>
      <c r="J390" s="1807"/>
      <c r="K390" s="1807"/>
      <c r="L390" s="1807"/>
      <c r="M390" s="1807"/>
      <c r="N390" s="1807"/>
      <c r="O390" s="1807"/>
      <c r="P390" s="1807"/>
      <c r="Q390" s="1807"/>
      <c r="R390" s="1807"/>
      <c r="S390" s="1807"/>
      <c r="T390" s="1807"/>
      <c r="U390" s="1807"/>
      <c r="V390" s="1807"/>
      <c r="W390" s="1807"/>
      <c r="X390" s="1807"/>
      <c r="Y390" s="1807"/>
      <c r="Z390" s="1807"/>
      <c r="AA390" s="1807"/>
      <c r="AB390" s="1807"/>
      <c r="AC390" s="1807"/>
      <c r="AD390" s="1807"/>
      <c r="AE390" s="1807"/>
      <c r="AF390" s="1807"/>
      <c r="AG390" s="1807"/>
      <c r="AH390" s="1807"/>
      <c r="AI390" s="1807"/>
      <c r="AJ390" s="1807"/>
      <c r="AK390" s="1807"/>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1506</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1505</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5703125" style="1331" customWidth="1"/>
    <col min="11" max="11" width="47.42578125" style="1332" customWidth="1"/>
    <col min="12" max="16384" width="9.140625" style="1331"/>
  </cols>
  <sheetData>
    <row r="1" spans="1:11" ht="30" customHeight="1">
      <c r="A1" s="3276" t="s">
        <v>1874</v>
      </c>
      <c r="B1" s="3276"/>
      <c r="C1" s="3276"/>
      <c r="D1" s="3276"/>
      <c r="E1" s="3276"/>
      <c r="F1" s="3276"/>
      <c r="G1" s="3276"/>
      <c r="H1" s="3276"/>
      <c r="I1" s="3276"/>
    </row>
    <row r="2" spans="1:11" ht="15">
      <c r="A2" s="1333"/>
      <c r="B2" s="1333"/>
      <c r="E2" s="1334"/>
      <c r="I2" s="1336"/>
      <c r="K2" s="1337"/>
    </row>
    <row r="3" spans="1:11">
      <c r="A3" s="1338" t="s">
        <v>1581</v>
      </c>
      <c r="B3" s="1338"/>
      <c r="C3" s="1331" t="s">
        <v>2113</v>
      </c>
      <c r="E3" s="1725">
        <f>ROUND(Application!AM564+'Basis &amp; Credits'!AB77,0)</f>
        <v>36316831</v>
      </c>
      <c r="F3" s="1339"/>
      <c r="K3" s="1410"/>
    </row>
    <row r="4" spans="1:11" s="1340" customFormat="1" ht="15" customHeight="1">
      <c r="C4" s="1340" t="s">
        <v>1875</v>
      </c>
      <c r="E4" s="1416">
        <f>Application!AD1037</f>
        <v>-2.0618556701030928E-3</v>
      </c>
      <c r="F4" s="1341"/>
      <c r="H4" s="1342"/>
      <c r="K4" s="1537"/>
    </row>
    <row r="5" spans="1:11" s="1343" customFormat="1" ht="15" customHeight="1">
      <c r="A5" s="3277"/>
      <c r="B5" s="3277"/>
      <c r="D5" s="1343" t="s">
        <v>2114</v>
      </c>
      <c r="E5" s="1344">
        <f>IF('Points System'!C274="Yes",0.2,0)</f>
        <v>0</v>
      </c>
      <c r="F5" s="1341"/>
      <c r="H5" s="1342"/>
      <c r="K5" s="1538"/>
    </row>
    <row r="6" spans="1:11" s="1343" customFormat="1" ht="15" customHeight="1">
      <c r="A6" s="1446"/>
      <c r="B6" s="1446"/>
      <c r="D6" s="1343" t="s">
        <v>2115</v>
      </c>
      <c r="E6" s="1344" t="str">
        <f>IF(AND((Application!W464&gt;=(0.5*Application!G753)),Application!D210="Special Needs",(OR(Application!M354="Yes",Application!M355="Yes"))),0.2," ")</f>
        <v xml:space="preserve"> </v>
      </c>
      <c r="F6" s="1341"/>
      <c r="H6" s="1342"/>
      <c r="K6" s="1538"/>
    </row>
    <row r="7" spans="1:11" ht="15">
      <c r="A7" s="1333"/>
      <c r="B7" s="1333"/>
      <c r="C7" s="1331" t="s">
        <v>2117</v>
      </c>
      <c r="E7" s="1414">
        <f>E3-(E3*(E4+(MAX(E5,E6))))</f>
        <v>36391711.063917525</v>
      </c>
      <c r="F7" s="1339"/>
      <c r="I7" s="1345"/>
      <c r="K7" s="1539"/>
    </row>
    <row r="8" spans="1:11" ht="15">
      <c r="A8" s="1333"/>
      <c r="B8" s="1333"/>
      <c r="E8" s="1345"/>
      <c r="F8" s="1346"/>
      <c r="G8" s="1347"/>
      <c r="H8" s="1348"/>
      <c r="I8" s="1345"/>
    </row>
    <row r="9" spans="1:11" s="1351" customFormat="1" ht="15" customHeight="1">
      <c r="A9" s="1349"/>
      <c r="B9" s="1349"/>
      <c r="C9" s="1350"/>
      <c r="E9" s="1352" t="s">
        <v>1876</v>
      </c>
      <c r="F9" s="1353"/>
      <c r="G9" s="1354" t="s">
        <v>1877</v>
      </c>
      <c r="H9" s="1348"/>
      <c r="I9" s="1354" t="s">
        <v>1878</v>
      </c>
      <c r="K9" s="1355"/>
    </row>
    <row r="10" spans="1:11">
      <c r="A10" s="1338" t="s">
        <v>1583</v>
      </c>
      <c r="B10" s="1338"/>
      <c r="C10" s="1331" t="s">
        <v>1879</v>
      </c>
      <c r="E10" s="1356" t="s">
        <v>1880</v>
      </c>
      <c r="F10" s="1348"/>
      <c r="G10" s="1356" t="s">
        <v>1881</v>
      </c>
      <c r="H10" s="1348"/>
      <c r="I10" s="1356" t="s">
        <v>1880</v>
      </c>
    </row>
    <row r="11" spans="1:11" ht="15">
      <c r="A11" s="1333"/>
      <c r="B11" s="1333"/>
      <c r="C11" s="1357" t="s">
        <v>1882</v>
      </c>
      <c r="D11" s="1357"/>
      <c r="E11" s="1411">
        <f>Application!BN635+Application!BN644+Application!CS658</f>
        <v>0</v>
      </c>
      <c r="G11" s="1358">
        <v>0.9</v>
      </c>
      <c r="H11" s="1359"/>
      <c r="I11" s="1360">
        <f>E11*G11</f>
        <v>0</v>
      </c>
      <c r="J11" s="1351"/>
      <c r="K11" s="1355"/>
    </row>
    <row r="12" spans="1:11" ht="15">
      <c r="A12" s="1333"/>
      <c r="B12" s="1333"/>
      <c r="C12" s="1351" t="s">
        <v>1883</v>
      </c>
      <c r="D12" s="1351"/>
      <c r="E12" s="1411">
        <f>Application!BS635+Application!BS644+Application!CX658</f>
        <v>96</v>
      </c>
      <c r="G12" s="1358">
        <v>1</v>
      </c>
      <c r="H12" s="1359"/>
      <c r="I12" s="1360">
        <f>E12*G12</f>
        <v>96</v>
      </c>
      <c r="J12" s="1351"/>
    </row>
    <row r="13" spans="1:11" ht="15">
      <c r="A13" s="1333"/>
      <c r="B13" s="1333"/>
      <c r="C13" s="1351" t="s">
        <v>1884</v>
      </c>
      <c r="D13" s="1351"/>
      <c r="E13" s="1411">
        <f>Application!BX635+Application!BX644+Application!DC658</f>
        <v>48</v>
      </c>
      <c r="G13" s="1358">
        <v>1.25</v>
      </c>
      <c r="H13" s="1359"/>
      <c r="I13" s="1360">
        <f>E13*G13</f>
        <v>60</v>
      </c>
      <c r="J13" s="1351"/>
    </row>
    <row r="14" spans="1:11" ht="15">
      <c r="A14" s="1333"/>
      <c r="B14" s="1333"/>
      <c r="C14" s="1351" t="s">
        <v>1885</v>
      </c>
      <c r="D14" s="1351"/>
      <c r="E14" s="1411">
        <f>Application!CC635+Application!CC644+Application!DH658</f>
        <v>50</v>
      </c>
      <c r="G14" s="1358">
        <f>1.5+0.25*0</f>
        <v>1.5</v>
      </c>
      <c r="H14" s="1359"/>
      <c r="I14" s="1360">
        <f>IF(E14/E16&lt;=30%,E14*G14,TRUNC(0.3*E16)*G14+(E14-TRUNC(0.3*E16))*G13)</f>
        <v>75</v>
      </c>
      <c r="J14" s="1351"/>
    </row>
    <row r="15" spans="1:11" ht="15">
      <c r="A15" s="1333"/>
      <c r="B15" s="1333"/>
      <c r="C15" s="1351" t="s">
        <v>1886</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194</v>
      </c>
      <c r="G16" s="1334"/>
      <c r="I16" s="1415">
        <f>SUM(I11:I15)</f>
        <v>231</v>
      </c>
    </row>
    <row r="17" spans="1:9" ht="15">
      <c r="A17" s="1333"/>
      <c r="B17" s="1333"/>
      <c r="E17" s="1334"/>
      <c r="I17" s="1362"/>
    </row>
    <row r="18" spans="1:9" ht="15">
      <c r="A18" s="1338" t="s">
        <v>1586</v>
      </c>
      <c r="B18" s="1338"/>
      <c r="C18" s="1363" t="s">
        <v>1887</v>
      </c>
      <c r="D18" s="1335"/>
      <c r="E18" s="1364">
        <f>E7/I16</f>
        <v>157539.87473557371</v>
      </c>
      <c r="F18" s="1365"/>
      <c r="G18" s="1366"/>
      <c r="H18" s="1367"/>
      <c r="I18" s="1362"/>
    </row>
    <row r="21" spans="1:9" ht="14.25" customHeight="1">
      <c r="A21" s="3278" t="s">
        <v>2492</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5" spans="1:9" ht="20.100000000000001" customHeight="1">
      <c r="A25" s="1331" t="s">
        <v>2116</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I60" sqref="I60"/>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1" t="s">
        <v>1518</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3"/>
      <c r="U8" s="3323"/>
      <c r="V8" s="3323"/>
      <c r="W8" s="3323"/>
      <c r="X8" s="3323"/>
      <c r="Y8" s="3323"/>
      <c r="Z8" s="3323"/>
      <c r="AA8" s="3323"/>
      <c r="AB8" s="3323"/>
      <c r="AC8" s="3323"/>
      <c r="AD8" s="3323"/>
      <c r="AE8" s="3323"/>
      <c r="AF8" s="3323"/>
      <c r="AG8" s="3323"/>
      <c r="AH8" s="3323"/>
      <c r="AI8" s="3323"/>
      <c r="AJ8" s="3323"/>
      <c r="AK8" s="3323"/>
      <c r="AL8" s="3323"/>
      <c r="AM8" s="3323"/>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3"/>
      <c r="U9" s="3323"/>
      <c r="V9" s="3323"/>
      <c r="W9" s="3323"/>
      <c r="X9" s="3323"/>
      <c r="Y9" s="3323"/>
      <c r="Z9" s="3323"/>
      <c r="AA9" s="3323"/>
      <c r="AB9" s="3323"/>
      <c r="AC9" s="3323"/>
      <c r="AD9" s="3323"/>
      <c r="AE9" s="3323"/>
      <c r="AF9" s="3323"/>
      <c r="AG9" s="3323"/>
      <c r="AH9" s="3323"/>
      <c r="AI9" s="3323"/>
      <c r="AJ9" s="3323"/>
      <c r="AK9" s="3323"/>
      <c r="AL9" s="3323"/>
      <c r="AM9" s="3323"/>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1" t="s">
        <v>392</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62913682</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16" t="s">
        <v>529</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9" t="s">
        <v>530</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9" t="s">
        <v>531</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9" t="s">
        <v>532</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9" t="s">
        <v>863</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9" t="s">
        <v>533</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4" t="s">
        <v>1038</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4" t="s">
        <v>1038</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1" t="s">
        <v>534</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1" t="s">
        <v>1491</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1" t="s">
        <v>535</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94" t="s">
        <v>536</v>
      </c>
      <c r="C23" s="3295"/>
      <c r="D23" s="3295"/>
      <c r="E23" s="3295"/>
      <c r="F23" s="3295"/>
      <c r="G23" s="3295"/>
      <c r="H23" s="3295"/>
      <c r="I23" s="3295"/>
      <c r="J23" s="3295"/>
      <c r="K23" s="3295"/>
      <c r="L23" s="3295"/>
      <c r="M23" s="3295"/>
      <c r="N23" s="3295"/>
      <c r="O23" s="3295"/>
      <c r="P23" s="3295"/>
      <c r="Q23" s="3295"/>
      <c r="R23" s="3295"/>
      <c r="S23" s="3296"/>
      <c r="T23" s="3284">
        <f>T11+T22</f>
        <v>62913682</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1" t="s">
        <v>1039</v>
      </c>
      <c r="C24" s="3292"/>
      <c r="D24" s="3292"/>
      <c r="E24" s="3292"/>
      <c r="F24" s="3292"/>
      <c r="G24" s="3292"/>
      <c r="H24" s="3292"/>
      <c r="I24" s="3292"/>
      <c r="J24" s="3292"/>
      <c r="K24" s="3292"/>
      <c r="L24" s="3292"/>
      <c r="M24" s="3292"/>
      <c r="N24" s="3292"/>
      <c r="O24" s="3292"/>
      <c r="P24" s="3292"/>
      <c r="Q24" s="3292"/>
      <c r="R24" s="3292"/>
      <c r="S24" s="3293"/>
      <c r="T24" s="3286">
        <f>Application!AJ1032</f>
        <v>103853881.59999999</v>
      </c>
      <c r="U24" s="3287"/>
      <c r="V24" s="3287"/>
      <c r="W24" s="3287"/>
      <c r="X24" s="3287"/>
      <c r="Y24" s="3287"/>
      <c r="Z24" s="3287"/>
      <c r="AA24" s="3287"/>
      <c r="AB24" s="3287"/>
      <c r="AC24" s="3287"/>
      <c r="AD24" s="3287"/>
      <c r="AE24" s="3287"/>
      <c r="AF24" s="3287"/>
      <c r="AG24" s="3287"/>
      <c r="AH24" s="3287"/>
      <c r="AI24" s="3287"/>
      <c r="AJ24" s="3287"/>
      <c r="AK24" s="3287"/>
      <c r="AL24" s="3287"/>
      <c r="AM24" s="328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8" t="s">
        <v>1492</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1" t="s">
        <v>537</v>
      </c>
      <c r="C26" s="3292"/>
      <c r="D26" s="3292"/>
      <c r="E26" s="3292"/>
      <c r="F26" s="3292"/>
      <c r="G26" s="3292"/>
      <c r="H26" s="3292"/>
      <c r="I26" s="3292"/>
      <c r="J26" s="3292"/>
      <c r="K26" s="3292"/>
      <c r="L26" s="3292"/>
      <c r="M26" s="3292"/>
      <c r="N26" s="3292"/>
      <c r="O26" s="3292"/>
      <c r="P26" s="3292"/>
      <c r="Q26" s="3292"/>
      <c r="R26" s="3292"/>
      <c r="S26" s="3293"/>
      <c r="T26" s="3335">
        <f>T23*T25</f>
        <v>81787786.600000009</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1" t="s">
        <v>446</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1" t="s">
        <v>538</v>
      </c>
      <c r="C28" s="3292"/>
      <c r="D28" s="3292"/>
      <c r="E28" s="3292"/>
      <c r="F28" s="3292"/>
      <c r="G28" s="3292"/>
      <c r="H28" s="3292"/>
      <c r="I28" s="3292"/>
      <c r="J28" s="3292"/>
      <c r="K28" s="3292"/>
      <c r="L28" s="3292"/>
      <c r="M28" s="3292"/>
      <c r="N28" s="3292"/>
      <c r="O28" s="3292"/>
      <c r="P28" s="3292"/>
      <c r="Q28" s="3292"/>
      <c r="R28" s="3292"/>
      <c r="S28" s="3293"/>
      <c r="T28" s="3304">
        <f>IF(ISERROR((T26*T27)),0,(T26*T27))</f>
        <v>81787786.600000009</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1" t="s">
        <v>555</v>
      </c>
      <c r="C29" s="3292"/>
      <c r="D29" s="3292"/>
      <c r="E29" s="3292"/>
      <c r="F29" s="3292"/>
      <c r="G29" s="3292"/>
      <c r="H29" s="3292"/>
      <c r="I29" s="3292"/>
      <c r="J29" s="3292"/>
      <c r="K29" s="3292"/>
      <c r="L29" s="3292"/>
      <c r="M29" s="3292"/>
      <c r="N29" s="3292"/>
      <c r="O29" s="3292"/>
      <c r="P29" s="3292"/>
      <c r="Q29" s="3292"/>
      <c r="R29" s="3292"/>
      <c r="S29" s="3293"/>
      <c r="T29" s="3286">
        <f>T28+Y28+AD28+AI28</f>
        <v>81787786.600000009</v>
      </c>
      <c r="U29" s="3287"/>
      <c r="V29" s="3287"/>
      <c r="W29" s="3287"/>
      <c r="X29" s="3287"/>
      <c r="Y29" s="3287"/>
      <c r="Z29" s="3287"/>
      <c r="AA29" s="3287"/>
      <c r="AB29" s="3287"/>
      <c r="AC29" s="3287"/>
      <c r="AD29" s="3287"/>
      <c r="AE29" s="3287"/>
      <c r="AF29" s="3287"/>
      <c r="AG29" s="3287"/>
      <c r="AH29" s="3287"/>
      <c r="AI29" s="3287"/>
      <c r="AJ29" s="3287"/>
      <c r="AK29" s="3287"/>
      <c r="AL29" s="3287"/>
      <c r="AM29" s="328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7" t="s">
        <v>1494</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7" t="s">
        <v>1493</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3" t="s">
        <v>1342</v>
      </c>
      <c r="Z35" s="3323"/>
      <c r="AA35" s="3323"/>
      <c r="AB35" s="3323"/>
      <c r="AC35" s="3323"/>
      <c r="AD35" s="3349" t="s">
        <v>379</v>
      </c>
      <c r="AE35" s="3349"/>
      <c r="AF35" s="3349"/>
      <c r="AG35" s="3349"/>
      <c r="AH35" s="334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3"/>
      <c r="Z36" s="3323"/>
      <c r="AA36" s="3323"/>
      <c r="AB36" s="3323"/>
      <c r="AC36" s="3323"/>
      <c r="AD36" s="3349"/>
      <c r="AE36" s="3349"/>
      <c r="AF36" s="3349"/>
      <c r="AG36" s="3349"/>
      <c r="AH36" s="334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3"/>
      <c r="Z37" s="3323"/>
      <c r="AA37" s="3323"/>
      <c r="AB37" s="3323"/>
      <c r="AC37" s="3323"/>
      <c r="AD37" s="3349"/>
      <c r="AE37" s="3349"/>
      <c r="AF37" s="3349"/>
      <c r="AG37" s="3349"/>
      <c r="AH37" s="334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81787786.600000009</v>
      </c>
      <c r="Z38" s="3285"/>
      <c r="AA38" s="3285"/>
      <c r="AB38" s="3285"/>
      <c r="AC38" s="3285"/>
      <c r="AD38" s="3285">
        <f>IF(T24&gt;=(T23+Y23+AD23+AI23),AD28+AI28,0)</f>
        <v>0</v>
      </c>
      <c r="AE38" s="3285"/>
      <c r="AF38" s="3285"/>
      <c r="AG38" s="3285"/>
      <c r="AH38" s="3285"/>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1" t="s">
        <v>2112</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3271511</v>
      </c>
      <c r="Z40" s="3285"/>
      <c r="AA40" s="3285"/>
      <c r="AB40" s="3285"/>
      <c r="AC40" s="3285"/>
      <c r="AD40" s="3284">
        <f>ROUND(AD38*AD39,0)</f>
        <v>0</v>
      </c>
      <c r="AE40" s="3285"/>
      <c r="AF40" s="3285"/>
      <c r="AG40" s="3285"/>
      <c r="AH40" s="3285"/>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3271511</v>
      </c>
      <c r="Z41" s="3307"/>
      <c r="AA41" s="3307"/>
      <c r="AB41" s="3307"/>
      <c r="AC41" s="3307"/>
      <c r="AD41" s="3307"/>
      <c r="AE41" s="3307"/>
      <c r="AF41" s="3307"/>
      <c r="AG41" s="3307"/>
      <c r="AH41" s="330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9" t="s">
        <v>1507</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9">
        <f>'Sources and Uses Budget'!B105-'Sources and Uses Budget'!B15</f>
        <v>67776784</v>
      </c>
      <c r="AC47" s="3310"/>
      <c r="AD47" s="3310"/>
      <c r="AE47" s="3310"/>
      <c r="AF47" s="331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9">
        <f>Application!AO649-MIN('Sources and Uses Budget'!B15,Application!AG394)</f>
        <v>36195287</v>
      </c>
      <c r="AC48" s="3310"/>
      <c r="AD48" s="3310"/>
      <c r="AE48" s="3310"/>
      <c r="AF48" s="331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9">
        <f>AB47-AB48</f>
        <v>31581497</v>
      </c>
      <c r="AC49" s="3310"/>
      <c r="AD49" s="3310"/>
      <c r="AE49" s="3310"/>
      <c r="AF49" s="331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2">
        <v>0.90249999999999997</v>
      </c>
      <c r="AC50" s="3343"/>
      <c r="AD50" s="3343"/>
      <c r="AE50" s="3343"/>
      <c r="AF50" s="334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5" t="s">
        <v>2305</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9">
        <f>ROUND(IF(ISERROR((AB49/AB50)),0,(AB49/AB50)),0)</f>
        <v>34993348</v>
      </c>
      <c r="AC54" s="3310"/>
      <c r="AD54" s="3310"/>
      <c r="AE54" s="3310"/>
      <c r="AF54" s="331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9">
        <f>(AB54/10)</f>
        <v>3499334.8</v>
      </c>
      <c r="AC55" s="3310"/>
      <c r="AD55" s="3310"/>
      <c r="AE55" s="3310"/>
      <c r="AF55" s="331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6">
        <f>(IF((Y41&lt;AB55),Y41,AB55))</f>
        <v>3271511</v>
      </c>
      <c r="AC56" s="3347"/>
      <c r="AD56" s="3347"/>
      <c r="AE56" s="3347"/>
      <c r="AF56" s="3348"/>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9">
        <f>ROUND((10*AB56*AB50),0)</f>
        <v>29525387</v>
      </c>
      <c r="AC57" s="3310"/>
      <c r="AD57" s="3310"/>
      <c r="AE57" s="3310"/>
      <c r="AF57" s="331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7">
        <f>AB49-AB57</f>
        <v>2056110</v>
      </c>
      <c r="AC59" s="3337"/>
      <c r="AD59" s="3337"/>
      <c r="AE59" s="3337"/>
      <c r="AF59" s="3337"/>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1475</v>
      </c>
      <c r="D63" s="615"/>
      <c r="E63" s="615"/>
      <c r="F63" s="615"/>
      <c r="G63" s="615"/>
      <c r="H63" s="615"/>
      <c r="I63" s="615"/>
      <c r="J63" s="615"/>
      <c r="K63" s="615"/>
      <c r="L63" s="615"/>
      <c r="M63" s="615"/>
      <c r="N63" s="615"/>
      <c r="O63" s="615"/>
      <c r="P63" s="615"/>
      <c r="Q63" s="615"/>
      <c r="R63" s="615"/>
      <c r="S63" s="615"/>
      <c r="T63" s="615"/>
      <c r="U63" s="615"/>
      <c r="V63" s="615"/>
      <c r="W63" s="615"/>
      <c r="X63" s="615"/>
      <c r="Y63" s="3338" t="s">
        <v>1064</v>
      </c>
      <c r="Z63" s="3338"/>
      <c r="AA63" s="3338"/>
      <c r="AB63" s="3338"/>
      <c r="AC63" s="3338"/>
      <c r="AD63" s="3338" t="s">
        <v>379</v>
      </c>
      <c r="AE63" s="3338"/>
      <c r="AF63" s="3338"/>
      <c r="AG63" s="3338"/>
      <c r="AH63" s="3338"/>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1476</v>
      </c>
      <c r="E64" s="642"/>
      <c r="F64" s="642"/>
      <c r="G64" s="642"/>
      <c r="H64" s="642"/>
      <c r="I64" s="642"/>
      <c r="J64" s="642"/>
      <c r="K64" s="642"/>
      <c r="L64" s="643"/>
      <c r="M64" s="643"/>
      <c r="N64" s="643"/>
      <c r="O64" s="643"/>
      <c r="P64" s="643"/>
      <c r="Q64" s="643"/>
      <c r="R64" s="643"/>
      <c r="S64" s="643"/>
      <c r="T64" s="643"/>
      <c r="U64" s="643"/>
      <c r="V64" s="643"/>
      <c r="W64" s="643"/>
      <c r="X64" s="643"/>
      <c r="Y64" s="3339">
        <f>IF(Application!Z204="(select)",0,((T23*T27)+Y28))</f>
        <v>62913682</v>
      </c>
      <c r="Z64" s="3340"/>
      <c r="AA64" s="3340"/>
      <c r="AB64" s="3340"/>
      <c r="AC64" s="3341"/>
      <c r="AD64" s="3339">
        <f>IF(AND(Application!AP204="yes",Application!M357="yes"),AD28+AI28,0)</f>
        <v>0</v>
      </c>
      <c r="AE64" s="3340"/>
      <c r="AF64" s="3340"/>
      <c r="AG64" s="3340"/>
      <c r="AH64" s="3341"/>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2303</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2304</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1477</v>
      </c>
      <c r="E68" s="615"/>
      <c r="F68" s="615"/>
      <c r="G68" s="615"/>
      <c r="H68" s="615"/>
      <c r="I68" s="615"/>
      <c r="J68" s="615"/>
      <c r="K68" s="615"/>
      <c r="L68" s="615"/>
      <c r="M68" s="615"/>
      <c r="N68" s="615"/>
      <c r="O68" s="615"/>
      <c r="P68" s="615"/>
      <c r="Q68" s="615"/>
      <c r="R68" s="615"/>
      <c r="S68" s="615"/>
      <c r="T68" s="615"/>
      <c r="U68" s="615"/>
      <c r="V68" s="615"/>
      <c r="W68" s="615"/>
      <c r="X68" s="615"/>
      <c r="Y68" s="3357">
        <f>ROUND(Y64*Y67,0)</f>
        <v>18874105</v>
      </c>
      <c r="Z68" s="3358"/>
      <c r="AA68" s="3358"/>
      <c r="AB68" s="3358"/>
      <c r="AC68" s="3358"/>
      <c r="AD68" s="3357" t="str">
        <f>IF(Application!D210="At-Risk",AD64*AD67,"$0")</f>
        <v>$0</v>
      </c>
      <c r="AE68" s="3358"/>
      <c r="AF68" s="3358"/>
      <c r="AG68" s="3358"/>
      <c r="AH68" s="335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1478</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2">
        <v>0.77</v>
      </c>
      <c r="AC71" s="3343"/>
      <c r="AD71" s="3343"/>
      <c r="AE71" s="3343"/>
      <c r="AF71" s="334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9" t="s">
        <v>1479</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1480</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1">
        <f>ROUND(IF(ISERROR((AB59/AB71)),0,(AB59/AB71)),0)</f>
        <v>2670273</v>
      </c>
      <c r="AC76" s="3351"/>
      <c r="AD76" s="3351"/>
      <c r="AE76" s="3351"/>
      <c r="AF76" s="335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1481</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2">
        <f>IF((Y68+AD68&lt;AB76),Y68+AD68,AB76)</f>
        <v>2670273</v>
      </c>
      <c r="AC77" s="3353"/>
      <c r="AD77" s="3353"/>
      <c r="AE77" s="3353"/>
      <c r="AF77" s="335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1482</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5">
        <f>AB77*AB71</f>
        <v>2056110.21</v>
      </c>
      <c r="AC78" s="3355"/>
      <c r="AD78" s="3355"/>
      <c r="AE78" s="3355"/>
      <c r="AF78" s="335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7">
        <f>AB49-(AB57+AB78)</f>
        <v>-0.21000000089406967</v>
      </c>
      <c r="AC80" s="3337"/>
      <c r="AD80" s="3337"/>
      <c r="AE80" s="3337"/>
      <c r="AF80" s="3337"/>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2"/>
      <c r="C85" s="334"/>
      <c r="Z85" s="617"/>
      <c r="AA85" s="617"/>
      <c r="AB85" s="617"/>
      <c r="AC85" s="617"/>
      <c r="AD85" s="617"/>
      <c r="AE85" s="617"/>
      <c r="AF85" s="617"/>
      <c r="AG85" s="617"/>
      <c r="AH85" s="617"/>
    </row>
    <row r="86" spans="1:98" ht="12.75">
      <c r="D86" s="334"/>
      <c r="Z86" s="617"/>
      <c r="AA86" s="617"/>
      <c r="AB86" s="3290"/>
      <c r="AC86" s="3290"/>
      <c r="AD86" s="3290"/>
      <c r="AE86" s="3290"/>
      <c r="AF86" s="3290"/>
      <c r="AG86" s="617"/>
      <c r="AH86" s="617"/>
    </row>
    <row r="87" spans="1:98" ht="13.5" thickBot="1">
      <c r="D87" s="334"/>
      <c r="Z87" s="617"/>
      <c r="AA87" s="617"/>
      <c r="AB87" s="3288"/>
      <c r="AC87" s="3288"/>
      <c r="AD87" s="3288"/>
      <c r="AE87" s="3288"/>
      <c r="AF87" s="328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8" zoomScaleNormal="100" zoomScaleSheetLayoutView="100" workbookViewId="0">
      <selection activeCell="A71" sqref="A7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2601360</v>
      </c>
      <c r="G4" s="354">
        <f>E4*$C$4</f>
        <v>2666394</v>
      </c>
      <c r="I4" s="354">
        <f>G4*$C$4</f>
        <v>2733053.8499999996</v>
      </c>
      <c r="K4" s="354">
        <f>I4*$C$4</f>
        <v>2801380.1962499996</v>
      </c>
      <c r="M4" s="354">
        <f>K4*$C$4</f>
        <v>2871414.7011562493</v>
      </c>
      <c r="O4" s="354">
        <f>M4*$C$4</f>
        <v>2943200.0686851554</v>
      </c>
      <c r="Q4" s="354">
        <f>O4*$C$4</f>
        <v>3016780.0704022842</v>
      </c>
      <c r="S4" s="354">
        <f>Q4*$C$4</f>
        <v>3092199.5721623409</v>
      </c>
      <c r="U4" s="354">
        <f>S4*$C$4</f>
        <v>3169504.5614663991</v>
      </c>
      <c r="W4" s="354">
        <f>U4*$C$4</f>
        <v>3248742.1755030588</v>
      </c>
      <c r="Y4" s="354">
        <f>W4*$C$4</f>
        <v>3329960.7298906352</v>
      </c>
      <c r="AA4" s="354">
        <f>Y4*$C$4</f>
        <v>3413209.7481379006</v>
      </c>
      <c r="AC4" s="354">
        <f>AA4*$C$4</f>
        <v>3498539.9918413479</v>
      </c>
      <c r="AE4" s="354">
        <f>AC4*$C$4</f>
        <v>3586003.4916373813</v>
      </c>
      <c r="AG4" s="354">
        <f>AE4*$C$4</f>
        <v>3675653.5789283155</v>
      </c>
    </row>
    <row r="5" spans="1:34" s="339" customFormat="1" ht="14.25">
      <c r="B5" s="339" t="s">
        <v>900</v>
      </c>
      <c r="C5" s="375">
        <f>IF(Application!$D$210="Special Needs",0.1,0.05)</f>
        <v>0.05</v>
      </c>
      <c r="E5" s="356">
        <f>-E4*$C$5</f>
        <v>-130068</v>
      </c>
      <c r="F5" s="356"/>
      <c r="G5" s="356">
        <f>-G4*$C$5</f>
        <v>-133319.70000000001</v>
      </c>
      <c r="H5" s="356"/>
      <c r="I5" s="356">
        <f>-I4*$C$5</f>
        <v>-136652.69249999998</v>
      </c>
      <c r="J5" s="356"/>
      <c r="K5" s="356">
        <f>-K4*$C$5</f>
        <v>-140069.00981249998</v>
      </c>
      <c r="L5" s="356"/>
      <c r="M5" s="356">
        <f>-M4*$C$5</f>
        <v>-143570.73505781248</v>
      </c>
      <c r="N5" s="356"/>
      <c r="O5" s="356">
        <f>-O4*$C$5</f>
        <v>-147160.00343425779</v>
      </c>
      <c r="P5" s="356"/>
      <c r="Q5" s="356">
        <f>-Q4*$C$5</f>
        <v>-150839.0035201142</v>
      </c>
      <c r="R5" s="356"/>
      <c r="S5" s="356">
        <f>-S4*$C$5</f>
        <v>-154609.97860811706</v>
      </c>
      <c r="T5" s="356"/>
      <c r="U5" s="356">
        <f>-U4*$C$5</f>
        <v>-158475.22807331997</v>
      </c>
      <c r="V5" s="356"/>
      <c r="W5" s="356">
        <f>-W4*$C$5</f>
        <v>-162437.10877515294</v>
      </c>
      <c r="X5" s="356"/>
      <c r="Y5" s="356">
        <f>-Y4*$C$5</f>
        <v>-166498.03649453179</v>
      </c>
      <c r="Z5" s="356"/>
      <c r="AA5" s="356">
        <f>-AA4*$C$5</f>
        <v>-170660.48740689503</v>
      </c>
      <c r="AB5" s="356"/>
      <c r="AC5" s="356">
        <f>-AC4*$C$5</f>
        <v>-174926.99959206741</v>
      </c>
      <c r="AD5" s="356"/>
      <c r="AE5" s="356">
        <f>-AE4*$C$5</f>
        <v>-179300.17458186907</v>
      </c>
      <c r="AF5" s="356"/>
      <c r="AG5" s="356">
        <f>-AG4*$C$5</f>
        <v>-183782.67894641578</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62249</v>
      </c>
      <c r="F8" s="357"/>
      <c r="G8" s="357">
        <f>E8*$C$8</f>
        <v>63805.224999999991</v>
      </c>
      <c r="H8" s="357"/>
      <c r="I8" s="357">
        <f>G8*$C$8</f>
        <v>65400.355624999982</v>
      </c>
      <c r="J8" s="357"/>
      <c r="K8" s="357">
        <f>I8*$C$8</f>
        <v>67035.364515624969</v>
      </c>
      <c r="L8" s="357"/>
      <c r="M8" s="357">
        <f>K8*$C$8</f>
        <v>68711.24862851559</v>
      </c>
      <c r="N8" s="357"/>
      <c r="O8" s="357">
        <f>M8*$C$8</f>
        <v>70429.029844228469</v>
      </c>
      <c r="P8" s="357"/>
      <c r="Q8" s="357">
        <f>O8*$C$8</f>
        <v>72189.755590334171</v>
      </c>
      <c r="R8" s="357"/>
      <c r="S8" s="357">
        <f>Q8*$C$8</f>
        <v>73994.49948009252</v>
      </c>
      <c r="T8" s="357"/>
      <c r="U8" s="357">
        <f>S8*$C$8</f>
        <v>75844.361967094825</v>
      </c>
      <c r="V8" s="357"/>
      <c r="W8" s="357">
        <f>U8*$C$8</f>
        <v>77740.471016272189</v>
      </c>
      <c r="X8" s="357"/>
      <c r="Y8" s="357">
        <f>W8*$C$8</f>
        <v>79683.982791678995</v>
      </c>
      <c r="Z8" s="357"/>
      <c r="AA8" s="357">
        <f>Y8*$C$8</f>
        <v>81676.082361470966</v>
      </c>
      <c r="AB8" s="357"/>
      <c r="AC8" s="357">
        <f>AA8*$C$8</f>
        <v>83717.984420507739</v>
      </c>
      <c r="AD8" s="357"/>
      <c r="AE8" s="357">
        <f>AC8*$C$8</f>
        <v>85810.934031020428</v>
      </c>
      <c r="AF8" s="357"/>
      <c r="AG8" s="357">
        <f>AE8*$C$8</f>
        <v>87956.207381795932</v>
      </c>
    </row>
    <row r="9" spans="1:34" s="339" customFormat="1" ht="14.25">
      <c r="B9" s="339" t="s">
        <v>900</v>
      </c>
      <c r="C9" s="375">
        <f>IF(Application!$D$210="Special Needs",0.1,0.05)</f>
        <v>0.05</v>
      </c>
      <c r="E9" s="373">
        <f>-E8*$C$9</f>
        <v>-3112.4500000000003</v>
      </c>
      <c r="F9" s="356"/>
      <c r="G9" s="373">
        <f>-G8*$C$9</f>
        <v>-3190.2612499999996</v>
      </c>
      <c r="H9" s="356"/>
      <c r="I9" s="373">
        <f>-I8*$C$9</f>
        <v>-3270.0177812499992</v>
      </c>
      <c r="J9" s="356"/>
      <c r="K9" s="373">
        <f>-K8*$C$9</f>
        <v>-3351.7682257812485</v>
      </c>
      <c r="L9" s="356"/>
      <c r="M9" s="373">
        <f>-M8*$C$9</f>
        <v>-3435.5624314257798</v>
      </c>
      <c r="N9" s="356"/>
      <c r="O9" s="373">
        <f>-O8*$C$9</f>
        <v>-3521.4514922114236</v>
      </c>
      <c r="P9" s="356"/>
      <c r="Q9" s="373">
        <f>-Q8*$C$9</f>
        <v>-3609.4877795167085</v>
      </c>
      <c r="R9" s="356"/>
      <c r="S9" s="373">
        <f>-S8*$C$9</f>
        <v>-3699.7249740046263</v>
      </c>
      <c r="T9" s="356"/>
      <c r="U9" s="373">
        <f>-U8*$C$9</f>
        <v>-3792.2180983547414</v>
      </c>
      <c r="V9" s="356"/>
      <c r="W9" s="373">
        <f>-W8*$C$9</f>
        <v>-3887.0235508136097</v>
      </c>
      <c r="X9" s="356"/>
      <c r="Y9" s="373">
        <f>-Y8*$C$9</f>
        <v>-3984.19913958395</v>
      </c>
      <c r="Z9" s="356"/>
      <c r="AA9" s="373">
        <f>-AA8*$C$9</f>
        <v>-4083.8041180735486</v>
      </c>
      <c r="AB9" s="356"/>
      <c r="AC9" s="373">
        <f>-AC8*$C$9</f>
        <v>-4185.8992210253873</v>
      </c>
      <c r="AD9" s="356"/>
      <c r="AE9" s="373">
        <f>-AE8*$C$9</f>
        <v>-4290.5467015510212</v>
      </c>
      <c r="AF9" s="356"/>
      <c r="AG9" s="373">
        <f>-AG8*$C$9</f>
        <v>-4397.8103690897969</v>
      </c>
    </row>
    <row r="10" spans="1:34" s="358" customFormat="1" ht="15">
      <c r="A10" s="358" t="s">
        <v>921</v>
      </c>
      <c r="C10" s="349"/>
      <c r="E10" s="358">
        <f>SUM(E4:E9)</f>
        <v>2530428.5499999998</v>
      </c>
      <c r="G10" s="358">
        <f>SUM(G4:G9)</f>
        <v>2593689.2637499999</v>
      </c>
      <c r="I10" s="358">
        <f>SUM(I4:I9)</f>
        <v>2658531.4953437494</v>
      </c>
      <c r="K10" s="358">
        <f>SUM(K4:K9)</f>
        <v>2724994.7827273435</v>
      </c>
      <c r="M10" s="358">
        <f>SUM(M4:M9)</f>
        <v>2793119.6522955266</v>
      </c>
      <c r="O10" s="358">
        <f>SUM(O4:O9)</f>
        <v>2862947.6436029151</v>
      </c>
      <c r="Q10" s="358">
        <f>SUM(Q4:Q9)</f>
        <v>2934521.3346929871</v>
      </c>
      <c r="S10" s="358">
        <f>SUM(S4:S9)</f>
        <v>3007884.3680603118</v>
      </c>
      <c r="U10" s="358">
        <f>SUM(U4:U9)</f>
        <v>3083081.4772618194</v>
      </c>
      <c r="W10" s="358">
        <f>SUM(W4:W9)</f>
        <v>3160158.5141933644</v>
      </c>
      <c r="Y10" s="358">
        <f>SUM(Y4:Y9)</f>
        <v>3239162.4770481987</v>
      </c>
      <c r="AA10" s="358">
        <f>SUM(AA4:AA9)</f>
        <v>3320141.5389744029</v>
      </c>
      <c r="AC10" s="358">
        <f>SUM(AC4:AC9)</f>
        <v>3403145.077448763</v>
      </c>
      <c r="AE10" s="358">
        <f>SUM(AE4:AE9)</f>
        <v>3488223.7043849817</v>
      </c>
      <c r="AG10" s="358">
        <f>SUM(AG4:AG9)</f>
        <v>3575429.296994606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63244</v>
      </c>
      <c r="G14" s="354">
        <f>E14*$C$13</f>
        <v>65457.539999999994</v>
      </c>
      <c r="I14" s="354">
        <f>G14*$C$13</f>
        <v>67748.553899999984</v>
      </c>
      <c r="K14" s="354">
        <f>I14*$C$13</f>
        <v>70119.753286499981</v>
      </c>
      <c r="M14" s="354">
        <f>K14*$C$13</f>
        <v>72573.944651527476</v>
      </c>
      <c r="O14" s="354">
        <f>M14*$C$13</f>
        <v>75114.032714330926</v>
      </c>
      <c r="Q14" s="354">
        <f>O14*$C$13</f>
        <v>77743.023859332505</v>
      </c>
      <c r="S14" s="354">
        <f>Q14*$C$13</f>
        <v>80464.029694409139</v>
      </c>
      <c r="U14" s="354">
        <f>S14*$C$13</f>
        <v>83280.270733713449</v>
      </c>
      <c r="W14" s="354">
        <f>U14*$C$13</f>
        <v>86195.080209393418</v>
      </c>
      <c r="Y14" s="354">
        <f>W14*$C$13</f>
        <v>89211.908016722184</v>
      </c>
      <c r="AA14" s="354">
        <f>Y14*$C$13</f>
        <v>92334.324797307447</v>
      </c>
      <c r="AC14" s="354">
        <f>AA14*$C$13</f>
        <v>95566.026165213203</v>
      </c>
      <c r="AE14" s="354">
        <f>AC14*$C$13</f>
        <v>98910.837080995654</v>
      </c>
      <c r="AG14" s="354">
        <f>AE14*$C$13</f>
        <v>102372.71637883049</v>
      </c>
    </row>
    <row r="15" spans="1:34" s="339" customFormat="1" ht="14.25">
      <c r="A15" s="339" t="s">
        <v>353</v>
      </c>
      <c r="C15" s="368"/>
      <c r="E15" s="357">
        <f>Application!W847</f>
        <v>106544</v>
      </c>
      <c r="F15" s="357"/>
      <c r="G15" s="357">
        <f t="shared" ref="G15:AG20" si="0">E15*$C$13</f>
        <v>110273.04</v>
      </c>
      <c r="H15" s="357"/>
      <c r="I15" s="357">
        <f t="shared" si="0"/>
        <v>114132.59639999998</v>
      </c>
      <c r="J15" s="357"/>
      <c r="K15" s="357">
        <f t="shared" si="0"/>
        <v>118127.23727399997</v>
      </c>
      <c r="L15" s="357"/>
      <c r="M15" s="357">
        <f t="shared" si="0"/>
        <v>122261.69057858996</v>
      </c>
      <c r="N15" s="357"/>
      <c r="O15" s="357">
        <f t="shared" si="0"/>
        <v>126540.8497488406</v>
      </c>
      <c r="P15" s="357"/>
      <c r="Q15" s="357">
        <f t="shared" si="0"/>
        <v>130969.77949005002</v>
      </c>
      <c r="R15" s="357"/>
      <c r="S15" s="357">
        <f t="shared" si="0"/>
        <v>135553.72177220177</v>
      </c>
      <c r="T15" s="357"/>
      <c r="U15" s="357">
        <f t="shared" si="0"/>
        <v>140298.10203422882</v>
      </c>
      <c r="V15" s="357"/>
      <c r="W15" s="357">
        <f t="shared" si="0"/>
        <v>145208.53560542682</v>
      </c>
      <c r="X15" s="357"/>
      <c r="Y15" s="357">
        <f t="shared" si="0"/>
        <v>150290.83435161674</v>
      </c>
      <c r="Z15" s="357"/>
      <c r="AA15" s="357">
        <f t="shared" si="0"/>
        <v>155551.01355392332</v>
      </c>
      <c r="AB15" s="357"/>
      <c r="AC15" s="357">
        <f t="shared" si="0"/>
        <v>160995.29902831063</v>
      </c>
      <c r="AD15" s="357"/>
      <c r="AE15" s="357">
        <f t="shared" si="0"/>
        <v>166630.13449430148</v>
      </c>
      <c r="AF15" s="357"/>
      <c r="AG15" s="357">
        <f t="shared" si="0"/>
        <v>172462.18920160201</v>
      </c>
    </row>
    <row r="16" spans="1:34" s="339" customFormat="1" ht="14.25">
      <c r="A16" s="339" t="s">
        <v>593</v>
      </c>
      <c r="C16" s="368"/>
      <c r="E16" s="357">
        <f>Application!W853</f>
        <v>245798</v>
      </c>
      <c r="F16" s="357"/>
      <c r="G16" s="357">
        <f t="shared" si="0"/>
        <v>254400.93</v>
      </c>
      <c r="H16" s="357"/>
      <c r="I16" s="357">
        <f t="shared" si="0"/>
        <v>263304.96255</v>
      </c>
      <c r="J16" s="357"/>
      <c r="K16" s="357">
        <f t="shared" si="0"/>
        <v>272520.63623924996</v>
      </c>
      <c r="L16" s="357"/>
      <c r="M16" s="357">
        <f t="shared" si="0"/>
        <v>282058.85850762366</v>
      </c>
      <c r="N16" s="357"/>
      <c r="O16" s="357">
        <f t="shared" si="0"/>
        <v>291930.9185553905</v>
      </c>
      <c r="P16" s="357"/>
      <c r="Q16" s="357">
        <f t="shared" si="0"/>
        <v>302148.50070482912</v>
      </c>
      <c r="R16" s="357"/>
      <c r="S16" s="357">
        <f t="shared" si="0"/>
        <v>312723.69822949811</v>
      </c>
      <c r="T16" s="357"/>
      <c r="U16" s="357">
        <f t="shared" si="0"/>
        <v>323669.02766753052</v>
      </c>
      <c r="V16" s="357"/>
      <c r="W16" s="357">
        <f t="shared" si="0"/>
        <v>334997.44363589404</v>
      </c>
      <c r="X16" s="357"/>
      <c r="Y16" s="357">
        <f t="shared" si="0"/>
        <v>346722.3541631503</v>
      </c>
      <c r="Z16" s="357"/>
      <c r="AA16" s="357">
        <f t="shared" si="0"/>
        <v>358857.63655886054</v>
      </c>
      <c r="AB16" s="357"/>
      <c r="AC16" s="357">
        <f t="shared" si="0"/>
        <v>371417.65383842064</v>
      </c>
      <c r="AD16" s="357"/>
      <c r="AE16" s="357">
        <f t="shared" si="0"/>
        <v>384417.27172276535</v>
      </c>
      <c r="AF16" s="357"/>
      <c r="AG16" s="357">
        <f t="shared" si="0"/>
        <v>397871.87623306212</v>
      </c>
    </row>
    <row r="17" spans="1:33" s="339" customFormat="1" ht="14.25">
      <c r="A17" s="339" t="s">
        <v>904</v>
      </c>
      <c r="C17" s="368"/>
      <c r="E17" s="357">
        <f>Application!W860</f>
        <v>247156</v>
      </c>
      <c r="F17" s="357"/>
      <c r="G17" s="357">
        <f t="shared" si="0"/>
        <v>255806.46</v>
      </c>
      <c r="H17" s="357"/>
      <c r="I17" s="357">
        <f t="shared" si="0"/>
        <v>264759.68609999999</v>
      </c>
      <c r="J17" s="357"/>
      <c r="K17" s="357">
        <f t="shared" si="0"/>
        <v>274026.27511349996</v>
      </c>
      <c r="L17" s="357"/>
      <c r="M17" s="357">
        <f t="shared" si="0"/>
        <v>283617.19474247243</v>
      </c>
      <c r="N17" s="357"/>
      <c r="O17" s="357">
        <f t="shared" si="0"/>
        <v>293543.79655845894</v>
      </c>
      <c r="P17" s="357"/>
      <c r="Q17" s="357">
        <f t="shared" si="0"/>
        <v>303817.82943800499</v>
      </c>
      <c r="R17" s="357"/>
      <c r="S17" s="357">
        <f t="shared" si="0"/>
        <v>314451.45346833515</v>
      </c>
      <c r="T17" s="357"/>
      <c r="U17" s="357">
        <f t="shared" si="0"/>
        <v>325457.25433972687</v>
      </c>
      <c r="V17" s="357"/>
      <c r="W17" s="357">
        <f t="shared" si="0"/>
        <v>336848.2582416173</v>
      </c>
      <c r="X17" s="357"/>
      <c r="Y17" s="357">
        <f t="shared" si="0"/>
        <v>348637.94728007389</v>
      </c>
      <c r="Z17" s="357"/>
      <c r="AA17" s="357">
        <f t="shared" si="0"/>
        <v>360840.27543487644</v>
      </c>
      <c r="AB17" s="357"/>
      <c r="AC17" s="357">
        <f t="shared" si="0"/>
        <v>373469.68507509708</v>
      </c>
      <c r="AD17" s="357"/>
      <c r="AE17" s="357">
        <f t="shared" si="0"/>
        <v>386541.12405272544</v>
      </c>
      <c r="AF17" s="357"/>
      <c r="AG17" s="357">
        <f t="shared" si="0"/>
        <v>400070.06339457078</v>
      </c>
    </row>
    <row r="18" spans="1:33" s="339" customFormat="1" ht="14.25">
      <c r="A18" s="339" t="s">
        <v>160</v>
      </c>
      <c r="C18" s="368"/>
      <c r="E18" s="357">
        <f>Application!W861</f>
        <v>71198</v>
      </c>
      <c r="F18" s="357"/>
      <c r="G18" s="357">
        <f t="shared" si="0"/>
        <v>73689.929999999993</v>
      </c>
      <c r="H18" s="357"/>
      <c r="I18" s="357">
        <f t="shared" si="0"/>
        <v>76269.077549999987</v>
      </c>
      <c r="J18" s="357"/>
      <c r="K18" s="357">
        <f t="shared" si="0"/>
        <v>78938.495264249985</v>
      </c>
      <c r="L18" s="357"/>
      <c r="M18" s="357">
        <f t="shared" si="0"/>
        <v>81701.342598498726</v>
      </c>
      <c r="N18" s="357"/>
      <c r="O18" s="357">
        <f t="shared" si="0"/>
        <v>84560.889589446175</v>
      </c>
      <c r="P18" s="357"/>
      <c r="Q18" s="357">
        <f t="shared" si="0"/>
        <v>87520.520725076785</v>
      </c>
      <c r="R18" s="357"/>
      <c r="S18" s="357">
        <f t="shared" si="0"/>
        <v>90583.73895045447</v>
      </c>
      <c r="T18" s="357"/>
      <c r="U18" s="357">
        <f t="shared" si="0"/>
        <v>93754.169813720364</v>
      </c>
      <c r="V18" s="357"/>
      <c r="W18" s="357">
        <f t="shared" si="0"/>
        <v>97035.565757200573</v>
      </c>
      <c r="X18" s="357"/>
      <c r="Y18" s="357">
        <f t="shared" si="0"/>
        <v>100431.81055870258</v>
      </c>
      <c r="Z18" s="357"/>
      <c r="AA18" s="357">
        <f t="shared" si="0"/>
        <v>103946.92392825717</v>
      </c>
      <c r="AB18" s="357"/>
      <c r="AC18" s="357">
        <f t="shared" si="0"/>
        <v>107585.06626574615</v>
      </c>
      <c r="AD18" s="357"/>
      <c r="AE18" s="357">
        <f t="shared" si="0"/>
        <v>111350.54358504726</v>
      </c>
      <c r="AF18" s="357"/>
      <c r="AG18" s="357">
        <f t="shared" si="0"/>
        <v>115247.81261052391</v>
      </c>
    </row>
    <row r="19" spans="1:33" s="339" customFormat="1" ht="14.25">
      <c r="A19" s="339" t="s">
        <v>408</v>
      </c>
      <c r="C19" s="368"/>
      <c r="E19" s="357">
        <f>Application!W870</f>
        <v>91762</v>
      </c>
      <c r="F19" s="357"/>
      <c r="G19" s="357">
        <f t="shared" si="0"/>
        <v>94973.67</v>
      </c>
      <c r="H19" s="357"/>
      <c r="I19" s="357">
        <f t="shared" si="0"/>
        <v>98297.748449999985</v>
      </c>
      <c r="J19" s="357"/>
      <c r="K19" s="357">
        <f t="shared" si="0"/>
        <v>101738.16964574998</v>
      </c>
      <c r="L19" s="357"/>
      <c r="M19" s="357">
        <f t="shared" si="0"/>
        <v>105299.00558335122</v>
      </c>
      <c r="N19" s="357"/>
      <c r="O19" s="357">
        <f t="shared" si="0"/>
        <v>108984.4707787685</v>
      </c>
      <c r="P19" s="357"/>
      <c r="Q19" s="357">
        <f t="shared" si="0"/>
        <v>112798.92725602539</v>
      </c>
      <c r="R19" s="357"/>
      <c r="S19" s="357">
        <f t="shared" si="0"/>
        <v>116746.88970998627</v>
      </c>
      <c r="T19" s="357"/>
      <c r="U19" s="357">
        <f t="shared" si="0"/>
        <v>120833.03084983578</v>
      </c>
      <c r="V19" s="357"/>
      <c r="W19" s="357">
        <f t="shared" si="0"/>
        <v>125062.18692958001</v>
      </c>
      <c r="X19" s="357"/>
      <c r="Y19" s="357">
        <f t="shared" si="0"/>
        <v>129439.36347211531</v>
      </c>
      <c r="Z19" s="357"/>
      <c r="AA19" s="357">
        <f t="shared" si="0"/>
        <v>133969.74119363932</v>
      </c>
      <c r="AB19" s="357"/>
      <c r="AC19" s="357">
        <f t="shared" si="0"/>
        <v>138658.68213541669</v>
      </c>
      <c r="AD19" s="357"/>
      <c r="AE19" s="357">
        <f t="shared" si="0"/>
        <v>143511.73601015625</v>
      </c>
      <c r="AF19" s="357"/>
      <c r="AG19" s="357">
        <f t="shared" si="0"/>
        <v>148534.6467705117</v>
      </c>
    </row>
    <row r="20" spans="1:33" s="339" customFormat="1" ht="14.25">
      <c r="A20" s="361" t="s">
        <v>1040</v>
      </c>
      <c r="B20" s="361"/>
      <c r="C20" s="368"/>
      <c r="E20" s="367">
        <f>Application!W877</f>
        <v>36472</v>
      </c>
      <c r="F20" s="357"/>
      <c r="G20" s="367">
        <f t="shared" si="0"/>
        <v>37748.519999999997</v>
      </c>
      <c r="H20" s="357"/>
      <c r="I20" s="367">
        <f t="shared" si="0"/>
        <v>39069.718199999996</v>
      </c>
      <c r="J20" s="357"/>
      <c r="K20" s="367">
        <f t="shared" si="0"/>
        <v>40437.158336999993</v>
      </c>
      <c r="L20" s="357"/>
      <c r="M20" s="367">
        <f t="shared" si="0"/>
        <v>41852.458878794991</v>
      </c>
      <c r="N20" s="357"/>
      <c r="O20" s="367">
        <f t="shared" si="0"/>
        <v>43317.294939552812</v>
      </c>
      <c r="P20" s="357"/>
      <c r="Q20" s="367">
        <f t="shared" si="0"/>
        <v>44833.400262437157</v>
      </c>
      <c r="R20" s="357"/>
      <c r="S20" s="367">
        <f t="shared" si="0"/>
        <v>46402.569271622451</v>
      </c>
      <c r="T20" s="357"/>
      <c r="U20" s="367">
        <f t="shared" si="0"/>
        <v>48026.659196129236</v>
      </c>
      <c r="V20" s="357"/>
      <c r="W20" s="367">
        <f t="shared" si="0"/>
        <v>49707.592267993758</v>
      </c>
      <c r="X20" s="357"/>
      <c r="Y20" s="367">
        <f t="shared" si="0"/>
        <v>51447.357997373532</v>
      </c>
      <c r="Z20" s="357"/>
      <c r="AA20" s="367">
        <f t="shared" si="0"/>
        <v>53248.015527281605</v>
      </c>
      <c r="AB20" s="357"/>
      <c r="AC20" s="367">
        <f t="shared" si="0"/>
        <v>55111.696070736456</v>
      </c>
      <c r="AD20" s="357"/>
      <c r="AE20" s="367">
        <f t="shared" si="0"/>
        <v>57040.605433212229</v>
      </c>
      <c r="AF20" s="357"/>
      <c r="AG20" s="367">
        <f t="shared" si="0"/>
        <v>59037.026623374652</v>
      </c>
    </row>
    <row r="21" spans="1:33" s="358" customFormat="1" ht="15">
      <c r="A21" s="358" t="s">
        <v>905</v>
      </c>
      <c r="C21" s="368"/>
      <c r="E21" s="358">
        <f>SUM(E14:E20)</f>
        <v>862174</v>
      </c>
      <c r="G21" s="358">
        <f>SUM(G14:G20)</f>
        <v>892350.09</v>
      </c>
      <c r="I21" s="358">
        <f>SUM(I14:I20)</f>
        <v>923582.34314999997</v>
      </c>
      <c r="K21" s="358">
        <f>SUM(K14:K20)</f>
        <v>955907.72516024974</v>
      </c>
      <c r="M21" s="358">
        <f>SUM(M14:M20)</f>
        <v>989364.49554085848</v>
      </c>
      <c r="O21" s="358">
        <f>SUM(O14:O20)</f>
        <v>1023992.2528847884</v>
      </c>
      <c r="Q21" s="358">
        <f>SUM(Q14:Q20)</f>
        <v>1059831.9817357559</v>
      </c>
      <c r="S21" s="358">
        <f>SUM(S14:S20)</f>
        <v>1096926.1010965074</v>
      </c>
      <c r="U21" s="358">
        <f>SUM(U14:U20)</f>
        <v>1135318.5146348851</v>
      </c>
      <c r="W21" s="358">
        <f>SUM(W14:W20)</f>
        <v>1175054.662647106</v>
      </c>
      <c r="Y21" s="358">
        <f>SUM(Y14:Y20)</f>
        <v>1216181.5758397544</v>
      </c>
      <c r="AA21" s="358">
        <f>SUM(AA14:AA20)</f>
        <v>1258747.930994146</v>
      </c>
      <c r="AC21" s="358">
        <f>SUM(AC14:AC20)</f>
        <v>1302804.1085789409</v>
      </c>
      <c r="AE21" s="358">
        <f>SUM(AE14:AE20)</f>
        <v>1348402.2523792037</v>
      </c>
      <c r="AG21" s="358">
        <f>SUM(AG14:AG20)</f>
        <v>1395596.3312124757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2100</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20016</v>
      </c>
      <c r="F26" s="357"/>
      <c r="G26" s="357">
        <f>E26*$C$26</f>
        <v>20716.559999999998</v>
      </c>
      <c r="H26" s="357"/>
      <c r="I26" s="357">
        <f>G26*$C$26</f>
        <v>21441.639599999995</v>
      </c>
      <c r="J26" s="357"/>
      <c r="K26" s="357">
        <f>I26*$C$26</f>
        <v>22192.096985999993</v>
      </c>
      <c r="L26" s="357"/>
      <c r="M26" s="357">
        <f>K26*$C$26</f>
        <v>22968.820380509991</v>
      </c>
      <c r="N26" s="357"/>
      <c r="O26" s="357">
        <f>M26*$C$26</f>
        <v>23772.729093827838</v>
      </c>
      <c r="P26" s="357"/>
      <c r="Q26" s="357">
        <f>O26*$C$26</f>
        <v>24604.774612111811</v>
      </c>
      <c r="R26" s="357"/>
      <c r="S26" s="357">
        <f>Q26*$C$26</f>
        <v>25465.941723535721</v>
      </c>
      <c r="T26" s="357"/>
      <c r="U26" s="357">
        <f>S26*$C$26</f>
        <v>26357.249683859471</v>
      </c>
      <c r="V26" s="357"/>
      <c r="W26" s="357">
        <f>U26*$C$26</f>
        <v>27279.753422794551</v>
      </c>
      <c r="X26" s="357"/>
      <c r="Y26" s="357">
        <f>W26*$C$26</f>
        <v>28234.544792592358</v>
      </c>
      <c r="Z26" s="357"/>
      <c r="AA26" s="357">
        <f>Y26*$C$26</f>
        <v>29222.753860333087</v>
      </c>
      <c r="AB26" s="357"/>
      <c r="AC26" s="357">
        <f>AA26*$C$26</f>
        <v>30245.550245444741</v>
      </c>
      <c r="AD26" s="357"/>
      <c r="AE26" s="357">
        <f>AC26*$C$26</f>
        <v>31304.144504035306</v>
      </c>
      <c r="AF26" s="357"/>
      <c r="AG26" s="357">
        <f>AE26*$C$26</f>
        <v>32399.789561676538</v>
      </c>
    </row>
    <row r="27" spans="1:33" s="339" customFormat="1" ht="14.25">
      <c r="A27" s="339" t="s">
        <v>908</v>
      </c>
      <c r="C27" s="376"/>
      <c r="E27" s="357">
        <f>Application!AC887</f>
        <v>48500</v>
      </c>
      <c r="F27" s="357"/>
      <c r="G27" s="357">
        <f>$E$27</f>
        <v>48500</v>
      </c>
      <c r="H27" s="357"/>
      <c r="I27" s="357">
        <f>$E$27</f>
        <v>48500</v>
      </c>
      <c r="J27" s="357"/>
      <c r="K27" s="357">
        <f>$E$27</f>
        <v>48500</v>
      </c>
      <c r="L27" s="357"/>
      <c r="M27" s="357">
        <f>$E$27</f>
        <v>48500</v>
      </c>
      <c r="N27" s="357"/>
      <c r="O27" s="357">
        <f>$E$27</f>
        <v>48500</v>
      </c>
      <c r="P27" s="357"/>
      <c r="Q27" s="357">
        <f>$E$27</f>
        <v>48500</v>
      </c>
      <c r="R27" s="357"/>
      <c r="S27" s="357">
        <f>$E$27</f>
        <v>48500</v>
      </c>
      <c r="T27" s="357"/>
      <c r="U27" s="357">
        <f>$E$27</f>
        <v>48500</v>
      </c>
      <c r="V27" s="357"/>
      <c r="W27" s="357">
        <f>$E$27</f>
        <v>48500</v>
      </c>
      <c r="X27" s="357"/>
      <c r="Y27" s="357">
        <f>$E$27</f>
        <v>48500</v>
      </c>
      <c r="Z27" s="357"/>
      <c r="AA27" s="357">
        <f>$E$27</f>
        <v>48500</v>
      </c>
      <c r="AB27" s="357"/>
      <c r="AC27" s="357">
        <f>$E$27</f>
        <v>48500</v>
      </c>
      <c r="AD27" s="357"/>
      <c r="AE27" s="357">
        <f>$E$27</f>
        <v>48500</v>
      </c>
      <c r="AF27" s="357"/>
      <c r="AG27" s="357">
        <f>$E$27</f>
        <v>48500</v>
      </c>
    </row>
    <row r="28" spans="1:33" s="339" customFormat="1" ht="14.25">
      <c r="A28" s="339" t="s">
        <v>2098</v>
      </c>
      <c r="C28" s="374"/>
      <c r="E28" s="357">
        <f>Application!AC888</f>
        <v>12725</v>
      </c>
      <c r="F28" s="357"/>
      <c r="G28" s="357">
        <f>$E$28</f>
        <v>12725</v>
      </c>
      <c r="H28" s="357"/>
      <c r="I28" s="357">
        <f>$E$28</f>
        <v>12725</v>
      </c>
      <c r="J28" s="357"/>
      <c r="K28" s="357">
        <f>$E$28</f>
        <v>12725</v>
      </c>
      <c r="L28" s="357"/>
      <c r="M28" s="357">
        <f>$E$28</f>
        <v>12725</v>
      </c>
      <c r="N28" s="357"/>
      <c r="O28" s="357">
        <f>$E$28</f>
        <v>12725</v>
      </c>
      <c r="P28" s="357"/>
      <c r="Q28" s="357">
        <f>$E$28</f>
        <v>12725</v>
      </c>
      <c r="R28" s="357"/>
      <c r="S28" s="357">
        <f>$E$28</f>
        <v>12725</v>
      </c>
      <c r="T28" s="357"/>
      <c r="U28" s="357">
        <f>$E$28</f>
        <v>12725</v>
      </c>
      <c r="V28" s="357"/>
      <c r="W28" s="357">
        <f>$E$28</f>
        <v>12725</v>
      </c>
      <c r="X28" s="357"/>
      <c r="Y28" s="357">
        <f>$E$28</f>
        <v>12725</v>
      </c>
      <c r="Z28" s="357"/>
      <c r="AA28" s="357">
        <f>$E$28</f>
        <v>12725</v>
      </c>
      <c r="AB28" s="357"/>
      <c r="AC28" s="357">
        <f>$E$28</f>
        <v>12725</v>
      </c>
      <c r="AD28" s="357"/>
      <c r="AE28" s="357">
        <f>$E$28</f>
        <v>12725</v>
      </c>
      <c r="AF28" s="357"/>
      <c r="AG28" s="357">
        <f>$E$28</f>
        <v>12725</v>
      </c>
    </row>
    <row r="29" spans="1:33" s="339" customFormat="1" ht="14.25">
      <c r="A29" s="339" t="s">
        <v>906</v>
      </c>
      <c r="C29" s="374">
        <v>1.02</v>
      </c>
      <c r="E29" s="357">
        <f>Application!AC889</f>
        <v>75282</v>
      </c>
      <c r="F29" s="357"/>
      <c r="G29" s="357">
        <f>E29*$C$29</f>
        <v>76787.64</v>
      </c>
      <c r="H29" s="357"/>
      <c r="I29" s="357">
        <f>G29*$C$29</f>
        <v>78323.392800000001</v>
      </c>
      <c r="J29" s="357"/>
      <c r="K29" s="357">
        <f>I29*$C$29</f>
        <v>79889.860656000004</v>
      </c>
      <c r="L29" s="357"/>
      <c r="M29" s="357">
        <f>K29*$C$29</f>
        <v>81487.657869120012</v>
      </c>
      <c r="N29" s="357"/>
      <c r="O29" s="357">
        <f>M29*$C$29</f>
        <v>83117.411026502406</v>
      </c>
      <c r="P29" s="357"/>
      <c r="Q29" s="357">
        <f>O29*$C$29</f>
        <v>84779.75924703246</v>
      </c>
      <c r="R29" s="357"/>
      <c r="S29" s="357">
        <f>Q29*$C$29</f>
        <v>86475.354431973115</v>
      </c>
      <c r="T29" s="357"/>
      <c r="U29" s="357">
        <f>S29*$C$29</f>
        <v>88204.861520612583</v>
      </c>
      <c r="V29" s="357"/>
      <c r="W29" s="357">
        <f>U29*$C$29</f>
        <v>89968.958751024838</v>
      </c>
      <c r="X29" s="357"/>
      <c r="Y29" s="357">
        <f>W29*$C$29</f>
        <v>91768.337926045337</v>
      </c>
      <c r="Z29" s="357"/>
      <c r="AA29" s="357">
        <f>Y29*$C$29</f>
        <v>93603.704684566241</v>
      </c>
      <c r="AB29" s="357"/>
      <c r="AC29" s="357">
        <f>AA29*$C$29</f>
        <v>95475.778778257561</v>
      </c>
      <c r="AD29" s="357"/>
      <c r="AE29" s="357">
        <f>AC29*$C$29</f>
        <v>97385.294353822712</v>
      </c>
      <c r="AF29" s="357"/>
      <c r="AG29" s="357">
        <f>AE29*$C$29</f>
        <v>99333.000240899171</v>
      </c>
    </row>
    <row r="30" spans="1:33" s="339" customFormat="1" ht="14.25">
      <c r="A30" s="339" t="s">
        <v>2099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1018697</v>
      </c>
      <c r="G34" s="358">
        <f>SUM(G21:G32)</f>
        <v>1051079.2899999998</v>
      </c>
      <c r="I34" s="358">
        <f>SUM(I21:I32)</f>
        <v>1084572.37555</v>
      </c>
      <c r="K34" s="358">
        <f>SUM(K21:K32)</f>
        <v>1119214.6828022497</v>
      </c>
      <c r="M34" s="358">
        <f>SUM(M21:M32)</f>
        <v>1155045.9737904887</v>
      </c>
      <c r="O34" s="358">
        <f>SUM(O21:O32)</f>
        <v>1192107.3930051187</v>
      </c>
      <c r="Q34" s="358">
        <f>SUM(Q21:Q32)</f>
        <v>1230441.5155949001</v>
      </c>
      <c r="S34" s="358">
        <f>SUM(S21:S32)</f>
        <v>1270092.3972520162</v>
      </c>
      <c r="U34" s="358">
        <f>SUM(U21:U32)</f>
        <v>1311105.6258393573</v>
      </c>
      <c r="W34" s="358">
        <f>SUM(W21:W32)</f>
        <v>1353528.3748209255</v>
      </c>
      <c r="Y34" s="358">
        <f>SUM(Y21:Y32)</f>
        <v>1397409.458558392</v>
      </c>
      <c r="AA34" s="358">
        <f>SUM(AA21:AA32)</f>
        <v>1442799.3895390453</v>
      </c>
      <c r="AC34" s="358">
        <f>SUM(AC21:AC32)</f>
        <v>1489750.4376026432</v>
      </c>
      <c r="AE34" s="358">
        <f>SUM(AE21:AE32)</f>
        <v>1538316.6912370618</v>
      </c>
      <c r="AG34" s="358">
        <f>SUM(AG21:AG32)</f>
        <v>1588554.1210150514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1511731.5499999998</v>
      </c>
      <c r="G36" s="358">
        <f>G10-G34</f>
        <v>1542609.9737500001</v>
      </c>
      <c r="I36" s="358">
        <f>I10-I34</f>
        <v>1573959.1197937494</v>
      </c>
      <c r="K36" s="358">
        <f>K10-K34</f>
        <v>1605780.0999250938</v>
      </c>
      <c r="M36" s="358">
        <f>M10-M34</f>
        <v>1638073.6785050379</v>
      </c>
      <c r="O36" s="358">
        <f>O10-O34</f>
        <v>1670840.2505977964</v>
      </c>
      <c r="Q36" s="358">
        <f>Q10-Q34</f>
        <v>1704079.819098087</v>
      </c>
      <c r="S36" s="358">
        <f>S10-S34</f>
        <v>1737791.9708082955</v>
      </c>
      <c r="U36" s="358">
        <f>U10-U34</f>
        <v>1771975.8514224621</v>
      </c>
      <c r="W36" s="358">
        <f>W10-W34</f>
        <v>1806630.1393724389</v>
      </c>
      <c r="Y36" s="358">
        <f>Y10-Y34</f>
        <v>1841753.0184898067</v>
      </c>
      <c r="AA36" s="358">
        <f>AA10-AA34</f>
        <v>1877342.1494353577</v>
      </c>
      <c r="AC36" s="358">
        <f>AC10-AC34</f>
        <v>1913394.6398461198</v>
      </c>
      <c r="AE36" s="358">
        <f>AE10-AE34</f>
        <v>1949907.0131479199</v>
      </c>
      <c r="AG36" s="358">
        <f>AG10-AG34</f>
        <v>1986875.1759795547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Senior Mortgage Loan</v>
      </c>
      <c r="B39" s="361"/>
      <c r="C39" s="355"/>
      <c r="E39" s="357">
        <f>Application!AF637</f>
        <v>1315809</v>
      </c>
      <c r="F39" s="357"/>
      <c r="G39" s="357">
        <f>$E$39</f>
        <v>1315809</v>
      </c>
      <c r="H39" s="357"/>
      <c r="I39" s="357">
        <f>$E$39</f>
        <v>1315809</v>
      </c>
      <c r="J39" s="357"/>
      <c r="K39" s="357">
        <f>$E$39</f>
        <v>1315809</v>
      </c>
      <c r="L39" s="357"/>
      <c r="M39" s="357">
        <f>$E$39</f>
        <v>1315809</v>
      </c>
      <c r="N39" s="357"/>
      <c r="O39" s="357">
        <f>$E$39</f>
        <v>1315809</v>
      </c>
      <c r="P39" s="357"/>
      <c r="Q39" s="357">
        <f>$E$39</f>
        <v>1315809</v>
      </c>
      <c r="R39" s="357"/>
      <c r="S39" s="357">
        <f>$E$39</f>
        <v>1315809</v>
      </c>
      <c r="T39" s="357"/>
      <c r="U39" s="357">
        <f>$E$39</f>
        <v>1315809</v>
      </c>
      <c r="V39" s="357"/>
      <c r="W39" s="357">
        <f>$E$39</f>
        <v>1315809</v>
      </c>
      <c r="X39" s="357"/>
      <c r="Y39" s="357">
        <f>$E$39</f>
        <v>1315809</v>
      </c>
      <c r="Z39" s="357"/>
      <c r="AA39" s="357">
        <f>$E$39</f>
        <v>1315809</v>
      </c>
      <c r="AB39" s="357"/>
      <c r="AC39" s="357">
        <f>$E$39</f>
        <v>1315809</v>
      </c>
      <c r="AD39" s="357"/>
      <c r="AE39" s="357">
        <f>$E$39</f>
        <v>1315809</v>
      </c>
      <c r="AF39" s="357"/>
      <c r="AG39" s="357">
        <f>$E$39</f>
        <v>1315809</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1315809</v>
      </c>
      <c r="G42" s="358">
        <f>SUM(G39:G41)</f>
        <v>1315809</v>
      </c>
      <c r="I42" s="358">
        <f>SUM(I39:I41)</f>
        <v>1315809</v>
      </c>
      <c r="K42" s="358">
        <f>SUM(K39:K41)</f>
        <v>1315809</v>
      </c>
      <c r="M42" s="358">
        <f>SUM(M39:M41)</f>
        <v>1315809</v>
      </c>
      <c r="O42" s="358">
        <f>SUM(O39:O41)</f>
        <v>1315809</v>
      </c>
      <c r="Q42" s="358">
        <f>SUM(Q39:Q41)</f>
        <v>1315809</v>
      </c>
      <c r="S42" s="358">
        <f>SUM(S39:S41)</f>
        <v>1315809</v>
      </c>
      <c r="U42" s="358">
        <f>SUM(U39:U41)</f>
        <v>1315809</v>
      </c>
      <c r="W42" s="358">
        <f>SUM(W39:W41)</f>
        <v>1315809</v>
      </c>
      <c r="Y42" s="358">
        <f>SUM(Y39:Y41)</f>
        <v>1315809</v>
      </c>
      <c r="AA42" s="358">
        <f>SUM(AA39:AA41)</f>
        <v>1315809</v>
      </c>
      <c r="AC42" s="358">
        <f>SUM(AC39:AC41)</f>
        <v>1315809</v>
      </c>
      <c r="AE42" s="358">
        <f>SUM(AE39:AE41)</f>
        <v>1315809</v>
      </c>
      <c r="AG42" s="358">
        <f>SUM(AG39:AG41)</f>
        <v>1315809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195922.54999999981</v>
      </c>
      <c r="G44" s="358">
        <f>G36-G42</f>
        <v>226800.97375000012</v>
      </c>
      <c r="I44" s="358">
        <f>I36-I42</f>
        <v>258150.11979374941</v>
      </c>
      <c r="K44" s="358">
        <f>K36-K42</f>
        <v>289971.09992509382</v>
      </c>
      <c r="M44" s="358">
        <f>M36-M42</f>
        <v>322264.67850503791</v>
      </c>
      <c r="O44" s="358">
        <f>O36-O42</f>
        <v>355031.2505977964</v>
      </c>
      <c r="Q44" s="358">
        <f>Q36-Q42</f>
        <v>388270.81909808703</v>
      </c>
      <c r="S44" s="358">
        <f>S36-S42</f>
        <v>421982.97080829553</v>
      </c>
      <c r="U44" s="358">
        <f>U36-U42</f>
        <v>456166.85142246215</v>
      </c>
      <c r="W44" s="358">
        <f>W36-W42</f>
        <v>490821.13937243889</v>
      </c>
      <c r="Y44" s="358">
        <f>Y36-Y42</f>
        <v>525944.01848980668</v>
      </c>
      <c r="AA44" s="358">
        <f>AA36-AA42</f>
        <v>561533.14943535766</v>
      </c>
      <c r="AC44" s="358">
        <f>AC36-AC42</f>
        <v>597585.6398461198</v>
      </c>
      <c r="AE44" s="358">
        <f>AE36-AE42</f>
        <v>634098.0131479199</v>
      </c>
      <c r="AG44" s="358">
        <f>AG36-AG42</f>
        <v>671066.17597955465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7.3555296591954686E-2</v>
      </c>
      <c r="G46" s="362">
        <f>G44/(G4+G6+G8)</f>
        <v>8.3071217540910444E-2</v>
      </c>
      <c r="I46" s="362">
        <f>I44/(I4+I6+I8)</f>
        <v>9.2247398322566024E-2</v>
      </c>
      <c r="K46" s="362">
        <f>K44/(K4+K6+K8)</f>
        <v>0.10109103572415987</v>
      </c>
      <c r="M46" s="362">
        <f>M44/(M4+M6+M8)</f>
        <v>0.10960914056373321</v>
      </c>
      <c r="O46" s="362">
        <f>O44/(O4+O6+O8)</f>
        <v>0.11780854212319875</v>
      </c>
      <c r="Q46" s="362">
        <f>Q44/(Q4+Q6+Q8)</f>
        <v>0.12569589247228047</v>
      </c>
      <c r="S46" s="362">
        <f>S44/(S4+S6+S8)</f>
        <v>0.13327767068599047</v>
      </c>
      <c r="U46" s="362">
        <f>U44/(U4+U6+U8)</f>
        <v>0.14056018695821762</v>
      </c>
      <c r="W46" s="362">
        <f>W44/(W4+W6+W8)</f>
        <v>0.14754958661396</v>
      </c>
      <c r="Y46" s="362">
        <f>Y44/(Y4+Y6+Y8)</f>
        <v>0.15425185402265995</v>
      </c>
      <c r="AA46" s="362">
        <f>AA44/(AA4+AA6+AA8)</f>
        <v>0.16067281641504216</v>
      </c>
      <c r="AC46" s="362">
        <f>AC44/(AC4+AC6+AC8)</f>
        <v>0.16681814760580424</v>
      </c>
      <c r="AE46" s="362">
        <f>AE44/(AE4+AE6+AE8)</f>
        <v>0.17269337162443643</v>
      </c>
      <c r="AG46" s="362">
        <f>AG44/(AG4+AG6+AG8)</f>
        <v>0.17830386625641018</v>
      </c>
    </row>
    <row r="47" spans="1:33" s="362" customFormat="1" ht="14.25">
      <c r="A47" s="362" t="s">
        <v>914</v>
      </c>
      <c r="C47" s="355"/>
      <c r="E47" s="362">
        <f>E44/E42</f>
        <v>0.14889892833990329</v>
      </c>
      <c r="G47" s="362">
        <f>G44/G42</f>
        <v>0.17236618213585719</v>
      </c>
      <c r="I47" s="362">
        <f>I44/I42</f>
        <v>0.19619117956614479</v>
      </c>
      <c r="K47" s="362">
        <f>K44/K42</f>
        <v>0.22037476558155006</v>
      </c>
      <c r="M47" s="362">
        <f>M44/M42</f>
        <v>0.24491752108781586</v>
      </c>
      <c r="O47" s="362">
        <f>O44/O42</f>
        <v>0.26981974632928973</v>
      </c>
      <c r="Q47" s="362">
        <f>Q44/Q42</f>
        <v>0.29508144350592452</v>
      </c>
      <c r="S47" s="362">
        <f>S44/S42</f>
        <v>0.32070229859219351</v>
      </c>
      <c r="U47" s="362">
        <f>U44/U42</f>
        <v>0.34668166232520231</v>
      </c>
      <c r="W47" s="362">
        <f>W44/W42</f>
        <v>0.37301853032806348</v>
      </c>
      <c r="Y47" s="362">
        <f>Y44/Y42</f>
        <v>0.39971152233326163</v>
      </c>
      <c r="AA47" s="362">
        <f>AA44/AA42</f>
        <v>0.42675886046938244</v>
      </c>
      <c r="AC47" s="362">
        <f>AC44/AC42</f>
        <v>0.45415834657318788</v>
      </c>
      <c r="AE47" s="362">
        <f>AE44/AE42</f>
        <v>0.48190733848751599</v>
      </c>
      <c r="AG47" s="362">
        <f>AG44/AG42</f>
        <v>0.51000272530401802</v>
      </c>
    </row>
    <row r="48" spans="1:33" s="363" customFormat="1" ht="14.25">
      <c r="A48" s="363" t="s">
        <v>912</v>
      </c>
      <c r="C48" s="364"/>
      <c r="E48" s="363">
        <f>E36/E42</f>
        <v>1.1488989283399034</v>
      </c>
      <c r="G48" s="363">
        <f>G36/G42</f>
        <v>1.1723661821358573</v>
      </c>
      <c r="I48" s="363">
        <f>I36/I42</f>
        <v>1.1961911795661448</v>
      </c>
      <c r="K48" s="363">
        <f>K36/K42</f>
        <v>1.22037476558155</v>
      </c>
      <c r="M48" s="363">
        <f>M36/M42</f>
        <v>1.2449175210878158</v>
      </c>
      <c r="O48" s="363">
        <f>O36/O42</f>
        <v>1.2698197463292897</v>
      </c>
      <c r="Q48" s="363">
        <f>Q36/Q42</f>
        <v>1.2950814435059246</v>
      </c>
      <c r="S48" s="363">
        <f>S36/S42</f>
        <v>1.3207022985921935</v>
      </c>
      <c r="U48" s="363">
        <f>U36/U42</f>
        <v>1.3466816623252023</v>
      </c>
      <c r="W48" s="363">
        <f>W36/W42</f>
        <v>1.3730185303280635</v>
      </c>
      <c r="Y48" s="363">
        <f>Y36/Y42</f>
        <v>1.3997115223332617</v>
      </c>
      <c r="AA48" s="363">
        <f>AA36/AA42</f>
        <v>1.4267588604693824</v>
      </c>
      <c r="AC48" s="363">
        <f>AC36/AC42</f>
        <v>1.454158346573188</v>
      </c>
      <c r="AE48" s="363">
        <f>AE36/AE42</f>
        <v>1.4819073384875159</v>
      </c>
      <c r="AG48" s="363">
        <f>AG36/AG42</f>
        <v>1.510002725304018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62" t="s">
        <v>2631</v>
      </c>
      <c r="B51" s="3362"/>
      <c r="C51" s="3362"/>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916</v>
      </c>
      <c r="C52" s="1582">
        <v>1</v>
      </c>
      <c r="E52" s="1583">
        <v>31630</v>
      </c>
      <c r="G52" s="1579">
        <f>E52*$C$52</f>
        <v>31630</v>
      </c>
      <c r="I52" s="1579">
        <f>G52*$C$52</f>
        <v>31630</v>
      </c>
      <c r="K52" s="1579">
        <f>I52*$C$52</f>
        <v>31630</v>
      </c>
      <c r="M52" s="1579">
        <f>K52*$C$52</f>
        <v>31630</v>
      </c>
      <c r="O52" s="1579">
        <f>M52*$C$52</f>
        <v>31630</v>
      </c>
      <c r="Q52" s="1579">
        <f>O52*$C$52</f>
        <v>31630</v>
      </c>
      <c r="S52" s="1579">
        <f>Q52*$C$52</f>
        <v>31630</v>
      </c>
      <c r="U52" s="1579">
        <f>S52*$C$52</f>
        <v>31630</v>
      </c>
      <c r="W52" s="1579">
        <f>U52*$C$52</f>
        <v>31630</v>
      </c>
      <c r="Y52" s="1579">
        <f>W52*$C$52</f>
        <v>31630</v>
      </c>
      <c r="AA52" s="1579">
        <f>Y52*$C$52</f>
        <v>31630</v>
      </c>
      <c r="AC52" s="1579">
        <f>AA52*$C$52</f>
        <v>31630</v>
      </c>
      <c r="AE52" s="1579">
        <f>AC52*$C$52</f>
        <v>31630</v>
      </c>
      <c r="AG52" s="1579">
        <f>AE52*$C$52</f>
        <v>31630</v>
      </c>
    </row>
    <row r="53" spans="1:35" s="6" customFormat="1">
      <c r="A53" s="6" t="s">
        <v>917</v>
      </c>
      <c r="C53" s="1577"/>
      <c r="E53" s="1584">
        <v>19400</v>
      </c>
      <c r="F53" s="1579"/>
      <c r="G53" s="1579">
        <f t="shared" ref="G53:AG56" si="1">E53*$C$52</f>
        <v>19400</v>
      </c>
      <c r="H53" s="1579"/>
      <c r="I53" s="1579">
        <f t="shared" si="1"/>
        <v>19400</v>
      </c>
      <c r="J53" s="1579"/>
      <c r="K53" s="1579">
        <f t="shared" si="1"/>
        <v>19400</v>
      </c>
      <c r="L53" s="1579"/>
      <c r="M53" s="1579">
        <f t="shared" si="1"/>
        <v>19400</v>
      </c>
      <c r="N53" s="1579"/>
      <c r="O53" s="1579">
        <f t="shared" si="1"/>
        <v>19400</v>
      </c>
      <c r="P53" s="1579"/>
      <c r="Q53" s="1579">
        <f t="shared" si="1"/>
        <v>19400</v>
      </c>
      <c r="R53" s="1579"/>
      <c r="S53" s="1579">
        <f t="shared" si="1"/>
        <v>19400</v>
      </c>
      <c r="T53" s="1579"/>
      <c r="U53" s="1579">
        <f t="shared" si="1"/>
        <v>19400</v>
      </c>
      <c r="V53" s="1579"/>
      <c r="W53" s="1579">
        <f t="shared" si="1"/>
        <v>19400</v>
      </c>
      <c r="X53" s="1579"/>
      <c r="Y53" s="1579">
        <f t="shared" si="1"/>
        <v>19400</v>
      </c>
      <c r="Z53" s="1579"/>
      <c r="AA53" s="1579">
        <f t="shared" si="1"/>
        <v>19400</v>
      </c>
      <c r="AB53" s="1579"/>
      <c r="AC53" s="1579">
        <f t="shared" si="1"/>
        <v>19400</v>
      </c>
      <c r="AD53" s="1579"/>
      <c r="AE53" s="1579">
        <f t="shared" si="1"/>
        <v>19400</v>
      </c>
      <c r="AF53" s="1579"/>
      <c r="AG53" s="1579">
        <f t="shared" si="1"/>
        <v>19400</v>
      </c>
      <c r="AH53" s="1579"/>
      <c r="AI53" s="1579"/>
    </row>
    <row r="54" spans="1:35" s="6" customFormat="1">
      <c r="A54" s="6" t="s">
        <v>918</v>
      </c>
      <c r="C54" s="1577"/>
      <c r="E54" s="1584">
        <v>25304</v>
      </c>
      <c r="F54" s="1579"/>
      <c r="G54" s="1579">
        <f t="shared" si="1"/>
        <v>25304</v>
      </c>
      <c r="H54" s="1579"/>
      <c r="I54" s="1579">
        <f t="shared" si="1"/>
        <v>25304</v>
      </c>
      <c r="J54" s="1579"/>
      <c r="K54" s="1579">
        <f t="shared" si="1"/>
        <v>25304</v>
      </c>
      <c r="L54" s="1579"/>
      <c r="M54" s="1579">
        <f t="shared" si="1"/>
        <v>25304</v>
      </c>
      <c r="N54" s="1579"/>
      <c r="O54" s="1579">
        <f t="shared" si="1"/>
        <v>25304</v>
      </c>
      <c r="P54" s="1579"/>
      <c r="Q54" s="1579">
        <f t="shared" si="1"/>
        <v>25304</v>
      </c>
      <c r="R54" s="1579"/>
      <c r="S54" s="1579">
        <f t="shared" si="1"/>
        <v>25304</v>
      </c>
      <c r="T54" s="1579"/>
      <c r="U54" s="1579">
        <f t="shared" si="1"/>
        <v>25304</v>
      </c>
      <c r="V54" s="1579"/>
      <c r="W54" s="1579">
        <f t="shared" si="1"/>
        <v>25304</v>
      </c>
      <c r="X54" s="1579"/>
      <c r="Y54" s="1579">
        <f t="shared" si="1"/>
        <v>25304</v>
      </c>
      <c r="Z54" s="1579"/>
      <c r="AA54" s="1579">
        <f t="shared" si="1"/>
        <v>25304</v>
      </c>
      <c r="AB54" s="1579"/>
      <c r="AC54" s="1579">
        <f t="shared" si="1"/>
        <v>25304</v>
      </c>
      <c r="AD54" s="1579"/>
      <c r="AE54" s="1579">
        <f t="shared" si="1"/>
        <v>25304</v>
      </c>
      <c r="AF54" s="1579"/>
      <c r="AG54" s="1579">
        <f t="shared" si="1"/>
        <v>25304</v>
      </c>
      <c r="AH54" s="1579"/>
      <c r="AI54" s="1579"/>
    </row>
    <row r="55" spans="1:35" s="6" customFormat="1">
      <c r="A55" s="1585" t="s">
        <v>2632</v>
      </c>
      <c r="B55" s="1585"/>
      <c r="C55" s="1577"/>
      <c r="E55" s="1584">
        <v>25304</v>
      </c>
      <c r="F55" s="1579"/>
      <c r="G55" s="1579">
        <f t="shared" si="1"/>
        <v>25304</v>
      </c>
      <c r="H55" s="1579"/>
      <c r="I55" s="1579">
        <f t="shared" si="1"/>
        <v>25304</v>
      </c>
      <c r="J55" s="1579"/>
      <c r="K55" s="1579">
        <f t="shared" si="1"/>
        <v>25304</v>
      </c>
      <c r="L55" s="1579"/>
      <c r="M55" s="1579">
        <f t="shared" si="1"/>
        <v>25304</v>
      </c>
      <c r="N55" s="1579"/>
      <c r="O55" s="1579">
        <f t="shared" si="1"/>
        <v>25304</v>
      </c>
      <c r="P55" s="1579"/>
      <c r="Q55" s="1579">
        <f t="shared" si="1"/>
        <v>25304</v>
      </c>
      <c r="R55" s="1579"/>
      <c r="S55" s="1579">
        <f t="shared" si="1"/>
        <v>25304</v>
      </c>
      <c r="T55" s="1579"/>
      <c r="U55" s="1579">
        <f t="shared" si="1"/>
        <v>25304</v>
      </c>
      <c r="V55" s="1579"/>
      <c r="W55" s="1579">
        <f t="shared" si="1"/>
        <v>25304</v>
      </c>
      <c r="X55" s="1579"/>
      <c r="Y55" s="1579">
        <f t="shared" si="1"/>
        <v>25304</v>
      </c>
      <c r="Z55" s="1579"/>
      <c r="AA55" s="1579">
        <f t="shared" si="1"/>
        <v>25304</v>
      </c>
      <c r="AB55" s="1579"/>
      <c r="AC55" s="1579">
        <f t="shared" si="1"/>
        <v>25304</v>
      </c>
      <c r="AD55" s="1579"/>
      <c r="AE55" s="1579">
        <f t="shared" si="1"/>
        <v>25304</v>
      </c>
      <c r="AF55" s="1579"/>
      <c r="AG55" s="1579">
        <f t="shared" si="1"/>
        <v>25304</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915</v>
      </c>
      <c r="C57" s="1580"/>
      <c r="E57" s="1579">
        <f>SUM(E52:E56)</f>
        <v>101638</v>
      </c>
      <c r="F57" s="1579"/>
      <c r="G57" s="1579">
        <f>SUM(G52:G56)</f>
        <v>101638</v>
      </c>
      <c r="H57" s="1579"/>
      <c r="I57" s="1579">
        <f>SUM(I52:I56)</f>
        <v>101638</v>
      </c>
      <c r="J57" s="1579"/>
      <c r="K57" s="1579">
        <f>SUM(K52:K56)</f>
        <v>101638</v>
      </c>
      <c r="L57" s="1579"/>
      <c r="M57" s="1579">
        <f>SUM(M52:M56)</f>
        <v>101638</v>
      </c>
      <c r="N57" s="1579"/>
      <c r="O57" s="1579">
        <f>SUM(O52:O56)</f>
        <v>101638</v>
      </c>
      <c r="P57" s="1579"/>
      <c r="Q57" s="1579">
        <f>SUM(Q52:Q56)</f>
        <v>101638</v>
      </c>
      <c r="R57" s="1579"/>
      <c r="S57" s="1579">
        <f>SUM(S52:S56)</f>
        <v>101638</v>
      </c>
      <c r="T57" s="1579"/>
      <c r="U57" s="1579">
        <f>SUM(U52:U56)</f>
        <v>101638</v>
      </c>
      <c r="V57" s="1579"/>
      <c r="W57" s="1579">
        <f>SUM(W52:W56)</f>
        <v>101638</v>
      </c>
      <c r="X57" s="1579"/>
      <c r="Y57" s="1579">
        <f>SUM(Y52:Y56)</f>
        <v>101638</v>
      </c>
      <c r="Z57" s="1579"/>
      <c r="AA57" s="1579">
        <f>SUM(AA52:AA56)</f>
        <v>101638</v>
      </c>
      <c r="AB57" s="1579"/>
      <c r="AC57" s="1579">
        <f>SUM(AC52:AC56)</f>
        <v>101638</v>
      </c>
      <c r="AD57" s="1579"/>
      <c r="AE57" s="1579">
        <f>SUM(AE52:AE56)</f>
        <v>101638</v>
      </c>
      <c r="AF57" s="1579"/>
      <c r="AG57" s="1579">
        <f>SUM(AG52:AG56)</f>
        <v>101638</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920</v>
      </c>
      <c r="C59" s="1588"/>
      <c r="E59" s="1581">
        <f>E44-E57</f>
        <v>94284.549999999814</v>
      </c>
      <c r="G59" s="1581">
        <f>G44-G57</f>
        <v>125162.97375000012</v>
      </c>
      <c r="I59" s="1581">
        <f>I44-I57</f>
        <v>156512.11979374941</v>
      </c>
      <c r="K59" s="1581">
        <f>K44-K57</f>
        <v>188333.09992509382</v>
      </c>
      <c r="M59" s="1581">
        <f>M44-M57</f>
        <v>220626.67850503791</v>
      </c>
      <c r="O59" s="1581">
        <f>O44-O57</f>
        <v>253393.2505977964</v>
      </c>
      <c r="Q59" s="1581">
        <f>Q44-Q57</f>
        <v>286632.81909808703</v>
      </c>
      <c r="S59" s="1581">
        <f>S44-S57</f>
        <v>320344.97080829553</v>
      </c>
      <c r="U59" s="1581">
        <f>U44-U57</f>
        <v>354528.85142246215</v>
      </c>
      <c r="W59" s="1581">
        <f>W44-W57</f>
        <v>389183.13937243889</v>
      </c>
      <c r="Y59" s="1581">
        <f>Y44-Y57</f>
        <v>424306.01848980668</v>
      </c>
      <c r="AA59" s="1581">
        <f>AA44-AA57</f>
        <v>459895.14943535766</v>
      </c>
      <c r="AC59" s="1581">
        <f>AC44-AC57</f>
        <v>495947.6398461198</v>
      </c>
      <c r="AE59" s="1581">
        <f>AE44-AE57</f>
        <v>532460.0131479199</v>
      </c>
      <c r="AG59" s="1581">
        <f>AG44-AG57</f>
        <v>569428.17597955465</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919</v>
      </c>
      <c r="C61" s="1578">
        <v>1</v>
      </c>
      <c r="E61" s="1583">
        <f>E59*$C$61</f>
        <v>94284.549999999814</v>
      </c>
      <c r="G61" s="1589">
        <f>G59*$C$61</f>
        <v>125162.97375000012</v>
      </c>
      <c r="H61" s="1589"/>
      <c r="I61" s="1589">
        <f>I59*$C$61</f>
        <v>156512.11979374941</v>
      </c>
      <c r="J61" s="1589"/>
      <c r="K61" s="1589">
        <f>K59*$C$61</f>
        <v>188333.09992509382</v>
      </c>
      <c r="L61" s="1589"/>
      <c r="M61" s="1589">
        <f>M59*$C$61</f>
        <v>220626.67850503791</v>
      </c>
      <c r="N61" s="1589"/>
      <c r="O61" s="1589">
        <f>O59*$C$61</f>
        <v>253393.2505977964</v>
      </c>
      <c r="P61" s="1589"/>
      <c r="Q61" s="1589">
        <f>Q59*$C$61</f>
        <v>286632.81909808703</v>
      </c>
      <c r="R61" s="1589"/>
      <c r="S61" s="1589">
        <f>S59*$C$61</f>
        <v>320344.97080829553</v>
      </c>
      <c r="T61" s="1589"/>
      <c r="U61" s="1589">
        <f>U59*$C$61</f>
        <v>354528.85142246215</v>
      </c>
      <c r="V61" s="1589"/>
      <c r="W61" s="1589">
        <f>W59*$C$61</f>
        <v>389183.13937243889</v>
      </c>
      <c r="Y61" s="1589">
        <f>2557797-SUM(E61:W61)</f>
        <v>168794.54672703892</v>
      </c>
      <c r="AA61" s="1589"/>
      <c r="AC61" s="1589"/>
      <c r="AE61" s="1589"/>
      <c r="AG61" s="1589"/>
    </row>
    <row r="62" spans="1:35" s="1589" customFormat="1">
      <c r="A62" s="3362" t="s">
        <v>2631</v>
      </c>
      <c r="B62" s="3362"/>
      <c r="C62" s="3362"/>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923</v>
      </c>
      <c r="C64" s="1578">
        <v>0.5</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t="s">
        <v>2633</v>
      </c>
      <c r="B65" s="1583"/>
      <c r="C65" s="1582"/>
      <c r="E65" s="1583"/>
      <c r="G65" s="1579"/>
      <c r="I65" s="1579"/>
      <c r="K65" s="1579"/>
      <c r="M65" s="1579"/>
      <c r="O65" s="1579"/>
      <c r="Q65" s="1579"/>
      <c r="S65" s="1579"/>
      <c r="U65" s="1579"/>
      <c r="W65" s="1579"/>
      <c r="Y65" s="1579">
        <f>(Y59-Y61)*C64</f>
        <v>127755.73588138388</v>
      </c>
      <c r="AA65" s="1579">
        <f>AA59*$C$64</f>
        <v>229947.57471767883</v>
      </c>
      <c r="AC65" s="1579">
        <f>AC59*$C$64</f>
        <v>247973.8199230599</v>
      </c>
      <c r="AE65" s="1579">
        <f>AE59*$C$64</f>
        <v>266230.00657395995</v>
      </c>
      <c r="AG65" s="1579">
        <f>AG59*$C$64</f>
        <v>284714.08798977733</v>
      </c>
    </row>
    <row r="66" spans="1:33" s="1579" customFormat="1">
      <c r="A66" s="1584"/>
      <c r="B66" s="1584"/>
      <c r="C66" s="1590"/>
      <c r="E66" s="1583"/>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915</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127755.73588138388</v>
      </c>
      <c r="AA69" s="1591">
        <f>SUM(AA65:AA68)</f>
        <v>229947.57471767883</v>
      </c>
      <c r="AC69" s="1591">
        <f>SUM(AC65:AC68)</f>
        <v>247973.8199230599</v>
      </c>
      <c r="AE69" s="1591">
        <f>SUM(AE65:AE68)</f>
        <v>266230.00657395995</v>
      </c>
      <c r="AG69" s="1591">
        <f>SUM(AG65:AG68)</f>
        <v>284714.08798977733</v>
      </c>
    </row>
    <row r="70" spans="1:33" s="1591" customFormat="1">
      <c r="A70" s="1581"/>
      <c r="C70" s="1590"/>
    </row>
    <row r="71" spans="1:33" s="1591" customFormat="1">
      <c r="A71" s="1581" t="s">
        <v>2153</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127755.73588138388</v>
      </c>
      <c r="AA71" s="1581">
        <f>AA59-AA61-AA69</f>
        <v>229947.57471767883</v>
      </c>
      <c r="AC71" s="1581">
        <f>AC59-AC61-AC69</f>
        <v>247973.8199230599</v>
      </c>
      <c r="AE71" s="1581">
        <f>AE59-AE61-AE69</f>
        <v>266230.00657395995</v>
      </c>
      <c r="AG71" s="1581">
        <f>AG59-AG61-AG69</f>
        <v>284714.08798977733</v>
      </c>
    </row>
    <row r="72" spans="1:33" s="1579" customFormat="1">
      <c r="A72" s="912"/>
      <c r="C72" s="1592"/>
    </row>
    <row r="73" spans="1:33" s="351" customFormat="1">
      <c r="A73" s="912"/>
      <c r="C73" s="352"/>
    </row>
    <row r="74" spans="1:33" s="351" customFormat="1">
      <c r="A74" s="1579" t="s">
        <v>2152</v>
      </c>
      <c r="C74" s="352"/>
    </row>
    <row r="75" spans="1:33" s="351" customFormat="1">
      <c r="C75" s="352"/>
    </row>
    <row r="76" spans="1:33" s="370" customFormat="1" ht="30" customHeight="1">
      <c r="A76" s="3360" t="s">
        <v>2151</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978</v>
      </c>
      <c r="B1" s="3363"/>
      <c r="C1" s="3363"/>
      <c r="D1" s="3363"/>
      <c r="E1" s="3363"/>
      <c r="F1" s="3363"/>
      <c r="G1" s="3363"/>
      <c r="H1" s="3363"/>
      <c r="I1" s="3363"/>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1 Bedroom</v>
      </c>
      <c r="B4" s="665">
        <f>Application!G728</f>
        <v>10</v>
      </c>
      <c r="C4" s="656">
        <f>Application!O728</f>
        <v>472</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30</v>
      </c>
      <c r="C5" s="656">
        <f>Application!O729</f>
        <v>812</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35</v>
      </c>
      <c r="C6" s="656">
        <f>Application!O730</f>
        <v>982</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21</v>
      </c>
      <c r="C7" s="656">
        <f>Application!O731</f>
        <v>1152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5</v>
      </c>
      <c r="C8" s="656">
        <f>Application!O732</f>
        <v>568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5</v>
      </c>
      <c r="C9" s="656">
        <f>Application!O733</f>
        <v>976</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7</v>
      </c>
      <c r="C10" s="656">
        <f>Application!O734</f>
        <v>1180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31</v>
      </c>
      <c r="C11" s="656">
        <f>Application!O735</f>
        <v>1384</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5</v>
      </c>
      <c r="C12" s="656">
        <f>Application!O736</f>
        <v>659</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4</v>
      </c>
      <c r="C13" s="656">
        <f>Application!O737</f>
        <v>1130</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39</v>
      </c>
      <c r="C14" s="656">
        <f>Application!O738</f>
        <v>1601</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216780</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1175000</v>
      </c>
      <c r="C5" s="421">
        <f>'Sources and Uses Budget'!$C4</f>
        <v>1175000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100000</v>
      </c>
      <c r="C7" s="421">
        <f>'Sources and Uses Budget'!$C6</f>
        <v>100000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1275000</v>
      </c>
      <c r="C9" s="425">
        <f>SUM(C5:C8)</f>
        <v>1275000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1275000</v>
      </c>
      <c r="C13" s="425">
        <f>SUM(C9+C12)</f>
        <v>1275000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100000</v>
      </c>
      <c r="C14" s="421">
        <f>'Sources and Uses Budget'!$C13</f>
        <v>100000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1948</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6785000</v>
      </c>
      <c r="C30" s="421">
        <f>'Sources and Uses Budget'!$C29</f>
        <v>6785000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33401020</v>
      </c>
      <c r="C31" s="421">
        <f>'Sources and Uses Budget'!$C30</f>
        <v>33401020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2300000</v>
      </c>
      <c r="C32" s="421">
        <f>'Sources and Uses Budget'!$C31</f>
        <v>2300000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551992</v>
      </c>
      <c r="C33" s="421">
        <f>'Sources and Uses Budget'!$C32</f>
        <v>551992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1721520</v>
      </c>
      <c r="C34" s="421">
        <f>'Sources and Uses Budget'!$C33</f>
        <v>1721520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672139</v>
      </c>
      <c r="C36" s="421">
        <f>'Sources and Uses Budget'!$C35</f>
        <v>672139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1948</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45431671</v>
      </c>
      <c r="C39" s="425">
        <f>SUM(C30:C38)</f>
        <v>45431671</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1065000</v>
      </c>
      <c r="C41" s="421">
        <f>'Sources and Uses Budget'!$C40</f>
        <v>1065000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1065000</v>
      </c>
      <c r="C43" s="425">
        <f>SUM(C41:C42)</f>
        <v>1065000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408000</v>
      </c>
      <c r="C44" s="421">
        <f>'Sources and Uses Budget'!$C43</f>
        <v>408000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2393564</v>
      </c>
      <c r="C46" s="421">
        <f>'Sources and Uses Budget'!$C45</f>
        <v>2393564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353451</v>
      </c>
      <c r="C47" s="421">
        <f>'Sources and Uses Budget'!$C46</f>
        <v>353451</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424546</v>
      </c>
      <c r="C50" s="421">
        <f>'Sources and Uses Budget'!$C49</f>
        <v>424546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80000</v>
      </c>
      <c r="C51" s="421">
        <f>'Sources and Uses Budget'!$C50</f>
        <v>80000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28905</v>
      </c>
      <c r="C52" s="421">
        <f>'Sources and Uses Budget'!$C51</f>
        <v>28905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395638</v>
      </c>
      <c r="C53" s="421">
        <f>'Sources and Uses Budget'!$C52</f>
        <v>395638</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3676104</v>
      </c>
      <c r="C55" s="428">
        <f>SUM(C46:C54)</f>
        <v>3676104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375879</v>
      </c>
      <c r="C57" s="421">
        <f>'Sources and Uses Budget'!$C56</f>
        <v>375879</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20000</v>
      </c>
      <c r="C59" s="421">
        <f>'Sources and Uses Budget'!$C58</f>
        <v>20000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395879</v>
      </c>
      <c r="C63" s="425">
        <f>SUM(C57:C62)</f>
        <v>395879</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52351654</v>
      </c>
      <c r="C64" s="425">
        <f>SUM(C9+C12+C14+C15+C17+C26+C28+C39+C43+C44+C55+C63)</f>
        <v>52351654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1952</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120000</v>
      </c>
      <c r="C66" s="421">
        <f>'Sources and Uses Budget'!$C65</f>
        <v>120000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1949</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1950</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1956</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(Consultants,Legal)</v>
      </c>
      <c r="B70" s="421">
        <f>'Sources and Uses Budget'!$C69</f>
        <v>70000</v>
      </c>
      <c r="C70" s="421">
        <f>'Sources and Uses Budget'!$C69</f>
        <v>70000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1953</v>
      </c>
      <c r="B71" s="425">
        <f>SUM(B66:B70)</f>
        <v>190000</v>
      </c>
      <c r="C71" s="425">
        <f>SUM(C66:C70)</f>
        <v>190000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583255</v>
      </c>
      <c r="C76" s="421">
        <f>'Sources and Uses Budget'!$C75</f>
        <v>583255</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583255</v>
      </c>
      <c r="C78" s="425">
        <f>SUM(C73:C77)</f>
        <v>583255</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3133167</v>
      </c>
      <c r="C80" s="421">
        <f>'Sources and Uses Budget'!$C79</f>
        <v>3133167</v>
      </c>
      <c r="D80" s="425">
        <f t="shared" si="1"/>
        <v>0</v>
      </c>
      <c r="E80" s="423"/>
      <c r="F80" s="422"/>
      <c r="G80" s="551"/>
    </row>
    <row r="81" spans="1:7" s="545" customFormat="1">
      <c r="A81" s="859" t="s">
        <v>61</v>
      </c>
      <c r="B81" s="421">
        <f>'Sources and Uses Budget'!$C80</f>
        <v>330339</v>
      </c>
      <c r="C81" s="421">
        <f>'Sources and Uses Budget'!$C80</f>
        <v>330339</v>
      </c>
      <c r="D81" s="425">
        <f>C81-B81</f>
        <v>0</v>
      </c>
      <c r="E81" s="423"/>
      <c r="F81" s="422"/>
      <c r="G81" s="551"/>
    </row>
    <row r="82" spans="1:7" s="545" customFormat="1">
      <c r="A82" s="426" t="s">
        <v>1415</v>
      </c>
      <c r="B82" s="425">
        <f>SUM(B80:B81)</f>
        <v>3463506</v>
      </c>
      <c r="C82" s="425">
        <f>SUM(C80:C81)</f>
        <v>3463506</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577624</v>
      </c>
      <c r="C84" s="421">
        <f>'Sources and Uses Budget'!$C83</f>
        <v>577624</v>
      </c>
      <c r="D84" s="425">
        <f t="shared" si="1"/>
        <v>0</v>
      </c>
      <c r="E84" s="423"/>
      <c r="F84" s="422"/>
      <c r="G84" s="551"/>
    </row>
    <row r="85" spans="1:7" s="545" customFormat="1">
      <c r="A85" s="424" t="s">
        <v>824</v>
      </c>
      <c r="B85" s="421">
        <f>'Sources and Uses Budget'!$C84</f>
        <v>771765</v>
      </c>
      <c r="C85" s="421">
        <f>'Sources and Uses Budget'!$C84</f>
        <v>771765</v>
      </c>
      <c r="D85" s="425">
        <f t="shared" si="1"/>
        <v>0</v>
      </c>
      <c r="E85" s="423"/>
      <c r="F85" s="422"/>
      <c r="G85" s="551"/>
    </row>
    <row r="86" spans="1:7" s="545" customFormat="1">
      <c r="A86" s="424" t="s">
        <v>825</v>
      </c>
      <c r="B86" s="421">
        <f>'Sources and Uses Budget'!$C85</f>
        <v>1268586</v>
      </c>
      <c r="C86" s="421">
        <f>'Sources and Uses Budget'!$C85</f>
        <v>1268586</v>
      </c>
      <c r="D86" s="425">
        <f t="shared" si="1"/>
        <v>0</v>
      </c>
      <c r="E86" s="423"/>
      <c r="F86" s="422"/>
      <c r="G86" s="551"/>
    </row>
    <row r="87" spans="1:7" s="545" customFormat="1">
      <c r="A87" s="424" t="s">
        <v>826</v>
      </c>
      <c r="B87" s="421">
        <f>'Sources and Uses Budget'!$C86</f>
        <v>4271666</v>
      </c>
      <c r="C87" s="421">
        <f>'Sources and Uses Budget'!$C86</f>
        <v>4271666</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153226</v>
      </c>
      <c r="C89" s="421">
        <f>'Sources and Uses Budget'!$C88</f>
        <v>153226</v>
      </c>
      <c r="D89" s="425">
        <f t="shared" si="1"/>
        <v>0</v>
      </c>
      <c r="E89" s="423"/>
      <c r="F89" s="422"/>
      <c r="G89" s="551"/>
    </row>
    <row r="90" spans="1:7" s="545" customFormat="1">
      <c r="A90" s="424" t="s">
        <v>829</v>
      </c>
      <c r="B90" s="421">
        <f>'Sources and Uses Budget'!$C89</f>
        <v>200000</v>
      </c>
      <c r="C90" s="421">
        <f>'Sources and Uses Budget'!$C89</f>
        <v>200000</v>
      </c>
      <c r="D90" s="425">
        <f t="shared" si="1"/>
        <v>0</v>
      </c>
      <c r="E90" s="423"/>
      <c r="F90" s="422"/>
      <c r="G90" s="551"/>
    </row>
    <row r="91" spans="1:7" s="545" customFormat="1">
      <c r="A91" s="424" t="s">
        <v>830</v>
      </c>
      <c r="B91" s="421">
        <f>'Sources and Uses Budget'!$C90</f>
        <v>9500</v>
      </c>
      <c r="C91" s="421">
        <f>'Sources and Uses Budget'!$C90</f>
        <v>9500</v>
      </c>
      <c r="D91" s="425">
        <f t="shared" si="1"/>
        <v>0</v>
      </c>
      <c r="E91" s="423"/>
      <c r="F91" s="422"/>
      <c r="G91" s="551"/>
    </row>
    <row r="92" spans="1:7" s="545" customFormat="1">
      <c r="A92" s="430" t="s">
        <v>389</v>
      </c>
      <c r="B92" s="421">
        <f>'Sources and Uses Budget'!$C91</f>
        <v>45000</v>
      </c>
      <c r="C92" s="421">
        <f>'Sources and Uses Budget'!$C91</f>
        <v>45000</v>
      </c>
      <c r="D92" s="425">
        <f t="shared" si="1"/>
        <v>0</v>
      </c>
      <c r="E92" s="423"/>
      <c r="F92" s="422"/>
      <c r="G92" s="551"/>
    </row>
    <row r="93" spans="1:7" s="545" customFormat="1">
      <c r="A93" s="858" t="s">
        <v>1417</v>
      </c>
      <c r="B93" s="421">
        <f>'Sources and Uses Budget'!$C92</f>
        <v>8000</v>
      </c>
      <c r="C93" s="421">
        <f>'Sources and Uses Budget'!$C92</f>
        <v>8000</v>
      </c>
      <c r="D93" s="425">
        <f t="shared" si="1"/>
        <v>0</v>
      </c>
      <c r="E93" s="423"/>
      <c r="F93" s="422"/>
      <c r="G93" s="551"/>
    </row>
    <row r="94" spans="1:7" s="545" customFormat="1">
      <c r="A94" s="427" t="s">
        <v>35</v>
      </c>
      <c r="B94" s="421">
        <f>'Sources and Uses Budget'!$C93</f>
        <v>88000</v>
      </c>
      <c r="C94" s="421">
        <f>'Sources and Uses Budget'!$C93</f>
        <v>88000</v>
      </c>
      <c r="D94" s="425">
        <f t="shared" si="1"/>
        <v>0</v>
      </c>
      <c r="E94" s="423"/>
      <c r="F94" s="422"/>
      <c r="G94" s="551"/>
    </row>
    <row r="95" spans="1:7" s="545" customFormat="1">
      <c r="A95" s="427" t="s">
        <v>35</v>
      </c>
      <c r="B95" s="421">
        <f>'Sources and Uses Budget'!$C94</f>
        <v>250002</v>
      </c>
      <c r="C95" s="421">
        <f>'Sources and Uses Budget'!$C94</f>
        <v>250002</v>
      </c>
      <c r="D95" s="425">
        <f t="shared" si="1"/>
        <v>0</v>
      </c>
      <c r="E95" s="423"/>
      <c r="F95" s="422"/>
      <c r="G95" s="551"/>
    </row>
    <row r="96" spans="1:7" s="545" customFormat="1">
      <c r="A96" s="427" t="s">
        <v>35</v>
      </c>
      <c r="B96" s="421">
        <f>'Sources and Uses Budget'!$C95</f>
        <v>45000</v>
      </c>
      <c r="C96" s="421">
        <f>'Sources and Uses Budget'!$C95</f>
        <v>45000</v>
      </c>
      <c r="D96" s="425">
        <f t="shared" si="1"/>
        <v>0</v>
      </c>
      <c r="E96" s="423"/>
      <c r="F96" s="422"/>
      <c r="G96" s="551"/>
    </row>
    <row r="97" spans="1:7" s="545" customFormat="1">
      <c r="A97" s="426" t="s">
        <v>831</v>
      </c>
      <c r="B97" s="425">
        <f>SUM(B84:B96)</f>
        <v>7688369</v>
      </c>
      <c r="C97" s="425">
        <f>SUM(C84:C96)</f>
        <v>7688369</v>
      </c>
      <c r="D97" s="425">
        <f t="shared" si="1"/>
        <v>0</v>
      </c>
      <c r="E97" s="423"/>
      <c r="F97" s="422"/>
      <c r="G97" s="551"/>
    </row>
    <row r="98" spans="1:7" s="545" customFormat="1">
      <c r="A98" s="426" t="s">
        <v>832</v>
      </c>
      <c r="B98" s="425">
        <f>SUM(B64+B71+B78+B82+B97)</f>
        <v>64276784</v>
      </c>
      <c r="C98" s="425">
        <f>SUM(C64+C71+C78+C82+C97)</f>
        <v>64276784</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3500000</v>
      </c>
      <c r="C100" s="421">
        <f>'Sources and Uses Budget'!$C99</f>
        <v>3500000</v>
      </c>
      <c r="D100" s="425">
        <f t="shared" si="1"/>
        <v>0</v>
      </c>
      <c r="E100" s="423"/>
      <c r="F100" s="422"/>
      <c r="G100" s="549"/>
    </row>
    <row r="101" spans="1:7" s="544" customFormat="1">
      <c r="A101" s="440" t="s">
        <v>1954</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1955</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3500000</v>
      </c>
      <c r="C105" s="425">
        <f>SUM(C100:C104)</f>
        <v>3500000</v>
      </c>
      <c r="D105" s="425">
        <f t="shared" si="1"/>
        <v>0</v>
      </c>
      <c r="E105" s="423"/>
      <c r="F105" s="422"/>
      <c r="G105" s="549"/>
    </row>
    <row r="106" spans="1:7" s="544" customFormat="1">
      <c r="A106" s="426" t="s">
        <v>837</v>
      </c>
      <c r="B106" s="428">
        <f>SUM(B98+B105)</f>
        <v>67776784</v>
      </c>
      <c r="C106" s="428">
        <f>SUM(C98+C105)</f>
        <v>67776784</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55" t="s">
        <v>1154</v>
      </c>
      <c r="B2" s="1855"/>
      <c r="C2" s="1856"/>
      <c r="D2" s="1856"/>
      <c r="E2" s="1856"/>
      <c r="F2" s="1856"/>
      <c r="G2" s="1856"/>
    </row>
    <row r="3" spans="1:9" s="256" customFormat="1">
      <c r="A3" s="1855" t="s">
        <v>1084</v>
      </c>
      <c r="B3" s="1855"/>
      <c r="C3" s="1856"/>
      <c r="D3" s="1856"/>
      <c r="E3" s="1856"/>
      <c r="F3" s="1856"/>
      <c r="G3" s="1856"/>
      <c r="I3" s="675" t="s">
        <v>315</v>
      </c>
    </row>
    <row r="4" spans="1:9">
      <c r="I4" s="676" t="s">
        <v>1155</v>
      </c>
    </row>
    <row r="5" spans="1:9" s="39" customFormat="1">
      <c r="A5" s="1859" t="s">
        <v>1085</v>
      </c>
      <c r="B5" s="1859"/>
      <c r="C5" s="1860"/>
      <c r="D5" s="1860"/>
      <c r="E5" s="1860"/>
      <c r="F5" s="1860"/>
      <c r="G5" s="1860"/>
      <c r="I5" s="676" t="s">
        <v>1156</v>
      </c>
    </row>
    <row r="6" spans="1:9" s="39" customFormat="1">
      <c r="A6" s="1859" t="s">
        <v>879</v>
      </c>
      <c r="B6" s="1859"/>
      <c r="C6" s="1860"/>
      <c r="D6" s="1860"/>
      <c r="E6" s="1860"/>
      <c r="F6" s="1860"/>
      <c r="G6" s="1860"/>
      <c r="I6" s="675" t="s">
        <v>625</v>
      </c>
    </row>
    <row r="7" spans="1:9" ht="11.85" customHeight="1"/>
    <row r="8" spans="1:9" s="39" customFormat="1">
      <c r="A8" s="1857" t="s">
        <v>1251</v>
      </c>
      <c r="B8" s="1857"/>
      <c r="C8" s="1858"/>
      <c r="D8" s="1858"/>
      <c r="E8" s="1858"/>
      <c r="F8" s="1858"/>
      <c r="G8" s="1858"/>
    </row>
    <row r="9" spans="1:9" s="39" customFormat="1">
      <c r="A9" s="1857" t="s">
        <v>1252</v>
      </c>
      <c r="B9" s="1857"/>
      <c r="C9" s="1858"/>
      <c r="D9" s="1858"/>
      <c r="E9" s="1858"/>
      <c r="F9" s="1858"/>
      <c r="G9" s="1858"/>
    </row>
    <row r="10" spans="1:9">
      <c r="A10" s="258"/>
      <c r="B10" s="258"/>
      <c r="C10" s="255"/>
      <c r="D10" s="255"/>
      <c r="E10" s="255"/>
      <c r="F10" s="255"/>
    </row>
    <row r="11" spans="1:9">
      <c r="A11" s="1861" t="s">
        <v>1254</v>
      </c>
      <c r="B11" s="1861"/>
      <c r="C11" s="1861"/>
      <c r="D11" s="1861"/>
      <c r="E11" s="1861"/>
      <c r="F11" s="1861"/>
      <c r="G11" s="1861"/>
    </row>
    <row r="12" spans="1:9">
      <c r="A12" s="255"/>
      <c r="B12" s="671"/>
      <c r="E12" s="50"/>
    </row>
    <row r="13" spans="1:9" ht="13.15" customHeight="1">
      <c r="C13" s="255"/>
      <c r="D13" s="1833" t="s">
        <v>1253</v>
      </c>
      <c r="E13" s="1833"/>
      <c r="F13" s="1833"/>
    </row>
    <row r="14" spans="1:9">
      <c r="C14" s="255"/>
      <c r="D14" s="1833"/>
      <c r="E14" s="1833"/>
      <c r="F14" s="1833"/>
    </row>
    <row r="15" spans="1:9">
      <c r="A15" s="260"/>
      <c r="B15" s="260"/>
      <c r="C15" s="260"/>
      <c r="D15" s="1830" t="s">
        <v>1236</v>
      </c>
      <c r="E15" s="1830"/>
      <c r="F15" s="1830"/>
    </row>
    <row r="16" spans="1:9">
      <c r="A16" s="260"/>
      <c r="B16" s="260"/>
      <c r="C16" s="260"/>
      <c r="D16" s="327"/>
    </row>
    <row r="17" spans="1:7" ht="14.25">
      <c r="A17" s="261"/>
      <c r="B17" s="677" t="s">
        <v>315</v>
      </c>
      <c r="C17" s="313"/>
      <c r="D17" s="1805" t="s">
        <v>1237</v>
      </c>
      <c r="E17" s="1805"/>
      <c r="F17" s="1805"/>
    </row>
    <row r="18" spans="1:7">
      <c r="A18" s="260"/>
      <c r="B18" s="260"/>
      <c r="C18" s="313"/>
      <c r="D18" s="1805"/>
      <c r="E18" s="1805"/>
      <c r="F18" s="1805"/>
    </row>
    <row r="19" spans="1:7">
      <c r="A19" s="260"/>
      <c r="B19" s="260"/>
      <c r="C19" s="313"/>
      <c r="D19" s="1805"/>
      <c r="E19" s="1805"/>
      <c r="F19" s="1805"/>
    </row>
    <row r="20" spans="1:7">
      <c r="A20" s="260"/>
      <c r="B20" s="260"/>
      <c r="C20" s="260"/>
    </row>
    <row r="21" spans="1:7" ht="14.25">
      <c r="A21" s="261"/>
      <c r="B21" s="677" t="s">
        <v>315</v>
      </c>
      <c r="D21" s="1834" t="s">
        <v>1238</v>
      </c>
      <c r="E21" s="1834"/>
      <c r="F21" s="1834"/>
    </row>
    <row r="22" spans="1:7" ht="14.25">
      <c r="A22" s="261"/>
      <c r="B22" s="261"/>
      <c r="D22" s="135"/>
    </row>
    <row r="23" spans="1:7" ht="14.25">
      <c r="A23" s="261"/>
      <c r="B23" s="677" t="s">
        <v>315</v>
      </c>
      <c r="D23" s="1805" t="s">
        <v>1239</v>
      </c>
      <c r="E23" s="1805"/>
      <c r="F23" s="1805"/>
    </row>
    <row r="24" spans="1:7" ht="14.25">
      <c r="A24" s="261"/>
      <c r="B24" s="261"/>
      <c r="D24" s="1805"/>
      <c r="E24" s="1805"/>
      <c r="F24" s="1805"/>
    </row>
    <row r="25" spans="1:7"/>
    <row r="26" spans="1:7" ht="14.25">
      <c r="A26" s="261"/>
      <c r="B26" s="677" t="s">
        <v>315</v>
      </c>
      <c r="D26" s="1828" t="s">
        <v>1240</v>
      </c>
      <c r="E26" s="1828"/>
      <c r="F26" s="1828"/>
    </row>
    <row r="27" spans="1:7">
      <c r="D27" s="1828"/>
      <c r="E27" s="1828"/>
      <c r="F27" s="1828"/>
    </row>
    <row r="28" spans="1:7">
      <c r="D28" s="1828"/>
      <c r="E28" s="1828"/>
      <c r="F28" s="1828"/>
    </row>
    <row r="29" spans="1:7">
      <c r="A29" s="556"/>
      <c r="C29" s="556"/>
      <c r="D29" s="1828"/>
      <c r="E29" s="1828"/>
      <c r="F29" s="1828"/>
    </row>
    <row r="30" spans="1:7">
      <c r="A30" s="556"/>
      <c r="C30" s="556"/>
      <c r="D30" s="1828"/>
      <c r="E30" s="1828"/>
      <c r="F30" s="1828"/>
    </row>
    <row r="31" spans="1:7" s="39" customFormat="1">
      <c r="A31" s="273"/>
      <c r="B31" s="273"/>
      <c r="C31" s="273"/>
      <c r="D31" s="443"/>
      <c r="E31" s="130"/>
      <c r="F31" s="130"/>
      <c r="G31" s="130"/>
    </row>
    <row r="32" spans="1:7" s="39" customFormat="1">
      <c r="A32" s="273"/>
      <c r="B32" s="677" t="s">
        <v>315</v>
      </c>
      <c r="C32" s="273"/>
      <c r="D32" s="1807" t="s">
        <v>1241</v>
      </c>
      <c r="E32" s="1807"/>
      <c r="F32" s="1807"/>
      <c r="G32" s="130"/>
    </row>
    <row r="33" spans="1:7" s="39" customFormat="1">
      <c r="A33" s="273"/>
      <c r="B33" s="273"/>
      <c r="C33" s="273"/>
      <c r="D33" s="1807"/>
      <c r="E33" s="1807"/>
      <c r="F33" s="1807"/>
      <c r="G33" s="130"/>
    </row>
    <row r="34" spans="1:7" ht="14.25">
      <c r="A34" s="261"/>
      <c r="B34" s="261"/>
      <c r="D34" s="404"/>
    </row>
    <row r="35" spans="1:7" ht="14.45" customHeight="1">
      <c r="A35" s="261"/>
      <c r="B35" s="677" t="s">
        <v>315</v>
      </c>
      <c r="C35" s="552"/>
      <c r="D35" s="1807" t="s">
        <v>1242</v>
      </c>
      <c r="E35" s="1807"/>
      <c r="F35" s="1807"/>
    </row>
    <row r="36" spans="1:7" ht="14.25">
      <c r="A36" s="261"/>
      <c r="B36" s="261"/>
      <c r="C36" s="552"/>
      <c r="D36" s="1807"/>
      <c r="E36" s="1807"/>
      <c r="F36" s="1807"/>
    </row>
    <row r="37" spans="1:7" ht="14.25">
      <c r="A37" s="261"/>
      <c r="B37" s="261"/>
      <c r="C37" s="552"/>
      <c r="D37" s="1807"/>
      <c r="E37" s="1807"/>
      <c r="F37" s="1807"/>
    </row>
    <row r="38" spans="1:7" ht="14.25">
      <c r="A38" s="261"/>
      <c r="B38" s="261"/>
      <c r="C38" s="552"/>
      <c r="D38" s="12"/>
    </row>
    <row r="39" spans="1:7" s="680" customFormat="1" ht="14.25">
      <c r="A39" s="261"/>
      <c r="B39" s="677" t="s">
        <v>315</v>
      </c>
      <c r="C39" s="697"/>
      <c r="D39" s="1807" t="s">
        <v>1243</v>
      </c>
      <c r="E39" s="1807"/>
      <c r="F39" s="1807"/>
      <c r="G39" s="7"/>
    </row>
    <row r="40" spans="1:7" s="680" customFormat="1" ht="14.25">
      <c r="A40" s="261"/>
      <c r="B40" s="261"/>
      <c r="C40" s="697"/>
      <c r="D40" s="1807"/>
      <c r="E40" s="1807"/>
      <c r="F40" s="1807"/>
      <c r="G40" s="7"/>
    </row>
    <row r="41" spans="1:7" s="680" customFormat="1" ht="14.25">
      <c r="A41" s="261"/>
      <c r="B41" s="261"/>
      <c r="C41" s="697"/>
      <c r="D41" s="1807"/>
      <c r="E41" s="1807"/>
      <c r="F41" s="1807"/>
      <c r="G41" s="7"/>
    </row>
    <row r="42" spans="1:7" s="680" customFormat="1" ht="14.25">
      <c r="A42" s="261"/>
      <c r="B42" s="261"/>
      <c r="C42" s="697"/>
      <c r="D42" s="1807"/>
      <c r="E42" s="1807"/>
      <c r="F42" s="1807"/>
      <c r="G42" s="7"/>
    </row>
    <row r="43" spans="1:7" s="680" customFormat="1" ht="14.25">
      <c r="A43" s="261"/>
      <c r="B43" s="261"/>
      <c r="C43" s="697"/>
      <c r="D43" s="1807"/>
      <c r="E43" s="1807"/>
      <c r="F43" s="1807"/>
      <c r="G43" s="7"/>
    </row>
    <row r="44" spans="1:7" s="680" customFormat="1" ht="14.25">
      <c r="A44" s="261"/>
      <c r="B44" s="261"/>
      <c r="C44" s="697"/>
      <c r="D44" s="696"/>
      <c r="E44" s="696"/>
      <c r="F44" s="696"/>
      <c r="G44" s="7"/>
    </row>
    <row r="45" spans="1:7" ht="14.25">
      <c r="A45" s="261"/>
      <c r="B45" s="677" t="s">
        <v>315</v>
      </c>
      <c r="C45" s="552"/>
      <c r="D45" s="1807" t="s">
        <v>1244</v>
      </c>
      <c r="E45" s="1807"/>
      <c r="F45" s="1807"/>
    </row>
    <row r="46" spans="1:7" ht="14.25">
      <c r="A46" s="261"/>
      <c r="B46" s="261"/>
      <c r="C46" s="552"/>
      <c r="D46" s="1807"/>
      <c r="E46" s="1807"/>
      <c r="F46" s="1807"/>
    </row>
    <row r="47" spans="1:7" ht="14.25">
      <c r="A47" s="261"/>
      <c r="B47" s="261"/>
      <c r="C47" s="552"/>
      <c r="D47" s="1807"/>
      <c r="E47" s="1807"/>
      <c r="F47" s="1807"/>
    </row>
    <row r="48" spans="1:7" ht="23.25" customHeight="1">
      <c r="A48" s="261"/>
      <c r="B48" s="261"/>
      <c r="C48" s="552"/>
      <c r="D48" s="1807"/>
      <c r="E48" s="1807"/>
      <c r="F48" s="1807"/>
    </row>
    <row r="49" spans="1:7" ht="14.25">
      <c r="A49" s="261"/>
      <c r="B49" s="261"/>
      <c r="D49" s="151"/>
    </row>
    <row r="50" spans="1:7" ht="14.45" customHeight="1">
      <c r="A50" s="261"/>
      <c r="B50" s="677" t="s">
        <v>315</v>
      </c>
      <c r="D50" s="1807" t="s">
        <v>1245</v>
      </c>
      <c r="E50" s="1807"/>
      <c r="F50" s="1807"/>
    </row>
    <row r="51" spans="1:7" ht="14.25">
      <c r="A51" s="261"/>
      <c r="B51" s="261"/>
      <c r="D51" s="1807"/>
      <c r="E51" s="1807"/>
      <c r="F51" s="1807"/>
    </row>
    <row r="52" spans="1:7" ht="14.25">
      <c r="A52" s="261"/>
      <c r="B52" s="261"/>
      <c r="D52" s="1807"/>
      <c r="E52" s="1807"/>
      <c r="F52" s="1807"/>
    </row>
    <row r="53" spans="1:7" s="2" customFormat="1" ht="14.25">
      <c r="A53" s="261"/>
      <c r="B53" s="261"/>
      <c r="C53" s="554"/>
      <c r="D53" s="239"/>
      <c r="E53" s="22"/>
      <c r="F53" s="22"/>
      <c r="G53" s="22"/>
    </row>
    <row r="54" spans="1:7" s="2" customFormat="1" ht="14.25">
      <c r="A54" s="403"/>
      <c r="B54" s="677" t="s">
        <v>315</v>
      </c>
      <c r="C54" s="555"/>
      <c r="D54" s="1807" t="s">
        <v>1246</v>
      </c>
      <c r="E54" s="1807"/>
      <c r="F54" s="1807"/>
      <c r="G54" s="22"/>
    </row>
    <row r="55" spans="1:7" s="2" customFormat="1" ht="14.25">
      <c r="A55" s="403"/>
      <c r="B55" s="403"/>
      <c r="C55" s="555"/>
      <c r="D55" s="1807"/>
      <c r="E55" s="1807"/>
      <c r="F55" s="1807"/>
      <c r="G55" s="22"/>
    </row>
    <row r="56" spans="1:7" s="39" customFormat="1">
      <c r="A56" s="273"/>
      <c r="B56" s="273"/>
      <c r="C56" s="273"/>
      <c r="D56" s="443"/>
      <c r="E56" s="130"/>
      <c r="F56" s="130"/>
      <c r="G56" s="130"/>
    </row>
    <row r="57" spans="1:7" ht="14.25">
      <c r="A57" s="261"/>
      <c r="B57" s="677" t="s">
        <v>315</v>
      </c>
      <c r="D57" s="1807" t="s">
        <v>1247</v>
      </c>
      <c r="E57" s="1807"/>
      <c r="F57" s="1807"/>
    </row>
    <row r="58" spans="1:7">
      <c r="D58" s="1807"/>
      <c r="E58" s="1807"/>
      <c r="F58" s="1807"/>
    </row>
    <row r="59" spans="1:7">
      <c r="D59" s="1807"/>
      <c r="E59" s="1807"/>
      <c r="F59" s="1807"/>
    </row>
    <row r="60" spans="1:7" s="680" customFormat="1">
      <c r="A60" s="697"/>
      <c r="B60" s="697"/>
      <c r="C60" s="697"/>
      <c r="D60" s="676"/>
      <c r="E60" s="7"/>
      <c r="F60" s="7"/>
      <c r="G60" s="7"/>
    </row>
    <row r="61" spans="1:7" ht="14.25">
      <c r="A61" s="261"/>
      <c r="B61" s="677" t="s">
        <v>315</v>
      </c>
      <c r="D61" s="1807" t="s">
        <v>1248</v>
      </c>
      <c r="E61" s="1807"/>
      <c r="F61" s="1807"/>
    </row>
    <row r="62" spans="1:7">
      <c r="D62" s="1807"/>
      <c r="E62" s="1807"/>
      <c r="F62" s="1807"/>
    </row>
    <row r="63" spans="1:7"/>
    <row r="64" spans="1:7" ht="14.25">
      <c r="A64" s="261"/>
      <c r="B64" s="677" t="s">
        <v>315</v>
      </c>
      <c r="D64" s="1807" t="s">
        <v>1249</v>
      </c>
      <c r="E64" s="1807"/>
      <c r="F64" s="1807"/>
    </row>
    <row r="65" spans="1:7">
      <c r="D65" s="1807"/>
      <c r="E65" s="1807"/>
      <c r="F65" s="1807"/>
    </row>
    <row r="66" spans="1:7">
      <c r="A66" s="553"/>
      <c r="C66" s="553"/>
      <c r="D66" s="1807"/>
      <c r="E66" s="1807"/>
      <c r="F66" s="1807"/>
    </row>
    <row r="67" spans="1:7">
      <c r="D67" s="12"/>
    </row>
    <row r="68" spans="1:7" ht="14.25">
      <c r="A68" s="261"/>
      <c r="B68" s="677" t="s">
        <v>315</v>
      </c>
      <c r="D68" s="1805" t="s">
        <v>1250</v>
      </c>
      <c r="E68" s="1805"/>
      <c r="F68" s="1805"/>
    </row>
    <row r="69" spans="1:7">
      <c r="D69" s="1805"/>
      <c r="E69" s="1805"/>
      <c r="F69" s="1805"/>
    </row>
    <row r="70" spans="1:7" ht="14.25">
      <c r="A70" s="261"/>
      <c r="B70" s="261"/>
      <c r="D70" s="135"/>
    </row>
    <row r="71" spans="1:7">
      <c r="A71" s="1831" t="s">
        <v>1157</v>
      </c>
      <c r="B71" s="1831"/>
      <c r="C71" s="1831"/>
      <c r="D71" s="1831"/>
      <c r="E71" s="1831"/>
      <c r="F71" s="1831"/>
      <c r="G71" s="1831"/>
    </row>
    <row r="72" spans="1:7"/>
    <row r="73" spans="1:7">
      <c r="C73" s="262"/>
      <c r="D73" s="1847" t="s">
        <v>1255</v>
      </c>
      <c r="E73" s="1847"/>
      <c r="F73" s="1847"/>
    </row>
    <row r="74" spans="1:7">
      <c r="A74" s="135"/>
      <c r="B74" s="135"/>
      <c r="D74" s="1805" t="s">
        <v>1282</v>
      </c>
      <c r="E74" s="1805"/>
      <c r="F74" s="1805"/>
    </row>
    <row r="75" spans="1:7">
      <c r="A75" s="135"/>
      <c r="B75" s="135"/>
    </row>
    <row r="76" spans="1:7" ht="14.25">
      <c r="A76" s="261"/>
      <c r="B76" s="677" t="s">
        <v>315</v>
      </c>
      <c r="D76" s="1805" t="s">
        <v>1256</v>
      </c>
      <c r="E76" s="1805"/>
      <c r="F76" s="1805"/>
    </row>
    <row r="77" spans="1:7" ht="14.25">
      <c r="A77" s="261"/>
      <c r="B77" s="261"/>
      <c r="D77" s="1805"/>
      <c r="E77" s="1805"/>
      <c r="F77" s="1805"/>
    </row>
    <row r="78" spans="1:7" ht="14.25">
      <c r="A78" s="261"/>
      <c r="B78" s="261"/>
      <c r="D78" s="1805"/>
      <c r="E78" s="1805"/>
      <c r="F78" s="1805"/>
    </row>
    <row r="79" spans="1:7" ht="14.25">
      <c r="A79" s="261"/>
      <c r="B79" s="261"/>
      <c r="D79" s="1805"/>
      <c r="E79" s="1805"/>
      <c r="F79" s="1805"/>
    </row>
    <row r="80" spans="1:7" ht="14.25">
      <c r="A80" s="261"/>
      <c r="B80" s="261"/>
      <c r="D80" s="1805"/>
      <c r="E80" s="1805"/>
      <c r="F80" s="1805"/>
    </row>
    <row r="81" spans="1:7" ht="14.25">
      <c r="A81" s="261"/>
      <c r="B81" s="261"/>
      <c r="D81" s="1805"/>
      <c r="E81" s="1805"/>
      <c r="F81" s="1805"/>
    </row>
    <row r="82" spans="1:7" s="704" customFormat="1" ht="14.25">
      <c r="A82" s="705"/>
      <c r="B82" s="705"/>
      <c r="C82" s="703"/>
      <c r="D82" s="707"/>
      <c r="E82" s="707"/>
      <c r="F82" s="707"/>
      <c r="G82" s="7"/>
    </row>
    <row r="83" spans="1:7" s="704" customFormat="1" ht="14.45" customHeight="1">
      <c r="A83" s="705"/>
      <c r="B83" s="710" t="s">
        <v>315</v>
      </c>
      <c r="C83" s="703"/>
      <c r="D83" s="1862" t="s">
        <v>1355</v>
      </c>
      <c r="E83" s="1862"/>
      <c r="F83" s="1862"/>
      <c r="G83" s="7"/>
    </row>
    <row r="84" spans="1:7" s="704" customFormat="1" ht="14.25">
      <c r="A84" s="705"/>
      <c r="B84" s="705"/>
      <c r="C84" s="703"/>
      <c r="D84" s="1862"/>
      <c r="E84" s="1862"/>
      <c r="F84" s="1862"/>
      <c r="G84" s="7"/>
    </row>
    <row r="85" spans="1:7" s="704" customFormat="1" ht="14.25">
      <c r="A85" s="705"/>
      <c r="B85" s="705"/>
      <c r="C85" s="703"/>
      <c r="D85" s="1862"/>
      <c r="E85" s="1862"/>
      <c r="F85" s="1862"/>
      <c r="G85" s="7"/>
    </row>
    <row r="86" spans="1:7" s="704" customFormat="1" ht="14.25">
      <c r="A86" s="705"/>
      <c r="B86" s="705"/>
      <c r="C86" s="703"/>
      <c r="D86" s="1862"/>
      <c r="E86" s="1862"/>
      <c r="F86" s="1862"/>
      <c r="G86" s="7"/>
    </row>
    <row r="87" spans="1:7" s="704" customFormat="1" ht="14.25">
      <c r="A87" s="705"/>
      <c r="B87" s="705"/>
      <c r="C87" s="703"/>
      <c r="D87" s="1862"/>
      <c r="E87" s="1862"/>
      <c r="F87" s="1862"/>
      <c r="G87" s="7"/>
    </row>
    <row r="88" spans="1:7" s="717" customFormat="1" ht="14.25">
      <c r="A88" s="712"/>
      <c r="B88" s="712"/>
      <c r="C88" s="743"/>
      <c r="D88" s="1862"/>
      <c r="E88" s="1862"/>
      <c r="F88" s="1862"/>
      <c r="G88" s="7"/>
    </row>
    <row r="89" spans="1:7" s="717" customFormat="1" ht="14.25">
      <c r="A89" s="712"/>
      <c r="B89" s="712"/>
      <c r="C89" s="743"/>
      <c r="D89" s="1862"/>
      <c r="E89" s="1862"/>
      <c r="F89" s="1862"/>
      <c r="G89" s="7"/>
    </row>
    <row r="90" spans="1:7" s="717" customFormat="1" ht="14.25">
      <c r="A90" s="712"/>
      <c r="B90" s="712"/>
      <c r="C90" s="743"/>
      <c r="D90" s="1862"/>
      <c r="E90" s="1862"/>
      <c r="F90" s="1862"/>
      <c r="G90" s="7"/>
    </row>
    <row r="91" spans="1:7" ht="14.25">
      <c r="A91" s="261"/>
      <c r="B91" s="261"/>
      <c r="D91" s="1862"/>
      <c r="E91" s="1862"/>
      <c r="F91" s="1862"/>
    </row>
    <row r="92" spans="1:7" ht="14.25">
      <c r="A92" s="261"/>
      <c r="B92" s="261"/>
      <c r="D92" s="1862"/>
      <c r="E92" s="1862"/>
      <c r="F92" s="1862"/>
    </row>
    <row r="93" spans="1:7" ht="14.25">
      <c r="A93" s="261"/>
      <c r="B93" s="261"/>
      <c r="D93" s="1862"/>
      <c r="E93" s="1862"/>
      <c r="F93" s="1862"/>
    </row>
    <row r="94" spans="1:7" ht="14.25">
      <c r="A94" s="261"/>
      <c r="B94" s="261"/>
      <c r="D94" s="1862"/>
      <c r="E94" s="1862"/>
      <c r="F94" s="1862"/>
    </row>
    <row r="95" spans="1:7" ht="14.25">
      <c r="A95" s="261"/>
      <c r="B95" s="261"/>
      <c r="D95" s="1862"/>
      <c r="E95" s="1862"/>
      <c r="F95" s="1862"/>
    </row>
    <row r="96" spans="1:7" ht="14.25">
      <c r="A96" s="261"/>
      <c r="B96" s="261"/>
      <c r="D96" s="1862"/>
      <c r="E96" s="1862"/>
      <c r="F96" s="1862"/>
    </row>
    <row r="97" spans="1:11" s="708" customFormat="1" ht="14.25">
      <c r="A97" s="709"/>
      <c r="B97" s="713" t="s">
        <v>315</v>
      </c>
      <c r="C97" s="703"/>
      <c r="D97" s="1805" t="s">
        <v>1257</v>
      </c>
      <c r="E97" s="1805"/>
      <c r="F97" s="1805"/>
      <c r="G97" s="7"/>
    </row>
    <row r="98" spans="1:11" s="708" customFormat="1" ht="14.25">
      <c r="A98" s="709"/>
      <c r="B98" s="709"/>
      <c r="C98" s="703"/>
      <c r="D98" s="1805"/>
      <c r="E98" s="1805"/>
      <c r="F98" s="1805"/>
      <c r="G98" s="7"/>
    </row>
    <row r="99" spans="1:11" s="708" customFormat="1" ht="14.25">
      <c r="A99" s="709"/>
      <c r="B99" s="709"/>
      <c r="C99" s="703"/>
      <c r="D99" s="1805"/>
      <c r="E99" s="1805"/>
      <c r="F99" s="1805"/>
      <c r="G99" s="7"/>
    </row>
    <row r="100" spans="1:11" s="708" customFormat="1" ht="14.25">
      <c r="A100" s="709"/>
      <c r="B100" s="709"/>
      <c r="C100" s="703"/>
      <c r="D100" s="1805"/>
      <c r="E100" s="1805"/>
      <c r="F100" s="1805"/>
      <c r="G100" s="7"/>
    </row>
    <row r="101" spans="1:11" s="708" customFormat="1" ht="14.25">
      <c r="A101" s="709"/>
      <c r="B101" s="709"/>
      <c r="C101" s="703"/>
      <c r="D101" s="1805"/>
      <c r="E101" s="1805"/>
      <c r="F101" s="1805"/>
      <c r="G101" s="7"/>
    </row>
    <row r="102" spans="1:11" s="708" customFormat="1" ht="14.25">
      <c r="A102" s="709"/>
      <c r="B102" s="709"/>
      <c r="C102" s="703"/>
      <c r="D102" s="1805"/>
      <c r="E102" s="1805"/>
      <c r="F102" s="1805"/>
      <c r="G102" s="7"/>
    </row>
    <row r="103" spans="1:11" s="708" customFormat="1" ht="14.25">
      <c r="A103" s="709"/>
      <c r="B103" s="709"/>
      <c r="C103" s="703"/>
      <c r="D103" s="1805"/>
      <c r="E103" s="1805"/>
      <c r="F103" s="1805"/>
      <c r="G103" s="7"/>
    </row>
    <row r="104" spans="1:11" s="708" customFormat="1" ht="14.25">
      <c r="A104" s="709"/>
      <c r="B104" s="709"/>
      <c r="C104" s="703"/>
      <c r="D104" s="1805"/>
      <c r="E104" s="1805"/>
      <c r="F104" s="1805"/>
      <c r="G104" s="7"/>
    </row>
    <row r="105" spans="1:11" s="711" customFormat="1" ht="14.25">
      <c r="A105" s="712"/>
      <c r="B105" s="712"/>
      <c r="C105" s="703"/>
      <c r="D105" s="714"/>
      <c r="E105" s="714"/>
      <c r="F105" s="714"/>
      <c r="G105" s="7"/>
    </row>
    <row r="106" spans="1:11" ht="14.25">
      <c r="A106" s="403"/>
      <c r="B106" s="706" t="s">
        <v>315</v>
      </c>
      <c r="C106" s="469"/>
      <c r="D106" s="1863" t="s">
        <v>1258</v>
      </c>
      <c r="E106" s="1863"/>
      <c r="F106" s="1863"/>
      <c r="G106" s="470"/>
      <c r="H106" s="468"/>
      <c r="I106" s="468"/>
      <c r="J106" s="468"/>
      <c r="K106" s="468"/>
    </row>
    <row r="107" spans="1:11" ht="14.25">
      <c r="A107" s="261"/>
      <c r="B107" s="261"/>
      <c r="C107" s="315"/>
      <c r="D107" s="1863"/>
      <c r="E107" s="1863"/>
      <c r="F107" s="1863"/>
      <c r="G107" s="470"/>
      <c r="H107" s="468"/>
      <c r="I107" s="468"/>
      <c r="J107" s="468"/>
      <c r="K107" s="468"/>
    </row>
    <row r="108" spans="1:11" ht="14.25">
      <c r="A108" s="261"/>
      <c r="B108" s="261"/>
      <c r="C108" s="315"/>
      <c r="D108" s="1863"/>
      <c r="E108" s="1863"/>
      <c r="F108" s="1863"/>
      <c r="G108" s="470"/>
      <c r="H108" s="468"/>
      <c r="I108" s="468"/>
      <c r="J108" s="468"/>
      <c r="K108" s="468"/>
    </row>
    <row r="109" spans="1:11" ht="14.25">
      <c r="A109" s="261"/>
      <c r="B109" s="261"/>
      <c r="C109" s="315"/>
      <c r="D109" s="1863"/>
      <c r="E109" s="1863"/>
      <c r="F109" s="1863"/>
      <c r="G109" s="470"/>
      <c r="H109" s="468"/>
      <c r="I109" s="468"/>
      <c r="J109" s="468"/>
      <c r="K109" s="468"/>
    </row>
    <row r="110" spans="1:11" ht="14.25">
      <c r="A110" s="261"/>
      <c r="B110" s="261"/>
      <c r="C110" s="315"/>
      <c r="D110" s="1863"/>
      <c r="E110" s="1863"/>
      <c r="F110" s="1863"/>
      <c r="G110" s="470"/>
      <c r="H110" s="468"/>
      <c r="I110" s="468"/>
      <c r="J110" s="468"/>
      <c r="K110" s="468"/>
    </row>
    <row r="111" spans="1:11">
      <c r="C111"/>
      <c r="D111" s="1863"/>
      <c r="E111" s="1863"/>
      <c r="F111" s="1863"/>
      <c r="G111"/>
      <c r="H111"/>
      <c r="I111"/>
      <c r="J111"/>
      <c r="K111"/>
    </row>
    <row r="112" spans="1:11">
      <c r="C112"/>
      <c r="D112" s="1863"/>
      <c r="E112" s="1863"/>
      <c r="F112" s="1863"/>
      <c r="G112"/>
      <c r="H112"/>
      <c r="I112"/>
      <c r="J112"/>
      <c r="K112"/>
    </row>
    <row r="113" spans="1:11">
      <c r="C113"/>
      <c r="D113" s="477"/>
      <c r="E113"/>
      <c r="F113"/>
      <c r="G113"/>
      <c r="H113"/>
      <c r="I113"/>
      <c r="J113"/>
      <c r="K113"/>
    </row>
    <row r="114" spans="1:11" ht="14.25">
      <c r="A114" s="261"/>
      <c r="B114" s="677" t="s">
        <v>315</v>
      </c>
      <c r="C114"/>
      <c r="D114" s="1864" t="s">
        <v>1259</v>
      </c>
      <c r="E114" s="1864"/>
      <c r="F114" s="1864"/>
      <c r="G114"/>
      <c r="H114"/>
      <c r="I114"/>
      <c r="J114"/>
      <c r="K114"/>
    </row>
    <row r="115" spans="1:11" ht="14.25">
      <c r="A115" s="261"/>
      <c r="B115" s="261"/>
      <c r="C115"/>
      <c r="D115" s="1864"/>
      <c r="E115" s="1864"/>
      <c r="F115" s="1864"/>
      <c r="G115"/>
      <c r="H115"/>
      <c r="I115"/>
      <c r="J115"/>
      <c r="K115"/>
    </row>
    <row r="116" spans="1:11"/>
    <row r="117" spans="1:11" ht="14.25">
      <c r="A117" s="261"/>
      <c r="B117" s="677" t="s">
        <v>315</v>
      </c>
      <c r="C117" s="10"/>
      <c r="D117" s="1805" t="s">
        <v>1260</v>
      </c>
      <c r="E117" s="1805"/>
      <c r="F117" s="1805"/>
    </row>
    <row r="118" spans="1:11">
      <c r="C118" s="10"/>
      <c r="D118" s="1805"/>
      <c r="E118" s="1805"/>
      <c r="F118" s="1805"/>
    </row>
    <row r="119" spans="1:11">
      <c r="C119" s="10"/>
      <c r="D119" s="1805"/>
      <c r="E119" s="1805"/>
      <c r="F119" s="1805"/>
    </row>
    <row r="120" spans="1:11">
      <c r="C120" s="10"/>
      <c r="D120" s="1805"/>
      <c r="E120" s="1805"/>
      <c r="F120" s="1805"/>
    </row>
    <row r="121" spans="1:11">
      <c r="C121" s="10"/>
      <c r="D121" s="1805"/>
      <c r="E121" s="1805"/>
      <c r="F121" s="1805"/>
    </row>
    <row r="122" spans="1:11">
      <c r="C122" s="10"/>
      <c r="D122" s="149"/>
      <c r="E122" s="149"/>
      <c r="F122" s="149"/>
    </row>
    <row r="123" spans="1:11" customFormat="1" ht="14.25">
      <c r="A123" s="261"/>
      <c r="B123" s="677" t="s">
        <v>315</v>
      </c>
      <c r="C123" s="10"/>
      <c r="D123" s="1807" t="s">
        <v>1261</v>
      </c>
      <c r="E123" s="1807"/>
      <c r="F123" s="1807"/>
      <c r="G123" s="149"/>
    </row>
    <row r="124" spans="1:11" s="296" customFormat="1" ht="13.7" customHeight="1">
      <c r="A124" s="293"/>
      <c r="B124" s="293"/>
      <c r="C124" s="294"/>
      <c r="D124" s="1807"/>
      <c r="E124" s="1807"/>
      <c r="F124" s="1807"/>
      <c r="G124" s="295"/>
    </row>
    <row r="125" spans="1:11" customFormat="1" ht="13.7" customHeight="1">
      <c r="A125" s="132"/>
      <c r="B125" s="674"/>
      <c r="C125" s="10"/>
      <c r="D125" s="1807"/>
      <c r="E125" s="1807"/>
      <c r="F125" s="1807"/>
      <c r="G125" s="149"/>
    </row>
    <row r="126" spans="1:11" customFormat="1" ht="13.7" customHeight="1">
      <c r="A126" s="132"/>
      <c r="B126" s="674"/>
      <c r="C126" s="10"/>
      <c r="D126" s="1807"/>
      <c r="E126" s="1807"/>
      <c r="F126" s="1807"/>
      <c r="G126" s="149"/>
    </row>
    <row r="127" spans="1:11" customFormat="1" ht="13.7" customHeight="1">
      <c r="A127" s="132"/>
      <c r="B127" s="674"/>
      <c r="C127" s="10"/>
      <c r="D127" s="1807"/>
      <c r="E127" s="1807"/>
      <c r="F127" s="1807"/>
      <c r="G127" s="149"/>
    </row>
    <row r="128" spans="1:11" customFormat="1" ht="13.7" customHeight="1">
      <c r="A128" s="378"/>
      <c r="B128" s="378"/>
      <c r="C128" s="10"/>
      <c r="D128" s="1807"/>
      <c r="E128" s="1807"/>
      <c r="F128" s="1807"/>
      <c r="G128" s="149"/>
    </row>
    <row r="129" spans="1:7" s="2" customFormat="1" ht="13.7" customHeight="1">
      <c r="A129" s="273"/>
      <c r="B129" s="273"/>
      <c r="C129" s="442"/>
      <c r="D129" s="1807"/>
      <c r="E129" s="1807"/>
      <c r="F129" s="1807"/>
      <c r="G129" s="182"/>
    </row>
    <row r="130" spans="1:7" s="2" customFormat="1" ht="13.7" customHeight="1">
      <c r="A130" s="273"/>
      <c r="B130" s="273"/>
      <c r="C130" s="442"/>
      <c r="D130" s="1807"/>
      <c r="E130" s="1807"/>
      <c r="F130" s="1807"/>
      <c r="G130" s="182"/>
    </row>
    <row r="131" spans="1:7" customFormat="1" ht="13.7" customHeight="1">
      <c r="A131" s="132"/>
      <c r="B131" s="674"/>
      <c r="C131" s="10"/>
      <c r="D131" s="1807"/>
      <c r="E131" s="1807"/>
      <c r="F131" s="1807"/>
      <c r="G131" s="149"/>
    </row>
    <row r="132" spans="1:7" customFormat="1" ht="13.7" customHeight="1">
      <c r="A132" s="132"/>
      <c r="B132" s="674"/>
      <c r="C132" s="10"/>
      <c r="D132" s="1807"/>
      <c r="E132" s="1807"/>
      <c r="F132" s="1807"/>
      <c r="G132" s="149"/>
    </row>
    <row r="133" spans="1:7" customFormat="1" ht="13.7" customHeight="1">
      <c r="A133" s="132"/>
      <c r="B133" s="674"/>
      <c r="C133" s="10"/>
      <c r="D133" s="1807"/>
      <c r="E133" s="1807"/>
      <c r="F133" s="1807"/>
      <c r="G133" s="149"/>
    </row>
    <row r="134" spans="1:7" customFormat="1" ht="13.7" customHeight="1">
      <c r="A134" s="132"/>
      <c r="B134" s="674"/>
      <c r="C134" s="10"/>
      <c r="D134" s="1807"/>
      <c r="E134" s="1807"/>
      <c r="F134" s="1807"/>
      <c r="G134" s="149"/>
    </row>
    <row r="135" spans="1:7" customFormat="1" ht="13.7" customHeight="1">
      <c r="A135" s="132"/>
      <c r="B135" s="674"/>
      <c r="C135" s="10"/>
      <c r="D135" s="327"/>
      <c r="E135" s="151"/>
      <c r="F135" s="151"/>
      <c r="G135" s="149"/>
    </row>
    <row r="136" spans="1:7" s="715" customFormat="1" ht="13.7" customHeight="1">
      <c r="A136" s="703"/>
      <c r="B136" s="716" t="s">
        <v>315</v>
      </c>
      <c r="C136" s="10"/>
      <c r="D136" s="1805" t="s">
        <v>1369</v>
      </c>
      <c r="E136" s="1805"/>
      <c r="F136" s="1805"/>
      <c r="G136" s="149"/>
    </row>
    <row r="137" spans="1:7" s="715" customFormat="1" ht="13.7" customHeight="1">
      <c r="A137" s="703"/>
      <c r="B137" s="703"/>
      <c r="C137" s="10"/>
      <c r="D137" s="1805"/>
      <c r="E137" s="1805"/>
      <c r="F137" s="1805"/>
      <c r="G137" s="149"/>
    </row>
    <row r="138" spans="1:7" s="715" customFormat="1" ht="13.7" customHeight="1">
      <c r="A138" s="703"/>
      <c r="B138" s="703"/>
      <c r="C138" s="10"/>
      <c r="D138" s="1805"/>
      <c r="E138" s="1805"/>
      <c r="F138" s="1805"/>
      <c r="G138" s="149"/>
    </row>
    <row r="139" spans="1:7" s="715" customFormat="1" ht="13.7" customHeight="1">
      <c r="A139" s="703"/>
      <c r="B139" s="703"/>
      <c r="C139" s="10"/>
      <c r="D139" s="1805"/>
      <c r="E139" s="1805"/>
      <c r="F139" s="1805"/>
      <c r="G139" s="149"/>
    </row>
    <row r="140" spans="1:7" s="715" customFormat="1" ht="13.7" customHeight="1">
      <c r="A140" s="703"/>
      <c r="B140" s="703"/>
      <c r="C140" s="10"/>
      <c r="D140" s="1805"/>
      <c r="E140" s="1805"/>
      <c r="F140" s="1805"/>
      <c r="G140" s="149"/>
    </row>
    <row r="141" spans="1:7" s="715" customFormat="1" ht="13.7" customHeight="1">
      <c r="A141" s="703"/>
      <c r="B141" s="703"/>
      <c r="C141" s="10"/>
      <c r="D141" s="1805"/>
      <c r="E141" s="1805"/>
      <c r="F141" s="1805"/>
      <c r="G141" s="149"/>
    </row>
    <row r="142" spans="1:7" s="715" customFormat="1" ht="13.7" customHeight="1">
      <c r="A142" s="703"/>
      <c r="B142" s="703"/>
      <c r="C142" s="10"/>
      <c r="D142" s="1805"/>
      <c r="E142" s="1805"/>
      <c r="F142" s="1805"/>
      <c r="G142" s="149"/>
    </row>
    <row r="143" spans="1:7" s="715" customFormat="1" ht="13.7" customHeight="1">
      <c r="A143" s="703"/>
      <c r="B143" s="703"/>
      <c r="C143" s="10"/>
      <c r="D143" s="1805"/>
      <c r="E143" s="1805"/>
      <c r="F143" s="1805"/>
      <c r="G143" s="149"/>
    </row>
    <row r="144" spans="1:7" s="715" customFormat="1" ht="13.7" customHeight="1">
      <c r="A144" s="703"/>
      <c r="B144" s="703"/>
      <c r="C144" s="10"/>
      <c r="D144" s="1805"/>
      <c r="E144" s="1805"/>
      <c r="F144" s="1805"/>
      <c r="G144" s="149"/>
    </row>
    <row r="145" spans="1:7" s="715" customFormat="1" ht="13.7" customHeight="1">
      <c r="A145" s="703"/>
      <c r="B145" s="703"/>
      <c r="C145" s="10"/>
      <c r="D145" s="1805"/>
      <c r="E145" s="1805"/>
      <c r="F145" s="1805"/>
      <c r="G145" s="149"/>
    </row>
    <row r="146" spans="1:7" s="715" customFormat="1" ht="13.7" customHeight="1">
      <c r="A146" s="745"/>
      <c r="B146" s="745"/>
      <c r="C146" s="10"/>
      <c r="D146" s="1805"/>
      <c r="E146" s="1805"/>
      <c r="F146" s="1805"/>
      <c r="G146" s="149"/>
    </row>
    <row r="147" spans="1:7" s="715" customFormat="1" ht="13.7" customHeight="1">
      <c r="A147" s="745"/>
      <c r="B147" s="745"/>
      <c r="C147" s="10"/>
      <c r="D147" s="1805"/>
      <c r="E147" s="1805"/>
      <c r="F147" s="1805"/>
      <c r="G147" s="149"/>
    </row>
    <row r="148" spans="1:7" s="715" customFormat="1" ht="13.7" customHeight="1">
      <c r="A148" s="703"/>
      <c r="B148" s="703"/>
      <c r="C148" s="10"/>
      <c r="D148" s="1805"/>
      <c r="E148" s="1805"/>
      <c r="F148" s="1805"/>
      <c r="G148" s="149"/>
    </row>
    <row r="149" spans="1:7" s="715" customFormat="1" ht="13.7" customHeight="1">
      <c r="A149" s="703"/>
      <c r="B149" s="703"/>
      <c r="C149" s="10"/>
      <c r="D149" s="1805"/>
      <c r="E149" s="1805"/>
      <c r="F149" s="1805"/>
      <c r="G149" s="149"/>
    </row>
    <row r="150" spans="1:7" s="715" customFormat="1" ht="13.7" customHeight="1">
      <c r="A150" s="703"/>
      <c r="B150" s="703"/>
      <c r="C150" s="10"/>
      <c r="D150" s="1805"/>
      <c r="E150" s="1805"/>
      <c r="F150" s="1805"/>
      <c r="G150" s="149"/>
    </row>
    <row r="151" spans="1:7" s="715" customFormat="1" ht="13.7" customHeight="1">
      <c r="A151" s="703"/>
      <c r="B151" s="703"/>
      <c r="C151" s="10"/>
      <c r="D151" s="1805"/>
      <c r="E151" s="1805"/>
      <c r="F151" s="1805"/>
      <c r="G151" s="149"/>
    </row>
    <row r="152" spans="1:7" s="715" customFormat="1" ht="13.7" customHeight="1">
      <c r="A152" s="703"/>
      <c r="B152" s="703"/>
      <c r="C152" s="10"/>
      <c r="D152" s="1805"/>
      <c r="E152" s="1805"/>
      <c r="F152" s="1805"/>
      <c r="G152" s="149"/>
    </row>
    <row r="153" spans="1:7" s="715" customFormat="1" ht="13.7" customHeight="1">
      <c r="A153" s="703"/>
      <c r="B153" s="703"/>
      <c r="C153" s="10"/>
      <c r="D153" s="1805"/>
      <c r="E153" s="1805"/>
      <c r="F153" s="1805"/>
      <c r="G153" s="149"/>
    </row>
    <row r="154" spans="1:7" s="715" customFormat="1" ht="13.7" customHeight="1">
      <c r="A154" s="703"/>
      <c r="B154" s="703"/>
      <c r="C154" s="10"/>
      <c r="D154" s="1805"/>
      <c r="E154" s="1805"/>
      <c r="F154" s="1805"/>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65" t="s">
        <v>1262</v>
      </c>
      <c r="E156" s="1865"/>
      <c r="F156" s="1865"/>
      <c r="G156" s="444"/>
    </row>
    <row r="157" spans="1:7" customFormat="1" ht="13.7" customHeight="1">
      <c r="A157" s="378"/>
      <c r="B157" s="378"/>
      <c r="C157" s="325"/>
      <c r="D157" s="1865"/>
      <c r="E157" s="1865"/>
      <c r="F157" s="1865"/>
      <c r="G157" s="444"/>
    </row>
    <row r="158" spans="1:7" customFormat="1" ht="13.7" customHeight="1">
      <c r="A158" s="378"/>
      <c r="B158" s="378"/>
      <c r="C158" s="325"/>
      <c r="D158" s="327"/>
      <c r="E158" s="325"/>
      <c r="F158" s="325"/>
      <c r="G158" s="444"/>
    </row>
    <row r="159" spans="1:7" customFormat="1" ht="13.7" customHeight="1">
      <c r="A159" s="378"/>
      <c r="B159" s="677" t="s">
        <v>315</v>
      </c>
      <c r="C159" s="325"/>
      <c r="D159" s="1808" t="s">
        <v>1263</v>
      </c>
      <c r="E159" s="1808"/>
      <c r="F159" s="1808"/>
      <c r="G159" s="444"/>
    </row>
    <row r="160" spans="1:7" customFormat="1" ht="13.7" customHeight="1">
      <c r="A160" s="378"/>
      <c r="B160" s="378"/>
      <c r="C160" s="325"/>
      <c r="D160" s="1808"/>
      <c r="E160" s="1808"/>
      <c r="F160" s="1808"/>
      <c r="G160" s="444"/>
    </row>
    <row r="161" spans="1:7" customFormat="1" ht="13.7" customHeight="1">
      <c r="A161" s="378"/>
      <c r="B161" s="378"/>
      <c r="C161" s="325"/>
      <c r="D161" s="1808"/>
      <c r="E161" s="1808"/>
      <c r="F161" s="1808"/>
      <c r="G161" s="444"/>
    </row>
    <row r="162" spans="1:7" customFormat="1" ht="13.7" customHeight="1">
      <c r="A162" s="378"/>
      <c r="B162" s="378"/>
      <c r="C162" s="325"/>
      <c r="D162" s="1808"/>
      <c r="E162" s="1808"/>
      <c r="F162" s="1808"/>
      <c r="G162" s="444"/>
    </row>
    <row r="163" spans="1:7" customFormat="1" ht="13.7" customHeight="1">
      <c r="A163" s="132"/>
      <c r="B163" s="674"/>
      <c r="C163" s="10"/>
      <c r="D163" s="151"/>
      <c r="E163" s="151"/>
      <c r="F163" s="151"/>
      <c r="G163" s="149"/>
    </row>
    <row r="164" spans="1:7" customFormat="1" ht="13.7" customHeight="1">
      <c r="A164" s="132"/>
      <c r="B164" s="677" t="s">
        <v>315</v>
      </c>
      <c r="C164" s="10"/>
      <c r="D164" s="1853" t="s">
        <v>1264</v>
      </c>
      <c r="E164" s="1853"/>
      <c r="F164" s="1853"/>
      <c r="G164" s="149"/>
    </row>
    <row r="165" spans="1:7" customFormat="1" ht="13.7" customHeight="1">
      <c r="A165" s="132"/>
      <c r="B165" s="674"/>
      <c r="C165" s="10"/>
      <c r="D165" s="1853"/>
      <c r="E165" s="1853"/>
      <c r="F165" s="1853"/>
      <c r="G165" s="149"/>
    </row>
    <row r="166" spans="1:7" customFormat="1" ht="13.7" customHeight="1">
      <c r="A166" s="132"/>
      <c r="B166" s="674"/>
      <c r="C166" s="10"/>
      <c r="D166" s="1853"/>
      <c r="E166" s="1853"/>
      <c r="F166" s="1853"/>
      <c r="G166" s="149"/>
    </row>
    <row r="167" spans="1:7" customFormat="1" ht="13.7" customHeight="1">
      <c r="A167" s="23"/>
      <c r="B167" s="673"/>
      <c r="C167" s="10"/>
      <c r="D167" s="7"/>
      <c r="E167" s="151"/>
      <c r="F167" s="151"/>
      <c r="G167" s="149"/>
    </row>
    <row r="168" spans="1:7">
      <c r="A168" s="1831" t="s">
        <v>1158</v>
      </c>
      <c r="B168" s="1831"/>
      <c r="C168" s="1831"/>
      <c r="D168" s="1831"/>
      <c r="E168" s="1831"/>
      <c r="F168" s="1831"/>
      <c r="G168" s="1831"/>
    </row>
    <row r="169" spans="1:7" ht="12" customHeight="1">
      <c r="D169" s="135"/>
      <c r="E169" s="135"/>
      <c r="F169" s="135"/>
    </row>
    <row r="170" spans="1:7">
      <c r="B170" s="1827" t="s">
        <v>469</v>
      </c>
      <c r="C170" s="1827"/>
      <c r="D170" s="1827"/>
      <c r="E170" s="1827"/>
      <c r="F170" s="1827"/>
    </row>
    <row r="171" spans="1:7" ht="12" customHeight="1">
      <c r="A171" s="255"/>
      <c r="B171" s="671"/>
      <c r="C171" s="255"/>
    </row>
    <row r="172" spans="1:7">
      <c r="A172" s="1831" t="s">
        <v>1159</v>
      </c>
      <c r="B172" s="1831"/>
      <c r="C172" s="1831"/>
      <c r="D172" s="1831"/>
      <c r="E172" s="1831"/>
      <c r="F172" s="1831"/>
      <c r="G172" s="1831"/>
    </row>
    <row r="173" spans="1:7" ht="12" customHeight="1">
      <c r="A173" s="264"/>
      <c r="B173" s="264"/>
      <c r="C173" s="265"/>
      <c r="D173" s="57"/>
      <c r="E173" s="49"/>
      <c r="F173" s="57"/>
      <c r="G173" s="57"/>
    </row>
    <row r="174" spans="1:7" ht="13.15" customHeight="1">
      <c r="A174" s="264"/>
      <c r="B174" s="264"/>
      <c r="C174" s="265"/>
      <c r="D174" s="1867" t="s">
        <v>1267</v>
      </c>
      <c r="E174" s="1867"/>
      <c r="F174" s="1867"/>
      <c r="G174" s="57"/>
    </row>
    <row r="175" spans="1:7">
      <c r="A175" s="264"/>
      <c r="B175" s="264"/>
      <c r="C175" s="265"/>
      <c r="D175" s="1867"/>
      <c r="E175" s="1867"/>
      <c r="F175" s="1867"/>
      <c r="G175" s="57"/>
    </row>
    <row r="176" spans="1:7" s="717" customFormat="1">
      <c r="A176" s="719"/>
      <c r="B176" s="719"/>
      <c r="C176" s="265"/>
      <c r="D176" s="1868" t="s">
        <v>1268</v>
      </c>
      <c r="E176" s="1868"/>
      <c r="F176" s="1868"/>
      <c r="G176" s="57"/>
    </row>
    <row r="177" spans="1:7" ht="12" customHeight="1">
      <c r="A177" s="264"/>
      <c r="B177" s="264"/>
      <c r="C177" s="265"/>
      <c r="D177" s="57"/>
      <c r="E177" s="49"/>
      <c r="F177" s="57"/>
      <c r="G177" s="57"/>
    </row>
    <row r="178" spans="1:7" ht="14.25">
      <c r="A178" s="261"/>
      <c r="B178" s="677" t="s">
        <v>315</v>
      </c>
      <c r="C178" s="265"/>
      <c r="D178" s="1866" t="s">
        <v>1266</v>
      </c>
      <c r="E178" s="1866"/>
      <c r="F178" s="1866"/>
      <c r="G178" s="57"/>
    </row>
    <row r="179" spans="1:7" ht="14.25">
      <c r="A179" s="261"/>
      <c r="B179" s="261"/>
      <c r="C179" s="265"/>
      <c r="D179" s="1866"/>
      <c r="E179" s="1866"/>
      <c r="F179" s="1866"/>
      <c r="G179" s="57"/>
    </row>
    <row r="180" spans="1:7" ht="14.25">
      <c r="A180" s="261"/>
      <c r="B180" s="261"/>
      <c r="C180" s="265"/>
      <c r="D180" s="1866"/>
      <c r="E180" s="1866"/>
      <c r="F180" s="1866"/>
      <c r="G180" s="57"/>
    </row>
    <row r="181" spans="1:7">
      <c r="A181" s="265"/>
      <c r="B181" s="265"/>
      <c r="C181" s="265"/>
      <c r="D181" s="1866"/>
      <c r="E181" s="1866"/>
      <c r="F181" s="1866"/>
    </row>
    <row r="182" spans="1:7">
      <c r="A182" s="265"/>
      <c r="B182" s="265"/>
      <c r="C182" s="265"/>
      <c r="D182" s="404"/>
      <c r="E182" s="57"/>
      <c r="F182" s="57"/>
    </row>
    <row r="183" spans="1:7">
      <c r="A183" s="265"/>
      <c r="B183" s="265"/>
      <c r="C183" s="265"/>
      <c r="D183" s="1870" t="s">
        <v>1175</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25">
      <c r="A186" s="261"/>
      <c r="B186" s="677" t="s">
        <v>315</v>
      </c>
      <c r="C186" s="555"/>
      <c r="D186" s="1805" t="s">
        <v>1265</v>
      </c>
      <c r="E186" s="1805"/>
      <c r="F186" s="1805"/>
      <c r="G186" s="676"/>
    </row>
    <row r="187" spans="1:7" s="675" customFormat="1" ht="14.45" customHeight="1">
      <c r="A187" s="261"/>
      <c r="C187" s="555"/>
      <c r="D187" s="1805"/>
      <c r="E187" s="1805"/>
      <c r="F187" s="1805"/>
      <c r="G187" s="676"/>
    </row>
    <row r="188" spans="1:7" s="675" customFormat="1" ht="14.25">
      <c r="A188" s="261"/>
      <c r="B188" s="695"/>
      <c r="C188" s="555"/>
      <c r="D188" s="1805"/>
      <c r="E188" s="1805"/>
      <c r="F188" s="1805"/>
      <c r="G188" s="676"/>
    </row>
    <row r="189" spans="1:7" s="675" customFormat="1" ht="14.25">
      <c r="A189" s="261"/>
      <c r="B189" s="695"/>
      <c r="C189" s="555"/>
      <c r="D189" s="1805"/>
      <c r="E189" s="1805"/>
      <c r="F189" s="1805"/>
      <c r="G189" s="676"/>
    </row>
    <row r="190" spans="1:7" s="680" customFormat="1">
      <c r="A190" s="265"/>
      <c r="B190" s="265"/>
      <c r="C190" s="265"/>
      <c r="D190" s="694"/>
      <c r="E190" s="694"/>
      <c r="F190" s="694"/>
      <c r="G190" s="7"/>
    </row>
    <row r="191" spans="1:7">
      <c r="A191" s="1831" t="s">
        <v>1160</v>
      </c>
      <c r="B191" s="1831"/>
      <c r="C191" s="1831"/>
      <c r="D191" s="1831"/>
      <c r="E191" s="1831"/>
      <c r="F191" s="1831"/>
      <c r="G191" s="1831"/>
    </row>
    <row r="192" spans="1:7" ht="12" customHeight="1">
      <c r="D192" s="135"/>
      <c r="E192" s="135"/>
      <c r="F192" s="135"/>
    </row>
    <row r="193" spans="1:6">
      <c r="C193" s="262"/>
      <c r="D193" s="1869" t="s">
        <v>213</v>
      </c>
      <c r="E193" s="1869"/>
      <c r="F193" s="1869"/>
    </row>
    <row r="194" spans="1:6">
      <c r="A194" s="255"/>
      <c r="B194" s="671"/>
      <c r="C194" s="255"/>
      <c r="D194" s="1837" t="s">
        <v>1289</v>
      </c>
      <c r="E194" s="1838"/>
      <c r="F194" s="1838"/>
    </row>
    <row r="195" spans="1:6" ht="12" customHeight="1">
      <c r="A195" s="23"/>
      <c r="B195" s="673"/>
      <c r="C195" s="23"/>
    </row>
    <row r="196" spans="1:6" ht="13.15" customHeight="1">
      <c r="A196" s="23"/>
      <c r="C196" s="23"/>
      <c r="D196" s="1829" t="s">
        <v>578</v>
      </c>
      <c r="E196" s="1829"/>
      <c r="F196" s="1829"/>
    </row>
    <row r="197" spans="1:6" ht="14.25">
      <c r="A197" s="261"/>
      <c r="B197" s="677" t="s">
        <v>315</v>
      </c>
      <c r="D197" s="1805" t="s">
        <v>1283</v>
      </c>
      <c r="E197" s="1805"/>
      <c r="F197" s="1805"/>
    </row>
    <row r="198" spans="1:6" ht="14.25">
      <c r="A198" s="261"/>
      <c r="B198" s="261"/>
      <c r="D198" s="1805"/>
      <c r="E198" s="1805"/>
      <c r="F198" s="1805"/>
    </row>
    <row r="199" spans="1:6"/>
    <row r="200" spans="1:6" ht="14.25">
      <c r="A200" s="261"/>
      <c r="B200" s="677" t="s">
        <v>315</v>
      </c>
      <c r="D200" s="1805" t="s">
        <v>1284</v>
      </c>
      <c r="E200" s="1805"/>
      <c r="F200" s="1805"/>
    </row>
    <row r="201" spans="1:6" ht="14.25">
      <c r="A201" s="261"/>
      <c r="B201" s="261"/>
      <c r="D201" s="1805"/>
      <c r="E201" s="1805"/>
      <c r="F201" s="1805"/>
    </row>
    <row r="202" spans="1:6" ht="14.25">
      <c r="A202" s="261"/>
      <c r="B202" s="261"/>
      <c r="D202" s="1805"/>
      <c r="E202" s="1805"/>
      <c r="F202" s="1805"/>
    </row>
    <row r="203" spans="1:6" ht="5.0999999999999996" customHeight="1">
      <c r="A203" s="261"/>
      <c r="B203" s="261"/>
      <c r="D203" s="151"/>
      <c r="E203" s="135"/>
      <c r="F203" s="135"/>
    </row>
    <row r="204" spans="1:6" ht="14.25">
      <c r="A204" s="261"/>
      <c r="B204" s="261"/>
      <c r="D204" s="1805" t="s">
        <v>1285</v>
      </c>
      <c r="E204" s="1805"/>
      <c r="F204" s="1805"/>
    </row>
    <row r="205" spans="1:6" ht="14.25">
      <c r="A205" s="261"/>
      <c r="B205" s="261"/>
      <c r="D205" s="1805"/>
      <c r="E205" s="1805"/>
      <c r="F205" s="1805"/>
    </row>
    <row r="206" spans="1:6" ht="14.25">
      <c r="A206" s="261"/>
      <c r="B206" s="261"/>
      <c r="D206" s="1805"/>
      <c r="E206" s="1805"/>
      <c r="F206" s="1805"/>
    </row>
    <row r="207" spans="1:6" ht="14.25">
      <c r="A207" s="261"/>
      <c r="B207" s="261"/>
      <c r="D207" s="1805"/>
      <c r="E207" s="1805"/>
      <c r="F207" s="1805"/>
    </row>
    <row r="208" spans="1:6" ht="14.25">
      <c r="A208" s="261"/>
      <c r="B208" s="261"/>
      <c r="D208" s="1805"/>
      <c r="E208" s="1805"/>
      <c r="F208" s="1805"/>
    </row>
    <row r="209" spans="1:7" ht="14.25">
      <c r="A209" s="261"/>
      <c r="B209" s="261"/>
      <c r="D209" s="135"/>
      <c r="E209" s="135"/>
      <c r="F209" s="135"/>
    </row>
    <row r="210" spans="1:7" ht="14.25">
      <c r="A210" s="261"/>
      <c r="B210" s="677" t="s">
        <v>315</v>
      </c>
      <c r="D210" s="1826" t="s">
        <v>1286</v>
      </c>
      <c r="E210" s="1826"/>
      <c r="F210" s="1826"/>
    </row>
    <row r="211" spans="1:7" ht="14.25">
      <c r="A211" s="261"/>
      <c r="B211" s="261"/>
      <c r="D211" s="1826"/>
      <c r="E211" s="1826"/>
      <c r="F211" s="1826"/>
    </row>
    <row r="212" spans="1:7" ht="14.25">
      <c r="A212" s="261"/>
      <c r="B212" s="261"/>
      <c r="D212" s="1827" t="s">
        <v>962</v>
      </c>
      <c r="E212" s="1827"/>
      <c r="F212" s="1827"/>
    </row>
    <row r="213" spans="1:7" ht="14.25">
      <c r="A213" s="261"/>
      <c r="B213" s="261"/>
      <c r="D213" s="135"/>
      <c r="E213" s="135"/>
      <c r="F213" s="135"/>
    </row>
    <row r="214" spans="1:7" ht="14.45" customHeight="1">
      <c r="A214" s="261"/>
      <c r="B214" s="677" t="s">
        <v>315</v>
      </c>
      <c r="D214" s="1826" t="s">
        <v>1288</v>
      </c>
      <c r="E214" s="1826"/>
      <c r="F214" s="1826"/>
    </row>
    <row r="215" spans="1:7" ht="14.25">
      <c r="A215" s="261"/>
      <c r="B215" s="261"/>
      <c r="D215" s="1826"/>
      <c r="E215" s="1826"/>
      <c r="F215" s="1826"/>
    </row>
    <row r="216" spans="1:7" ht="14.25">
      <c r="A216" s="261"/>
      <c r="B216" s="261"/>
      <c r="D216" s="1826"/>
      <c r="E216" s="1826"/>
      <c r="F216" s="1826"/>
    </row>
    <row r="217" spans="1:7" ht="14.25">
      <c r="A217" s="261"/>
      <c r="B217" s="261"/>
      <c r="D217" s="1826"/>
      <c r="E217" s="1826"/>
      <c r="F217" s="1826"/>
    </row>
    <row r="218" spans="1:7" ht="14.25">
      <c r="A218" s="261"/>
      <c r="B218" s="261"/>
      <c r="D218" s="1826"/>
      <c r="E218" s="1826"/>
      <c r="F218" s="1826"/>
    </row>
    <row r="219" spans="1:7">
      <c r="D219" s="135"/>
      <c r="E219" s="135"/>
      <c r="F219" s="135"/>
    </row>
    <row r="220" spans="1:7" ht="14.25">
      <c r="A220" s="261"/>
      <c r="B220" s="677" t="s">
        <v>315</v>
      </c>
      <c r="D220" s="1805" t="s">
        <v>1287</v>
      </c>
      <c r="E220" s="1805"/>
      <c r="F220" s="1805"/>
    </row>
    <row r="221" spans="1:7" ht="14.25">
      <c r="A221" s="261"/>
      <c r="B221" s="261"/>
      <c r="D221" s="1805"/>
      <c r="E221" s="1805"/>
      <c r="F221" s="1805"/>
    </row>
    <row r="222" spans="1:7">
      <c r="D222" s="29"/>
    </row>
    <row r="223" spans="1:7">
      <c r="A223" s="1831" t="s">
        <v>1161</v>
      </c>
      <c r="B223" s="1831"/>
      <c r="C223" s="1831"/>
      <c r="D223" s="1831"/>
      <c r="E223" s="1831"/>
      <c r="F223" s="1831"/>
      <c r="G223" s="1831"/>
    </row>
    <row r="224" spans="1:7">
      <c r="D224" s="29"/>
    </row>
    <row r="225" spans="1:6">
      <c r="C225" s="262"/>
      <c r="D225" s="1829" t="s">
        <v>1290</v>
      </c>
      <c r="E225" s="1829"/>
      <c r="F225" s="1829"/>
    </row>
    <row r="226" spans="1:6">
      <c r="A226" s="255"/>
      <c r="B226" s="671"/>
      <c r="C226" s="255"/>
      <c r="D226" s="135"/>
      <c r="E226" s="135"/>
      <c r="F226" s="135"/>
    </row>
    <row r="227" spans="1:6">
      <c r="A227" s="260"/>
      <c r="B227" s="260"/>
      <c r="C227" s="260"/>
      <c r="D227" s="1829" t="s">
        <v>274</v>
      </c>
      <c r="E227" s="1829"/>
      <c r="F227" s="1829"/>
    </row>
    <row r="228" spans="1:6" ht="14.25">
      <c r="A228" s="261"/>
      <c r="B228" s="677" t="s">
        <v>315</v>
      </c>
      <c r="D228" s="1879" t="s">
        <v>1291</v>
      </c>
      <c r="E228" s="1879"/>
      <c r="F228" s="1879"/>
    </row>
    <row r="229" spans="1:6" ht="14.25">
      <c r="A229" s="261"/>
      <c r="B229" s="261"/>
      <c r="D229" s="1879"/>
      <c r="E229" s="1879"/>
      <c r="F229" s="1879"/>
    </row>
    <row r="230" spans="1:6">
      <c r="D230" s="135"/>
      <c r="E230" s="135"/>
      <c r="F230" s="135"/>
    </row>
    <row r="231" spans="1:6" ht="14.45" customHeight="1">
      <c r="A231" s="261"/>
      <c r="B231" s="677" t="s">
        <v>315</v>
      </c>
      <c r="D231" s="1826" t="s">
        <v>1292</v>
      </c>
      <c r="E231" s="1826"/>
      <c r="F231" s="1826"/>
    </row>
    <row r="232" spans="1:6">
      <c r="D232" s="1826"/>
      <c r="E232" s="1826"/>
      <c r="F232" s="1826"/>
    </row>
    <row r="233" spans="1:6">
      <c r="D233" s="1838" t="s">
        <v>953</v>
      </c>
      <c r="E233" s="1838"/>
      <c r="F233" s="1838"/>
    </row>
    <row r="234" spans="1:6">
      <c r="D234" s="135"/>
      <c r="E234" s="135"/>
      <c r="F234" s="135"/>
    </row>
    <row r="235" spans="1:6" ht="14.45" customHeight="1">
      <c r="A235" s="261"/>
      <c r="B235" s="677" t="s">
        <v>315</v>
      </c>
      <c r="D235" s="1826" t="s">
        <v>1294</v>
      </c>
      <c r="E235" s="1826"/>
      <c r="F235" s="1826"/>
    </row>
    <row r="236" spans="1:6">
      <c r="D236" s="1826"/>
      <c r="E236" s="1826"/>
      <c r="F236" s="1826"/>
    </row>
    <row r="237" spans="1:6">
      <c r="D237" s="1826"/>
      <c r="E237" s="1826"/>
      <c r="F237" s="1826"/>
    </row>
    <row r="238" spans="1:6">
      <c r="D238" s="1826"/>
      <c r="E238" s="1826"/>
      <c r="F238" s="1826"/>
    </row>
    <row r="239" spans="1:6">
      <c r="D239" s="1826"/>
      <c r="E239" s="1826"/>
      <c r="F239" s="1826"/>
    </row>
    <row r="240" spans="1:6">
      <c r="D240" s="135"/>
      <c r="E240" s="135"/>
      <c r="F240" s="135"/>
    </row>
    <row r="241" spans="1:7" ht="14.25">
      <c r="A241" s="261"/>
      <c r="B241" s="677" t="s">
        <v>315</v>
      </c>
      <c r="D241" s="1805" t="s">
        <v>1293</v>
      </c>
      <c r="E241" s="1805"/>
      <c r="F241" s="1805"/>
    </row>
    <row r="242" spans="1:7">
      <c r="D242" s="1805"/>
      <c r="E242" s="1805"/>
      <c r="F242" s="1805"/>
    </row>
    <row r="243" spans="1:7">
      <c r="D243" s="1805"/>
      <c r="E243" s="1805"/>
      <c r="F243" s="1805"/>
    </row>
    <row r="244" spans="1:7">
      <c r="D244" s="263"/>
      <c r="E244" s="135"/>
      <c r="F244" s="135"/>
    </row>
    <row r="245" spans="1:7">
      <c r="A245" s="1831" t="s">
        <v>1162</v>
      </c>
      <c r="B245" s="1831"/>
      <c r="C245" s="1831"/>
      <c r="D245" s="1831"/>
      <c r="E245" s="1831"/>
      <c r="F245" s="1831"/>
      <c r="G245" s="1831"/>
    </row>
    <row r="246" spans="1:7">
      <c r="D246" s="263"/>
      <c r="E246" s="135"/>
      <c r="F246" s="135"/>
    </row>
    <row r="247" spans="1:7">
      <c r="C247" s="255"/>
      <c r="D247" s="1847" t="s">
        <v>1295</v>
      </c>
      <c r="E247" s="1847"/>
      <c r="F247" s="1847"/>
    </row>
    <row r="248" spans="1:7">
      <c r="C248" s="255"/>
      <c r="D248" s="1847"/>
      <c r="E248" s="1847"/>
      <c r="F248" s="1847"/>
    </row>
    <row r="249" spans="1:7">
      <c r="A249" s="260"/>
      <c r="B249" s="260"/>
      <c r="C249" s="260"/>
      <c r="D249" s="5"/>
      <c r="E249" s="6"/>
      <c r="F249" s="6"/>
    </row>
    <row r="250" spans="1:7">
      <c r="C250" s="260"/>
      <c r="D250" s="1829" t="s">
        <v>214</v>
      </c>
      <c r="E250" s="1829"/>
      <c r="F250" s="1829"/>
    </row>
    <row r="251" spans="1:7" ht="15.75" customHeight="1">
      <c r="A251" s="261"/>
      <c r="B251" s="261"/>
      <c r="D251" s="1835" t="s">
        <v>1296</v>
      </c>
      <c r="E251" s="1835"/>
      <c r="F251" s="1835"/>
    </row>
    <row r="252" spans="1:7">
      <c r="E252" s="135"/>
      <c r="F252" s="135"/>
    </row>
    <row r="253" spans="1:7" ht="14.25">
      <c r="A253" s="261"/>
      <c r="B253" s="677" t="s">
        <v>315</v>
      </c>
      <c r="D253" s="1805" t="s">
        <v>1297</v>
      </c>
      <c r="E253" s="1805"/>
      <c r="F253" s="1805"/>
    </row>
    <row r="254" spans="1:7" ht="14.25">
      <c r="A254" s="261"/>
      <c r="B254" s="261"/>
      <c r="D254" s="1805"/>
      <c r="E254" s="1805"/>
      <c r="F254" s="1805"/>
    </row>
    <row r="255" spans="1:7">
      <c r="D255" s="135"/>
      <c r="E255" s="135"/>
      <c r="F255" s="135"/>
    </row>
    <row r="256" spans="1:7" ht="14.25">
      <c r="A256" s="261"/>
      <c r="B256" s="677" t="s">
        <v>315</v>
      </c>
      <c r="D256" s="1826" t="s">
        <v>1298</v>
      </c>
      <c r="E256" s="1826"/>
      <c r="F256" s="1826"/>
    </row>
    <row r="257" spans="1:7" ht="14.25">
      <c r="A257" s="261"/>
      <c r="B257" s="261"/>
      <c r="D257" s="1826"/>
      <c r="E257" s="1826"/>
      <c r="F257" s="1826"/>
    </row>
    <row r="258" spans="1:7" ht="14.25">
      <c r="A258" s="261"/>
      <c r="B258" s="261"/>
      <c r="D258" s="1826"/>
      <c r="E258" s="1826"/>
      <c r="F258" s="1826"/>
    </row>
    <row r="259" spans="1:7">
      <c r="D259" s="135"/>
      <c r="E259" s="135"/>
      <c r="F259" s="135"/>
    </row>
    <row r="260" spans="1:7" ht="14.25">
      <c r="A260" s="261"/>
      <c r="B260" s="677" t="s">
        <v>315</v>
      </c>
      <c r="D260" s="1805" t="s">
        <v>1299</v>
      </c>
      <c r="E260" s="1805"/>
      <c r="F260" s="1805"/>
    </row>
    <row r="261" spans="1:7" ht="14.25">
      <c r="A261" s="261"/>
      <c r="B261" s="261"/>
      <c r="D261" s="1805"/>
      <c r="E261" s="1805"/>
      <c r="F261" s="1805"/>
    </row>
    <row r="262" spans="1:7">
      <c r="A262" s="23"/>
      <c r="B262" s="673"/>
      <c r="E262" s="135"/>
      <c r="F262" s="135"/>
    </row>
    <row r="263" spans="1:7">
      <c r="A263" s="1831" t="s">
        <v>1163</v>
      </c>
      <c r="B263" s="1831"/>
      <c r="C263" s="1831"/>
      <c r="D263" s="1831"/>
      <c r="E263" s="1831"/>
      <c r="F263" s="1831"/>
      <c r="G263" s="1831"/>
    </row>
    <row r="264" spans="1:7">
      <c r="A264" s="23"/>
      <c r="B264" s="673"/>
      <c r="D264" s="135"/>
      <c r="E264" s="135"/>
      <c r="F264" s="135"/>
    </row>
    <row r="265" spans="1:7">
      <c r="C265" s="23"/>
      <c r="D265" s="1829" t="s">
        <v>718</v>
      </c>
      <c r="E265" s="1829"/>
      <c r="F265" s="1829"/>
    </row>
    <row r="266" spans="1:7">
      <c r="C266" s="23"/>
      <c r="D266" s="1830" t="s">
        <v>1300</v>
      </c>
      <c r="E266" s="1830"/>
      <c r="F266" s="1830"/>
    </row>
    <row r="267" spans="1:7">
      <c r="C267" s="23"/>
      <c r="D267" s="259"/>
    </row>
    <row r="268" spans="1:7">
      <c r="A268" s="273"/>
      <c r="B268" s="677" t="s">
        <v>315</v>
      </c>
      <c r="D268" s="1830" t="s">
        <v>1301</v>
      </c>
      <c r="E268" s="1830"/>
      <c r="F268" s="1830"/>
    </row>
    <row r="269" spans="1:7" s="39" customFormat="1" ht="14.25">
      <c r="A269" s="403"/>
      <c r="B269" s="403"/>
      <c r="C269" s="273"/>
      <c r="D269" s="495"/>
      <c r="E269" s="496"/>
      <c r="F269" s="496"/>
      <c r="G269" s="130"/>
    </row>
    <row r="270" spans="1:7" s="39" customFormat="1" ht="13.15" customHeight="1">
      <c r="A270" s="273"/>
      <c r="B270" s="677" t="s">
        <v>315</v>
      </c>
      <c r="C270" s="273"/>
      <c r="D270" s="1880" t="s">
        <v>1302</v>
      </c>
      <c r="E270" s="1880"/>
      <c r="F270" s="1880"/>
      <c r="G270" s="130"/>
    </row>
    <row r="271" spans="1:7" s="39" customFormat="1" ht="14.25">
      <c r="A271" s="403"/>
      <c r="B271" s="403"/>
      <c r="C271" s="273"/>
      <c r="D271" s="1880"/>
      <c r="E271" s="1880"/>
      <c r="F271" s="1880"/>
      <c r="G271" s="130"/>
    </row>
    <row r="272" spans="1:7" s="39" customFormat="1" ht="14.25">
      <c r="A272" s="403"/>
      <c r="B272" s="403"/>
      <c r="C272" s="273"/>
      <c r="D272" s="1880"/>
      <c r="E272" s="1880"/>
      <c r="F272" s="1880"/>
      <c r="G272" s="130"/>
    </row>
    <row r="273" spans="1:7" s="39" customFormat="1" ht="14.25">
      <c r="A273" s="403"/>
      <c r="B273" s="403"/>
      <c r="C273" s="273"/>
      <c r="D273" s="1880"/>
      <c r="E273" s="1880"/>
      <c r="F273" s="1880"/>
      <c r="G273" s="130"/>
    </row>
    <row r="274" spans="1:7" s="39" customFormat="1" ht="14.25">
      <c r="A274" s="403"/>
      <c r="B274" s="403"/>
      <c r="C274" s="273"/>
      <c r="D274" s="1880"/>
      <c r="E274" s="1880"/>
      <c r="F274" s="1880"/>
      <c r="G274" s="130"/>
    </row>
    <row r="275" spans="1:7" s="39" customFormat="1" ht="14.25">
      <c r="A275" s="403"/>
      <c r="B275" s="403"/>
      <c r="C275" s="273"/>
      <c r="D275" s="495"/>
      <c r="E275" s="496"/>
      <c r="F275" s="496"/>
      <c r="G275" s="130"/>
    </row>
    <row r="276" spans="1:7" s="39" customFormat="1" ht="13.15" customHeight="1">
      <c r="A276" s="273"/>
      <c r="B276" s="677" t="s">
        <v>315</v>
      </c>
      <c r="C276" s="273"/>
      <c r="D276" s="1880" t="s">
        <v>1303</v>
      </c>
      <c r="E276" s="1880"/>
      <c r="F276" s="1880"/>
      <c r="G276" s="130"/>
    </row>
    <row r="277" spans="1:7" s="39" customFormat="1">
      <c r="A277" s="273"/>
      <c r="B277" s="273"/>
      <c r="C277" s="273"/>
      <c r="D277" s="1880"/>
      <c r="E277" s="1880"/>
      <c r="F277" s="1880"/>
      <c r="G277" s="130"/>
    </row>
    <row r="278" spans="1:7" s="39" customFormat="1" ht="14.25">
      <c r="A278" s="403"/>
      <c r="B278" s="403"/>
      <c r="C278" s="273"/>
      <c r="D278" s="495"/>
      <c r="E278" s="496"/>
      <c r="F278" s="496"/>
      <c r="G278" s="130"/>
    </row>
    <row r="279" spans="1:7">
      <c r="A279" s="273"/>
      <c r="B279" s="677" t="s">
        <v>315</v>
      </c>
      <c r="D279" s="1830" t="s">
        <v>1304</v>
      </c>
      <c r="E279" s="1830"/>
      <c r="F279" s="1830"/>
    </row>
    <row r="280" spans="1:7">
      <c r="E280" s="135"/>
      <c r="F280" s="135"/>
    </row>
    <row r="281" spans="1:7" ht="14.25">
      <c r="A281" s="261"/>
      <c r="B281" s="677" t="s">
        <v>315</v>
      </c>
      <c r="D281" s="1826" t="s">
        <v>1305</v>
      </c>
      <c r="E281" s="1826"/>
      <c r="F281" s="1826"/>
    </row>
    <row r="282" spans="1:7" ht="14.25">
      <c r="A282" s="261"/>
      <c r="B282" s="261"/>
      <c r="D282" s="1826"/>
      <c r="E282" s="1826"/>
      <c r="F282" s="1826"/>
    </row>
    <row r="283" spans="1:7" s="717" customFormat="1" ht="14.25">
      <c r="A283" s="712"/>
      <c r="B283" s="712"/>
      <c r="C283" s="729"/>
      <c r="D283" s="1826"/>
      <c r="E283" s="1826"/>
      <c r="F283" s="1826"/>
      <c r="G283" s="7"/>
    </row>
    <row r="284" spans="1:7" s="717" customFormat="1" ht="14.25">
      <c r="A284" s="712"/>
      <c r="B284" s="712"/>
      <c r="C284" s="729"/>
      <c r="D284" s="1826"/>
      <c r="E284" s="1826"/>
      <c r="F284" s="1826"/>
      <c r="G284" s="7"/>
    </row>
    <row r="285" spans="1:7" s="717" customFormat="1" ht="14.25">
      <c r="A285" s="712"/>
      <c r="B285" s="712"/>
      <c r="C285" s="729"/>
      <c r="D285" s="1826"/>
      <c r="E285" s="1826"/>
      <c r="F285" s="1826"/>
      <c r="G285" s="7"/>
    </row>
    <row r="286" spans="1:7" s="717" customFormat="1" ht="14.25">
      <c r="A286" s="712"/>
      <c r="B286" s="712"/>
      <c r="C286" s="729"/>
      <c r="D286" s="1826"/>
      <c r="E286" s="1826"/>
      <c r="F286" s="1826"/>
      <c r="G286" s="7"/>
    </row>
    <row r="287" spans="1:7" s="717" customFormat="1" ht="14.25">
      <c r="A287" s="712"/>
      <c r="B287" s="712"/>
      <c r="C287" s="729"/>
      <c r="D287" s="1826"/>
      <c r="E287" s="1826"/>
      <c r="F287" s="1826"/>
      <c r="G287" s="7"/>
    </row>
    <row r="288" spans="1:7" s="717" customFormat="1" ht="14.25">
      <c r="A288" s="712"/>
      <c r="B288" s="712"/>
      <c r="C288" s="729"/>
      <c r="D288" s="1826"/>
      <c r="E288" s="1826"/>
      <c r="F288" s="1826"/>
      <c r="G288" s="7"/>
    </row>
    <row r="289" spans="1:7" s="717" customFormat="1" ht="14.25">
      <c r="A289" s="712"/>
      <c r="B289" s="712"/>
      <c r="C289" s="729"/>
      <c r="D289" s="1826"/>
      <c r="E289" s="1826"/>
      <c r="F289" s="1826"/>
      <c r="G289" s="7"/>
    </row>
    <row r="290" spans="1:7" s="717" customFormat="1" ht="14.25">
      <c r="A290" s="712"/>
      <c r="B290" s="712"/>
      <c r="C290" s="729"/>
      <c r="D290" s="1826"/>
      <c r="E290" s="1826"/>
      <c r="F290" s="1826"/>
      <c r="G290" s="7"/>
    </row>
    <row r="291" spans="1:7" s="717" customFormat="1" ht="14.25">
      <c r="A291" s="712"/>
      <c r="B291" s="712"/>
      <c r="C291" s="729"/>
      <c r="D291" s="1826"/>
      <c r="E291" s="1826"/>
      <c r="F291" s="1826"/>
      <c r="G291" s="7"/>
    </row>
    <row r="292" spans="1:7" s="717" customFormat="1" ht="14.25">
      <c r="A292" s="712"/>
      <c r="B292" s="712"/>
      <c r="C292" s="729"/>
      <c r="D292" s="1826"/>
      <c r="E292" s="1826"/>
      <c r="F292" s="1826"/>
      <c r="G292" s="7"/>
    </row>
    <row r="293" spans="1:7" ht="14.25">
      <c r="A293" s="261"/>
      <c r="B293" s="261"/>
      <c r="D293" s="1826"/>
      <c r="E293" s="1826"/>
      <c r="F293" s="1826"/>
    </row>
    <row r="294" spans="1:7" ht="14.25">
      <c r="A294" s="261"/>
      <c r="B294" s="261"/>
      <c r="D294" s="1826"/>
      <c r="E294" s="1826"/>
      <c r="F294" s="1826"/>
    </row>
    <row r="295" spans="1:7" ht="14.25">
      <c r="A295" s="261"/>
      <c r="B295" s="261"/>
      <c r="D295" s="1826"/>
      <c r="E295" s="1826"/>
      <c r="F295" s="1826"/>
    </row>
    <row r="296" spans="1:7">
      <c r="D296" s="135"/>
      <c r="E296" s="135"/>
      <c r="F296" s="135"/>
    </row>
    <row r="297" spans="1:7" ht="14.25">
      <c r="A297" s="261"/>
      <c r="B297" s="677" t="s">
        <v>315</v>
      </c>
      <c r="D297" s="1826" t="s">
        <v>1306</v>
      </c>
      <c r="E297" s="1826"/>
      <c r="F297" s="1826"/>
    </row>
    <row r="298" spans="1:7">
      <c r="D298" s="1826"/>
      <c r="E298" s="1826"/>
      <c r="F298" s="1826"/>
    </row>
    <row r="299" spans="1:7">
      <c r="D299" s="1826"/>
      <c r="E299" s="1826"/>
      <c r="F299" s="1826"/>
    </row>
    <row r="300" spans="1:7">
      <c r="D300" s="1826"/>
      <c r="E300" s="1826"/>
      <c r="F300" s="1826"/>
    </row>
    <row r="301" spans="1:7">
      <c r="D301" s="1826"/>
      <c r="E301" s="1826"/>
      <c r="F301" s="1826"/>
    </row>
    <row r="302" spans="1:7">
      <c r="D302" s="1826"/>
      <c r="E302" s="1826"/>
      <c r="F302" s="1826"/>
    </row>
    <row r="303" spans="1:7">
      <c r="D303" s="1826"/>
      <c r="E303" s="1826"/>
      <c r="F303" s="1826"/>
    </row>
    <row r="304" spans="1:7">
      <c r="D304" s="1826"/>
      <c r="E304" s="1826"/>
      <c r="F304" s="1826"/>
    </row>
    <row r="305" spans="1:7">
      <c r="D305" s="1826"/>
      <c r="E305" s="1826"/>
      <c r="F305" s="1826"/>
    </row>
    <row r="306" spans="1:7">
      <c r="D306" s="135"/>
      <c r="E306" s="135"/>
      <c r="F306" s="135"/>
    </row>
    <row r="307" spans="1:7" ht="14.25">
      <c r="A307" s="261"/>
      <c r="B307" s="677" t="s">
        <v>315</v>
      </c>
      <c r="D307" s="1805" t="s">
        <v>1307</v>
      </c>
      <c r="E307" s="1805"/>
      <c r="F307" s="1805"/>
    </row>
    <row r="308" spans="1:7">
      <c r="D308" s="1805"/>
      <c r="E308" s="1805"/>
      <c r="F308" s="1805"/>
      <c r="G308" s="12"/>
    </row>
    <row r="309" spans="1:7">
      <c r="D309" s="1805"/>
      <c r="E309" s="1805"/>
      <c r="F309" s="1805"/>
      <c r="G309" s="12"/>
    </row>
    <row r="310" spans="1:7">
      <c r="D310" s="1805"/>
      <c r="E310" s="1805"/>
      <c r="F310" s="1805"/>
      <c r="G310" s="12"/>
    </row>
    <row r="311" spans="1:7">
      <c r="D311" s="1805"/>
      <c r="E311" s="1805"/>
      <c r="F311" s="1805"/>
      <c r="G311" s="12"/>
    </row>
    <row r="312" spans="1:7">
      <c r="D312" s="1805"/>
      <c r="E312" s="1805"/>
      <c r="F312" s="1805"/>
      <c r="G312" s="12"/>
    </row>
    <row r="313" spans="1:7" s="717" customFormat="1">
      <c r="A313" s="729"/>
      <c r="B313" s="729"/>
      <c r="C313" s="729"/>
      <c r="D313" s="726"/>
      <c r="E313" s="726"/>
      <c r="F313" s="726"/>
    </row>
    <row r="314" spans="1:7" ht="13.5" thickBot="1">
      <c r="D314" s="1876" t="s">
        <v>1059</v>
      </c>
      <c r="E314" s="1876"/>
      <c r="F314" s="1876"/>
      <c r="G314" s="12"/>
    </row>
    <row r="315" spans="1:7" s="717" customFormat="1" ht="13.5" thickTop="1">
      <c r="A315" s="729"/>
      <c r="B315" s="729"/>
      <c r="C315" s="729"/>
      <c r="D315" s="1877" t="s">
        <v>1308</v>
      </c>
      <c r="E315" s="1877"/>
      <c r="F315" s="1877"/>
    </row>
    <row r="316" spans="1:7">
      <c r="A316" s="325"/>
      <c r="B316" s="325"/>
      <c r="C316" s="325"/>
      <c r="D316" s="467"/>
      <c r="E316" s="467"/>
      <c r="F316" s="135"/>
      <c r="G316" s="12"/>
    </row>
    <row r="317" spans="1:7" ht="14.25">
      <c r="A317" s="261"/>
      <c r="B317" s="677" t="s">
        <v>315</v>
      </c>
      <c r="C317" s="325"/>
      <c r="D317" s="1878" t="s">
        <v>1309</v>
      </c>
      <c r="E317" s="1878"/>
      <c r="F317" s="1878"/>
      <c r="G317" s="12"/>
    </row>
    <row r="318" spans="1:7">
      <c r="A318" s="325"/>
      <c r="B318" s="325"/>
      <c r="C318" s="325"/>
      <c r="D318" s="467"/>
      <c r="E318" s="467"/>
      <c r="F318" s="135"/>
      <c r="G318" s="12"/>
    </row>
    <row r="319" spans="1:7">
      <c r="A319" s="325"/>
      <c r="B319" s="677" t="s">
        <v>315</v>
      </c>
      <c r="C319" s="325"/>
      <c r="D319" s="1862" t="s">
        <v>1310</v>
      </c>
      <c r="E319" s="1862"/>
      <c r="F319" s="1862"/>
      <c r="G319" s="12"/>
    </row>
    <row r="320" spans="1:7">
      <c r="A320" s="325"/>
      <c r="B320" s="325"/>
      <c r="C320" s="325"/>
      <c r="D320" s="1862"/>
      <c r="E320" s="1862"/>
      <c r="F320" s="1862"/>
      <c r="G320" s="12"/>
    </row>
    <row r="321" spans="1:7">
      <c r="A321" s="325"/>
      <c r="B321" s="325"/>
      <c r="C321" s="325"/>
      <c r="D321" s="1862"/>
      <c r="E321" s="1862"/>
      <c r="F321" s="1862"/>
      <c r="G321" s="12"/>
    </row>
    <row r="322" spans="1:7">
      <c r="A322" s="325"/>
      <c r="B322" s="325"/>
      <c r="C322" s="325"/>
      <c r="D322" s="1862"/>
      <c r="E322" s="1862"/>
      <c r="F322" s="1862"/>
      <c r="G322" s="12"/>
    </row>
    <row r="323" spans="1:7" s="717" customFormat="1">
      <c r="A323" s="325"/>
      <c r="B323" s="325"/>
      <c r="C323" s="325"/>
      <c r="D323" s="1862"/>
      <c r="E323" s="1862"/>
      <c r="F323" s="1862"/>
    </row>
    <row r="324" spans="1:7" s="717" customFormat="1">
      <c r="A324" s="325"/>
      <c r="B324" s="325"/>
      <c r="C324" s="325"/>
      <c r="D324" s="1862"/>
      <c r="E324" s="1862"/>
      <c r="F324" s="1862"/>
    </row>
    <row r="325" spans="1:7" s="717" customFormat="1">
      <c r="A325" s="325"/>
      <c r="B325" s="325"/>
      <c r="C325" s="325"/>
      <c r="D325" s="1862"/>
      <c r="E325" s="1862"/>
      <c r="F325" s="1862"/>
    </row>
    <row r="326" spans="1:7" s="717" customFormat="1">
      <c r="A326" s="325"/>
      <c r="B326" s="325"/>
      <c r="C326" s="325"/>
      <c r="D326" s="1862"/>
      <c r="E326" s="1862"/>
      <c r="F326" s="1862"/>
    </row>
    <row r="327" spans="1:7">
      <c r="A327" s="325"/>
      <c r="B327" s="325"/>
      <c r="C327" s="325"/>
      <c r="D327" s="1862"/>
      <c r="E327" s="1862"/>
      <c r="F327" s="1862"/>
      <c r="G327" s="12"/>
    </row>
    <row r="328" spans="1:7">
      <c r="A328" s="325"/>
      <c r="B328" s="325"/>
      <c r="C328" s="325"/>
      <c r="D328" s="1862"/>
      <c r="E328" s="1862"/>
      <c r="F328" s="1862"/>
      <c r="G328" s="12"/>
    </row>
    <row r="329" spans="1:7">
      <c r="A329" s="325"/>
      <c r="B329" s="325"/>
      <c r="C329" s="325"/>
      <c r="D329" s="1862"/>
      <c r="E329" s="1862"/>
      <c r="F329" s="1862"/>
      <c r="G329" s="12"/>
    </row>
    <row r="330" spans="1:7">
      <c r="A330" s="325"/>
      <c r="B330" s="325"/>
      <c r="C330" s="325"/>
      <c r="D330" s="12"/>
      <c r="E330" s="467"/>
      <c r="F330" s="135"/>
      <c r="G330" s="12"/>
    </row>
    <row r="331" spans="1:7" ht="14.25">
      <c r="A331" s="261"/>
      <c r="B331" s="677" t="s">
        <v>315</v>
      </c>
      <c r="C331" s="325"/>
      <c r="D331" s="1881" t="s">
        <v>1311</v>
      </c>
      <c r="E331" s="1881"/>
      <c r="F331" s="1881"/>
      <c r="G331" s="12"/>
    </row>
    <row r="332" spans="1:7">
      <c r="A332" s="325"/>
      <c r="B332" s="325"/>
      <c r="C332" s="325"/>
      <c r="D332" s="1881"/>
      <c r="E332" s="1881"/>
      <c r="F332" s="1881"/>
      <c r="G332" s="12"/>
    </row>
    <row r="333" spans="1:7">
      <c r="A333" s="325"/>
      <c r="B333" s="325"/>
      <c r="C333" s="325"/>
      <c r="D333" s="1881"/>
      <c r="E333" s="1881"/>
      <c r="F333" s="1881"/>
      <c r="G333" s="12"/>
    </row>
    <row r="334" spans="1:7">
      <c r="A334" s="325"/>
      <c r="B334" s="325"/>
      <c r="C334" s="325"/>
      <c r="D334" s="1881"/>
      <c r="E334" s="1881"/>
      <c r="F334" s="1881"/>
      <c r="G334" s="12"/>
    </row>
    <row r="335" spans="1:7">
      <c r="A335" s="325"/>
      <c r="B335" s="325"/>
      <c r="C335" s="325"/>
      <c r="D335" s="503"/>
      <c r="E335" s="467"/>
      <c r="F335" s="135"/>
      <c r="G335" s="12"/>
    </row>
    <row r="336" spans="1:7">
      <c r="A336" s="325"/>
      <c r="B336" s="325"/>
      <c r="C336" s="325"/>
      <c r="D336" s="1881" t="s">
        <v>1312</v>
      </c>
      <c r="E336" s="1881"/>
      <c r="F336" s="1881"/>
      <c r="G336" s="12"/>
    </row>
    <row r="337" spans="1:7">
      <c r="A337" s="325"/>
      <c r="B337" s="325"/>
      <c r="C337" s="325"/>
      <c r="D337" s="1881"/>
      <c r="E337" s="1881"/>
      <c r="F337" s="1881"/>
      <c r="G337" s="12"/>
    </row>
    <row r="338" spans="1:7">
      <c r="A338" s="325"/>
      <c r="B338" s="325"/>
      <c r="C338" s="325"/>
      <c r="D338" s="1881"/>
      <c r="E338" s="1881"/>
      <c r="F338" s="1881"/>
      <c r="G338" s="12"/>
    </row>
    <row r="339" spans="1:7">
      <c r="A339" s="325"/>
      <c r="B339" s="325"/>
      <c r="C339" s="325"/>
      <c r="D339" s="1881"/>
      <c r="E339" s="1881"/>
      <c r="F339" s="1881"/>
      <c r="G339" s="12"/>
    </row>
    <row r="340" spans="1:7" ht="18" customHeight="1">
      <c r="A340" s="325"/>
      <c r="B340" s="325"/>
      <c r="C340" s="325"/>
      <c r="D340" s="1881"/>
      <c r="E340" s="1881"/>
      <c r="F340" s="1881"/>
      <c r="G340" s="12"/>
    </row>
    <row r="341" spans="1:7">
      <c r="A341" s="325"/>
      <c r="B341" s="325"/>
      <c r="C341" s="325"/>
      <c r="D341" s="1881"/>
      <c r="E341" s="1881"/>
      <c r="F341" s="1881"/>
      <c r="G341" s="12"/>
    </row>
    <row r="342" spans="1:7">
      <c r="A342" s="325"/>
      <c r="B342" s="325"/>
      <c r="C342" s="325"/>
      <c r="D342" s="1881"/>
      <c r="E342" s="1881"/>
      <c r="F342" s="1881"/>
      <c r="G342" s="12"/>
    </row>
    <row r="343" spans="1:7">
      <c r="A343" s="325"/>
      <c r="B343" s="325"/>
      <c r="C343" s="325"/>
      <c r="D343" s="1881"/>
      <c r="E343" s="1881"/>
      <c r="F343" s="1881"/>
      <c r="G343" s="12"/>
    </row>
    <row r="344" spans="1:7" ht="8.25" customHeight="1">
      <c r="A344" s="325"/>
      <c r="B344" s="325"/>
      <c r="C344" s="325"/>
      <c r="D344" s="1881"/>
      <c r="E344" s="1881"/>
      <c r="F344" s="1881"/>
      <c r="G344" s="12"/>
    </row>
    <row r="345" spans="1:7" ht="13.15" customHeight="1">
      <c r="A345" s="325"/>
      <c r="B345" s="325"/>
      <c r="C345" s="325"/>
      <c r="D345" s="1874" t="s">
        <v>1313</v>
      </c>
      <c r="E345" s="1874"/>
      <c r="F345" s="1874"/>
      <c r="G345" s="12"/>
    </row>
    <row r="346" spans="1:7">
      <c r="A346" s="325"/>
      <c r="B346" s="325"/>
      <c r="C346" s="325"/>
      <c r="D346" s="1874"/>
      <c r="E346" s="1874"/>
      <c r="F346" s="1874"/>
      <c r="G346" s="12"/>
    </row>
    <row r="347" spans="1:7">
      <c r="A347" s="325"/>
      <c r="B347" s="325"/>
      <c r="C347" s="325"/>
      <c r="D347" s="1874"/>
      <c r="E347" s="1874"/>
      <c r="F347" s="1874"/>
      <c r="G347" s="12"/>
    </row>
    <row r="348" spans="1:7" s="717" customFormat="1">
      <c r="A348" s="325"/>
      <c r="B348" s="325"/>
      <c r="C348" s="325"/>
      <c r="D348" s="1874"/>
      <c r="E348" s="1874"/>
      <c r="F348" s="1874"/>
    </row>
    <row r="349" spans="1:7" s="717" customFormat="1">
      <c r="A349" s="325"/>
      <c r="B349" s="325"/>
      <c r="C349" s="325"/>
      <c r="D349" s="1874"/>
      <c r="E349" s="1874"/>
      <c r="F349" s="1874"/>
    </row>
    <row r="350" spans="1:7" s="717" customFormat="1">
      <c r="A350" s="325"/>
      <c r="B350" s="325"/>
      <c r="C350" s="325"/>
      <c r="D350" s="1874"/>
      <c r="E350" s="1874"/>
      <c r="F350" s="1874"/>
    </row>
    <row r="351" spans="1:7" s="717" customFormat="1">
      <c r="A351" s="325"/>
      <c r="B351" s="325"/>
      <c r="C351" s="325"/>
      <c r="D351" s="1874"/>
      <c r="E351" s="1874"/>
      <c r="F351" s="1874"/>
    </row>
    <row r="352" spans="1:7" s="717" customFormat="1">
      <c r="A352" s="325"/>
      <c r="B352" s="325"/>
      <c r="C352" s="325"/>
      <c r="D352" s="1874"/>
      <c r="E352" s="1874"/>
      <c r="F352" s="1874"/>
    </row>
    <row r="353" spans="1:7">
      <c r="A353" s="325"/>
      <c r="B353" s="325"/>
      <c r="C353" s="325"/>
      <c r="D353" s="1874"/>
      <c r="E353" s="1874"/>
      <c r="F353" s="1874"/>
      <c r="G353" s="12"/>
    </row>
    <row r="354" spans="1:7">
      <c r="A354" s="325"/>
      <c r="B354" s="325"/>
      <c r="C354" s="325"/>
      <c r="D354" s="1874"/>
      <c r="E354" s="1874"/>
      <c r="F354" s="1874"/>
      <c r="G354" s="12"/>
    </row>
    <row r="355" spans="1:7">
      <c r="A355" s="325"/>
      <c r="B355" s="325"/>
      <c r="C355" s="325"/>
      <c r="D355" s="1874"/>
      <c r="E355" s="1874"/>
      <c r="F355" s="1874"/>
      <c r="G355" s="12"/>
    </row>
    <row r="356" spans="1:7">
      <c r="A356" s="325"/>
      <c r="B356" s="325"/>
      <c r="C356" s="325"/>
      <c r="D356" s="1874"/>
      <c r="E356" s="1874"/>
      <c r="F356" s="1874"/>
      <c r="G356" s="12"/>
    </row>
    <row r="357" spans="1:7">
      <c r="A357" s="325"/>
      <c r="B357" s="325"/>
      <c r="C357" s="505"/>
      <c r="D357" s="1874"/>
      <c r="E357" s="1874"/>
      <c r="F357" s="1874"/>
      <c r="G357" s="12"/>
    </row>
    <row r="358" spans="1:7">
      <c r="A358" s="325"/>
      <c r="B358" s="325"/>
      <c r="C358" s="505"/>
      <c r="D358" s="1874"/>
      <c r="E358" s="1874"/>
      <c r="F358" s="1874"/>
      <c r="G358" s="12"/>
    </row>
    <row r="359" spans="1:7">
      <c r="A359" s="325"/>
      <c r="B359" s="325"/>
      <c r="C359" s="325"/>
      <c r="D359" s="1874"/>
      <c r="E359" s="1874"/>
      <c r="F359" s="1874"/>
      <c r="G359" s="12"/>
    </row>
    <row r="360" spans="1:7">
      <c r="A360" s="325"/>
      <c r="B360" s="325"/>
      <c r="C360" s="505"/>
      <c r="D360" s="1874"/>
      <c r="E360" s="1874"/>
      <c r="F360" s="1874"/>
      <c r="G360" s="12"/>
    </row>
    <row r="361" spans="1:7">
      <c r="A361" s="325"/>
      <c r="B361" s="325"/>
      <c r="C361" s="505"/>
      <c r="D361" s="1874"/>
      <c r="E361" s="1874"/>
      <c r="F361" s="1874"/>
      <c r="G361" s="12"/>
    </row>
    <row r="362" spans="1:7">
      <c r="A362" s="325"/>
      <c r="B362" s="325"/>
      <c r="C362" s="505"/>
      <c r="D362" s="1874"/>
      <c r="E362" s="1874"/>
      <c r="F362" s="1874"/>
      <c r="G362" s="12"/>
    </row>
    <row r="363" spans="1:7">
      <c r="A363" s="325"/>
      <c r="B363" s="325"/>
      <c r="C363" s="325"/>
      <c r="D363" s="503"/>
      <c r="E363" s="467"/>
      <c r="F363" s="135"/>
      <c r="G363" s="12"/>
    </row>
    <row r="364" spans="1:7">
      <c r="A364" s="325"/>
      <c r="B364" s="677" t="s">
        <v>315</v>
      </c>
      <c r="C364" s="325"/>
      <c r="D364" s="1874" t="s">
        <v>1314</v>
      </c>
      <c r="E364" s="1874"/>
      <c r="F364" s="1874"/>
      <c r="G364" s="12"/>
    </row>
    <row r="365" spans="1:7">
      <c r="A365" s="325"/>
      <c r="B365" s="325"/>
      <c r="C365" s="325"/>
      <c r="D365" s="1874"/>
      <c r="E365" s="1874"/>
      <c r="F365" s="1874"/>
      <c r="G365" s="12"/>
    </row>
    <row r="366" spans="1:7">
      <c r="A366" s="325"/>
      <c r="B366" s="325"/>
      <c r="C366" s="325"/>
      <c r="D366" s="467"/>
      <c r="E366" s="467"/>
      <c r="F366" s="135"/>
      <c r="G366" s="12"/>
    </row>
    <row r="367" spans="1:7" ht="14.25">
      <c r="A367" s="261"/>
      <c r="B367" s="677" t="s">
        <v>315</v>
      </c>
      <c r="C367" s="325"/>
      <c r="D367" s="1862" t="s">
        <v>1315</v>
      </c>
      <c r="E367" s="1862"/>
      <c r="F367" s="1862"/>
      <c r="G367" s="12"/>
    </row>
    <row r="368" spans="1:7" ht="14.25">
      <c r="A368" s="504"/>
      <c r="B368" s="504"/>
      <c r="C368" s="325"/>
      <c r="D368" s="1862"/>
      <c r="E368" s="1862"/>
      <c r="F368" s="1862"/>
      <c r="G368" s="12"/>
    </row>
    <row r="369" spans="1:7" ht="14.25">
      <c r="A369" s="504"/>
      <c r="B369" s="504"/>
      <c r="C369" s="325"/>
      <c r="D369" s="1862"/>
      <c r="E369" s="1862"/>
      <c r="F369" s="1862"/>
      <c r="G369" s="12"/>
    </row>
    <row r="370" spans="1:7" ht="14.25">
      <c r="A370" s="504"/>
      <c r="B370" s="504"/>
      <c r="C370" s="325"/>
      <c r="D370" s="1862"/>
      <c r="E370" s="1862"/>
      <c r="F370" s="1862"/>
      <c r="G370" s="12"/>
    </row>
    <row r="371" spans="1:7" ht="14.25">
      <c r="A371" s="504"/>
      <c r="B371" s="504"/>
      <c r="C371" s="325"/>
      <c r="D371" s="1862"/>
      <c r="E371" s="1862"/>
      <c r="F371" s="1862"/>
      <c r="G371" s="12"/>
    </row>
    <row r="372" spans="1:7">
      <c r="D372" s="135"/>
      <c r="E372" s="135"/>
      <c r="F372" s="135"/>
      <c r="G372" s="12"/>
    </row>
    <row r="373" spans="1:7" ht="14.25">
      <c r="A373" s="261"/>
      <c r="B373" s="677" t="s">
        <v>315</v>
      </c>
      <c r="C373" s="266"/>
      <c r="D373" s="1805" t="s">
        <v>1316</v>
      </c>
      <c r="E373" s="1805"/>
      <c r="F373" s="1805"/>
      <c r="G373" s="12"/>
    </row>
    <row r="374" spans="1:7" ht="14.25">
      <c r="A374" s="261"/>
      <c r="B374" s="261"/>
      <c r="D374" s="1805"/>
      <c r="E374" s="1805"/>
      <c r="F374" s="1805"/>
      <c r="G374" s="12"/>
    </row>
    <row r="375" spans="1:7">
      <c r="D375" s="1805"/>
      <c r="E375" s="1805"/>
      <c r="F375" s="1805"/>
      <c r="G375" s="12"/>
    </row>
    <row r="376" spans="1:7">
      <c r="D376" s="1805"/>
      <c r="E376" s="1805"/>
      <c r="F376" s="1805"/>
      <c r="G376" s="12"/>
    </row>
    <row r="377" spans="1:7">
      <c r="D377" s="1805"/>
      <c r="E377" s="1805"/>
      <c r="F377" s="1805"/>
      <c r="G377" s="12"/>
    </row>
    <row r="378" spans="1:7">
      <c r="D378" s="1805"/>
      <c r="E378" s="1805"/>
      <c r="F378" s="1805"/>
      <c r="G378" s="12"/>
    </row>
    <row r="379" spans="1:7">
      <c r="D379" s="1805"/>
      <c r="E379" s="1805"/>
      <c r="F379" s="1805"/>
      <c r="G379" s="12"/>
    </row>
    <row r="380" spans="1:7">
      <c r="D380" s="1805"/>
      <c r="E380" s="1805"/>
      <c r="F380" s="1805"/>
      <c r="G380" s="12"/>
    </row>
    <row r="381" spans="1:7">
      <c r="D381" s="1805"/>
      <c r="E381" s="1805"/>
      <c r="F381" s="1805"/>
      <c r="G381" s="12"/>
    </row>
    <row r="382" spans="1:7">
      <c r="D382" s="1805"/>
      <c r="E382" s="1805"/>
      <c r="F382" s="1805"/>
      <c r="G382" s="12"/>
    </row>
    <row r="383" spans="1:7">
      <c r="D383" s="1805"/>
      <c r="E383" s="1805"/>
      <c r="F383" s="1805"/>
      <c r="G383" s="12"/>
    </row>
    <row r="384" spans="1:7">
      <c r="D384" s="1805"/>
      <c r="E384" s="1805"/>
      <c r="F384" s="1805"/>
      <c r="G384" s="12"/>
    </row>
    <row r="385" spans="1:7">
      <c r="D385" s="1805"/>
      <c r="E385" s="1805"/>
      <c r="F385" s="1805"/>
      <c r="G385" s="12"/>
    </row>
    <row r="386" spans="1:7">
      <c r="A386" s="12"/>
      <c r="B386" s="12"/>
      <c r="C386" s="12"/>
      <c r="D386" s="1805"/>
      <c r="E386" s="1805"/>
      <c r="F386" s="1805"/>
      <c r="G386" s="12"/>
    </row>
    <row r="387" spans="1:7">
      <c r="A387" s="12"/>
      <c r="B387" s="12"/>
      <c r="C387" s="12"/>
      <c r="D387" s="1805"/>
      <c r="E387" s="1805"/>
      <c r="F387" s="1805"/>
      <c r="G387" s="12"/>
    </row>
    <row r="388" spans="1:7">
      <c r="A388" s="12"/>
      <c r="B388" s="12"/>
      <c r="C388" s="12"/>
      <c r="D388" s="1805"/>
      <c r="E388" s="1805"/>
      <c r="F388" s="1805"/>
      <c r="G388" s="12"/>
    </row>
    <row r="389" spans="1:7">
      <c r="A389" s="12"/>
      <c r="B389" s="12"/>
      <c r="C389" s="12"/>
      <c r="D389" s="1805"/>
      <c r="E389" s="1805"/>
      <c r="F389" s="1805"/>
      <c r="G389" s="12"/>
    </row>
    <row r="390" spans="1:7">
      <c r="A390" s="12"/>
      <c r="B390" s="12"/>
      <c r="C390" s="12"/>
      <c r="D390" s="1805"/>
      <c r="E390" s="1805"/>
      <c r="F390" s="1805"/>
      <c r="G390" s="12"/>
    </row>
    <row r="391" spans="1:7">
      <c r="A391" s="12"/>
      <c r="B391" s="12"/>
      <c r="C391" s="12"/>
      <c r="D391" s="1805"/>
      <c r="E391" s="1805"/>
      <c r="F391" s="1805"/>
      <c r="G391" s="12"/>
    </row>
    <row r="392" spans="1:7">
      <c r="A392" s="12"/>
      <c r="B392" s="12"/>
      <c r="C392" s="12"/>
      <c r="D392" s="1805"/>
      <c r="E392" s="1805"/>
      <c r="F392" s="1805"/>
      <c r="G392" s="12"/>
    </row>
    <row r="393" spans="1:7">
      <c r="A393" s="12"/>
      <c r="B393" s="12"/>
      <c r="C393" s="12"/>
      <c r="D393" s="1805"/>
      <c r="E393" s="1805"/>
      <c r="F393" s="1805"/>
      <c r="G393" s="12"/>
    </row>
    <row r="394" spans="1:7">
      <c r="A394" s="12"/>
      <c r="B394" s="12"/>
      <c r="C394" s="12"/>
      <c r="D394" s="1805"/>
      <c r="E394" s="1805"/>
      <c r="F394" s="1805"/>
      <c r="G394" s="12"/>
    </row>
    <row r="395" spans="1:7">
      <c r="A395" s="12"/>
      <c r="B395" s="12"/>
      <c r="C395" s="12"/>
      <c r="D395" s="1805"/>
      <c r="E395" s="1805"/>
      <c r="F395" s="1805"/>
      <c r="G395" s="12"/>
    </row>
    <row r="396" spans="1:7">
      <c r="A396" s="12"/>
      <c r="B396" s="12"/>
      <c r="C396" s="12"/>
      <c r="D396" s="1805"/>
      <c r="E396" s="1805"/>
      <c r="F396" s="1805"/>
      <c r="G396" s="12"/>
    </row>
    <row r="397" spans="1:7">
      <c r="A397" s="12"/>
      <c r="B397" s="12"/>
      <c r="C397" s="12"/>
      <c r="D397" s="1805"/>
      <c r="E397" s="1805"/>
      <c r="F397" s="1805"/>
      <c r="G397" s="12"/>
    </row>
    <row r="398" spans="1:7">
      <c r="A398" s="12"/>
      <c r="B398" s="12"/>
      <c r="C398" s="12"/>
      <c r="D398" s="1805"/>
      <c r="E398" s="1805"/>
      <c r="F398" s="1805"/>
      <c r="G398" s="12"/>
    </row>
    <row r="399" spans="1:7">
      <c r="A399" s="12"/>
      <c r="B399" s="12"/>
      <c r="C399" s="12"/>
      <c r="D399" s="1805"/>
      <c r="E399" s="1805"/>
      <c r="F399" s="1805"/>
      <c r="G399" s="12"/>
    </row>
    <row r="400" spans="1:7">
      <c r="A400" s="12"/>
      <c r="B400" s="12"/>
      <c r="C400" s="12"/>
      <c r="D400" s="1805"/>
      <c r="E400" s="1805"/>
      <c r="F400" s="1805"/>
      <c r="G400" s="12"/>
    </row>
    <row r="401" spans="1:7">
      <c r="A401" s="12"/>
      <c r="B401" s="12"/>
      <c r="C401" s="12"/>
      <c r="D401" s="1805"/>
      <c r="E401" s="1805"/>
      <c r="F401" s="1805"/>
      <c r="G401" s="12"/>
    </row>
    <row r="402" spans="1:7" s="32" customFormat="1">
      <c r="A402" s="132"/>
      <c r="B402" s="674"/>
      <c r="C402" s="132"/>
      <c r="D402" s="1805"/>
      <c r="E402" s="1805"/>
      <c r="F402" s="1805"/>
      <c r="G402" s="30"/>
    </row>
    <row r="403" spans="1:7" s="32" customFormat="1" ht="40.700000000000003" customHeight="1">
      <c r="A403" s="132"/>
      <c r="B403" s="674"/>
      <c r="C403" s="132"/>
      <c r="D403" s="1805"/>
      <c r="E403" s="1805"/>
      <c r="F403" s="1805"/>
      <c r="G403" s="30"/>
    </row>
    <row r="404" spans="1:7" s="32" customFormat="1">
      <c r="A404" s="132"/>
      <c r="B404" s="674"/>
      <c r="C404" s="132"/>
      <c r="D404" s="135"/>
      <c r="E404" s="135"/>
      <c r="F404" s="135"/>
      <c r="G404" s="30"/>
    </row>
    <row r="405" spans="1:7" ht="14.25">
      <c r="A405" s="261"/>
      <c r="B405" s="677" t="s">
        <v>315</v>
      </c>
      <c r="C405" s="266"/>
      <c r="D405" s="1830" t="s">
        <v>1317</v>
      </c>
      <c r="E405" s="1830"/>
      <c r="F405" s="1830"/>
    </row>
    <row r="406" spans="1:7">
      <c r="D406" s="1875" t="s">
        <v>1081</v>
      </c>
      <c r="E406" s="1875"/>
      <c r="F406" s="1875"/>
    </row>
    <row r="407" spans="1:7">
      <c r="D407" s="1826" t="s">
        <v>1318</v>
      </c>
      <c r="E407" s="1826"/>
      <c r="F407" s="1826"/>
    </row>
    <row r="408" spans="1:7">
      <c r="D408" s="1826"/>
      <c r="E408" s="1826"/>
      <c r="F408" s="1826"/>
    </row>
    <row r="409" spans="1:7">
      <c r="D409" s="1826"/>
      <c r="E409" s="1826"/>
      <c r="F409" s="1826"/>
    </row>
    <row r="410" spans="1:7">
      <c r="D410" s="1826"/>
      <c r="E410" s="1826"/>
      <c r="F410" s="1826"/>
    </row>
    <row r="411" spans="1:7">
      <c r="D411" s="135"/>
      <c r="E411" s="135"/>
      <c r="F411" s="135"/>
      <c r="G411" s="12"/>
    </row>
    <row r="412" spans="1:7" ht="14.25">
      <c r="A412" s="261"/>
      <c r="B412" s="677" t="s">
        <v>315</v>
      </c>
      <c r="C412" s="266"/>
      <c r="D412" s="1805" t="s">
        <v>1319</v>
      </c>
      <c r="E412" s="1805"/>
      <c r="F412" s="1805"/>
      <c r="G412" s="12"/>
    </row>
    <row r="413" spans="1:7">
      <c r="D413" s="1805"/>
      <c r="E413" s="1805"/>
      <c r="F413" s="1805"/>
      <c r="G413" s="12"/>
    </row>
    <row r="414" spans="1:7">
      <c r="D414" s="1805"/>
      <c r="E414" s="1805"/>
      <c r="F414" s="1805"/>
      <c r="G414" s="12"/>
    </row>
    <row r="415" spans="1:7" s="717" customFormat="1">
      <c r="A415" s="729"/>
      <c r="B415" s="729"/>
      <c r="C415" s="729"/>
      <c r="D415" s="726"/>
      <c r="E415" s="726"/>
      <c r="F415" s="726"/>
    </row>
    <row r="416" spans="1:7" ht="14.25">
      <c r="B416" s="677" t="s">
        <v>315</v>
      </c>
      <c r="C416" s="261"/>
      <c r="D416" s="1826" t="s">
        <v>1320</v>
      </c>
      <c r="E416" s="1826"/>
      <c r="F416" s="1826"/>
      <c r="G416" s="12"/>
    </row>
    <row r="417" spans="1:7">
      <c r="D417" s="1826"/>
      <c r="E417" s="1826"/>
      <c r="F417" s="1826"/>
      <c r="G417" s="12"/>
    </row>
    <row r="418" spans="1:7">
      <c r="D418" s="135"/>
      <c r="E418" s="135"/>
      <c r="F418" s="135"/>
      <c r="G418" s="12"/>
    </row>
    <row r="419" spans="1:7" ht="14.25">
      <c r="B419" s="677" t="s">
        <v>315</v>
      </c>
      <c r="C419" s="261"/>
      <c r="D419" s="1826" t="s">
        <v>1321</v>
      </c>
      <c r="E419" s="1826"/>
      <c r="F419" s="1826"/>
      <c r="G419" s="12"/>
    </row>
    <row r="420" spans="1:7">
      <c r="D420" s="1826"/>
      <c r="E420" s="1826"/>
      <c r="F420" s="1826"/>
      <c r="G420" s="12"/>
    </row>
    <row r="421" spans="1:7">
      <c r="D421" s="1826"/>
      <c r="E421" s="1826"/>
      <c r="F421" s="1826"/>
      <c r="G421" s="12"/>
    </row>
    <row r="422" spans="1:7">
      <c r="D422" s="1826"/>
      <c r="E422" s="1826"/>
      <c r="F422" s="1826"/>
      <c r="G422" s="12"/>
    </row>
    <row r="423" spans="1:7">
      <c r="B423" s="677" t="s">
        <v>315</v>
      </c>
      <c r="D423" s="1826"/>
      <c r="E423" s="1826"/>
      <c r="F423" s="1826"/>
      <c r="G423" s="12"/>
    </row>
    <row r="424" spans="1:7">
      <c r="A424" s="12"/>
      <c r="B424" s="12"/>
      <c r="C424" s="12"/>
      <c r="D424" s="1826"/>
      <c r="E424" s="1826"/>
      <c r="F424" s="1826"/>
      <c r="G424" s="12"/>
    </row>
    <row r="425" spans="1:7">
      <c r="A425" s="12"/>
      <c r="C425" s="12"/>
      <c r="D425" s="1826"/>
      <c r="E425" s="1826"/>
      <c r="F425" s="1826"/>
      <c r="G425" s="12"/>
    </row>
    <row r="426" spans="1:7">
      <c r="A426" s="12"/>
      <c r="B426" s="677" t="s">
        <v>315</v>
      </c>
      <c r="C426" s="12"/>
      <c r="D426" s="1826"/>
      <c r="E426" s="1826"/>
      <c r="F426" s="1826"/>
      <c r="G426" s="12"/>
    </row>
    <row r="427" spans="1:7">
      <c r="A427" s="12"/>
      <c r="B427" s="12"/>
      <c r="C427" s="12"/>
      <c r="D427" s="1826"/>
      <c r="E427" s="1826"/>
      <c r="F427" s="1826"/>
      <c r="G427" s="12"/>
    </row>
    <row r="428" spans="1:7">
      <c r="A428" s="12"/>
      <c r="C428" s="12"/>
      <c r="D428" s="1826"/>
      <c r="E428" s="1826"/>
      <c r="F428" s="1826"/>
      <c r="G428" s="12"/>
    </row>
    <row r="429" spans="1:7">
      <c r="A429" s="12"/>
      <c r="C429" s="12"/>
      <c r="D429" s="1826"/>
      <c r="E429" s="1826"/>
      <c r="F429" s="1826"/>
      <c r="G429" s="12"/>
    </row>
    <row r="430" spans="1:7">
      <c r="A430" s="12"/>
      <c r="B430" s="677" t="s">
        <v>315</v>
      </c>
      <c r="C430" s="12"/>
      <c r="D430" s="1826"/>
      <c r="E430" s="1826"/>
      <c r="F430" s="1826"/>
      <c r="G430" s="12"/>
    </row>
    <row r="431" spans="1:7">
      <c r="A431" s="12"/>
      <c r="B431" s="12"/>
      <c r="C431" s="12"/>
      <c r="D431" s="1826"/>
      <c r="E431" s="1826"/>
      <c r="F431" s="1826"/>
      <c r="G431" s="12"/>
    </row>
    <row r="432" spans="1:7">
      <c r="A432" s="12"/>
      <c r="B432" s="677" t="s">
        <v>315</v>
      </c>
      <c r="C432" s="12"/>
      <c r="D432" s="1826"/>
      <c r="E432" s="1826"/>
      <c r="F432" s="1826"/>
      <c r="G432" s="12"/>
    </row>
    <row r="433" spans="1:7" s="717" customFormat="1">
      <c r="D433" s="727"/>
      <c r="E433" s="727"/>
      <c r="F433" s="727"/>
    </row>
    <row r="434" spans="1:7">
      <c r="A434" s="12"/>
      <c r="B434" s="716" t="s">
        <v>315</v>
      </c>
      <c r="C434" s="12"/>
      <c r="D434" s="1826" t="s">
        <v>1322</v>
      </c>
      <c r="E434" s="1826"/>
      <c r="F434" s="1826"/>
      <c r="G434" s="12"/>
    </row>
    <row r="435" spans="1:7">
      <c r="A435" s="12"/>
      <c r="B435" s="12"/>
      <c r="C435" s="12"/>
      <c r="D435" s="1826"/>
      <c r="E435" s="1826"/>
      <c r="F435" s="1826"/>
      <c r="G435" s="12"/>
    </row>
    <row r="436" spans="1:7">
      <c r="A436" s="12"/>
      <c r="B436" s="12"/>
      <c r="C436" s="12"/>
      <c r="D436" s="1826"/>
      <c r="E436" s="1826"/>
      <c r="F436" s="1826"/>
      <c r="G436" s="12"/>
    </row>
    <row r="437" spans="1:7">
      <c r="A437" s="12"/>
      <c r="B437" s="12"/>
      <c r="C437" s="12"/>
      <c r="D437" s="1826"/>
      <c r="E437" s="1826"/>
      <c r="F437" s="1826"/>
      <c r="G437" s="12"/>
    </row>
    <row r="438" spans="1:7">
      <c r="D438" s="1826"/>
      <c r="E438" s="1826"/>
      <c r="F438" s="1826"/>
    </row>
    <row r="439" spans="1:7">
      <c r="D439" s="135"/>
      <c r="E439" s="135"/>
      <c r="F439" s="135"/>
    </row>
    <row r="440" spans="1:7">
      <c r="B440" s="677" t="s">
        <v>315</v>
      </c>
      <c r="D440" s="1837" t="s">
        <v>1323</v>
      </c>
      <c r="E440" s="1837"/>
      <c r="F440" s="1837"/>
    </row>
    <row r="441" spans="1:7">
      <c r="A441" s="135"/>
      <c r="B441" s="135"/>
    </row>
    <row r="442" spans="1:7">
      <c r="A442" s="1831" t="s">
        <v>1164</v>
      </c>
      <c r="B442" s="1831"/>
      <c r="C442" s="1831"/>
      <c r="D442" s="1831"/>
      <c r="E442" s="1831"/>
      <c r="F442" s="1831"/>
      <c r="G442" s="1831"/>
    </row>
    <row r="443" spans="1:7">
      <c r="A443" s="135"/>
      <c r="B443" s="135"/>
    </row>
    <row r="444" spans="1:7">
      <c r="D444" s="1882" t="s">
        <v>947</v>
      </c>
      <c r="E444" s="1882"/>
      <c r="F444" s="1882"/>
    </row>
    <row r="445" spans="1:7" s="39" customFormat="1" ht="14.25">
      <c r="A445" s="403"/>
      <c r="B445" s="403"/>
      <c r="C445" s="273"/>
      <c r="D445" s="1883" t="s">
        <v>1324</v>
      </c>
      <c r="E445" s="1883"/>
      <c r="F445" s="1883"/>
      <c r="G445" s="130"/>
    </row>
    <row r="446" spans="1:7" s="39" customFormat="1" ht="14.25">
      <c r="A446" s="403"/>
      <c r="B446" s="403"/>
      <c r="C446" s="273"/>
      <c r="D446" s="730"/>
      <c r="E446" s="6"/>
      <c r="F446" s="6"/>
      <c r="G446" s="130"/>
    </row>
    <row r="447" spans="1:7" s="39" customFormat="1" ht="14.25">
      <c r="A447" s="261"/>
      <c r="B447" s="677" t="s">
        <v>315</v>
      </c>
      <c r="C447" s="273"/>
      <c r="D447" s="1884" t="s">
        <v>1325</v>
      </c>
      <c r="E447" s="1884"/>
      <c r="F447" s="1884"/>
      <c r="G447" s="130"/>
    </row>
    <row r="448" spans="1:7" s="39" customFormat="1" ht="14.25">
      <c r="A448" s="261"/>
      <c r="B448" s="261"/>
      <c r="C448" s="273"/>
      <c r="D448" s="1884"/>
      <c r="E448" s="1884"/>
      <c r="F448" s="1884"/>
      <c r="G448" s="130"/>
    </row>
    <row r="449" spans="1:7" s="39" customFormat="1" ht="14.25">
      <c r="A449" s="261"/>
      <c r="B449" s="261"/>
      <c r="C449" s="273"/>
      <c r="D449" s="728"/>
      <c r="E449" s="6"/>
      <c r="F449" s="6"/>
      <c r="G449" s="130"/>
    </row>
    <row r="450" spans="1:7">
      <c r="B450" s="677" t="s">
        <v>315</v>
      </c>
      <c r="D450" s="1854" t="s">
        <v>1326</v>
      </c>
      <c r="E450" s="1854"/>
      <c r="F450" s="1854"/>
    </row>
    <row r="451" spans="1:7" ht="14.25">
      <c r="A451" s="261"/>
      <c r="D451" s="1854"/>
      <c r="E451" s="1854"/>
      <c r="F451" s="1854"/>
    </row>
    <row r="452" spans="1:7" ht="14.25">
      <c r="A452" s="261"/>
      <c r="B452" s="261"/>
      <c r="D452" s="1854"/>
      <c r="E452" s="1854"/>
      <c r="F452" s="1854"/>
    </row>
    <row r="453" spans="1:7" ht="14.25">
      <c r="A453" s="261"/>
      <c r="B453" s="261"/>
      <c r="D453" s="1854"/>
      <c r="E453" s="1854"/>
      <c r="F453" s="1854"/>
    </row>
    <row r="454" spans="1:7">
      <c r="D454" s="676"/>
      <c r="E454" s="676"/>
      <c r="F454" s="676"/>
      <c r="G454" s="12"/>
    </row>
    <row r="455" spans="1:7" ht="14.25">
      <c r="A455" s="261"/>
      <c r="B455" s="677" t="s">
        <v>315</v>
      </c>
      <c r="D455" s="1807" t="s">
        <v>1327</v>
      </c>
      <c r="E455" s="1807"/>
      <c r="F455" s="1807"/>
      <c r="G455" s="12"/>
    </row>
    <row r="456" spans="1:7" ht="14.25">
      <c r="A456" s="261"/>
      <c r="B456" s="261"/>
      <c r="D456" s="1807"/>
      <c r="E456" s="1807"/>
      <c r="F456" s="1807"/>
      <c r="G456" s="12"/>
    </row>
    <row r="457" spans="1:7" ht="14.25">
      <c r="A457" s="261"/>
      <c r="D457" s="1807"/>
      <c r="E457" s="1807"/>
      <c r="F457" s="1807"/>
      <c r="G457" s="12"/>
    </row>
    <row r="458" spans="1:7" ht="14.25">
      <c r="A458" s="261"/>
      <c r="B458" s="261"/>
      <c r="D458" s="676"/>
      <c r="E458" s="676"/>
      <c r="F458" s="676"/>
      <c r="G458" s="12"/>
    </row>
    <row r="459" spans="1:7" ht="14.25">
      <c r="A459" s="261"/>
      <c r="B459" s="716" t="s">
        <v>315</v>
      </c>
      <c r="D459" s="1830" t="s">
        <v>1328</v>
      </c>
      <c r="E459" s="1830"/>
      <c r="F459" s="1830"/>
      <c r="G459" s="12"/>
    </row>
    <row r="460" spans="1:7" ht="14.25">
      <c r="A460" s="261"/>
      <c r="B460" s="261"/>
      <c r="D460" s="728"/>
      <c r="E460" s="6"/>
      <c r="F460" s="6"/>
      <c r="G460" s="12"/>
    </row>
    <row r="461" spans="1:7" ht="14.25">
      <c r="A461" s="261"/>
      <c r="B461" s="677" t="s">
        <v>315</v>
      </c>
      <c r="D461" s="1805" t="s">
        <v>1329</v>
      </c>
      <c r="E461" s="1805"/>
      <c r="F461" s="1805"/>
      <c r="G461" s="12"/>
    </row>
    <row r="462" spans="1:7" ht="14.25">
      <c r="A462" s="261"/>
      <c r="D462" s="1805"/>
      <c r="E462" s="1805"/>
      <c r="F462" s="1805"/>
      <c r="G462" s="12"/>
    </row>
    <row r="463" spans="1:7">
      <c r="A463" s="23"/>
      <c r="B463" s="673"/>
      <c r="D463" s="731"/>
      <c r="E463" s="6"/>
      <c r="F463" s="6"/>
      <c r="G463" s="12"/>
    </row>
    <row r="464" spans="1:7">
      <c r="A464" s="23"/>
      <c r="B464" s="716" t="s">
        <v>315</v>
      </c>
      <c r="D464" s="1830" t="s">
        <v>1330</v>
      </c>
      <c r="E464" s="1830"/>
      <c r="F464" s="1830"/>
      <c r="G464" s="12"/>
    </row>
    <row r="465" spans="1:7" ht="14.25">
      <c r="A465" s="261"/>
      <c r="B465" s="261"/>
      <c r="D465" s="135"/>
    </row>
    <row r="466" spans="1:7">
      <c r="A466" s="1831" t="s">
        <v>1165</v>
      </c>
      <c r="B466" s="1831"/>
      <c r="C466" s="1831"/>
      <c r="D466" s="1831"/>
      <c r="E466" s="1831"/>
      <c r="F466" s="1831"/>
      <c r="G466" s="1831"/>
    </row>
    <row r="467" spans="1:7" customFormat="1" ht="12" customHeight="1">
      <c r="A467" s="261"/>
      <c r="B467" s="261"/>
      <c r="C467" s="10"/>
      <c r="D467" s="151"/>
      <c r="E467" s="149"/>
      <c r="F467" s="149"/>
      <c r="G467" s="149"/>
    </row>
    <row r="468" spans="1:7" customFormat="1">
      <c r="A468" s="273"/>
      <c r="B468" s="273"/>
      <c r="C468" s="312"/>
      <c r="D468" s="1885" t="s">
        <v>850</v>
      </c>
      <c r="E468" s="1885"/>
      <c r="F468" s="1885"/>
      <c r="G468" s="182"/>
    </row>
    <row r="469" spans="1:7" customFormat="1" ht="13.15" customHeight="1">
      <c r="A469" s="260"/>
      <c r="B469" s="260"/>
      <c r="C469" s="313"/>
      <c r="D469" s="1886" t="s">
        <v>1208</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7" t="s">
        <v>315</v>
      </c>
      <c r="C475" s="313"/>
      <c r="D475" s="1852" t="s">
        <v>1199</v>
      </c>
      <c r="E475" s="1852"/>
      <c r="F475" s="1852"/>
      <c r="G475" s="149"/>
    </row>
    <row r="476" spans="1:7" customFormat="1">
      <c r="A476" s="260"/>
      <c r="B476" s="260"/>
      <c r="C476" s="313"/>
      <c r="D476" s="1852"/>
      <c r="E476" s="1852"/>
      <c r="F476" s="1852"/>
      <c r="G476" s="149"/>
    </row>
    <row r="477" spans="1:7" s="678" customFormat="1">
      <c r="A477" s="260"/>
      <c r="B477" s="260"/>
      <c r="C477" s="313"/>
      <c r="D477" s="1852"/>
      <c r="E477" s="1852"/>
      <c r="F477" s="1852"/>
      <c r="G477" s="149"/>
    </row>
    <row r="478" spans="1:7" s="678" customFormat="1">
      <c r="A478" s="260"/>
      <c r="B478" s="260"/>
      <c r="C478" s="313"/>
      <c r="D478" s="1852"/>
      <c r="E478" s="1852"/>
      <c r="F478" s="1852"/>
      <c r="G478" s="149"/>
    </row>
    <row r="479" spans="1:7" customFormat="1">
      <c r="A479" s="260"/>
      <c r="B479" s="260"/>
      <c r="C479" s="313"/>
      <c r="D479" s="1852"/>
      <c r="E479" s="1852"/>
      <c r="F479" s="1852"/>
      <c r="G479" s="149"/>
    </row>
    <row r="480" spans="1:7" customFormat="1">
      <c r="A480" s="260"/>
      <c r="B480" s="260"/>
      <c r="C480" s="313"/>
      <c r="D480" s="443"/>
      <c r="E480" s="149"/>
      <c r="F480" s="151"/>
      <c r="G480" s="149"/>
    </row>
    <row r="481" spans="1:7" customFormat="1" ht="14.45" customHeight="1">
      <c r="A481" s="261"/>
      <c r="B481" s="677" t="s">
        <v>315</v>
      </c>
      <c r="C481" s="313"/>
      <c r="D481" s="1852" t="s">
        <v>1202</v>
      </c>
      <c r="E481" s="1852"/>
      <c r="F481" s="1852"/>
      <c r="G481" s="149"/>
    </row>
    <row r="482" spans="1:7" customFormat="1">
      <c r="A482" s="260"/>
      <c r="B482" s="260"/>
      <c r="C482" s="313"/>
      <c r="D482" s="1852"/>
      <c r="E482" s="1852"/>
      <c r="F482" s="1852"/>
      <c r="G482" s="149"/>
    </row>
    <row r="483" spans="1:7" s="678" customFormat="1">
      <c r="A483" s="260"/>
      <c r="B483" s="260"/>
      <c r="C483" s="313"/>
      <c r="D483" s="1852"/>
      <c r="E483" s="1852"/>
      <c r="F483" s="1852"/>
      <c r="G483" s="149"/>
    </row>
    <row r="484" spans="1:7" customFormat="1">
      <c r="A484" s="260"/>
      <c r="B484" s="260"/>
      <c r="C484" s="313"/>
      <c r="D484" s="1852"/>
      <c r="E484" s="1852"/>
      <c r="F484" s="1852"/>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52" t="s">
        <v>1200</v>
      </c>
      <c r="E486" s="1852"/>
      <c r="F486" s="1852"/>
      <c r="G486" s="149"/>
    </row>
    <row r="487" spans="1:7" customFormat="1">
      <c r="A487" s="260"/>
      <c r="B487" s="260"/>
      <c r="C487" s="313"/>
      <c r="D487" s="1852"/>
      <c r="E487" s="1852"/>
      <c r="F487" s="1852"/>
      <c r="G487" s="149"/>
    </row>
    <row r="488" spans="1:7" customFormat="1">
      <c r="A488" s="260"/>
      <c r="B488" s="260"/>
      <c r="C488" s="313"/>
      <c r="D488" s="1852"/>
      <c r="E488" s="1852"/>
      <c r="F488" s="1852"/>
      <c r="G488" s="149"/>
    </row>
    <row r="489" spans="1:7" s="678" customFormat="1">
      <c r="A489" s="260"/>
      <c r="B489" s="260"/>
      <c r="C489" s="313"/>
      <c r="D489" s="698"/>
      <c r="E489" s="698"/>
      <c r="F489" s="698"/>
      <c r="G489" s="149"/>
    </row>
    <row r="490" spans="1:7" customFormat="1" ht="14.45" customHeight="1">
      <c r="A490" s="261"/>
      <c r="B490" s="677" t="s">
        <v>315</v>
      </c>
      <c r="C490" s="313"/>
      <c r="D490" s="1852" t="s">
        <v>1201</v>
      </c>
      <c r="E490" s="1852"/>
      <c r="F490" s="1852"/>
      <c r="G490" s="149"/>
    </row>
    <row r="491" spans="1:7" customFormat="1">
      <c r="A491" s="260"/>
      <c r="B491" s="260"/>
      <c r="C491" s="313"/>
      <c r="D491" s="1852"/>
      <c r="E491" s="1852"/>
      <c r="F491" s="1852"/>
      <c r="G491" s="149"/>
    </row>
    <row r="492" spans="1:7" customFormat="1">
      <c r="A492" s="260"/>
      <c r="B492" s="260"/>
      <c r="C492" s="313"/>
      <c r="D492" s="1852"/>
      <c r="E492" s="1852"/>
      <c r="F492" s="1852"/>
      <c r="G492" s="149"/>
    </row>
    <row r="493" spans="1:7" customFormat="1">
      <c r="A493" s="260"/>
      <c r="B493" s="260"/>
      <c r="C493" s="313"/>
      <c r="D493" s="1852"/>
      <c r="E493" s="1852"/>
      <c r="F493" s="1852"/>
      <c r="G493" s="149"/>
    </row>
    <row r="494" spans="1:7" customFormat="1">
      <c r="A494" s="260"/>
      <c r="B494" s="260"/>
      <c r="C494" s="313"/>
      <c r="D494" s="1852"/>
      <c r="E494" s="1852"/>
      <c r="F494" s="1852"/>
      <c r="G494" s="149"/>
    </row>
    <row r="495" spans="1:7" customFormat="1">
      <c r="A495" s="260"/>
      <c r="B495" s="260"/>
      <c r="C495" s="313"/>
      <c r="D495" s="1852"/>
      <c r="E495" s="1852"/>
      <c r="F495" s="1852"/>
      <c r="G495" s="149"/>
    </row>
    <row r="496" spans="1:7" customFormat="1">
      <c r="A496" s="260"/>
      <c r="B496" s="260"/>
      <c r="C496" s="313"/>
      <c r="D496" s="1852"/>
      <c r="E496" s="1852"/>
      <c r="F496" s="1852"/>
      <c r="G496" s="149"/>
    </row>
    <row r="497" spans="1:7" customFormat="1">
      <c r="A497" s="487"/>
      <c r="B497" s="487"/>
      <c r="C497" s="486"/>
      <c r="D497" s="1852"/>
      <c r="E497" s="1852"/>
      <c r="F497" s="1852"/>
      <c r="G497" s="149"/>
    </row>
    <row r="498" spans="1:7" customFormat="1">
      <c r="A498" s="487"/>
      <c r="B498" s="487"/>
      <c r="C498" s="486"/>
      <c r="D498" s="1852"/>
      <c r="E498" s="1852"/>
      <c r="F498" s="1852"/>
      <c r="G498" s="149"/>
    </row>
    <row r="499" spans="1:7" customFormat="1">
      <c r="A499" s="487"/>
      <c r="B499" s="487"/>
      <c r="C499" s="486"/>
      <c r="D499" s="443"/>
      <c r="E499" s="149"/>
      <c r="F499" s="151"/>
      <c r="G499" s="149"/>
    </row>
    <row r="500" spans="1:7" customFormat="1" ht="13.15" customHeight="1">
      <c r="A500" s="487"/>
      <c r="B500" s="677" t="s">
        <v>315</v>
      </c>
      <c r="C500" s="486"/>
      <c r="D500" s="1865" t="s">
        <v>1345</v>
      </c>
      <c r="E500" s="1865"/>
      <c r="F500" s="1865"/>
      <c r="G500" s="149"/>
    </row>
    <row r="501" spans="1:7" customFormat="1">
      <c r="A501" s="487"/>
      <c r="B501" s="487"/>
      <c r="C501" s="486"/>
      <c r="D501" s="1865"/>
      <c r="E501" s="1865"/>
      <c r="F501" s="1865"/>
      <c r="G501" s="149"/>
    </row>
    <row r="502" spans="1:7" customFormat="1">
      <c r="A502" s="487"/>
      <c r="B502" s="487"/>
      <c r="C502" s="486"/>
      <c r="D502" s="1865"/>
      <c r="E502" s="1865"/>
      <c r="F502" s="1865"/>
      <c r="G502" s="149"/>
    </row>
    <row r="503" spans="1:7" customFormat="1">
      <c r="A503" s="487"/>
      <c r="B503" s="487"/>
      <c r="C503" s="486"/>
      <c r="D503" s="1865"/>
      <c r="E503" s="1865"/>
      <c r="F503" s="1865"/>
      <c r="G503" s="149"/>
    </row>
    <row r="504" spans="1:7" customFormat="1">
      <c r="A504" s="260"/>
      <c r="B504" s="260"/>
      <c r="C504" s="313"/>
      <c r="D504" s="1865"/>
      <c r="E504" s="1865"/>
      <c r="F504" s="1865"/>
      <c r="G504" s="149"/>
    </row>
    <row r="505" spans="1:7" s="715" customFormat="1">
      <c r="A505" s="718"/>
      <c r="B505" s="718"/>
      <c r="C505" s="313"/>
      <c r="D505" s="739"/>
      <c r="E505" s="739"/>
      <c r="F505" s="739"/>
      <c r="G505" s="149"/>
    </row>
    <row r="506" spans="1:7" customFormat="1" ht="14.45" customHeight="1">
      <c r="A506" s="261"/>
      <c r="B506" s="677" t="s">
        <v>315</v>
      </c>
      <c r="C506" s="10"/>
      <c r="D506" s="1852" t="s">
        <v>1203</v>
      </c>
      <c r="E506" s="1852"/>
      <c r="F506" s="1852"/>
      <c r="G506" s="149"/>
    </row>
    <row r="507" spans="1:7" customFormat="1">
      <c r="A507" s="132"/>
      <c r="B507" s="674"/>
      <c r="C507" s="10"/>
      <c r="D507" s="1852"/>
      <c r="E507" s="1852"/>
      <c r="F507" s="1852"/>
      <c r="G507" s="149"/>
    </row>
    <row r="508" spans="1:7" customFormat="1">
      <c r="A508" s="132"/>
      <c r="B508" s="674"/>
      <c r="C508" s="10"/>
      <c r="D508" s="1852"/>
      <c r="E508" s="1852"/>
      <c r="F508" s="1852"/>
      <c r="G508" s="149"/>
    </row>
    <row r="509" spans="1:7" customFormat="1" ht="12" customHeight="1">
      <c r="A509" s="135"/>
      <c r="B509" s="135"/>
      <c r="C509" s="315"/>
      <c r="D509" s="135"/>
      <c r="E509" s="149"/>
      <c r="F509" s="314"/>
      <c r="G509" s="149"/>
    </row>
    <row r="510" spans="1:7">
      <c r="A510" s="1831" t="s">
        <v>1166</v>
      </c>
      <c r="B510" s="1831"/>
      <c r="C510" s="1831"/>
      <c r="D510" s="1831"/>
      <c r="E510" s="1831"/>
      <c r="F510" s="1831"/>
      <c r="G510" s="1831"/>
    </row>
    <row r="511" spans="1:7">
      <c r="A511" s="135"/>
      <c r="B511" s="135"/>
      <c r="C511" s="266"/>
      <c r="F511" s="134"/>
    </row>
    <row r="512" spans="1:7">
      <c r="B512" s="1827" t="s">
        <v>469</v>
      </c>
      <c r="C512" s="1827"/>
      <c r="D512" s="1827"/>
      <c r="E512" s="1827"/>
      <c r="F512" s="1827"/>
    </row>
    <row r="513" spans="1:7">
      <c r="A513" s="135"/>
      <c r="B513" s="135"/>
      <c r="C513" s="266"/>
      <c r="D513" s="135"/>
      <c r="F513" s="135"/>
    </row>
    <row r="514" spans="1:7">
      <c r="A514" s="1832" t="s">
        <v>1167</v>
      </c>
      <c r="B514" s="1832"/>
      <c r="C514" s="1832"/>
      <c r="D514" s="1832"/>
      <c r="E514" s="1832"/>
      <c r="F514" s="1832"/>
      <c r="G514" s="1832"/>
    </row>
    <row r="515" spans="1:7">
      <c r="A515" s="135"/>
      <c r="B515" s="135"/>
      <c r="C515" s="266"/>
      <c r="D515" s="135"/>
      <c r="F515" s="135"/>
    </row>
    <row r="516" spans="1:7">
      <c r="C516" s="266"/>
      <c r="D516" s="1829" t="s">
        <v>719</v>
      </c>
      <c r="E516" s="1829"/>
      <c r="F516" s="1829"/>
    </row>
    <row r="517" spans="1:7" s="680" customFormat="1">
      <c r="A517" s="697"/>
      <c r="B517" s="697"/>
      <c r="C517" s="266"/>
      <c r="D517" s="1830" t="s">
        <v>1224</v>
      </c>
      <c r="E517" s="1830"/>
      <c r="F517" s="1830"/>
      <c r="G517" s="7"/>
    </row>
    <row r="518" spans="1:7" s="680" customFormat="1">
      <c r="A518" s="697"/>
      <c r="B518" s="697"/>
      <c r="C518" s="266"/>
      <c r="D518" s="702"/>
      <c r="E518" s="702"/>
      <c r="F518" s="702"/>
      <c r="G518" s="7"/>
    </row>
    <row r="519" spans="1:7" ht="13.15" customHeight="1">
      <c r="A519" s="261"/>
      <c r="B519" s="677" t="s">
        <v>315</v>
      </c>
      <c r="C519" s="266"/>
      <c r="D519" s="1830" t="s">
        <v>948</v>
      </c>
      <c r="E519" s="1830"/>
      <c r="F519" s="1830"/>
      <c r="G519" s="12"/>
    </row>
    <row r="520" spans="1:7" ht="13.15" customHeight="1">
      <c r="A520" s="266"/>
      <c r="B520" s="266"/>
      <c r="C520" s="266"/>
      <c r="D520" s="702"/>
      <c r="E520" s="675"/>
      <c r="F520" s="675"/>
      <c r="G520" s="12"/>
    </row>
    <row r="521" spans="1:7" ht="14.25">
      <c r="A521" s="261"/>
      <c r="B521" s="677" t="s">
        <v>315</v>
      </c>
      <c r="C521" s="266"/>
      <c r="D521" s="1805" t="s">
        <v>1225</v>
      </c>
      <c r="E521" s="1805"/>
      <c r="F521" s="1805"/>
      <c r="G521" s="12"/>
    </row>
    <row r="522" spans="1:7">
      <c r="A522" s="266"/>
      <c r="B522" s="266"/>
      <c r="C522" s="266"/>
      <c r="D522" s="1805"/>
      <c r="E522" s="1805"/>
      <c r="F522" s="1805"/>
      <c r="G522" s="12"/>
    </row>
    <row r="523" spans="1:7">
      <c r="A523" s="266"/>
      <c r="B523" s="266"/>
      <c r="C523" s="266"/>
      <c r="D523" s="135"/>
      <c r="E523" s="135"/>
      <c r="F523" s="135"/>
      <c r="G523" s="12"/>
    </row>
    <row r="524" spans="1:7" ht="14.25">
      <c r="A524" s="261"/>
      <c r="B524" s="677" t="s">
        <v>315</v>
      </c>
      <c r="C524" s="266"/>
      <c r="D524" s="1805" t="s">
        <v>1226</v>
      </c>
      <c r="E524" s="1805"/>
      <c r="F524" s="1805"/>
      <c r="G524" s="12"/>
    </row>
    <row r="525" spans="1:7">
      <c r="A525" s="266"/>
      <c r="B525" s="266"/>
      <c r="C525" s="266"/>
      <c r="D525" s="1805"/>
      <c r="E525" s="1805"/>
      <c r="F525" s="1805"/>
      <c r="G525" s="12"/>
    </row>
    <row r="526" spans="1:7">
      <c r="A526" s="266"/>
      <c r="B526" s="266"/>
      <c r="C526" s="266"/>
      <c r="D526" s="135"/>
      <c r="E526" s="135"/>
      <c r="F526" s="135"/>
      <c r="G526" s="12"/>
    </row>
    <row r="527" spans="1:7" ht="14.25">
      <c r="A527" s="261"/>
      <c r="B527" s="677" t="s">
        <v>315</v>
      </c>
      <c r="C527" s="266"/>
      <c r="D527" s="1805" t="s">
        <v>1227</v>
      </c>
      <c r="E527" s="1805"/>
      <c r="F527" s="1805"/>
      <c r="G527" s="12"/>
    </row>
    <row r="528" spans="1:7">
      <c r="A528" s="266"/>
      <c r="B528" s="266"/>
      <c r="C528" s="266"/>
      <c r="D528" s="1805"/>
      <c r="E528" s="1805"/>
      <c r="F528" s="1805"/>
      <c r="G528" s="12"/>
    </row>
    <row r="529" spans="1:7">
      <c r="A529" s="266"/>
      <c r="B529" s="266"/>
      <c r="C529" s="266"/>
      <c r="D529" s="135"/>
      <c r="E529" s="135"/>
      <c r="F529" s="135"/>
      <c r="G529" s="12"/>
    </row>
    <row r="530" spans="1:7" ht="14.25">
      <c r="A530" s="261"/>
      <c r="B530" s="677" t="s">
        <v>315</v>
      </c>
      <c r="C530" s="266"/>
      <c r="D530" s="1805" t="s">
        <v>1228</v>
      </c>
      <c r="E530" s="1805"/>
      <c r="F530" s="1805"/>
      <c r="G530" s="12"/>
    </row>
    <row r="531" spans="1:7">
      <c r="A531" s="266"/>
      <c r="B531" s="266"/>
      <c r="C531" s="266"/>
      <c r="D531" s="1805"/>
      <c r="E531" s="1805"/>
      <c r="F531" s="1805"/>
      <c r="G531" s="12"/>
    </row>
    <row r="532" spans="1:7">
      <c r="A532" s="266"/>
      <c r="B532" s="266"/>
      <c r="C532" s="266"/>
      <c r="D532" s="1805"/>
      <c r="E532" s="1805"/>
      <c r="F532" s="1805"/>
      <c r="G532" s="12"/>
    </row>
    <row r="533" spans="1:7">
      <c r="A533" s="266"/>
      <c r="B533" s="266"/>
      <c r="C533" s="266"/>
      <c r="D533" s="135"/>
      <c r="E533" s="135"/>
      <c r="F533" s="135"/>
    </row>
    <row r="534" spans="1:7" ht="14.25">
      <c r="A534" s="261"/>
      <c r="B534" s="677" t="s">
        <v>315</v>
      </c>
      <c r="C534" s="266"/>
      <c r="D534" s="1828" t="s">
        <v>1346</v>
      </c>
      <c r="E534" s="1828"/>
      <c r="F534" s="1828"/>
    </row>
    <row r="535" spans="1:7">
      <c r="A535" s="266"/>
      <c r="B535" s="266"/>
      <c r="C535" s="266"/>
      <c r="D535" s="1828"/>
      <c r="E535" s="1828"/>
      <c r="F535" s="1828"/>
    </row>
    <row r="536" spans="1:7">
      <c r="A536" s="266"/>
      <c r="B536" s="266"/>
      <c r="C536" s="266"/>
      <c r="D536" s="135"/>
      <c r="E536" s="135"/>
      <c r="F536" s="135"/>
    </row>
    <row r="537" spans="1:7" ht="14.25">
      <c r="A537" s="261"/>
      <c r="B537" s="677" t="s">
        <v>315</v>
      </c>
      <c r="C537" s="266"/>
      <c r="D537" s="1828" t="s">
        <v>1229</v>
      </c>
      <c r="E537" s="1828"/>
      <c r="F537" s="1828"/>
    </row>
    <row r="538" spans="1:7">
      <c r="A538" s="266"/>
      <c r="B538" s="266"/>
      <c r="C538" s="266"/>
      <c r="D538" s="1828"/>
      <c r="E538" s="1828"/>
      <c r="F538" s="1828"/>
    </row>
    <row r="539" spans="1:7">
      <c r="A539" s="266"/>
      <c r="B539" s="266"/>
      <c r="C539" s="266"/>
      <c r="D539" s="135"/>
      <c r="E539" s="135"/>
      <c r="F539" s="135"/>
    </row>
    <row r="540" spans="1:7" ht="14.25">
      <c r="A540" s="261"/>
      <c r="B540" s="677" t="s">
        <v>315</v>
      </c>
      <c r="C540" s="266"/>
      <c r="D540" s="1805" t="s">
        <v>1230</v>
      </c>
      <c r="E540" s="1805"/>
      <c r="F540" s="1805"/>
    </row>
    <row r="541" spans="1:7">
      <c r="A541" s="266"/>
      <c r="B541" s="266"/>
      <c r="C541" s="266"/>
      <c r="D541" s="1805"/>
      <c r="E541" s="1805"/>
      <c r="F541" s="1805"/>
      <c r="G541" s="57"/>
    </row>
    <row r="542" spans="1:7">
      <c r="A542" s="266"/>
      <c r="B542" s="266"/>
      <c r="C542" s="266"/>
      <c r="D542" s="135"/>
      <c r="E542" s="135"/>
      <c r="F542" s="135"/>
      <c r="G542" s="57"/>
    </row>
    <row r="543" spans="1:7" ht="14.25">
      <c r="A543" s="261"/>
      <c r="B543" s="677" t="s">
        <v>315</v>
      </c>
      <c r="C543" s="266"/>
      <c r="D543" s="1830" t="s">
        <v>1231</v>
      </c>
      <c r="E543" s="1830"/>
      <c r="F543" s="1830"/>
      <c r="G543" s="57"/>
    </row>
    <row r="544" spans="1:7">
      <c r="A544" s="23"/>
      <c r="B544" s="673"/>
      <c r="C544" s="266"/>
      <c r="D544" s="1830" t="s">
        <v>880</v>
      </c>
      <c r="E544" s="1830"/>
      <c r="F544" s="1830"/>
      <c r="G544" s="57"/>
    </row>
    <row r="545" spans="1:7">
      <c r="A545" s="23"/>
      <c r="B545" s="673"/>
      <c r="C545" s="266"/>
      <c r="D545" s="6"/>
      <c r="E545" s="1835" t="s">
        <v>1232</v>
      </c>
      <c r="F545" s="1835"/>
      <c r="G545" s="57"/>
    </row>
    <row r="546" spans="1:7" ht="14.25">
      <c r="A546" s="261"/>
      <c r="B546" s="261"/>
      <c r="C546" s="266"/>
      <c r="E546" s="135"/>
      <c r="F546" s="135"/>
      <c r="G546" s="57"/>
    </row>
    <row r="547" spans="1:7" ht="14.25">
      <c r="A547" s="261"/>
      <c r="B547" s="677" t="s">
        <v>315</v>
      </c>
      <c r="C547" s="266"/>
      <c r="D547" s="1836" t="s">
        <v>1233</v>
      </c>
      <c r="E547" s="1836"/>
      <c r="F547" s="1836"/>
      <c r="G547" s="57"/>
    </row>
    <row r="548" spans="1:7">
      <c r="C548" s="266"/>
      <c r="D548" s="1805" t="s">
        <v>1234</v>
      </c>
      <c r="E548" s="1805"/>
      <c r="F548" s="1805"/>
      <c r="G548" s="57"/>
    </row>
    <row r="549" spans="1:7">
      <c r="A549" s="266"/>
      <c r="B549" s="266"/>
      <c r="C549" s="266"/>
      <c r="D549" s="1805"/>
      <c r="E549" s="1805"/>
      <c r="F549" s="1805"/>
      <c r="G549" s="57"/>
    </row>
    <row r="550" spans="1:7">
      <c r="A550" s="266"/>
      <c r="B550" s="266"/>
      <c r="C550" s="266"/>
      <c r="D550" s="1805"/>
      <c r="E550" s="1805"/>
      <c r="F550" s="1805"/>
      <c r="G550" s="57"/>
    </row>
    <row r="551" spans="1:7">
      <c r="A551" s="266"/>
      <c r="B551" s="266"/>
      <c r="C551" s="266"/>
      <c r="D551" s="135"/>
      <c r="E551" s="135"/>
      <c r="F551" s="135"/>
      <c r="G551" s="57"/>
    </row>
    <row r="552" spans="1:7" ht="14.25">
      <c r="A552" s="261"/>
      <c r="B552" s="677" t="s">
        <v>315</v>
      </c>
      <c r="C552" s="266"/>
      <c r="D552" s="1805" t="s">
        <v>1235</v>
      </c>
      <c r="E552" s="1805"/>
      <c r="F552" s="1805"/>
      <c r="G552" s="57"/>
    </row>
    <row r="553" spans="1:7" ht="14.25">
      <c r="A553" s="261"/>
      <c r="B553" s="261"/>
      <c r="C553" s="266"/>
      <c r="D553" s="1805"/>
      <c r="E553" s="1805"/>
      <c r="F553" s="1805"/>
      <c r="G553" s="57"/>
    </row>
    <row r="554" spans="1:7" ht="14.25">
      <c r="A554" s="261"/>
      <c r="B554" s="261"/>
      <c r="C554" s="266"/>
      <c r="D554" s="1805"/>
      <c r="E554" s="1805"/>
      <c r="F554" s="1805"/>
      <c r="G554" s="57"/>
    </row>
    <row r="555" spans="1:7" ht="14.25">
      <c r="A555" s="261"/>
      <c r="B555" s="261"/>
      <c r="C555" s="266"/>
      <c r="D555" s="1805"/>
      <c r="E555" s="1805"/>
      <c r="F555" s="1805"/>
      <c r="G555" s="57"/>
    </row>
    <row r="556" spans="1:7" ht="14.25">
      <c r="A556" s="261"/>
      <c r="B556" s="261"/>
      <c r="C556" s="266"/>
      <c r="D556" s="135"/>
      <c r="E556" s="135"/>
      <c r="F556" s="135"/>
      <c r="G556" s="57"/>
    </row>
    <row r="557" spans="1:7">
      <c r="A557" s="1831" t="s">
        <v>1168</v>
      </c>
      <c r="B557" s="1831"/>
      <c r="C557" s="1831"/>
      <c r="D557" s="1831"/>
      <c r="E557" s="1831"/>
      <c r="F557" s="1831"/>
      <c r="G557" s="1831"/>
    </row>
    <row r="558" spans="1:7">
      <c r="A558" s="266"/>
      <c r="B558" s="266"/>
      <c r="C558" s="266"/>
      <c r="E558" s="135"/>
      <c r="F558" s="135"/>
      <c r="G558" s="57"/>
    </row>
    <row r="559" spans="1:7" ht="12.75" customHeight="1">
      <c r="C559" s="255"/>
      <c r="D559" s="1847" t="s">
        <v>215</v>
      </c>
      <c r="E559" s="1847"/>
      <c r="F559" s="1847"/>
      <c r="G559" s="57"/>
    </row>
    <row r="560" spans="1:7">
      <c r="A560" s="260"/>
      <c r="B560" s="260"/>
      <c r="C560" s="260"/>
      <c r="D560" s="1853" t="s">
        <v>1184</v>
      </c>
      <c r="E560" s="1853"/>
      <c r="F560" s="1853"/>
      <c r="G560" s="57"/>
    </row>
    <row r="561" spans="1:7">
      <c r="A561" s="12"/>
      <c r="B561" s="12"/>
      <c r="C561" s="260"/>
      <c r="D561" s="377"/>
      <c r="G561" s="57"/>
    </row>
    <row r="562" spans="1:7">
      <c r="A562" s="260"/>
      <c r="B562" s="677" t="s">
        <v>315</v>
      </c>
      <c r="D562" s="1853" t="s">
        <v>954</v>
      </c>
      <c r="E562" s="1853"/>
      <c r="F562" s="1853"/>
      <c r="G562" s="57"/>
    </row>
    <row r="563" spans="1:7">
      <c r="A563" s="23"/>
      <c r="B563" s="673"/>
      <c r="D563" s="325"/>
    </row>
    <row r="564" spans="1:7">
      <c r="A564" s="23"/>
      <c r="B564" s="677" t="s">
        <v>315</v>
      </c>
      <c r="D564" s="1854" t="s">
        <v>1185</v>
      </c>
      <c r="E564" s="1854"/>
      <c r="F564" s="1854"/>
    </row>
    <row r="565" spans="1:7">
      <c r="A565" s="23"/>
      <c r="B565" s="673"/>
      <c r="D565" s="1854"/>
      <c r="E565" s="1854"/>
      <c r="F565" s="1854"/>
    </row>
    <row r="566" spans="1:7">
      <c r="A566" s="23"/>
      <c r="B566" s="686"/>
      <c r="D566" s="1854"/>
      <c r="E566" s="1854"/>
      <c r="F566" s="1854"/>
    </row>
    <row r="567" spans="1:7">
      <c r="A567" s="23"/>
      <c r="B567" s="673"/>
      <c r="D567" s="478"/>
    </row>
    <row r="568" spans="1:7" s="680" customFormat="1">
      <c r="A568" s="686"/>
      <c r="B568" s="677" t="s">
        <v>315</v>
      </c>
      <c r="C568" s="687"/>
      <c r="D568" s="1854" t="s">
        <v>1186</v>
      </c>
      <c r="E568" s="1854"/>
      <c r="F568" s="1854"/>
      <c r="G568" s="7"/>
    </row>
    <row r="569" spans="1:7" s="680" customFormat="1">
      <c r="A569" s="686"/>
      <c r="B569" s="686"/>
      <c r="C569" s="687"/>
      <c r="D569" s="1854"/>
      <c r="E569" s="1854"/>
      <c r="F569" s="1854"/>
      <c r="G569" s="7"/>
    </row>
    <row r="570" spans="1:7" s="680" customFormat="1">
      <c r="A570" s="686"/>
      <c r="B570" s="686"/>
      <c r="C570" s="687"/>
      <c r="D570" s="1854"/>
      <c r="E570" s="1854"/>
      <c r="F570" s="1854"/>
      <c r="G570" s="7"/>
    </row>
    <row r="571" spans="1:7" s="680" customFormat="1">
      <c r="A571" s="686"/>
      <c r="B571" s="686"/>
      <c r="C571" s="687"/>
      <c r="D571" s="1854"/>
      <c r="E571" s="1854"/>
      <c r="F571" s="1854"/>
      <c r="G571" s="7"/>
    </row>
    <row r="572" spans="1:7" s="680" customFormat="1">
      <c r="A572" s="686"/>
      <c r="B572" s="686"/>
      <c r="C572" s="687"/>
      <c r="D572" s="692"/>
      <c r="E572" s="692"/>
      <c r="F572" s="692"/>
      <c r="G572" s="7"/>
    </row>
    <row r="573" spans="1:7">
      <c r="A573" s="23"/>
      <c r="B573" s="677" t="s">
        <v>315</v>
      </c>
      <c r="D573" s="1854" t="s">
        <v>1187</v>
      </c>
      <c r="E573" s="1854"/>
      <c r="F573" s="1854"/>
    </row>
    <row r="574" spans="1:7">
      <c r="A574" s="23"/>
      <c r="B574" s="673"/>
      <c r="D574" s="1854"/>
      <c r="E574" s="1854"/>
      <c r="F574" s="1854"/>
    </row>
    <row r="575" spans="1:7">
      <c r="A575" s="23"/>
      <c r="B575" s="673"/>
      <c r="D575" s="377"/>
    </row>
    <row r="576" spans="1:7" s="680" customFormat="1">
      <c r="A576" s="686"/>
      <c r="B576" s="677" t="s">
        <v>315</v>
      </c>
      <c r="C576" s="687"/>
      <c r="D576" s="1853" t="s">
        <v>1188</v>
      </c>
      <c r="E576" s="1853"/>
      <c r="F576" s="1853"/>
      <c r="G576" s="7"/>
    </row>
    <row r="577" spans="1:7" s="680" customFormat="1">
      <c r="A577" s="686"/>
      <c r="B577" s="686"/>
      <c r="C577" s="687"/>
      <c r="D577" s="1853"/>
      <c r="E577" s="1853"/>
      <c r="F577" s="1853"/>
      <c r="G577" s="7"/>
    </row>
    <row r="578" spans="1:7" s="680" customFormat="1">
      <c r="A578" s="686"/>
      <c r="B578" s="686"/>
      <c r="C578" s="687"/>
      <c r="D578" s="377"/>
      <c r="E578" s="7"/>
      <c r="F578" s="7"/>
      <c r="G578" s="7"/>
    </row>
    <row r="579" spans="1:7" ht="14.25">
      <c r="A579" s="261"/>
      <c r="B579" s="677" t="s">
        <v>315</v>
      </c>
      <c r="D579" s="1853" t="s">
        <v>949</v>
      </c>
      <c r="E579" s="1853"/>
      <c r="F579" s="1853"/>
    </row>
    <row r="580" spans="1:7" ht="14.25">
      <c r="A580" s="261"/>
      <c r="B580" s="261"/>
      <c r="D580" s="377"/>
    </row>
    <row r="581" spans="1:7" ht="14.25">
      <c r="A581" s="261"/>
      <c r="B581" s="677" t="s">
        <v>315</v>
      </c>
      <c r="D581" s="1853" t="s">
        <v>1189</v>
      </c>
      <c r="E581" s="1853"/>
      <c r="F581" s="1853"/>
    </row>
    <row r="582" spans="1:7" ht="14.25">
      <c r="A582" s="261"/>
      <c r="B582" s="261"/>
      <c r="D582" s="1853"/>
      <c r="E582" s="1853"/>
      <c r="F582" s="1853"/>
    </row>
    <row r="583" spans="1:7">
      <c r="D583" s="1853"/>
      <c r="E583" s="1853"/>
      <c r="F583" s="1853"/>
    </row>
    <row r="584" spans="1:7">
      <c r="D584" s="1853"/>
      <c r="E584" s="1853"/>
      <c r="F584" s="1853"/>
    </row>
    <row r="585" spans="1:7" s="680" customFormat="1">
      <c r="A585" s="687"/>
      <c r="B585" s="687"/>
      <c r="C585" s="687"/>
      <c r="D585" s="1853"/>
      <c r="E585" s="1853"/>
      <c r="F585" s="1853"/>
      <c r="G585" s="7"/>
    </row>
    <row r="586" spans="1:7" s="680" customFormat="1">
      <c r="A586" s="687"/>
      <c r="B586" s="687"/>
      <c r="C586" s="687"/>
      <c r="D586" s="1853"/>
      <c r="E586" s="1853"/>
      <c r="F586" s="1853"/>
      <c r="G586" s="7"/>
    </row>
    <row r="587" spans="1:7"/>
    <row r="588" spans="1:7">
      <c r="A588" s="1831" t="s">
        <v>1169</v>
      </c>
      <c r="B588" s="1831"/>
      <c r="C588" s="1831"/>
      <c r="D588" s="1831"/>
      <c r="E588" s="1831"/>
      <c r="F588" s="1831"/>
      <c r="G588" s="1831"/>
    </row>
    <row r="589" spans="1:7"/>
    <row r="590" spans="1:7">
      <c r="D590" s="1821" t="s">
        <v>1269</v>
      </c>
      <c r="E590" s="1821"/>
      <c r="F590" s="1821"/>
    </row>
    <row r="591" spans="1:7">
      <c r="D591" s="1822" t="s">
        <v>1270</v>
      </c>
      <c r="E591" s="1822"/>
      <c r="F591" s="1822"/>
    </row>
    <row r="592" spans="1:7" s="717" customFormat="1">
      <c r="A592" s="703"/>
      <c r="B592" s="703"/>
      <c r="C592" s="703"/>
      <c r="D592" s="721"/>
      <c r="E592" s="720"/>
      <c r="F592" s="720"/>
      <c r="G592" s="7"/>
    </row>
    <row r="593" spans="1:7" s="39" customFormat="1" ht="14.25">
      <c r="A593" s="403"/>
      <c r="B593" s="677" t="s">
        <v>315</v>
      </c>
      <c r="C593" s="273"/>
      <c r="D593" s="1823" t="s">
        <v>1271</v>
      </c>
      <c r="E593" s="1823"/>
      <c r="F593" s="1823"/>
      <c r="G593" s="130"/>
    </row>
    <row r="594" spans="1:7">
      <c r="D594" s="1823"/>
      <c r="E594" s="1823"/>
      <c r="F594" s="1823"/>
    </row>
    <row r="595" spans="1:7">
      <c r="D595" s="1823"/>
      <c r="E595" s="1823"/>
      <c r="F595" s="1823"/>
    </row>
    <row r="596" spans="1:7"/>
    <row r="597" spans="1:7">
      <c r="A597" s="1831" t="s">
        <v>1170</v>
      </c>
      <c r="B597" s="1831"/>
      <c r="C597" s="1831"/>
      <c r="D597" s="1831"/>
      <c r="E597" s="1831"/>
      <c r="F597" s="1831"/>
      <c r="G597" s="1831"/>
    </row>
    <row r="598" spans="1:7">
      <c r="A598" s="135"/>
      <c r="B598" s="135"/>
      <c r="G598" s="57"/>
    </row>
    <row r="599" spans="1:7">
      <c r="A599" s="257"/>
      <c r="B599" s="672"/>
      <c r="C599" s="255"/>
      <c r="D599" s="1824" t="s">
        <v>1272</v>
      </c>
      <c r="E599" s="1824"/>
      <c r="F599" s="1824"/>
      <c r="G599" s="57"/>
    </row>
    <row r="600" spans="1:7">
      <c r="A600" s="257"/>
      <c r="B600" s="672"/>
      <c r="C600" s="255"/>
      <c r="D600" s="1824"/>
      <c r="E600" s="1824"/>
      <c r="F600" s="1824"/>
      <c r="G600" s="57"/>
    </row>
    <row r="601" spans="1:7">
      <c r="C601" s="260"/>
      <c r="D601" s="1822" t="s">
        <v>1273</v>
      </c>
      <c r="E601" s="1822"/>
      <c r="F601" s="1822"/>
      <c r="G601" s="57"/>
    </row>
    <row r="602" spans="1:7" s="717" customFormat="1">
      <c r="A602" s="703"/>
      <c r="B602" s="703"/>
      <c r="C602" s="718"/>
      <c r="D602" s="722"/>
      <c r="E602" s="722"/>
      <c r="F602" s="722"/>
      <c r="G602" s="57"/>
    </row>
    <row r="603" spans="1:7">
      <c r="A603" s="23"/>
      <c r="B603" s="677" t="s">
        <v>315</v>
      </c>
      <c r="D603" s="1822" t="s">
        <v>452</v>
      </c>
      <c r="E603" s="1822"/>
      <c r="F603" s="1822"/>
      <c r="G603" s="57"/>
    </row>
    <row r="604" spans="1:7">
      <c r="C604" s="268"/>
      <c r="E604" s="12"/>
      <c r="G604" s="57"/>
    </row>
    <row r="605" spans="1:7">
      <c r="A605" s="23"/>
      <c r="B605" s="677" t="s">
        <v>315</v>
      </c>
      <c r="D605" s="1825" t="s">
        <v>1274</v>
      </c>
      <c r="E605" s="1825"/>
      <c r="F605" s="1825"/>
      <c r="G605" s="57"/>
    </row>
    <row r="606" spans="1:7">
      <c r="D606" s="1825"/>
      <c r="E606" s="1825"/>
      <c r="F606" s="1825"/>
      <c r="G606" s="57"/>
    </row>
    <row r="607" spans="1:7">
      <c r="D607" s="12"/>
      <c r="G607" s="57"/>
    </row>
    <row r="608" spans="1:7">
      <c r="B608" s="677" t="s">
        <v>315</v>
      </c>
      <c r="D608" s="1825" t="s">
        <v>1275</v>
      </c>
      <c r="E608" s="1825"/>
      <c r="F608" s="1825"/>
      <c r="G608" s="57"/>
    </row>
    <row r="609" spans="1:7">
      <c r="C609" s="268"/>
      <c r="D609" s="1825"/>
      <c r="E609" s="1825"/>
      <c r="F609" s="1825"/>
      <c r="G609" s="57"/>
    </row>
    <row r="610" spans="1:7">
      <c r="C610" s="268"/>
      <c r="G610" s="57"/>
    </row>
    <row r="611" spans="1:7">
      <c r="B611" s="677" t="s">
        <v>315</v>
      </c>
      <c r="C611" s="268"/>
      <c r="D611" s="1825" t="s">
        <v>1276</v>
      </c>
      <c r="E611" s="1825"/>
      <c r="F611" s="1825"/>
      <c r="G611" s="57"/>
    </row>
    <row r="612" spans="1:7">
      <c r="C612" s="268"/>
      <c r="D612" s="1825"/>
      <c r="E612" s="1825"/>
      <c r="F612" s="1825"/>
      <c r="G612" s="57"/>
    </row>
    <row r="613" spans="1:7">
      <c r="C613" s="268"/>
      <c r="G613" s="57"/>
    </row>
    <row r="614" spans="1:7">
      <c r="A614" s="1831" t="s">
        <v>1171</v>
      </c>
      <c r="B614" s="1831"/>
      <c r="C614" s="1831"/>
      <c r="D614" s="1831"/>
      <c r="E614" s="1831"/>
      <c r="F614" s="1831"/>
      <c r="G614" s="1831"/>
    </row>
    <row r="615" spans="1:7">
      <c r="A615" s="267"/>
      <c r="B615" s="267"/>
      <c r="C615" s="267"/>
      <c r="G615" s="57"/>
    </row>
    <row r="616" spans="1:7">
      <c r="C616" s="23"/>
      <c r="D616" s="1821" t="s">
        <v>1277</v>
      </c>
      <c r="E616" s="1821"/>
      <c r="F616" s="1821"/>
      <c r="G616" s="57"/>
    </row>
    <row r="617" spans="1:7">
      <c r="A617" s="23"/>
      <c r="B617" s="673"/>
      <c r="C617" s="265"/>
      <c r="D617" s="50"/>
      <c r="G617" s="57"/>
    </row>
    <row r="618" spans="1:7" ht="14.25">
      <c r="A618" s="261"/>
      <c r="B618" s="677" t="s">
        <v>315</v>
      </c>
      <c r="C618" s="265"/>
      <c r="D618" s="1866" t="s">
        <v>1278</v>
      </c>
      <c r="E618" s="1866"/>
      <c r="F618" s="1866"/>
      <c r="G618" s="57"/>
    </row>
    <row r="619" spans="1:7">
      <c r="C619" s="265"/>
      <c r="D619" s="1866"/>
      <c r="E619" s="1866"/>
      <c r="F619" s="1866"/>
      <c r="G619" s="57"/>
    </row>
    <row r="620" spans="1:7">
      <c r="C620" s="265"/>
      <c r="D620" s="1866"/>
      <c r="E620" s="1866"/>
      <c r="F620" s="1866"/>
      <c r="G620" s="57"/>
    </row>
    <row r="621" spans="1:7">
      <c r="C621" s="265"/>
      <c r="D621" s="1866"/>
      <c r="E621" s="1866"/>
      <c r="F621" s="1866"/>
      <c r="G621" s="57"/>
    </row>
    <row r="622" spans="1:7">
      <c r="C622" s="265"/>
      <c r="D622" s="1866"/>
      <c r="E622" s="1866"/>
      <c r="F622" s="1866"/>
      <c r="G622" s="57"/>
    </row>
    <row r="623" spans="1:7">
      <c r="C623" s="265"/>
      <c r="D623" s="1866"/>
      <c r="E623" s="1866"/>
      <c r="F623" s="1866"/>
      <c r="G623" s="57"/>
    </row>
    <row r="624" spans="1:7" s="717" customFormat="1">
      <c r="A624" s="703"/>
      <c r="B624" s="703"/>
      <c r="C624" s="265"/>
      <c r="D624" s="723"/>
      <c r="E624" s="723"/>
      <c r="F624" s="723"/>
      <c r="G624" s="57"/>
    </row>
    <row r="625" spans="1:7" ht="14.25">
      <c r="A625" s="261"/>
      <c r="B625" s="677" t="s">
        <v>315</v>
      </c>
      <c r="C625" s="265"/>
      <c r="D625" s="1866" t="s">
        <v>1279</v>
      </c>
      <c r="E625" s="1866"/>
      <c r="F625" s="1866"/>
      <c r="G625" s="57"/>
    </row>
    <row r="626" spans="1:7">
      <c r="A626" s="266"/>
      <c r="B626" s="266"/>
      <c r="C626" s="266"/>
      <c r="D626" s="1866"/>
      <c r="E626" s="1866"/>
      <c r="F626" s="1866"/>
      <c r="G626" s="57"/>
    </row>
    <row r="627" spans="1:7">
      <c r="A627" s="266"/>
      <c r="B627" s="266"/>
      <c r="C627" s="266"/>
      <c r="D627" s="151"/>
      <c r="E627" s="147"/>
      <c r="F627" s="147"/>
      <c r="G627" s="57"/>
    </row>
    <row r="628" spans="1:7" ht="14.25">
      <c r="A628" s="261"/>
      <c r="B628" s="677" t="s">
        <v>315</v>
      </c>
      <c r="C628" s="266"/>
      <c r="D628" s="1823" t="s">
        <v>1280</v>
      </c>
      <c r="E628" s="1823"/>
      <c r="F628" s="1823"/>
      <c r="G628" s="57"/>
    </row>
    <row r="629" spans="1:7" ht="14.25">
      <c r="A629" s="261"/>
      <c r="B629" s="261"/>
      <c r="C629" s="266"/>
      <c r="D629" s="1823"/>
      <c r="E629" s="1823"/>
      <c r="F629" s="1823"/>
      <c r="G629" s="57"/>
    </row>
    <row r="630" spans="1:7" ht="14.25">
      <c r="A630" s="261"/>
      <c r="B630" s="261"/>
      <c r="C630" s="266"/>
      <c r="D630" s="1823"/>
      <c r="E630" s="1823"/>
      <c r="F630" s="1823"/>
      <c r="G630" s="57"/>
    </row>
    <row r="631" spans="1:7">
      <c r="A631" s="266"/>
      <c r="B631" s="266"/>
      <c r="C631" s="266"/>
      <c r="D631" s="1823"/>
      <c r="E631" s="1823"/>
      <c r="F631" s="1823"/>
      <c r="G631" s="57"/>
    </row>
    <row r="632" spans="1:7" s="717" customFormat="1">
      <c r="A632" s="266"/>
      <c r="B632" s="266"/>
      <c r="C632" s="266"/>
      <c r="D632" s="724"/>
      <c r="E632" s="724"/>
      <c r="F632" s="724"/>
      <c r="G632" s="57"/>
    </row>
    <row r="633" spans="1:7">
      <c r="A633" s="266"/>
      <c r="B633" s="677" t="s">
        <v>315</v>
      </c>
      <c r="C633" s="266"/>
      <c r="D633" s="1871" t="s">
        <v>1281</v>
      </c>
      <c r="E633" s="1871"/>
      <c r="F633" s="1871"/>
      <c r="G633" s="57"/>
    </row>
    <row r="634" spans="1:7">
      <c r="A634" s="266"/>
      <c r="B634" s="266"/>
      <c r="C634" s="266"/>
      <c r="D634" s="725"/>
      <c r="E634" s="725"/>
      <c r="F634" s="725"/>
      <c r="G634" s="57"/>
    </row>
    <row r="635" spans="1:7">
      <c r="A635" s="1831" t="s">
        <v>1172</v>
      </c>
      <c r="B635" s="1831"/>
      <c r="C635" s="1831"/>
      <c r="D635" s="1831"/>
      <c r="E635" s="1831"/>
      <c r="F635" s="1831"/>
      <c r="G635" s="1831"/>
    </row>
    <row r="636" spans="1:7">
      <c r="A636" s="135"/>
      <c r="B636" s="135"/>
      <c r="C636" s="266"/>
      <c r="D636" s="147"/>
      <c r="E636" s="147"/>
      <c r="F636" s="147"/>
      <c r="G636" s="57"/>
    </row>
    <row r="637" spans="1:7">
      <c r="C637" s="267"/>
      <c r="D637" s="1872" t="s">
        <v>1331</v>
      </c>
      <c r="E637" s="1872"/>
      <c r="F637" s="1872"/>
      <c r="G637" s="57"/>
    </row>
    <row r="638" spans="1:7">
      <c r="A638" s="260"/>
      <c r="B638" s="260"/>
      <c r="C638" s="260"/>
      <c r="D638" s="1873" t="s">
        <v>1332</v>
      </c>
      <c r="E638" s="1873"/>
      <c r="F638" s="1873"/>
      <c r="G638" s="57"/>
    </row>
    <row r="639" spans="1:7" s="717" customFormat="1">
      <c r="A639" s="718"/>
      <c r="B639" s="718"/>
      <c r="C639" s="718"/>
      <c r="D639" s="732"/>
      <c r="E639" s="732"/>
      <c r="F639" s="732"/>
      <c r="G639" s="57"/>
    </row>
    <row r="640" spans="1:7" ht="14.45" customHeight="1">
      <c r="A640" s="261"/>
      <c r="B640" s="677" t="s">
        <v>315</v>
      </c>
      <c r="C640" s="266"/>
      <c r="D640" s="1819" t="s">
        <v>1333</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315</v>
      </c>
      <c r="C646" s="266"/>
      <c r="D646" s="1849" t="s">
        <v>1183</v>
      </c>
      <c r="E646" s="1849"/>
      <c r="F646" s="1849"/>
      <c r="G646" s="57"/>
    </row>
    <row r="647" spans="1:11" s="680" customFormat="1" ht="14.25">
      <c r="A647" s="261"/>
      <c r="B647" s="261"/>
      <c r="C647" s="266"/>
      <c r="D647" s="1850" t="s">
        <v>1334</v>
      </c>
      <c r="E647" s="1850"/>
      <c r="F647" s="1850"/>
      <c r="G647" s="57"/>
    </row>
    <row r="648" spans="1:11" s="680" customFormat="1" ht="14.25">
      <c r="A648" s="261"/>
      <c r="B648" s="261"/>
      <c r="C648" s="266"/>
      <c r="D648" s="1850"/>
      <c r="E648" s="1850"/>
      <c r="F648" s="1850"/>
      <c r="G648" s="57"/>
    </row>
    <row r="649" spans="1:11" s="680" customFormat="1" ht="14.25">
      <c r="A649" s="261"/>
      <c r="B649" s="261"/>
      <c r="C649" s="266"/>
      <c r="D649" s="1850"/>
      <c r="E649" s="1850"/>
      <c r="F649" s="1850"/>
      <c r="G649" s="57"/>
    </row>
    <row r="650" spans="1:11" s="680" customFormat="1" ht="14.25">
      <c r="A650" s="261"/>
      <c r="B650" s="261"/>
      <c r="C650" s="266"/>
      <c r="D650" s="1850"/>
      <c r="E650" s="1850"/>
      <c r="F650" s="1850"/>
      <c r="G650" s="57"/>
    </row>
    <row r="651" spans="1:11" s="680" customFormat="1" ht="14.25">
      <c r="A651" s="261"/>
      <c r="B651" s="261"/>
      <c r="C651" s="266"/>
      <c r="D651" s="1850"/>
      <c r="E651" s="1850"/>
      <c r="F651" s="1850"/>
      <c r="G651" s="57"/>
    </row>
    <row r="652" spans="1:11" s="680" customFormat="1" ht="14.25">
      <c r="A652" s="261"/>
      <c r="B652" s="261"/>
      <c r="C652" s="266"/>
      <c r="D652" s="1851" t="s">
        <v>1335</v>
      </c>
      <c r="E652" s="1851"/>
      <c r="F652" s="1851"/>
      <c r="G652" s="57"/>
    </row>
    <row r="653" spans="1:11">
      <c r="A653" s="266"/>
      <c r="B653" s="266"/>
      <c r="C653" s="266"/>
      <c r="D653" s="147"/>
      <c r="E653" s="147"/>
      <c r="F653" s="147"/>
      <c r="G653" s="57"/>
    </row>
    <row r="654" spans="1:11">
      <c r="A654" s="1831" t="s">
        <v>1173</v>
      </c>
      <c r="B654" s="1831"/>
      <c r="C654" s="1831"/>
      <c r="D654" s="1831"/>
      <c r="E654" s="1831"/>
      <c r="F654" s="1831"/>
      <c r="G654" s="183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29" t="s">
        <v>104</v>
      </c>
      <c r="E656" s="1829"/>
      <c r="F656" s="1829"/>
      <c r="G656" s="57"/>
      <c r="H656" s="269"/>
      <c r="I656" s="269"/>
      <c r="J656" s="269"/>
      <c r="K656" s="269"/>
    </row>
    <row r="657" spans="1:11">
      <c r="A657" s="267"/>
      <c r="B657" s="267"/>
      <c r="C657" s="267"/>
      <c r="D657" s="1829" t="s">
        <v>128</v>
      </c>
      <c r="E657" s="1829"/>
      <c r="F657" s="1829"/>
      <c r="G657" s="57"/>
      <c r="H657" s="269"/>
      <c r="I657" s="269"/>
      <c r="J657" s="269"/>
      <c r="K657" s="269"/>
    </row>
    <row r="658" spans="1:11">
      <c r="A658" s="260"/>
      <c r="B658" s="260"/>
      <c r="C658" s="260"/>
      <c r="D658" s="1830" t="s">
        <v>1209</v>
      </c>
      <c r="E658" s="1830"/>
      <c r="F658" s="1830"/>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30" t="s">
        <v>950</v>
      </c>
      <c r="E660" s="1830"/>
      <c r="F660" s="1830"/>
      <c r="G660" s="57"/>
      <c r="H660" s="269"/>
      <c r="I660" s="269"/>
      <c r="J660" s="269"/>
      <c r="K660" s="269"/>
    </row>
    <row r="661" spans="1:11">
      <c r="A661" s="260"/>
      <c r="B661" s="260"/>
      <c r="C661" s="260"/>
      <c r="D661" s="1830" t="s">
        <v>961</v>
      </c>
      <c r="E661" s="1830"/>
      <c r="F661" s="1830"/>
      <c r="G661" s="57"/>
      <c r="H661" s="269"/>
      <c r="I661" s="269"/>
      <c r="J661" s="269"/>
      <c r="K661" s="269"/>
    </row>
    <row r="662" spans="1:11">
      <c r="A662" s="260"/>
      <c r="B662" s="260"/>
      <c r="C662" s="260"/>
      <c r="D662" s="6"/>
      <c r="E662" s="1809" t="s">
        <v>1210</v>
      </c>
      <c r="F662" s="1809"/>
      <c r="G662" s="57"/>
      <c r="H662" s="269"/>
      <c r="I662" s="269"/>
      <c r="J662" s="269"/>
      <c r="K662" s="269"/>
    </row>
    <row r="663" spans="1:11">
      <c r="A663" s="260"/>
      <c r="B663" s="260"/>
      <c r="C663" s="260"/>
      <c r="D663" s="6"/>
      <c r="E663" s="1809"/>
      <c r="F663" s="1809"/>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05" t="s">
        <v>1211</v>
      </c>
      <c r="E665" s="1805"/>
      <c r="F665" s="1805"/>
      <c r="G665" s="57"/>
      <c r="H665" s="269"/>
      <c r="I665" s="269"/>
      <c r="J665" s="269"/>
      <c r="K665" s="269"/>
    </row>
    <row r="666" spans="1:11">
      <c r="A666" s="23"/>
      <c r="B666" s="673"/>
      <c r="C666" s="260"/>
      <c r="D666" s="1805"/>
      <c r="E666" s="1805"/>
      <c r="F666" s="1805"/>
      <c r="G666" s="57"/>
      <c r="H666" s="269"/>
      <c r="I666" s="269"/>
      <c r="J666" s="269"/>
      <c r="K666" s="269"/>
    </row>
    <row r="667" spans="1:11">
      <c r="A667" s="260"/>
      <c r="B667" s="260"/>
      <c r="C667" s="260"/>
      <c r="D667" s="1805"/>
      <c r="E667" s="1805"/>
      <c r="F667" s="1805"/>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30" t="s">
        <v>990</v>
      </c>
      <c r="E669" s="1830"/>
      <c r="F669" s="1830"/>
      <c r="G669" s="57"/>
      <c r="H669" s="269"/>
      <c r="I669" s="269"/>
      <c r="J669" s="269"/>
      <c r="K669" s="269"/>
    </row>
    <row r="670" spans="1:11" ht="14.25">
      <c r="A670" s="261"/>
      <c r="B670" s="261"/>
      <c r="C670" s="260"/>
      <c r="D670" s="1830" t="s">
        <v>961</v>
      </c>
      <c r="E670" s="1830"/>
      <c r="F670" s="1830"/>
      <c r="G670" s="57"/>
      <c r="H670" s="269"/>
      <c r="I670" s="269"/>
      <c r="J670" s="269"/>
      <c r="K670" s="269"/>
    </row>
    <row r="671" spans="1:11">
      <c r="A671" s="260"/>
      <c r="B671" s="260"/>
      <c r="C671" s="260"/>
      <c r="D671" s="6"/>
      <c r="E671" s="1835" t="s">
        <v>1212</v>
      </c>
      <c r="F671" s="1835"/>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28" t="s">
        <v>1222</v>
      </c>
      <c r="E673" s="1828"/>
      <c r="F673" s="1828"/>
      <c r="G673" s="57"/>
      <c r="H673" s="269"/>
      <c r="I673" s="269"/>
      <c r="J673" s="269"/>
      <c r="K673" s="269"/>
    </row>
    <row r="674" spans="1:11">
      <c r="A674" s="260"/>
      <c r="B674" s="260"/>
      <c r="C674" s="260"/>
      <c r="D674" s="1828"/>
      <c r="E674" s="1828"/>
      <c r="F674" s="1828"/>
      <c r="G674" s="57"/>
      <c r="H674" s="269"/>
      <c r="I674" s="269"/>
      <c r="J674" s="269"/>
      <c r="K674" s="269"/>
    </row>
    <row r="675" spans="1:11">
      <c r="A675" s="260"/>
      <c r="B675" s="260"/>
      <c r="C675" s="260"/>
      <c r="D675" s="1828"/>
      <c r="E675" s="1828"/>
      <c r="F675" s="1828"/>
      <c r="G675" s="57"/>
      <c r="H675" s="269"/>
      <c r="I675" s="269"/>
      <c r="J675" s="269"/>
      <c r="K675" s="269"/>
    </row>
    <row r="676" spans="1:11">
      <c r="A676" s="260"/>
      <c r="B676" s="260"/>
      <c r="C676" s="260"/>
      <c r="D676" s="1828"/>
      <c r="E676" s="1828"/>
      <c r="F676" s="1828"/>
      <c r="G676" s="57"/>
      <c r="H676" s="269"/>
      <c r="I676" s="269"/>
      <c r="J676" s="269"/>
      <c r="K676" s="269"/>
    </row>
    <row r="677" spans="1:11">
      <c r="A677" s="260"/>
      <c r="B677" s="260"/>
      <c r="C677" s="260"/>
      <c r="D677" s="1828"/>
      <c r="E677" s="1828"/>
      <c r="F677" s="1828"/>
      <c r="G677" s="57"/>
      <c r="H677" s="269"/>
      <c r="I677" s="269"/>
      <c r="J677" s="269"/>
      <c r="K677" s="269"/>
    </row>
    <row r="678" spans="1:11" s="39" customFormat="1">
      <c r="A678" s="487"/>
      <c r="B678" s="487"/>
      <c r="C678" s="487"/>
      <c r="D678" s="1828"/>
      <c r="E678" s="1828"/>
      <c r="F678" s="182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28" t="s">
        <v>1213</v>
      </c>
      <c r="E680" s="1828"/>
      <c r="F680" s="1828"/>
      <c r="G680" s="57"/>
      <c r="H680" s="269"/>
      <c r="I680" s="269"/>
      <c r="J680" s="269"/>
      <c r="K680" s="269"/>
    </row>
    <row r="681" spans="1:11">
      <c r="A681" s="260"/>
      <c r="B681" s="260"/>
      <c r="C681" s="260"/>
      <c r="D681" s="1828"/>
      <c r="E681" s="1828"/>
      <c r="F681" s="1828"/>
      <c r="G681" s="57"/>
      <c r="H681" s="269"/>
      <c r="I681" s="269"/>
      <c r="J681" s="269"/>
      <c r="K681" s="269"/>
    </row>
    <row r="682" spans="1:11">
      <c r="A682" s="260"/>
      <c r="B682" s="260"/>
      <c r="C682" s="260"/>
      <c r="D682" s="1828"/>
      <c r="E682" s="1828"/>
      <c r="F682" s="1828"/>
      <c r="G682" s="57"/>
      <c r="H682" s="269"/>
      <c r="I682" s="269"/>
      <c r="J682" s="269"/>
      <c r="K682" s="269"/>
    </row>
    <row r="683" spans="1:11" ht="15" customHeight="1">
      <c r="A683" s="260"/>
      <c r="B683" s="260"/>
      <c r="C683" s="260"/>
      <c r="D683" s="1828"/>
      <c r="E683" s="1828"/>
      <c r="F683" s="1828"/>
      <c r="G683" s="57"/>
      <c r="H683" s="269"/>
      <c r="I683" s="269"/>
      <c r="J683" s="269"/>
      <c r="K683" s="269"/>
    </row>
    <row r="684" spans="1:11" ht="15" customHeight="1">
      <c r="A684" s="260"/>
      <c r="B684" s="260"/>
      <c r="C684" s="260"/>
      <c r="D684" s="1828"/>
      <c r="E684" s="1828"/>
      <c r="F684" s="1828"/>
      <c r="G684" s="57"/>
      <c r="H684" s="269"/>
      <c r="I684" s="269"/>
      <c r="J684" s="269"/>
      <c r="K684" s="269"/>
    </row>
    <row r="685" spans="1:11">
      <c r="A685" s="260"/>
      <c r="B685" s="260"/>
      <c r="C685" s="260"/>
      <c r="D685" s="1828"/>
      <c r="E685" s="1828"/>
      <c r="F685" s="1828"/>
      <c r="G685" s="57"/>
      <c r="H685" s="269"/>
      <c r="I685" s="269"/>
      <c r="J685" s="269"/>
      <c r="K685" s="269"/>
    </row>
    <row r="686" spans="1:11">
      <c r="A686" s="260"/>
      <c r="B686" s="260"/>
      <c r="C686" s="260"/>
      <c r="D686" s="1828"/>
      <c r="E686" s="1828"/>
      <c r="F686" s="1828"/>
      <c r="G686" s="57"/>
      <c r="H686" s="269"/>
      <c r="I686" s="269"/>
      <c r="J686" s="269"/>
      <c r="K686" s="269"/>
    </row>
    <row r="687" spans="1:11">
      <c r="A687" s="260"/>
      <c r="B687" s="260"/>
      <c r="C687" s="260"/>
      <c r="D687" s="1828"/>
      <c r="E687" s="1828"/>
      <c r="F687" s="1828"/>
      <c r="G687" s="57"/>
      <c r="H687" s="269"/>
      <c r="I687" s="269"/>
      <c r="J687" s="269"/>
      <c r="K687" s="269"/>
    </row>
    <row r="688" spans="1:11" ht="15" customHeight="1">
      <c r="A688" s="260"/>
      <c r="B688" s="260"/>
      <c r="C688" s="260"/>
      <c r="D688" s="1828"/>
      <c r="E688" s="1828"/>
      <c r="F688" s="1828"/>
      <c r="G688" s="57"/>
      <c r="H688" s="269"/>
      <c r="I688" s="269"/>
      <c r="J688" s="269"/>
      <c r="K688" s="269"/>
    </row>
    <row r="689" spans="1:11">
      <c r="A689" s="260"/>
      <c r="B689" s="260"/>
      <c r="C689" s="260"/>
      <c r="D689" s="1828"/>
      <c r="E689" s="1828"/>
      <c r="F689" s="1828"/>
      <c r="G689" s="57"/>
      <c r="H689" s="269"/>
      <c r="I689" s="269"/>
      <c r="J689" s="269"/>
      <c r="K689" s="269"/>
    </row>
    <row r="690" spans="1:11">
      <c r="A690" s="260"/>
      <c r="B690" s="260"/>
      <c r="C690" s="260"/>
      <c r="D690" s="1828"/>
      <c r="E690" s="1828"/>
      <c r="F690" s="1828"/>
      <c r="G690" s="57"/>
      <c r="H690" s="269"/>
      <c r="I690" s="269"/>
      <c r="J690" s="269"/>
      <c r="K690" s="269"/>
    </row>
    <row r="691" spans="1:11">
      <c r="A691" s="260"/>
      <c r="B691" s="260"/>
      <c r="C691" s="260"/>
      <c r="D691" s="1828"/>
      <c r="E691" s="1828"/>
      <c r="F691" s="182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28" t="s">
        <v>1223</v>
      </c>
      <c r="E693" s="1828"/>
      <c r="F693" s="1828"/>
      <c r="G693" s="57"/>
      <c r="H693" s="269"/>
      <c r="I693" s="269"/>
      <c r="J693" s="269"/>
      <c r="K693" s="269"/>
    </row>
    <row r="694" spans="1:11">
      <c r="A694" s="260"/>
      <c r="B694" s="260"/>
      <c r="C694" s="260"/>
      <c r="D694" s="1828"/>
      <c r="E694" s="1828"/>
      <c r="F694" s="1828"/>
      <c r="G694" s="57"/>
      <c r="H694" s="269"/>
      <c r="I694" s="269"/>
      <c r="J694" s="269"/>
      <c r="K694" s="269"/>
    </row>
    <row r="695" spans="1:11">
      <c r="A695" s="260"/>
      <c r="B695" s="260"/>
      <c r="C695" s="260"/>
      <c r="D695" s="1828"/>
      <c r="E695" s="1828"/>
      <c r="F695" s="182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28" t="s">
        <v>1220</v>
      </c>
      <c r="E697" s="1828"/>
      <c r="F697" s="1828"/>
      <c r="G697" s="57"/>
      <c r="H697" s="269"/>
      <c r="I697" s="269"/>
      <c r="J697" s="269"/>
      <c r="K697" s="269"/>
    </row>
    <row r="698" spans="1:11" s="680" customFormat="1">
      <c r="A698" s="260"/>
      <c r="B698" s="260"/>
      <c r="C698" s="260"/>
      <c r="D698" s="1828"/>
      <c r="E698" s="1828"/>
      <c r="F698" s="182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28" t="s">
        <v>1221</v>
      </c>
      <c r="E700" s="1828"/>
      <c r="F700" s="1828"/>
      <c r="G700" s="57"/>
      <c r="H700" s="269"/>
      <c r="I700" s="269"/>
      <c r="J700" s="269"/>
      <c r="K700" s="269"/>
    </row>
    <row r="701" spans="1:11" s="680" customFormat="1">
      <c r="A701" s="260"/>
      <c r="B701" s="260"/>
      <c r="C701" s="260"/>
      <c r="D701" s="1828"/>
      <c r="E701" s="1828"/>
      <c r="F701" s="1828"/>
      <c r="G701" s="57"/>
      <c r="H701" s="269"/>
      <c r="I701" s="269"/>
      <c r="J701" s="269"/>
      <c r="K701" s="269"/>
    </row>
    <row r="702" spans="1:11" s="680" customFormat="1">
      <c r="A702" s="260"/>
      <c r="B702" s="260"/>
      <c r="C702" s="260"/>
      <c r="D702" s="1828"/>
      <c r="E702" s="1828"/>
      <c r="F702" s="182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28" t="s">
        <v>1214</v>
      </c>
      <c r="E704" s="1828"/>
      <c r="F704" s="1828"/>
      <c r="G704" s="57"/>
      <c r="H704" s="269"/>
      <c r="I704" s="269"/>
      <c r="J704" s="269"/>
      <c r="K704" s="269"/>
    </row>
    <row r="705" spans="1:11">
      <c r="A705" s="260"/>
      <c r="B705" s="260"/>
      <c r="C705" s="260"/>
      <c r="D705" s="1828"/>
      <c r="E705" s="1828"/>
      <c r="F705" s="1828"/>
      <c r="G705" s="57"/>
      <c r="H705" s="269"/>
      <c r="I705" s="269"/>
      <c r="J705" s="269"/>
      <c r="K705" s="269"/>
    </row>
    <row r="706" spans="1:11">
      <c r="A706" s="260"/>
      <c r="B706" s="260"/>
      <c r="C706" s="260"/>
      <c r="D706" s="1828"/>
      <c r="E706" s="1828"/>
      <c r="F706" s="1828"/>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28" t="s">
        <v>1215</v>
      </c>
      <c r="E708" s="1828"/>
      <c r="F708" s="1828"/>
      <c r="G708" s="57"/>
      <c r="H708" s="269"/>
      <c r="I708" s="269"/>
      <c r="J708" s="269"/>
      <c r="K708" s="269"/>
    </row>
    <row r="709" spans="1:11">
      <c r="A709" s="260"/>
      <c r="B709" s="260"/>
      <c r="C709" s="260"/>
      <c r="D709" s="1828"/>
      <c r="E709" s="1828"/>
      <c r="F709" s="1828"/>
      <c r="G709" s="57"/>
      <c r="H709" s="269"/>
      <c r="I709" s="269"/>
      <c r="J709" s="269"/>
      <c r="K709" s="269"/>
    </row>
    <row r="710" spans="1:11">
      <c r="A710" s="260"/>
      <c r="B710" s="260"/>
      <c r="C710" s="260"/>
      <c r="D710" s="1828"/>
      <c r="E710" s="1828"/>
      <c r="F710" s="1828"/>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05" t="s">
        <v>1216</v>
      </c>
      <c r="E712" s="1805"/>
      <c r="F712" s="1805"/>
      <c r="G712" s="57"/>
      <c r="H712" s="269"/>
      <c r="I712" s="269"/>
      <c r="J712" s="269"/>
      <c r="K712" s="269"/>
    </row>
    <row r="713" spans="1:11">
      <c r="A713" s="260"/>
      <c r="B713" s="260"/>
      <c r="C713" s="260"/>
      <c r="D713" s="1805"/>
      <c r="E713" s="1805"/>
      <c r="F713" s="1805"/>
      <c r="G713" s="57"/>
      <c r="H713" s="269"/>
      <c r="I713" s="269"/>
      <c r="J713" s="269"/>
      <c r="K713" s="269"/>
    </row>
    <row r="714" spans="1:11">
      <c r="A714" s="260"/>
      <c r="B714" s="260"/>
      <c r="C714" s="260"/>
      <c r="D714" s="1805"/>
      <c r="E714" s="1805"/>
      <c r="F714" s="1805"/>
      <c r="G714" s="57"/>
      <c r="H714" s="269"/>
      <c r="I714" s="269"/>
      <c r="J714" s="269"/>
      <c r="K714" s="269"/>
    </row>
    <row r="715" spans="1:11">
      <c r="A715" s="260"/>
      <c r="B715" s="260"/>
      <c r="C715" s="260"/>
      <c r="D715" s="1805"/>
      <c r="E715" s="1805"/>
      <c r="F715" s="1805"/>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28" t="s">
        <v>1349</v>
      </c>
      <c r="E717" s="1828"/>
      <c r="F717" s="1828"/>
      <c r="G717" s="57"/>
      <c r="H717" s="269"/>
      <c r="I717" s="269"/>
      <c r="J717" s="269"/>
      <c r="K717" s="269"/>
    </row>
    <row r="718" spans="1:11">
      <c r="A718" s="260"/>
      <c r="B718" s="260"/>
      <c r="C718" s="260"/>
      <c r="D718" s="1828"/>
      <c r="E718" s="1828"/>
      <c r="F718" s="1828"/>
      <c r="G718" s="57"/>
      <c r="H718" s="269"/>
      <c r="I718" s="269"/>
      <c r="J718" s="269"/>
      <c r="K718" s="269"/>
    </row>
    <row r="719" spans="1:11">
      <c r="A719" s="260"/>
      <c r="B719" s="260"/>
      <c r="C719" s="260"/>
      <c r="D719" s="1828"/>
      <c r="E719" s="1828"/>
      <c r="F719" s="1828"/>
      <c r="G719" s="57"/>
      <c r="H719" s="269"/>
      <c r="I719" s="269"/>
      <c r="J719" s="269"/>
      <c r="K719" s="269"/>
    </row>
    <row r="720" spans="1:11">
      <c r="A720" s="260"/>
      <c r="B720" s="260"/>
      <c r="C720" s="260"/>
      <c r="D720" s="1828"/>
      <c r="E720" s="1828"/>
      <c r="F720" s="1828"/>
      <c r="G720" s="57"/>
      <c r="H720" s="269"/>
      <c r="I720" s="269"/>
      <c r="J720" s="269"/>
      <c r="K720" s="269"/>
    </row>
    <row r="721" spans="1:11">
      <c r="A721" s="260"/>
      <c r="B721" s="260"/>
      <c r="C721" s="260"/>
      <c r="D721" s="1828"/>
      <c r="E721" s="1828"/>
      <c r="F721" s="1828"/>
      <c r="G721" s="57"/>
      <c r="H721" s="269"/>
      <c r="I721" s="269"/>
      <c r="J721" s="269"/>
      <c r="K721" s="269"/>
    </row>
    <row r="722" spans="1:11">
      <c r="A722" s="260"/>
      <c r="B722" s="260"/>
      <c r="C722" s="260"/>
      <c r="D722" s="1828"/>
      <c r="E722" s="1828"/>
      <c r="F722" s="1828"/>
      <c r="G722" s="57"/>
      <c r="H722" s="269"/>
      <c r="I722" s="269"/>
      <c r="J722" s="269"/>
      <c r="K722" s="269"/>
    </row>
    <row r="723" spans="1:11">
      <c r="A723" s="260"/>
      <c r="B723" s="260"/>
      <c r="C723" s="260"/>
      <c r="D723" s="1828"/>
      <c r="E723" s="1828"/>
      <c r="F723" s="1828"/>
      <c r="G723" s="57"/>
      <c r="H723" s="269"/>
      <c r="I723" s="269"/>
      <c r="J723" s="269"/>
      <c r="K723" s="269"/>
    </row>
    <row r="724" spans="1:11">
      <c r="A724" s="260"/>
      <c r="B724" s="260"/>
      <c r="C724" s="260"/>
      <c r="D724" s="1839" t="s">
        <v>1217</v>
      </c>
      <c r="E724" s="1839"/>
      <c r="F724" s="1839"/>
      <c r="G724" s="57"/>
      <c r="H724" s="269"/>
      <c r="I724" s="269"/>
      <c r="J724" s="269"/>
      <c r="K724" s="269"/>
    </row>
    <row r="725" spans="1:11" s="680" customFormat="1">
      <c r="A725" s="260"/>
      <c r="B725" s="260"/>
      <c r="C725" s="260"/>
      <c r="D725" s="531"/>
      <c r="E725" s="7"/>
      <c r="F725" s="7"/>
      <c r="G725" s="57"/>
      <c r="H725" s="269"/>
      <c r="I725" s="269"/>
      <c r="J725" s="269"/>
      <c r="K725" s="269"/>
    </row>
    <row r="726" spans="1:11">
      <c r="A726" s="1832" t="s">
        <v>1174</v>
      </c>
      <c r="B726" s="1832"/>
      <c r="C726" s="1832"/>
      <c r="D726" s="1832"/>
      <c r="E726" s="1832"/>
      <c r="F726" s="1832"/>
      <c r="G726" s="1832"/>
      <c r="H726" s="269"/>
      <c r="I726" s="269"/>
      <c r="J726" s="269"/>
      <c r="K726" s="269"/>
    </row>
    <row r="727" spans="1:11">
      <c r="A727" s="260"/>
      <c r="B727" s="260"/>
      <c r="C727" s="260"/>
      <c r="D727" s="263"/>
      <c r="G727" s="271"/>
      <c r="H727" s="269"/>
      <c r="I727" s="269"/>
      <c r="J727" s="269"/>
      <c r="K727" s="269"/>
    </row>
    <row r="728" spans="1:11" ht="13.15" customHeight="1">
      <c r="C728" s="260"/>
      <c r="D728" s="1847" t="s">
        <v>1190</v>
      </c>
      <c r="E728" s="1847"/>
      <c r="F728" s="1847"/>
      <c r="G728" s="271"/>
      <c r="H728" s="269"/>
      <c r="I728" s="269"/>
      <c r="J728" s="269"/>
      <c r="K728" s="269"/>
    </row>
    <row r="729" spans="1:11">
      <c r="A729" s="260"/>
      <c r="B729" s="260"/>
      <c r="C729" s="260"/>
      <c r="D729" s="1834" t="s">
        <v>1191</v>
      </c>
      <c r="E729" s="1834"/>
      <c r="F729" s="1834"/>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05" t="s">
        <v>1192</v>
      </c>
      <c r="E731" s="1805"/>
      <c r="F731" s="1805"/>
      <c r="G731" s="271"/>
      <c r="H731" s="272"/>
      <c r="I731" s="272"/>
      <c r="J731" s="272"/>
      <c r="K731" s="272"/>
    </row>
    <row r="732" spans="1:11" s="39" customFormat="1" ht="10.5" customHeight="1">
      <c r="A732" s="132"/>
      <c r="B732" s="674"/>
      <c r="C732" s="132"/>
      <c r="D732" s="1805"/>
      <c r="E732" s="1805"/>
      <c r="F732" s="1805"/>
      <c r="G732" s="271"/>
      <c r="H732" s="272"/>
      <c r="I732" s="272"/>
      <c r="J732" s="272"/>
      <c r="K732" s="272"/>
    </row>
    <row r="733" spans="1:11" s="39" customFormat="1">
      <c r="A733" s="132"/>
      <c r="B733" s="674"/>
      <c r="C733" s="132"/>
      <c r="D733" s="1805"/>
      <c r="E733" s="1805"/>
      <c r="F733" s="1805"/>
      <c r="G733" s="271"/>
      <c r="H733" s="272"/>
      <c r="I733" s="272"/>
      <c r="J733" s="272"/>
      <c r="K733" s="272"/>
    </row>
    <row r="734" spans="1:11">
      <c r="D734" s="1805"/>
      <c r="E734" s="1805"/>
      <c r="F734" s="1805"/>
      <c r="G734" s="271"/>
      <c r="H734" s="269"/>
      <c r="I734" s="269"/>
      <c r="J734" s="269"/>
      <c r="K734" s="269"/>
    </row>
    <row r="735" spans="1:11">
      <c r="A735" s="273"/>
      <c r="B735" s="273"/>
      <c r="C735" s="273"/>
      <c r="D735" s="1805"/>
      <c r="E735" s="1805"/>
      <c r="F735" s="1805"/>
      <c r="G735" s="275"/>
      <c r="H735" s="269"/>
      <c r="I735" s="269"/>
      <c r="J735" s="269"/>
      <c r="K735" s="269"/>
    </row>
    <row r="736" spans="1:11" ht="15.6" customHeight="1">
      <c r="A736" s="273"/>
      <c r="B736" s="273"/>
      <c r="C736" s="273"/>
      <c r="D736" s="1805"/>
      <c r="E736" s="1805"/>
      <c r="F736" s="180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07" t="s">
        <v>1193</v>
      </c>
      <c r="E738" s="1807"/>
      <c r="F738" s="1807"/>
      <c r="G738" s="311"/>
    </row>
    <row r="739" spans="1:11" s="409" customFormat="1">
      <c r="A739" s="408"/>
      <c r="B739" s="408"/>
      <c r="C739" s="408"/>
      <c r="D739" s="1807"/>
      <c r="E739" s="1807"/>
      <c r="F739" s="1807"/>
      <c r="G739" s="311"/>
    </row>
    <row r="740" spans="1:11" s="409" customFormat="1">
      <c r="A740" s="408"/>
      <c r="B740" s="408"/>
      <c r="C740" s="408"/>
      <c r="D740" s="1807"/>
      <c r="E740" s="1807"/>
      <c r="F740" s="1807"/>
      <c r="G740" s="311"/>
    </row>
    <row r="741" spans="1:11" s="409" customFormat="1">
      <c r="A741" s="408"/>
      <c r="B741" s="408"/>
      <c r="C741" s="408"/>
      <c r="D741" s="1807"/>
      <c r="E741" s="1807"/>
      <c r="F741" s="1807"/>
      <c r="G741" s="311"/>
    </row>
    <row r="742" spans="1:11" s="409" customFormat="1">
      <c r="A742" s="408"/>
      <c r="B742" s="408"/>
      <c r="C742" s="408"/>
      <c r="D742" s="377"/>
      <c r="E742" s="311"/>
      <c r="F742" s="311"/>
      <c r="G742" s="311"/>
    </row>
    <row r="743" spans="1:11" s="409" customFormat="1" ht="14.25">
      <c r="A743" s="261"/>
      <c r="B743" s="677" t="s">
        <v>315</v>
      </c>
      <c r="C743" s="408"/>
      <c r="D743" s="1848" t="s">
        <v>1194</v>
      </c>
      <c r="E743" s="1848"/>
      <c r="F743" s="1848"/>
      <c r="G743" s="311"/>
    </row>
    <row r="744" spans="1:11" s="409" customFormat="1">
      <c r="A744" s="408"/>
      <c r="B744" s="408"/>
      <c r="C744" s="408"/>
      <c r="D744" s="1848"/>
      <c r="E744" s="1848"/>
      <c r="F744" s="1848"/>
      <c r="G744" s="311"/>
    </row>
    <row r="745" spans="1:11" s="409" customFormat="1">
      <c r="A745" s="408"/>
      <c r="B745" s="408"/>
      <c r="C745" s="408"/>
      <c r="D745" s="1848"/>
      <c r="E745" s="1848"/>
      <c r="F745" s="1848"/>
      <c r="G745" s="311"/>
    </row>
    <row r="746" spans="1:11">
      <c r="A746" s="273"/>
      <c r="B746" s="273"/>
      <c r="C746" s="273"/>
      <c r="D746" s="377"/>
      <c r="E746" s="274"/>
      <c r="F746" s="274"/>
      <c r="G746" s="275"/>
      <c r="H746" s="269"/>
      <c r="I746" s="269"/>
      <c r="J746" s="269"/>
      <c r="K746" s="269"/>
    </row>
    <row r="747" spans="1:11" ht="14.25">
      <c r="A747" s="261"/>
      <c r="B747" s="677" t="s">
        <v>315</v>
      </c>
      <c r="C747" s="273"/>
      <c r="D747" s="1807" t="s">
        <v>1195</v>
      </c>
      <c r="E747" s="1807"/>
      <c r="F747" s="1807"/>
      <c r="G747" s="275"/>
      <c r="H747" s="269"/>
      <c r="I747" s="269"/>
      <c r="J747" s="269"/>
      <c r="K747" s="269"/>
    </row>
    <row r="748" spans="1:11">
      <c r="A748" s="273"/>
      <c r="B748" s="273"/>
      <c r="C748" s="273"/>
      <c r="D748" s="1807"/>
      <c r="E748" s="1807"/>
      <c r="F748" s="1807"/>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07" t="s">
        <v>1196</v>
      </c>
      <c r="E750" s="1807"/>
      <c r="F750" s="1807"/>
      <c r="G750" s="275"/>
      <c r="H750" s="269"/>
      <c r="I750" s="269"/>
      <c r="J750" s="269"/>
      <c r="K750" s="269"/>
    </row>
    <row r="751" spans="1:11" s="680" customFormat="1">
      <c r="A751" s="273"/>
      <c r="B751" s="273"/>
      <c r="C751" s="273"/>
      <c r="D751" s="1807"/>
      <c r="E751" s="1807"/>
      <c r="F751" s="1807"/>
      <c r="G751" s="275"/>
      <c r="H751" s="269"/>
      <c r="I751" s="269"/>
      <c r="J751" s="269"/>
      <c r="K751" s="269"/>
    </row>
    <row r="752" spans="1:11" s="680" customFormat="1">
      <c r="A752" s="273"/>
      <c r="B752" s="273"/>
      <c r="C752" s="273"/>
      <c r="D752" s="1807"/>
      <c r="E752" s="1807"/>
      <c r="F752" s="1807"/>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42" t="s">
        <v>1197</v>
      </c>
      <c r="B754" s="1842"/>
      <c r="C754" s="1842"/>
      <c r="D754" s="1842"/>
      <c r="E754" s="1842"/>
      <c r="F754" s="1842"/>
      <c r="G754" s="1842"/>
    </row>
    <row r="755" spans="1:11">
      <c r="A755" s="260"/>
      <c r="B755" s="260"/>
      <c r="C755" s="260"/>
      <c r="D755" s="276"/>
      <c r="F755" s="147"/>
      <c r="G755" s="271"/>
    </row>
    <row r="756" spans="1:11">
      <c r="A756" s="273"/>
      <c r="B756" s="273"/>
      <c r="C756" s="442"/>
      <c r="D756" s="1843" t="s">
        <v>1181</v>
      </c>
      <c r="E756" s="1843"/>
      <c r="F756" s="1843"/>
      <c r="G756" s="271"/>
    </row>
    <row r="757" spans="1:11">
      <c r="A757" s="501"/>
      <c r="B757" s="501"/>
      <c r="C757" s="500"/>
      <c r="D757" s="1844" t="s">
        <v>1198</v>
      </c>
      <c r="E757" s="1844"/>
      <c r="F757" s="1844"/>
      <c r="G757" s="271"/>
    </row>
    <row r="758" spans="1:11">
      <c r="A758" s="273"/>
      <c r="B758" s="273"/>
      <c r="C758" s="442"/>
      <c r="D758" s="691"/>
      <c r="E758" s="691"/>
      <c r="F758" s="691"/>
      <c r="G758" s="271"/>
    </row>
    <row r="759" spans="1:11" ht="14.25">
      <c r="A759" s="261"/>
      <c r="B759" s="677" t="s">
        <v>315</v>
      </c>
      <c r="C759" s="442"/>
      <c r="D759" s="1845" t="s">
        <v>1066</v>
      </c>
      <c r="E759" s="1845"/>
      <c r="F759" s="1845"/>
      <c r="G759" s="271"/>
    </row>
    <row r="760" spans="1:11">
      <c r="A760" s="273"/>
      <c r="B760" s="273"/>
      <c r="C760" s="442"/>
      <c r="D760" s="690"/>
      <c r="E760" s="1846" t="s">
        <v>1182</v>
      </c>
      <c r="F760" s="1846"/>
      <c r="G760" s="271"/>
    </row>
    <row r="761" spans="1:11">
      <c r="A761" s="267"/>
      <c r="B761" s="267"/>
      <c r="C761" s="267"/>
      <c r="D761" s="135"/>
      <c r="F761" s="57"/>
      <c r="G761" s="271"/>
    </row>
    <row r="762" spans="1:11">
      <c r="A762" s="1840" t="s">
        <v>470</v>
      </c>
      <c r="B762" s="1840"/>
      <c r="C762" s="1840"/>
      <c r="D762" s="1840"/>
      <c r="E762" s="1840"/>
      <c r="F762" s="1840"/>
      <c r="G762" s="1840"/>
    </row>
    <row r="763" spans="1:11">
      <c r="A763" s="255"/>
      <c r="B763" s="671"/>
      <c r="C763" s="266"/>
      <c r="D763" s="271"/>
      <c r="E763" s="271"/>
      <c r="F763" s="271"/>
      <c r="G763" s="271"/>
    </row>
    <row r="764" spans="1:11">
      <c r="A764" s="135"/>
      <c r="B764" s="1841" t="s">
        <v>1065</v>
      </c>
      <c r="C764" s="1841"/>
      <c r="D764" s="1841"/>
      <c r="E764" s="1841"/>
      <c r="F764" s="1841"/>
      <c r="G764" s="271"/>
    </row>
    <row r="765" spans="1:11">
      <c r="A765" s="23"/>
      <c r="B765" s="673"/>
      <c r="G765" s="271"/>
    </row>
    <row r="766" spans="1:11">
      <c r="A766" s="1840" t="s">
        <v>471</v>
      </c>
      <c r="B766" s="1840"/>
      <c r="C766" s="1840"/>
      <c r="D766" s="1840"/>
      <c r="E766" s="1840"/>
      <c r="F766" s="1840"/>
      <c r="G766" s="1840"/>
    </row>
    <row r="767" spans="1:11">
      <c r="A767" s="255"/>
      <c r="B767" s="671"/>
      <c r="C767" s="255"/>
      <c r="D767" s="263"/>
      <c r="G767" s="271"/>
    </row>
    <row r="768" spans="1:11">
      <c r="A768" s="135"/>
      <c r="B768" s="1837" t="s">
        <v>469</v>
      </c>
      <c r="C768" s="1837"/>
      <c r="D768" s="1837"/>
      <c r="E768" s="1837"/>
      <c r="F768" s="1837"/>
      <c r="G768" s="271"/>
    </row>
    <row r="769" spans="1:7" ht="14.25">
      <c r="A769" s="261"/>
      <c r="B769" s="261"/>
      <c r="D769" s="135"/>
      <c r="E769" s="135"/>
      <c r="F769" s="271"/>
      <c r="G769" s="271"/>
    </row>
    <row r="770" spans="1:7">
      <c r="A770" s="1840" t="s">
        <v>472</v>
      </c>
      <c r="B770" s="1840"/>
      <c r="C770" s="1840"/>
      <c r="D770" s="1840"/>
      <c r="E770" s="1840"/>
      <c r="F770" s="1840"/>
      <c r="G770" s="1840"/>
    </row>
    <row r="771" spans="1:7">
      <c r="C771" s="260"/>
      <c r="D771" s="259"/>
      <c r="E771" s="135"/>
      <c r="F771" s="271"/>
      <c r="G771" s="271"/>
    </row>
    <row r="772" spans="1:7">
      <c r="A772" s="135"/>
      <c r="B772" s="1837" t="s">
        <v>469</v>
      </c>
      <c r="C772" s="1837"/>
      <c r="D772" s="1837"/>
      <c r="E772" s="1837"/>
      <c r="F772" s="1837"/>
      <c r="G772" s="271"/>
    </row>
    <row r="773" spans="1:7">
      <c r="A773" s="135"/>
      <c r="B773" s="135"/>
      <c r="C773" s="266"/>
      <c r="D773" s="271"/>
      <c r="E773" s="271"/>
      <c r="F773" s="271"/>
      <c r="G773" s="271"/>
    </row>
    <row r="774" spans="1:7">
      <c r="A774" s="1840" t="s">
        <v>473</v>
      </c>
      <c r="B774" s="1840"/>
      <c r="C774" s="1840"/>
      <c r="D774" s="1840"/>
      <c r="E774" s="1840"/>
      <c r="F774" s="1840"/>
      <c r="G774" s="1840"/>
    </row>
    <row r="775" spans="1:7">
      <c r="A775" s="135"/>
      <c r="B775" s="135"/>
    </row>
    <row r="776" spans="1:7">
      <c r="A776" s="135"/>
      <c r="B776" s="1837" t="s">
        <v>469</v>
      </c>
      <c r="C776" s="1837"/>
      <c r="D776" s="1837"/>
      <c r="E776" s="1837"/>
      <c r="F776" s="1837"/>
    </row>
    <row r="777" spans="1:7">
      <c r="A777" s="266"/>
      <c r="B777" s="266"/>
      <c r="C777" s="266"/>
      <c r="D777" s="258"/>
      <c r="F777" s="271"/>
    </row>
    <row r="778" spans="1:7">
      <c r="A778" s="1840" t="s">
        <v>474</v>
      </c>
      <c r="B778" s="1840"/>
      <c r="C778" s="1840"/>
      <c r="D778" s="1840"/>
      <c r="E778" s="1840"/>
      <c r="F778" s="1840"/>
      <c r="G778" s="1840"/>
    </row>
    <row r="779" spans="1:7">
      <c r="A779" s="135"/>
      <c r="B779" s="135"/>
    </row>
    <row r="780" spans="1:7">
      <c r="A780" s="135"/>
      <c r="B780" s="1837" t="s">
        <v>469</v>
      </c>
      <c r="C780" s="1837"/>
      <c r="D780" s="1837"/>
      <c r="E780" s="1837"/>
      <c r="F780" s="1837"/>
    </row>
    <row r="781" spans="1:7">
      <c r="A781" s="266"/>
      <c r="B781" s="266"/>
      <c r="C781" s="266"/>
      <c r="D781" s="258"/>
      <c r="F781" s="271"/>
    </row>
    <row r="782" spans="1:7">
      <c r="A782" s="1840" t="s">
        <v>475</v>
      </c>
      <c r="B782" s="1840"/>
      <c r="C782" s="1840"/>
      <c r="D782" s="1840"/>
      <c r="E782" s="1840"/>
      <c r="F782" s="1840"/>
      <c r="G782" s="1840"/>
    </row>
    <row r="783" spans="1:7">
      <c r="A783" s="135"/>
      <c r="B783" s="135"/>
    </row>
    <row r="784" spans="1:7">
      <c r="A784" s="135"/>
      <c r="B784" s="1837" t="s">
        <v>469</v>
      </c>
      <c r="C784" s="1837"/>
      <c r="D784" s="1837"/>
      <c r="E784" s="1837"/>
      <c r="F784" s="1837"/>
    </row>
    <row r="785" spans="1:7">
      <c r="A785" s="265"/>
      <c r="B785" s="265"/>
      <c r="C785" s="265"/>
      <c r="D785" s="277"/>
      <c r="E785" s="57"/>
      <c r="F785" s="57"/>
      <c r="G785" s="57"/>
    </row>
    <row r="786" spans="1:7">
      <c r="A786" s="1840" t="s">
        <v>191</v>
      </c>
      <c r="B786" s="1840"/>
      <c r="C786" s="1840"/>
      <c r="D786" s="1840"/>
      <c r="E786" s="1840"/>
      <c r="F786" s="1840"/>
      <c r="G786" s="1840"/>
    </row>
    <row r="787" spans="1:7">
      <c r="A787" s="135"/>
      <c r="B787" s="135"/>
    </row>
    <row r="788" spans="1:7">
      <c r="A788" s="135"/>
      <c r="B788" s="1837" t="s">
        <v>469</v>
      </c>
      <c r="C788" s="1837"/>
      <c r="D788" s="1837"/>
      <c r="E788" s="1837"/>
      <c r="F788" s="1837"/>
    </row>
    <row r="789" spans="1:7">
      <c r="A789" s="135"/>
      <c r="B789" s="135"/>
      <c r="D789" s="258"/>
    </row>
    <row r="790" spans="1:7">
      <c r="A790" s="1840" t="s">
        <v>937</v>
      </c>
      <c r="B790" s="1840"/>
      <c r="C790" s="1840"/>
      <c r="D790" s="1840"/>
      <c r="E790" s="1840"/>
      <c r="F790" s="1840"/>
      <c r="G790" s="1840"/>
    </row>
    <row r="791" spans="1:7">
      <c r="A791" s="135"/>
      <c r="B791" s="135"/>
    </row>
    <row r="792" spans="1:7">
      <c r="A792" s="135"/>
      <c r="B792" s="1837" t="s">
        <v>469</v>
      </c>
      <c r="C792" s="1837"/>
      <c r="D792" s="1837"/>
      <c r="E792" s="1837"/>
      <c r="F792" s="1837"/>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2" sqref="A2:J2"/>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87" t="s">
        <v>2330</v>
      </c>
      <c r="B2" s="1888"/>
      <c r="C2" s="1888"/>
      <c r="D2" s="1888"/>
      <c r="E2" s="1888"/>
      <c r="F2" s="1888"/>
      <c r="G2" s="1888"/>
      <c r="H2" s="1888"/>
      <c r="I2" s="1888"/>
      <c r="J2" s="1888"/>
    </row>
    <row r="3" spans="1:10" ht="15">
      <c r="A3" s="1892" t="s">
        <v>1496</v>
      </c>
      <c r="B3" s="1893"/>
      <c r="C3" s="1893"/>
      <c r="D3" s="1893"/>
      <c r="E3" s="1893"/>
      <c r="F3" s="1893"/>
      <c r="G3" s="1893"/>
      <c r="H3" s="1893"/>
      <c r="I3" s="1893"/>
      <c r="J3" s="1893"/>
    </row>
    <row r="4" spans="1:10" ht="12.75"/>
    <row r="5" spans="1:10" ht="12.75" customHeight="1">
      <c r="A5" s="1889" t="s">
        <v>2333</v>
      </c>
      <c r="B5" s="1889"/>
      <c r="C5" s="1889"/>
      <c r="D5" s="1889"/>
      <c r="E5" s="1889"/>
      <c r="F5" s="1889"/>
      <c r="G5" s="1889"/>
      <c r="H5" s="1889"/>
      <c r="I5" s="1889"/>
      <c r="J5" s="1889"/>
    </row>
    <row r="6" spans="1:10" ht="12.7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75">
      <c r="A8" s="770"/>
      <c r="B8" s="770"/>
      <c r="C8" s="770"/>
      <c r="D8" s="770"/>
      <c r="E8" s="770"/>
      <c r="F8" s="770"/>
      <c r="G8" s="770"/>
      <c r="H8" s="770"/>
      <c r="I8" s="770"/>
      <c r="J8" s="770"/>
    </row>
    <row r="9" spans="1:10" ht="12.75" customHeight="1">
      <c r="A9" s="1729" t="s">
        <v>2334</v>
      </c>
      <c r="B9" s="1728"/>
      <c r="C9" s="1728"/>
      <c r="D9" s="1728"/>
      <c r="E9" s="1728"/>
      <c r="F9" s="1728"/>
      <c r="G9" s="1728"/>
      <c r="H9" s="1728"/>
      <c r="I9" s="1728"/>
      <c r="J9" s="1728"/>
    </row>
    <row r="10" spans="1:10" ht="12.75"/>
    <row r="11" spans="1:10" ht="12.75" customHeight="1">
      <c r="A11" s="1894" t="s">
        <v>2336</v>
      </c>
      <c r="B11" s="1894"/>
      <c r="C11" s="1894"/>
      <c r="D11" s="1894"/>
      <c r="E11" s="1894"/>
      <c r="F11" s="1894"/>
      <c r="G11" s="1894"/>
      <c r="H11" s="1894"/>
      <c r="I11" s="1894"/>
      <c r="J11" s="1894"/>
    </row>
    <row r="12" spans="1:10" ht="12.75">
      <c r="A12" s="1894"/>
      <c r="B12" s="1894"/>
      <c r="C12" s="1894"/>
      <c r="D12" s="1894"/>
      <c r="E12" s="1894"/>
      <c r="F12" s="1894"/>
      <c r="G12" s="1894"/>
      <c r="H12" s="1894"/>
      <c r="I12" s="1894"/>
      <c r="J12" s="1894"/>
    </row>
    <row r="13" spans="1:10" s="1672" customFormat="1" ht="12.75">
      <c r="A13" s="1894"/>
      <c r="B13" s="1894"/>
      <c r="C13" s="1894"/>
      <c r="D13" s="1894"/>
      <c r="E13" s="1894"/>
      <c r="F13" s="1894"/>
      <c r="G13" s="1894"/>
      <c r="H13" s="1894"/>
      <c r="I13" s="1894"/>
      <c r="J13" s="1894"/>
    </row>
    <row r="14" spans="1:10" ht="12.75">
      <c r="A14" s="1895"/>
      <c r="B14" s="1895"/>
      <c r="C14" s="1895"/>
      <c r="D14" s="1895"/>
      <c r="E14" s="1895"/>
      <c r="F14" s="1895"/>
      <c r="G14" s="1895"/>
      <c r="H14" s="1895"/>
      <c r="I14" s="1895"/>
      <c r="J14" s="1895"/>
    </row>
    <row r="15" spans="1:10" ht="12.75">
      <c r="A15" s="1895"/>
      <c r="B15" s="1895"/>
      <c r="C15" s="1895"/>
      <c r="D15" s="1895"/>
      <c r="E15" s="1895"/>
      <c r="F15" s="1895"/>
      <c r="G15" s="1895"/>
      <c r="H15" s="1895"/>
      <c r="I15" s="1895"/>
      <c r="J15" s="1895"/>
    </row>
    <row r="16" spans="1:10" ht="12.75">
      <c r="A16" s="1895"/>
      <c r="B16" s="1895"/>
      <c r="C16" s="1895"/>
      <c r="D16" s="1895"/>
      <c r="E16" s="1895"/>
      <c r="F16" s="1895"/>
      <c r="G16" s="1895"/>
      <c r="H16" s="1895"/>
      <c r="I16" s="1895"/>
      <c r="J16" s="1895"/>
    </row>
    <row r="17" spans="1:10" s="1672" customFormat="1" ht="12.75">
      <c r="A17" s="1731"/>
      <c r="B17" s="1731"/>
      <c r="C17" s="1731"/>
      <c r="D17" s="1731"/>
      <c r="E17" s="1731"/>
      <c r="F17" s="1731"/>
      <c r="G17" s="1731"/>
      <c r="H17" s="1731"/>
      <c r="I17" s="1731"/>
      <c r="J17" s="1731"/>
    </row>
    <row r="18" spans="1:10" ht="12.75">
      <c r="A18" s="771" t="s">
        <v>2335</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896" t="s">
        <v>1387</v>
      </c>
      <c r="B20" s="1893"/>
      <c r="C20" s="1893"/>
      <c r="D20" s="1893"/>
      <c r="E20" s="18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89" t="s">
        <v>1388</v>
      </c>
      <c r="B57" s="1890"/>
      <c r="C57" s="1890"/>
      <c r="D57" s="1890"/>
      <c r="E57" s="1890"/>
      <c r="F57" s="1890"/>
      <c r="G57" s="1890"/>
      <c r="H57" s="1890"/>
      <c r="I57" s="1890"/>
      <c r="J57" s="1890"/>
    </row>
    <row r="58" spans="1:10" ht="12.75">
      <c r="A58" s="1890"/>
      <c r="B58" s="1890"/>
      <c r="C58" s="1890"/>
      <c r="D58" s="1890"/>
      <c r="E58" s="1890"/>
      <c r="F58" s="1890"/>
      <c r="G58" s="1890"/>
      <c r="H58" s="1890"/>
      <c r="I58" s="1890"/>
      <c r="J58" s="1890"/>
    </row>
    <row r="59" spans="1:10" ht="12.75">
      <c r="A59" s="1890"/>
      <c r="B59" s="1890"/>
      <c r="C59" s="1890"/>
      <c r="D59" s="1890"/>
      <c r="E59" s="1890"/>
      <c r="F59" s="1890"/>
      <c r="G59" s="1890"/>
      <c r="H59" s="1890"/>
      <c r="I59" s="1890"/>
      <c r="J59" s="1890"/>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891" t="s">
        <v>2331</v>
      </c>
      <c r="B72" s="1891"/>
      <c r="C72" s="1891"/>
      <c r="D72" s="1891"/>
      <c r="E72" s="1891"/>
      <c r="F72" s="1891"/>
      <c r="G72" s="1891"/>
      <c r="H72" s="1891"/>
      <c r="I72" s="1891"/>
    </row>
    <row r="73" spans="1:9" ht="12.75">
      <c r="A73" s="1813" t="s">
        <v>1090</v>
      </c>
      <c r="B73" s="1813"/>
      <c r="C73" s="1813"/>
      <c r="D73" s="1813"/>
      <c r="E73" s="1813"/>
    </row>
    <row r="74" spans="1:9" ht="12.75">
      <c r="A74" s="1813" t="s">
        <v>1389</v>
      </c>
      <c r="B74" s="1813"/>
      <c r="C74" s="1813"/>
      <c r="D74" s="1813"/>
      <c r="E74" s="1813"/>
    </row>
    <row r="75" spans="1:9" ht="12.75">
      <c r="A75" s="1813" t="s">
        <v>2332</v>
      </c>
      <c r="B75" s="1813"/>
      <c r="C75" s="1813"/>
      <c r="D75" s="1813"/>
      <c r="E75" s="181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K17" sqref="K17"/>
    </sheetView>
  </sheetViews>
  <sheetFormatPr defaultColWidth="8.85546875"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7" customWidth="1"/>
    <col min="10" max="16384" width="8.85546875" style="788"/>
  </cols>
  <sheetData>
    <row r="1" spans="1:9"/>
    <row r="2" spans="1:9">
      <c r="A2" s="1897" t="s">
        <v>2173</v>
      </c>
      <c r="B2" s="1897"/>
      <c r="C2" s="1897"/>
      <c r="D2" s="1897"/>
      <c r="E2" s="1897"/>
      <c r="F2" s="1897"/>
      <c r="G2" s="1897"/>
      <c r="H2" s="1897"/>
      <c r="I2" s="1897"/>
    </row>
    <row r="3" spans="1:9">
      <c r="A3" s="1898" t="s">
        <v>2174</v>
      </c>
      <c r="B3" s="1898"/>
      <c r="C3" s="1898"/>
      <c r="D3" s="1898"/>
      <c r="E3" s="1898"/>
      <c r="F3" s="1898"/>
      <c r="G3" s="1898"/>
      <c r="H3" s="1898"/>
      <c r="I3" s="1898"/>
    </row>
    <row r="4" spans="1:9">
      <c r="A4" s="1923"/>
      <c r="B4" s="1923"/>
      <c r="C4" s="1927"/>
      <c r="D4" s="1927"/>
      <c r="E4" s="1927"/>
      <c r="F4" s="1927"/>
      <c r="G4" s="1927"/>
      <c r="I4" s="640"/>
    </row>
    <row r="5" spans="1:9" s="789" customFormat="1">
      <c r="A5" s="1923"/>
      <c r="B5" s="1923"/>
      <c r="C5" s="1924"/>
      <c r="D5" s="1924"/>
      <c r="E5" s="1924"/>
      <c r="F5" s="1924"/>
      <c r="G5" s="1924"/>
      <c r="I5" s="1736"/>
    </row>
    <row r="6" spans="1:9" s="789" customFormat="1">
      <c r="A6" s="1919" t="s">
        <v>1251</v>
      </c>
      <c r="B6" s="1919"/>
      <c r="C6" s="1920"/>
      <c r="D6" s="1920"/>
      <c r="E6" s="1920"/>
      <c r="F6" s="1920"/>
      <c r="G6" s="1920"/>
      <c r="I6" s="1735" t="s">
        <v>2346</v>
      </c>
    </row>
    <row r="7" spans="1:9" s="789" customFormat="1">
      <c r="A7" s="1919" t="s">
        <v>1252</v>
      </c>
      <c r="B7" s="1919"/>
      <c r="C7" s="1920"/>
      <c r="D7" s="1920"/>
      <c r="E7" s="1920"/>
      <c r="F7" s="1920"/>
      <c r="G7" s="1920"/>
      <c r="I7" s="1735" t="s">
        <v>2347</v>
      </c>
    </row>
    <row r="8" spans="1:9">
      <c r="A8" s="790"/>
      <c r="B8" s="790"/>
      <c r="C8" s="791"/>
      <c r="D8" s="791"/>
      <c r="E8" s="791"/>
      <c r="F8" s="791"/>
    </row>
    <row r="9" spans="1:9">
      <c r="A9" s="1861" t="s">
        <v>1254</v>
      </c>
      <c r="B9" s="1861"/>
      <c r="C9" s="1861"/>
      <c r="D9" s="1861"/>
      <c r="E9" s="1861"/>
      <c r="F9" s="1861"/>
      <c r="G9" s="1861"/>
      <c r="H9" s="1752"/>
      <c r="I9" s="1753"/>
    </row>
    <row r="10" spans="1:9">
      <c r="A10" s="791"/>
      <c r="B10" s="791"/>
      <c r="E10" s="792"/>
    </row>
    <row r="11" spans="1:9" ht="13.7" customHeight="1">
      <c r="C11" s="791"/>
      <c r="D11" s="1922" t="s">
        <v>1253</v>
      </c>
      <c r="E11" s="1922"/>
      <c r="F11" s="1922"/>
    </row>
    <row r="12" spans="1:9">
      <c r="C12" s="791"/>
      <c r="D12" s="1922"/>
      <c r="E12" s="1922"/>
      <c r="F12" s="1922"/>
    </row>
    <row r="13" spans="1:9">
      <c r="A13" s="793"/>
      <c r="B13" s="793"/>
      <c r="C13" s="793"/>
      <c r="D13" s="1871" t="s">
        <v>1236</v>
      </c>
      <c r="E13" s="1871"/>
      <c r="F13" s="1871"/>
    </row>
    <row r="14" spans="1:9">
      <c r="A14" s="793"/>
      <c r="B14" s="793"/>
      <c r="C14" s="793"/>
      <c r="D14" s="794"/>
    </row>
    <row r="15" spans="1:9" ht="14.25">
      <c r="A15" s="795"/>
      <c r="B15" s="796" t="s">
        <v>2641</v>
      </c>
      <c r="C15" s="797"/>
      <c r="D15" s="1866" t="s">
        <v>1237</v>
      </c>
      <c r="E15" s="1866"/>
      <c r="F15" s="1866"/>
      <c r="I15" s="1677" t="s">
        <v>2348</v>
      </c>
    </row>
    <row r="16" spans="1:9">
      <c r="A16" s="793"/>
      <c r="B16" s="793"/>
      <c r="C16" s="797"/>
      <c r="D16" s="1866"/>
      <c r="E16" s="1866"/>
      <c r="F16" s="1866"/>
    </row>
    <row r="17" spans="1:9">
      <c r="A17" s="793"/>
      <c r="B17" s="793"/>
      <c r="C17" s="797"/>
      <c r="D17" s="1866"/>
      <c r="E17" s="1866"/>
      <c r="F17" s="1866"/>
    </row>
    <row r="18" spans="1:9">
      <c r="A18" s="793"/>
      <c r="B18" s="793"/>
      <c r="C18" s="793"/>
    </row>
    <row r="19" spans="1:9" ht="14.25">
      <c r="A19" s="795"/>
      <c r="B19" s="796" t="s">
        <v>2642</v>
      </c>
      <c r="D19" s="1845" t="s">
        <v>1238</v>
      </c>
      <c r="E19" s="1845"/>
      <c r="F19" s="1845"/>
      <c r="I19" s="1677" t="s">
        <v>2349</v>
      </c>
    </row>
    <row r="20" spans="1:9" ht="14.25">
      <c r="A20" s="795"/>
      <c r="B20" s="795"/>
      <c r="D20" s="798"/>
    </row>
    <row r="21" spans="1:9" ht="14.25">
      <c r="A21" s="795"/>
      <c r="B21" s="796" t="s">
        <v>2641</v>
      </c>
      <c r="D21" s="1866" t="s">
        <v>1239</v>
      </c>
      <c r="E21" s="1866"/>
      <c r="F21" s="1866"/>
      <c r="I21" s="1677" t="s">
        <v>2349</v>
      </c>
    </row>
    <row r="22" spans="1:9" ht="14.25">
      <c r="A22" s="795"/>
      <c r="B22" s="795"/>
      <c r="D22" s="1866"/>
      <c r="E22" s="1866"/>
      <c r="F22" s="1866"/>
    </row>
    <row r="23" spans="1:9"/>
    <row r="24" spans="1:9" ht="14.25">
      <c r="A24" s="795"/>
      <c r="B24" s="796" t="s">
        <v>2642</v>
      </c>
      <c r="D24" s="1911" t="s">
        <v>1240</v>
      </c>
      <c r="E24" s="1911"/>
      <c r="F24" s="1911"/>
      <c r="I24" s="1677" t="s">
        <v>2352</v>
      </c>
    </row>
    <row r="25" spans="1:9">
      <c r="D25" s="1911"/>
      <c r="E25" s="1911"/>
      <c r="F25" s="1911"/>
    </row>
    <row r="26" spans="1:9">
      <c r="D26" s="1911"/>
      <c r="E26" s="1911"/>
      <c r="F26" s="1911"/>
    </row>
    <row r="27" spans="1:9">
      <c r="D27" s="1911"/>
      <c r="E27" s="1911"/>
      <c r="F27" s="1911"/>
    </row>
    <row r="28" spans="1:9">
      <c r="D28" s="1911"/>
      <c r="E28" s="1911"/>
      <c r="F28" s="1911"/>
    </row>
    <row r="29" spans="1:9" s="789" customFormat="1">
      <c r="A29" s="799"/>
      <c r="B29" s="799"/>
      <c r="C29" s="799"/>
      <c r="D29" s="731"/>
      <c r="E29" s="800"/>
      <c r="F29" s="800"/>
      <c r="G29" s="800"/>
      <c r="I29" s="1736"/>
    </row>
    <row r="30" spans="1:9" s="789" customFormat="1">
      <c r="A30" s="799"/>
      <c r="B30" s="796" t="s">
        <v>2641</v>
      </c>
      <c r="C30" s="799"/>
      <c r="D30" s="1823" t="s">
        <v>1241</v>
      </c>
      <c r="E30" s="1823"/>
      <c r="F30" s="1823"/>
      <c r="G30" s="800"/>
      <c r="I30" s="1736" t="s">
        <v>2348</v>
      </c>
    </row>
    <row r="31" spans="1:9" s="789" customFormat="1">
      <c r="A31" s="799"/>
      <c r="B31" s="799"/>
      <c r="C31" s="799"/>
      <c r="D31" s="1823"/>
      <c r="E31" s="1823"/>
      <c r="F31" s="1823"/>
      <c r="G31" s="800"/>
      <c r="I31" s="1736"/>
    </row>
    <row r="32" spans="1:9" ht="14.25">
      <c r="A32" s="795"/>
      <c r="B32" s="795"/>
      <c r="D32" s="801"/>
    </row>
    <row r="33" spans="1:9" ht="14.45" customHeight="1">
      <c r="A33" s="795"/>
      <c r="B33" s="796" t="s">
        <v>2641</v>
      </c>
      <c r="D33" s="1823" t="s">
        <v>1420</v>
      </c>
      <c r="E33" s="1823"/>
      <c r="F33" s="1823"/>
      <c r="I33" s="1736" t="s">
        <v>2420</v>
      </c>
    </row>
    <row r="34" spans="1:9" ht="14.25">
      <c r="A34" s="795"/>
      <c r="B34" s="795"/>
      <c r="D34" s="1823"/>
      <c r="E34" s="1823"/>
      <c r="F34" s="1823"/>
    </row>
    <row r="35" spans="1:9" ht="14.25">
      <c r="A35" s="795"/>
      <c r="B35" s="795"/>
      <c r="D35" s="1823"/>
      <c r="E35" s="1823"/>
      <c r="F35" s="1823"/>
    </row>
    <row r="36" spans="1:9" ht="14.25">
      <c r="A36" s="795"/>
      <c r="B36" s="795"/>
      <c r="D36" s="1823"/>
      <c r="E36" s="1823"/>
      <c r="F36" s="1823"/>
    </row>
    <row r="37" spans="1:9" ht="14.25">
      <c r="A37" s="795"/>
      <c r="B37" s="795"/>
      <c r="D37" s="788"/>
    </row>
    <row r="38" spans="1:9" ht="14.25">
      <c r="A38" s="795"/>
      <c r="B38" s="796" t="s">
        <v>2641</v>
      </c>
      <c r="D38" s="1823" t="s">
        <v>1243</v>
      </c>
      <c r="E38" s="1823"/>
      <c r="F38" s="1823"/>
    </row>
    <row r="39" spans="1:9" ht="14.25">
      <c r="A39" s="795"/>
      <c r="B39" s="795"/>
      <c r="D39" s="1823"/>
      <c r="E39" s="1823"/>
      <c r="F39" s="1823"/>
    </row>
    <row r="40" spans="1:9" ht="14.25">
      <c r="A40" s="795"/>
      <c r="B40" s="795"/>
      <c r="D40" s="1823"/>
      <c r="E40" s="1823"/>
      <c r="F40" s="1823"/>
    </row>
    <row r="41" spans="1:9" ht="14.25">
      <c r="A41" s="795"/>
      <c r="B41" s="795"/>
      <c r="D41" s="1823"/>
      <c r="E41" s="1823"/>
      <c r="F41" s="1823"/>
    </row>
    <row r="42" spans="1:9" ht="14.25">
      <c r="A42" s="795"/>
      <c r="B42" s="795"/>
      <c r="D42" s="1823"/>
      <c r="E42" s="1823"/>
      <c r="F42" s="1823"/>
    </row>
    <row r="43" spans="1:9" ht="14.25">
      <c r="A43" s="795"/>
      <c r="B43" s="795"/>
      <c r="D43" s="779"/>
      <c r="E43" s="779"/>
      <c r="F43" s="779"/>
    </row>
    <row r="44" spans="1:9" ht="14.25">
      <c r="A44" s="795"/>
      <c r="B44" s="796" t="s">
        <v>2641</v>
      </c>
      <c r="D44" s="1823" t="s">
        <v>1244</v>
      </c>
      <c r="E44" s="1823"/>
      <c r="F44" s="1823"/>
      <c r="I44" s="1736" t="s">
        <v>2420</v>
      </c>
    </row>
    <row r="45" spans="1:9" ht="14.25">
      <c r="A45" s="795"/>
      <c r="B45" s="795"/>
      <c r="D45" s="1823"/>
      <c r="E45" s="1823"/>
      <c r="F45" s="1823"/>
    </row>
    <row r="46" spans="1:9" ht="14.25">
      <c r="A46" s="795"/>
      <c r="B46" s="795"/>
      <c r="D46" s="1823"/>
      <c r="E46" s="1823"/>
      <c r="F46" s="1823"/>
    </row>
    <row r="47" spans="1:9" ht="23.25" customHeight="1">
      <c r="A47" s="795"/>
      <c r="B47" s="795"/>
      <c r="D47" s="1823"/>
      <c r="E47" s="1823"/>
      <c r="F47" s="1823"/>
    </row>
    <row r="48" spans="1:9" ht="14.25">
      <c r="A48" s="795"/>
      <c r="B48" s="795"/>
      <c r="D48" s="783"/>
    </row>
    <row r="49" spans="1:9" ht="14.45" customHeight="1">
      <c r="A49" s="795"/>
      <c r="B49" s="796" t="s">
        <v>2641</v>
      </c>
      <c r="D49" s="1823" t="s">
        <v>1245</v>
      </c>
      <c r="E49" s="1823"/>
      <c r="F49" s="1823"/>
      <c r="I49" s="1736" t="s">
        <v>2420</v>
      </c>
    </row>
    <row r="50" spans="1:9" ht="14.25">
      <c r="A50" s="795"/>
      <c r="B50" s="795"/>
      <c r="D50" s="1823"/>
      <c r="E50" s="1823"/>
      <c r="F50" s="1823"/>
    </row>
    <row r="51" spans="1:9" ht="14.25">
      <c r="A51" s="795"/>
      <c r="B51" s="795"/>
      <c r="D51" s="1823"/>
      <c r="E51" s="1823"/>
      <c r="F51" s="1823"/>
    </row>
    <row r="52" spans="1:9" s="616" customFormat="1" ht="14.25">
      <c r="A52" s="795"/>
      <c r="B52" s="795"/>
      <c r="C52" s="802"/>
      <c r="D52" s="800"/>
      <c r="E52" s="691"/>
      <c r="F52" s="691"/>
      <c r="G52" s="691"/>
      <c r="I52" s="640"/>
    </row>
    <row r="53" spans="1:9" s="616" customFormat="1" ht="14.25">
      <c r="A53" s="803"/>
      <c r="B53" s="796" t="s">
        <v>2642</v>
      </c>
      <c r="C53" s="804"/>
      <c r="D53" s="1823" t="s">
        <v>1246</v>
      </c>
      <c r="E53" s="1823"/>
      <c r="F53" s="1823"/>
      <c r="G53" s="691"/>
      <c r="I53" s="1677"/>
    </row>
    <row r="54" spans="1:9" s="616" customFormat="1" ht="14.25">
      <c r="A54" s="803"/>
      <c r="B54" s="803"/>
      <c r="C54" s="804"/>
      <c r="D54" s="1823"/>
      <c r="E54" s="1823"/>
      <c r="F54" s="1823"/>
      <c r="G54" s="691"/>
      <c r="I54" s="640"/>
    </row>
    <row r="55" spans="1:9" s="789" customFormat="1">
      <c r="A55" s="799"/>
      <c r="B55" s="799"/>
      <c r="C55" s="799"/>
      <c r="D55" s="731"/>
      <c r="E55" s="800"/>
      <c r="F55" s="800"/>
      <c r="G55" s="800"/>
      <c r="I55" s="1736"/>
    </row>
    <row r="56" spans="1:9" ht="14.25">
      <c r="A56" s="795"/>
      <c r="B56" s="796" t="s">
        <v>2641</v>
      </c>
      <c r="D56" s="1823" t="s">
        <v>1247</v>
      </c>
      <c r="E56" s="1823"/>
      <c r="F56" s="1823"/>
      <c r="I56" s="1677" t="s">
        <v>2350</v>
      </c>
    </row>
    <row r="57" spans="1:9">
      <c r="D57" s="1823"/>
      <c r="E57" s="1823"/>
      <c r="F57" s="1823"/>
    </row>
    <row r="58" spans="1:9">
      <c r="D58" s="1823"/>
      <c r="E58" s="1823"/>
      <c r="F58" s="1823"/>
    </row>
    <row r="59" spans="1:9">
      <c r="D59" s="691"/>
    </row>
    <row r="60" spans="1:9" ht="14.25">
      <c r="A60" s="795"/>
      <c r="B60" s="796" t="s">
        <v>2641</v>
      </c>
      <c r="D60" s="1823" t="s">
        <v>1248</v>
      </c>
      <c r="E60" s="1823"/>
      <c r="F60" s="1823"/>
      <c r="I60" s="1677" t="s">
        <v>2351</v>
      </c>
    </row>
    <row r="61" spans="1:9">
      <c r="D61" s="1823"/>
      <c r="E61" s="1823"/>
      <c r="F61" s="1823"/>
    </row>
    <row r="62" spans="1:9"/>
    <row r="63" spans="1:9" ht="14.25">
      <c r="A63" s="795"/>
      <c r="B63" s="796" t="s">
        <v>2642</v>
      </c>
      <c r="D63" s="1823" t="s">
        <v>1249</v>
      </c>
      <c r="E63" s="1823"/>
      <c r="F63" s="1823"/>
    </row>
    <row r="64" spans="1:9">
      <c r="D64" s="1823"/>
      <c r="E64" s="1823"/>
      <c r="F64" s="1823"/>
      <c r="I64" s="1677" t="s">
        <v>2352</v>
      </c>
    </row>
    <row r="65" spans="1:9">
      <c r="D65" s="1823"/>
      <c r="E65" s="1823"/>
      <c r="F65" s="1823"/>
    </row>
    <row r="66" spans="1:9">
      <c r="D66" s="788"/>
    </row>
    <row r="67" spans="1:9" ht="14.25">
      <c r="A67" s="795"/>
      <c r="B67" s="796" t="s">
        <v>2642</v>
      </c>
      <c r="D67" s="1866" t="s">
        <v>1250</v>
      </c>
      <c r="E67" s="1866"/>
      <c r="F67" s="1866"/>
      <c r="I67" s="1677" t="s">
        <v>2352</v>
      </c>
    </row>
    <row r="68" spans="1:9">
      <c r="D68" s="1866"/>
      <c r="E68" s="1866"/>
      <c r="F68" s="1866"/>
    </row>
    <row r="69" spans="1:9" ht="14.25">
      <c r="A69" s="795"/>
      <c r="B69" s="795"/>
      <c r="D69" s="798"/>
    </row>
    <row r="70" spans="1:9">
      <c r="A70" s="1831" t="s">
        <v>1157</v>
      </c>
      <c r="B70" s="1831"/>
      <c r="C70" s="1831"/>
      <c r="D70" s="1831"/>
      <c r="E70" s="1831"/>
      <c r="F70" s="1831"/>
      <c r="G70" s="1831"/>
      <c r="H70" s="1752"/>
      <c r="I70" s="1753"/>
    </row>
    <row r="71" spans="1:9"/>
    <row r="72" spans="1:9">
      <c r="C72" s="805"/>
      <c r="D72" s="1904" t="s">
        <v>1255</v>
      </c>
      <c r="E72" s="1904"/>
      <c r="F72" s="1904"/>
    </row>
    <row r="73" spans="1:9">
      <c r="A73" s="798"/>
      <c r="B73" s="798"/>
      <c r="D73" s="1866" t="s">
        <v>1282</v>
      </c>
      <c r="E73" s="1866"/>
      <c r="F73" s="1866"/>
    </row>
    <row r="74" spans="1:9">
      <c r="A74" s="798"/>
      <c r="B74" s="798"/>
    </row>
    <row r="75" spans="1:9" ht="13.7" customHeight="1">
      <c r="A75" s="795"/>
      <c r="B75" s="796" t="s">
        <v>2642</v>
      </c>
      <c r="D75" s="1866" t="s">
        <v>1469</v>
      </c>
      <c r="E75" s="1866"/>
      <c r="F75" s="1866"/>
      <c r="I75" s="1677" t="s">
        <v>2353</v>
      </c>
    </row>
    <row r="76" spans="1:9" ht="14.25">
      <c r="A76" s="795"/>
      <c r="B76" s="795"/>
      <c r="D76" s="1866"/>
      <c r="E76" s="1866"/>
      <c r="F76" s="1866"/>
    </row>
    <row r="77" spans="1:9" ht="14.25">
      <c r="A77" s="795"/>
      <c r="B77" s="795"/>
      <c r="D77" s="1866"/>
      <c r="E77" s="1866"/>
      <c r="F77" s="1866"/>
    </row>
    <row r="78" spans="1:9" ht="14.25">
      <c r="A78" s="795"/>
      <c r="B78" s="795"/>
      <c r="D78" s="1866"/>
      <c r="E78" s="1866"/>
      <c r="F78" s="1866"/>
    </row>
    <row r="79" spans="1:9" ht="14.25">
      <c r="A79" s="795"/>
      <c r="B79" s="795"/>
      <c r="D79" s="1866"/>
      <c r="E79" s="1866"/>
      <c r="F79" s="1866"/>
    </row>
    <row r="80" spans="1:9" ht="14.25">
      <c r="A80" s="795"/>
      <c r="B80" s="795"/>
      <c r="D80" s="1866"/>
      <c r="E80" s="1866"/>
      <c r="F80" s="1866"/>
    </row>
    <row r="81" spans="1:9" ht="14.25">
      <c r="A81" s="795"/>
      <c r="B81" s="795"/>
      <c r="D81" s="1866"/>
      <c r="E81" s="1866"/>
      <c r="F81" s="1866"/>
    </row>
    <row r="82" spans="1:9" ht="14.25">
      <c r="A82" s="795"/>
      <c r="B82" s="795"/>
      <c r="D82" s="1866"/>
      <c r="E82" s="1866"/>
      <c r="F82" s="1866"/>
    </row>
    <row r="83" spans="1:9" ht="14.25">
      <c r="A83" s="795"/>
      <c r="B83" s="795"/>
      <c r="D83" s="876"/>
      <c r="E83" s="876"/>
      <c r="F83" s="876"/>
    </row>
    <row r="84" spans="1:9" ht="15" customHeight="1">
      <c r="A84" s="795"/>
      <c r="B84" s="796" t="s">
        <v>2642</v>
      </c>
      <c r="D84" s="1866" t="s">
        <v>2175</v>
      </c>
      <c r="E84" s="1866"/>
      <c r="F84" s="1866"/>
      <c r="I84" s="1677" t="s">
        <v>2354</v>
      </c>
    </row>
    <row r="85" spans="1:9" ht="14.25">
      <c r="A85" s="795"/>
      <c r="B85" s="795"/>
      <c r="D85" s="1866"/>
      <c r="E85" s="1866"/>
      <c r="F85" s="1866"/>
    </row>
    <row r="86" spans="1:9" ht="14.25">
      <c r="A86" s="795"/>
      <c r="B86" s="795"/>
      <c r="D86" s="1615"/>
      <c r="E86" s="1615"/>
      <c r="F86" s="1615"/>
    </row>
    <row r="87" spans="1:9" ht="14.25">
      <c r="A87" s="795"/>
      <c r="B87" s="796" t="s">
        <v>2642</v>
      </c>
      <c r="D87" s="1866" t="s">
        <v>2179</v>
      </c>
      <c r="E87" s="1866"/>
      <c r="F87" s="1866"/>
      <c r="I87" s="1677" t="s">
        <v>2355</v>
      </c>
    </row>
    <row r="88" spans="1:9" ht="14.25">
      <c r="A88" s="795"/>
      <c r="B88" s="795"/>
      <c r="D88" s="1866"/>
      <c r="E88" s="1866"/>
      <c r="F88" s="1866"/>
    </row>
    <row r="89" spans="1:9" ht="14.25">
      <c r="A89" s="795"/>
      <c r="B89" s="795"/>
      <c r="D89" s="1866"/>
      <c r="E89" s="1866"/>
      <c r="F89" s="1866"/>
    </row>
    <row r="90" spans="1:9" ht="14.25">
      <c r="A90" s="795"/>
      <c r="B90" s="795"/>
      <c r="D90" s="1615"/>
      <c r="E90" s="1615"/>
      <c r="F90" s="1615"/>
    </row>
    <row r="91" spans="1:9" ht="14.25">
      <c r="A91" s="795"/>
      <c r="B91" s="796" t="s">
        <v>2642</v>
      </c>
      <c r="D91" s="1866" t="s">
        <v>2177</v>
      </c>
      <c r="E91" s="1866"/>
      <c r="F91" s="1866"/>
      <c r="I91" s="1677" t="s">
        <v>2400</v>
      </c>
    </row>
    <row r="92" spans="1:9" s="1632" customFormat="1" ht="14.25">
      <c r="A92" s="1630"/>
      <c r="B92" s="1630"/>
      <c r="C92" s="1631"/>
      <c r="D92" s="1866"/>
      <c r="E92" s="1866"/>
      <c r="F92" s="1866"/>
      <c r="I92" s="1737"/>
    </row>
    <row r="93" spans="1:9" ht="14.25">
      <c r="A93" s="795"/>
      <c r="B93" s="795"/>
      <c r="D93" s="1621"/>
      <c r="E93" s="1622" t="s">
        <v>2178</v>
      </c>
      <c r="F93" s="1615"/>
    </row>
    <row r="94" spans="1:9" ht="14.25">
      <c r="A94" s="795"/>
      <c r="B94" s="795"/>
      <c r="D94" s="876"/>
      <c r="E94" s="876"/>
      <c r="F94" s="876"/>
    </row>
    <row r="95" spans="1:9" ht="14.25">
      <c r="A95" s="795"/>
      <c r="B95" s="796" t="s">
        <v>2641</v>
      </c>
      <c r="D95" s="1866" t="s">
        <v>2176</v>
      </c>
      <c r="E95" s="1866"/>
      <c r="F95" s="1866"/>
      <c r="I95" s="1677" t="s">
        <v>2356</v>
      </c>
    </row>
    <row r="96" spans="1:9" ht="14.25">
      <c r="A96" s="795"/>
      <c r="B96" s="795"/>
      <c r="D96" s="1866"/>
      <c r="E96" s="1866"/>
      <c r="F96" s="1866"/>
    </row>
    <row r="97" spans="1:9" ht="14.25">
      <c r="A97" s="795"/>
      <c r="B97" s="795"/>
      <c r="D97" s="1615"/>
      <c r="E97" s="1615"/>
      <c r="F97" s="1615"/>
    </row>
    <row r="98" spans="1:9" ht="14.45" customHeight="1">
      <c r="A98" s="795"/>
      <c r="B98" s="796" t="s">
        <v>2641</v>
      </c>
      <c r="D98" s="1866" t="s">
        <v>1395</v>
      </c>
      <c r="E98" s="1866"/>
      <c r="F98" s="1866"/>
      <c r="G98" s="788"/>
      <c r="I98" s="1677" t="s">
        <v>2357</v>
      </c>
    </row>
    <row r="99" spans="1:9" ht="14.25">
      <c r="A99" s="795"/>
      <c r="B99" s="795"/>
      <c r="D99" s="1866"/>
      <c r="E99" s="1866"/>
      <c r="F99" s="1866"/>
      <c r="G99" s="788"/>
    </row>
    <row r="100" spans="1:9" ht="14.25">
      <c r="A100" s="795"/>
      <c r="B100" s="795"/>
      <c r="D100" s="1866"/>
      <c r="E100" s="1866"/>
      <c r="F100" s="1866"/>
      <c r="G100" s="788"/>
    </row>
    <row r="101" spans="1:9" ht="14.25">
      <c r="A101" s="795"/>
      <c r="B101" s="795"/>
      <c r="D101" s="1866"/>
      <c r="E101" s="1866"/>
      <c r="F101" s="1866"/>
      <c r="G101" s="788"/>
    </row>
    <row r="102" spans="1:9" ht="14.25">
      <c r="A102" s="795"/>
      <c r="B102" s="795"/>
      <c r="D102" s="1866"/>
      <c r="E102" s="1866"/>
      <c r="F102" s="1866"/>
      <c r="G102" s="788"/>
    </row>
    <row r="103" spans="1:9" ht="14.25">
      <c r="A103" s="795"/>
      <c r="B103" s="795"/>
      <c r="D103" s="1866"/>
      <c r="E103" s="1866"/>
      <c r="F103" s="1866"/>
      <c r="G103" s="788"/>
    </row>
    <row r="104" spans="1:9" ht="14.25">
      <c r="A104" s="795"/>
      <c r="B104" s="795"/>
      <c r="D104" s="1866"/>
      <c r="E104" s="1866"/>
      <c r="F104" s="1866"/>
      <c r="G104" s="788"/>
    </row>
    <row r="105" spans="1:9" ht="14.25">
      <c r="A105" s="795"/>
      <c r="B105" s="795"/>
      <c r="D105" s="1866"/>
      <c r="E105" s="1866"/>
      <c r="F105" s="1866"/>
      <c r="G105" s="788"/>
    </row>
    <row r="106" spans="1:9" ht="14.25">
      <c r="A106" s="795"/>
      <c r="B106" s="795"/>
      <c r="D106" s="1866"/>
      <c r="E106" s="1866"/>
      <c r="F106" s="1866"/>
      <c r="G106" s="788"/>
    </row>
    <row r="107" spans="1:9" ht="14.25">
      <c r="A107" s="795"/>
      <c r="B107" s="795"/>
      <c r="D107" s="1866"/>
      <c r="E107" s="1866"/>
      <c r="F107" s="1866"/>
      <c r="G107" s="788"/>
    </row>
    <row r="108" spans="1:9" ht="14.25">
      <c r="A108" s="795"/>
      <c r="B108" s="795"/>
      <c r="D108" s="1866"/>
      <c r="E108" s="1866"/>
      <c r="F108" s="1866"/>
      <c r="G108" s="788"/>
    </row>
    <row r="109" spans="1:9" ht="14.25">
      <c r="A109" s="795"/>
      <c r="B109" s="795"/>
      <c r="D109" s="1866"/>
      <c r="E109" s="1866"/>
      <c r="F109" s="1866"/>
      <c r="G109" s="788"/>
    </row>
    <row r="110" spans="1:9" ht="14.25">
      <c r="A110" s="795"/>
      <c r="B110" s="795"/>
      <c r="D110" s="1866"/>
      <c r="E110" s="1866"/>
      <c r="F110" s="1866"/>
      <c r="G110" s="788"/>
    </row>
    <row r="111" spans="1:9" ht="14.25">
      <c r="A111" s="795"/>
      <c r="B111" s="795"/>
      <c r="D111" s="1866"/>
      <c r="E111" s="1866"/>
      <c r="F111" s="1866"/>
    </row>
    <row r="112" spans="1:9" ht="14.25">
      <c r="A112" s="795"/>
      <c r="B112" s="795"/>
      <c r="D112" s="1866"/>
      <c r="E112" s="1866"/>
      <c r="F112" s="1866"/>
    </row>
    <row r="113" spans="1:11" ht="14.25">
      <c r="A113" s="795"/>
      <c r="B113" s="795"/>
      <c r="D113" s="902"/>
      <c r="E113" s="902"/>
      <c r="F113" s="902"/>
    </row>
    <row r="114" spans="1:11" ht="14.25" customHeight="1">
      <c r="A114" s="795"/>
      <c r="B114" s="796" t="s">
        <v>2641</v>
      </c>
      <c r="D114" s="1864" t="s">
        <v>1257</v>
      </c>
      <c r="E114" s="1864"/>
      <c r="F114" s="1864"/>
    </row>
    <row r="115" spans="1:11" ht="14.25">
      <c r="A115" s="795"/>
      <c r="B115" s="795"/>
      <c r="D115" s="1864"/>
      <c r="E115" s="1864"/>
      <c r="F115" s="1864"/>
    </row>
    <row r="116" spans="1:11" ht="14.25">
      <c r="A116" s="795"/>
      <c r="B116" s="795"/>
      <c r="D116" s="1864"/>
      <c r="E116" s="1864"/>
      <c r="F116" s="1864"/>
    </row>
    <row r="117" spans="1:11" ht="14.25">
      <c r="A117" s="795"/>
      <c r="B117" s="795"/>
      <c r="D117" s="1864"/>
      <c r="E117" s="1864"/>
      <c r="F117" s="1864"/>
    </row>
    <row r="118" spans="1:11" ht="14.25">
      <c r="A118" s="795"/>
      <c r="B118" s="795"/>
      <c r="D118" s="1864"/>
      <c r="E118" s="1864"/>
      <c r="F118" s="1864"/>
    </row>
    <row r="119" spans="1:11" ht="14.25">
      <c r="A119" s="795"/>
      <c r="B119" s="795"/>
      <c r="D119" s="1864"/>
      <c r="E119" s="1864"/>
      <c r="F119" s="1864"/>
    </row>
    <row r="120" spans="1:11" ht="14.25">
      <c r="A120" s="795"/>
      <c r="B120" s="795"/>
      <c r="D120" s="1864"/>
      <c r="E120" s="1864"/>
      <c r="F120" s="1864"/>
    </row>
    <row r="121" spans="1:11" ht="14.25">
      <c r="A121" s="795"/>
      <c r="B121" s="795"/>
      <c r="D121" s="1864"/>
      <c r="E121" s="1864"/>
      <c r="F121" s="1864"/>
    </row>
    <row r="122" spans="1:11">
      <c r="C122" s="720"/>
      <c r="D122" s="903"/>
      <c r="E122" s="903"/>
      <c r="F122" s="903"/>
      <c r="G122" s="720"/>
      <c r="H122" s="720"/>
      <c r="I122" s="620"/>
      <c r="J122" s="720"/>
      <c r="K122" s="720"/>
    </row>
    <row r="123" spans="1:11" ht="14.25">
      <c r="A123" s="795"/>
      <c r="B123" s="796" t="s">
        <v>2642</v>
      </c>
      <c r="C123" s="720"/>
      <c r="D123" s="1864" t="s">
        <v>1259</v>
      </c>
      <c r="E123" s="1864"/>
      <c r="F123" s="1864"/>
      <c r="G123" s="720"/>
      <c r="H123" s="720"/>
      <c r="I123" s="620" t="s">
        <v>2358</v>
      </c>
      <c r="J123" s="720"/>
      <c r="K123" s="720"/>
    </row>
    <row r="124" spans="1:11" ht="14.25">
      <c r="A124" s="795"/>
      <c r="B124" s="795"/>
      <c r="C124" s="720"/>
      <c r="D124" s="1864"/>
      <c r="E124" s="1864"/>
      <c r="F124" s="1864"/>
      <c r="G124" s="720"/>
      <c r="H124" s="720"/>
      <c r="I124" s="620"/>
      <c r="J124" s="720"/>
      <c r="K124" s="720"/>
    </row>
    <row r="125" spans="1:11"/>
    <row r="126" spans="1:11" ht="14.25">
      <c r="A126" s="795"/>
      <c r="B126" s="796" t="s">
        <v>2642</v>
      </c>
      <c r="C126" s="802"/>
      <c r="D126" s="1866" t="s">
        <v>1260</v>
      </c>
      <c r="E126" s="1866"/>
      <c r="F126" s="1866"/>
      <c r="I126" s="620" t="s">
        <v>2358</v>
      </c>
    </row>
    <row r="127" spans="1:11">
      <c r="C127" s="802"/>
      <c r="D127" s="1866"/>
      <c r="E127" s="1866"/>
      <c r="F127" s="1866"/>
    </row>
    <row r="128" spans="1:11">
      <c r="C128" s="802"/>
      <c r="D128" s="1866"/>
      <c r="E128" s="1866"/>
      <c r="F128" s="1866"/>
    </row>
    <row r="129" spans="1:9">
      <c r="C129" s="802"/>
      <c r="D129" s="1866"/>
      <c r="E129" s="1866"/>
      <c r="F129" s="1866"/>
    </row>
    <row r="130" spans="1:9">
      <c r="C130" s="802"/>
      <c r="D130" s="1866"/>
      <c r="E130" s="1866"/>
      <c r="F130" s="1866"/>
    </row>
    <row r="131" spans="1:9">
      <c r="C131" s="802"/>
      <c r="D131" s="670"/>
      <c r="E131" s="670"/>
      <c r="F131" s="670"/>
    </row>
    <row r="132" spans="1:9" s="720" customFormat="1" ht="14.25">
      <c r="A132" s="795"/>
      <c r="B132" s="796" t="s">
        <v>2642</v>
      </c>
      <c r="C132" s="802"/>
      <c r="D132" s="1823" t="s">
        <v>1261</v>
      </c>
      <c r="E132" s="1823"/>
      <c r="F132" s="1823"/>
      <c r="G132" s="670"/>
      <c r="I132" s="620" t="s">
        <v>2359</v>
      </c>
    </row>
    <row r="133" spans="1:9" s="810" customFormat="1" ht="13.7" customHeight="1">
      <c r="A133" s="807"/>
      <c r="B133" s="807"/>
      <c r="C133" s="808"/>
      <c r="D133" s="1823"/>
      <c r="E133" s="1823"/>
      <c r="F133" s="1823"/>
      <c r="G133" s="809"/>
      <c r="I133" s="1738"/>
    </row>
    <row r="134" spans="1:9" s="720" customFormat="1" ht="13.7" customHeight="1">
      <c r="A134" s="786"/>
      <c r="B134" s="786"/>
      <c r="C134" s="802"/>
      <c r="D134" s="1823"/>
      <c r="E134" s="1823"/>
      <c r="F134" s="1823"/>
      <c r="G134" s="670"/>
      <c r="I134" s="620"/>
    </row>
    <row r="135" spans="1:9" s="720" customFormat="1" ht="13.7" customHeight="1">
      <c r="A135" s="786"/>
      <c r="B135" s="786"/>
      <c r="C135" s="802"/>
      <c r="D135" s="1823"/>
      <c r="E135" s="1823"/>
      <c r="F135" s="1823"/>
      <c r="G135" s="670"/>
      <c r="I135" s="620"/>
    </row>
    <row r="136" spans="1:9" s="720" customFormat="1" ht="13.7" customHeight="1">
      <c r="A136" s="786"/>
      <c r="B136" s="786"/>
      <c r="C136" s="802"/>
      <c r="D136" s="1823"/>
      <c r="E136" s="1823"/>
      <c r="F136" s="1823"/>
      <c r="G136" s="670"/>
      <c r="I136" s="620"/>
    </row>
    <row r="137" spans="1:9" s="720" customFormat="1" ht="13.7" customHeight="1">
      <c r="A137" s="811"/>
      <c r="B137" s="811"/>
      <c r="C137" s="802"/>
      <c r="D137" s="1823"/>
      <c r="E137" s="1823"/>
      <c r="F137" s="1823"/>
      <c r="G137" s="670"/>
      <c r="I137" s="620"/>
    </row>
    <row r="138" spans="1:9" s="616" customFormat="1" ht="13.7" customHeight="1">
      <c r="A138" s="799"/>
      <c r="B138" s="799"/>
      <c r="C138" s="804"/>
      <c r="D138" s="1823"/>
      <c r="E138" s="1823"/>
      <c r="F138" s="1823"/>
      <c r="G138" s="691"/>
      <c r="I138" s="640"/>
    </row>
    <row r="139" spans="1:9" s="616" customFormat="1" ht="13.7" customHeight="1">
      <c r="A139" s="799"/>
      <c r="B139" s="799"/>
      <c r="C139" s="804"/>
      <c r="D139" s="1823"/>
      <c r="E139" s="1823"/>
      <c r="F139" s="1823"/>
      <c r="G139" s="691"/>
      <c r="I139" s="640"/>
    </row>
    <row r="140" spans="1:9" s="720" customFormat="1" ht="13.7" customHeight="1">
      <c r="A140" s="786"/>
      <c r="B140" s="786"/>
      <c r="C140" s="802"/>
      <c r="D140" s="1823"/>
      <c r="E140" s="1823"/>
      <c r="F140" s="1823"/>
      <c r="G140" s="670"/>
      <c r="I140" s="620"/>
    </row>
    <row r="141" spans="1:9" s="720" customFormat="1" ht="13.7" customHeight="1">
      <c r="A141" s="786"/>
      <c r="B141" s="786"/>
      <c r="C141" s="802"/>
      <c r="D141" s="1823"/>
      <c r="E141" s="1823"/>
      <c r="F141" s="1823"/>
      <c r="G141" s="670"/>
      <c r="I141" s="620"/>
    </row>
    <row r="142" spans="1:9" s="720" customFormat="1" ht="13.7" customHeight="1">
      <c r="A142" s="786"/>
      <c r="B142" s="786"/>
      <c r="C142" s="802"/>
      <c r="D142" s="1823"/>
      <c r="E142" s="1823"/>
      <c r="F142" s="1823"/>
      <c r="G142" s="670"/>
      <c r="I142" s="620"/>
    </row>
    <row r="143" spans="1:9" s="720" customFormat="1" ht="13.7" customHeight="1">
      <c r="A143" s="786"/>
      <c r="B143" s="786"/>
      <c r="C143" s="802"/>
      <c r="D143" s="1823"/>
      <c r="E143" s="1823"/>
      <c r="F143" s="1823"/>
      <c r="G143" s="670"/>
      <c r="I143" s="620"/>
    </row>
    <row r="144" spans="1:9" s="720" customFormat="1" ht="13.7" customHeight="1">
      <c r="A144" s="786"/>
      <c r="B144" s="786"/>
      <c r="C144" s="802"/>
      <c r="D144" s="794"/>
      <c r="E144" s="783"/>
      <c r="F144" s="783"/>
      <c r="G144" s="670"/>
      <c r="I144" s="620"/>
    </row>
    <row r="145" spans="1:9" s="720" customFormat="1" ht="13.7" customHeight="1">
      <c r="A145" s="786"/>
      <c r="B145" s="796" t="s">
        <v>2642</v>
      </c>
      <c r="C145" s="802"/>
      <c r="D145" s="1908" t="s">
        <v>1369</v>
      </c>
      <c r="E145" s="1908"/>
      <c r="F145" s="1908"/>
      <c r="G145" s="670"/>
      <c r="I145" s="620" t="s">
        <v>2360</v>
      </c>
    </row>
    <row r="146" spans="1:9" s="720" customFormat="1" ht="13.7" customHeight="1">
      <c r="A146" s="786"/>
      <c r="B146" s="786"/>
      <c r="C146" s="802"/>
      <c r="D146" s="1908"/>
      <c r="E146" s="1908"/>
      <c r="F146" s="1908"/>
      <c r="G146" s="670"/>
      <c r="I146" s="620"/>
    </row>
    <row r="147" spans="1:9" s="720" customFormat="1" ht="13.7" customHeight="1">
      <c r="A147" s="786"/>
      <c r="B147" s="786"/>
      <c r="C147" s="802"/>
      <c r="D147" s="1908"/>
      <c r="E147" s="1908"/>
      <c r="F147" s="1908"/>
      <c r="G147" s="670"/>
      <c r="I147" s="620"/>
    </row>
    <row r="148" spans="1:9" s="720" customFormat="1" ht="13.7" customHeight="1">
      <c r="A148" s="786"/>
      <c r="B148" s="786"/>
      <c r="C148" s="802"/>
      <c r="D148" s="1908"/>
      <c r="E148" s="1908"/>
      <c r="F148" s="1908"/>
      <c r="G148" s="670"/>
      <c r="I148" s="620"/>
    </row>
    <row r="149" spans="1:9" s="720" customFormat="1" ht="13.7" customHeight="1">
      <c r="A149" s="786"/>
      <c r="B149" s="786"/>
      <c r="C149" s="802"/>
      <c r="D149" s="1908"/>
      <c r="E149" s="1908"/>
      <c r="F149" s="1908"/>
      <c r="G149" s="670"/>
      <c r="I149" s="620"/>
    </row>
    <row r="150" spans="1:9" s="720" customFormat="1" ht="13.7" customHeight="1">
      <c r="A150" s="786"/>
      <c r="B150" s="786"/>
      <c r="C150" s="802"/>
      <c r="D150" s="1908"/>
      <c r="E150" s="1908"/>
      <c r="F150" s="1908"/>
      <c r="G150" s="670"/>
      <c r="I150" s="620"/>
    </row>
    <row r="151" spans="1:9" s="720" customFormat="1" ht="13.7" customHeight="1">
      <c r="A151" s="786"/>
      <c r="B151" s="786"/>
      <c r="C151" s="802"/>
      <c r="D151" s="1908"/>
      <c r="E151" s="1908"/>
      <c r="F151" s="1908"/>
      <c r="G151" s="670"/>
      <c r="I151" s="620"/>
    </row>
    <row r="152" spans="1:9" s="720" customFormat="1" ht="13.7" customHeight="1">
      <c r="A152" s="786"/>
      <c r="B152" s="786"/>
      <c r="C152" s="802"/>
      <c r="D152" s="1908"/>
      <c r="E152" s="1908"/>
      <c r="F152" s="1908"/>
      <c r="G152" s="670"/>
      <c r="I152" s="620"/>
    </row>
    <row r="153" spans="1:9" s="720" customFormat="1" ht="13.7" customHeight="1">
      <c r="A153" s="786"/>
      <c r="B153" s="786"/>
      <c r="C153" s="802"/>
      <c r="D153" s="1908"/>
      <c r="E153" s="1908"/>
      <c r="F153" s="1908"/>
      <c r="G153" s="670"/>
      <c r="I153" s="620"/>
    </row>
    <row r="154" spans="1:9" s="720" customFormat="1" ht="13.7" customHeight="1">
      <c r="A154" s="786"/>
      <c r="B154" s="786"/>
      <c r="C154" s="802"/>
      <c r="D154" s="1908"/>
      <c r="E154" s="1908"/>
      <c r="F154" s="1908"/>
      <c r="G154" s="670"/>
      <c r="I154" s="620"/>
    </row>
    <row r="155" spans="1:9" s="720" customFormat="1" ht="13.7" customHeight="1">
      <c r="A155" s="786"/>
      <c r="B155" s="786"/>
      <c r="C155" s="802"/>
      <c r="D155" s="1908"/>
      <c r="E155" s="1908"/>
      <c r="F155" s="1908"/>
      <c r="G155" s="670"/>
      <c r="I155" s="620"/>
    </row>
    <row r="156" spans="1:9" s="720" customFormat="1" ht="13.7" customHeight="1">
      <c r="A156" s="786"/>
      <c r="B156" s="786"/>
      <c r="C156" s="802"/>
      <c r="D156" s="1908"/>
      <c r="E156" s="1908"/>
      <c r="F156" s="1908"/>
      <c r="G156" s="670"/>
      <c r="I156" s="620"/>
    </row>
    <row r="157" spans="1:9" s="720" customFormat="1" ht="13.7" customHeight="1">
      <c r="A157" s="786"/>
      <c r="B157" s="786"/>
      <c r="C157" s="802"/>
      <c r="D157" s="1908"/>
      <c r="E157" s="1908"/>
      <c r="F157" s="1908"/>
      <c r="G157" s="670"/>
      <c r="I157" s="620"/>
    </row>
    <row r="158" spans="1:9" s="720" customFormat="1" ht="13.7" customHeight="1">
      <c r="A158" s="786"/>
      <c r="B158" s="786"/>
      <c r="C158" s="802"/>
      <c r="D158" s="1908"/>
      <c r="E158" s="1908"/>
      <c r="F158" s="1908"/>
      <c r="G158" s="670"/>
      <c r="I158" s="620"/>
    </row>
    <row r="159" spans="1:9" s="720" customFormat="1" ht="13.7" customHeight="1">
      <c r="A159" s="786"/>
      <c r="B159" s="786"/>
      <c r="C159" s="802"/>
      <c r="D159" s="1908"/>
      <c r="E159" s="1908"/>
      <c r="F159" s="1908"/>
      <c r="G159" s="670"/>
      <c r="I159" s="620"/>
    </row>
    <row r="160" spans="1:9" s="720" customFormat="1" ht="13.7" customHeight="1">
      <c r="A160" s="786"/>
      <c r="B160" s="786"/>
      <c r="C160" s="802"/>
      <c r="D160" s="1908"/>
      <c r="E160" s="1908"/>
      <c r="F160" s="1908"/>
      <c r="G160" s="670"/>
      <c r="I160" s="620"/>
    </row>
    <row r="161" spans="1:9" s="720" customFormat="1" ht="13.7" customHeight="1">
      <c r="A161" s="786"/>
      <c r="B161" s="786"/>
      <c r="C161" s="802"/>
      <c r="D161" s="1908"/>
      <c r="E161" s="1908"/>
      <c r="F161" s="1908"/>
      <c r="G161" s="670"/>
      <c r="I161" s="620"/>
    </row>
    <row r="162" spans="1:9" s="720" customFormat="1" ht="13.7" customHeight="1">
      <c r="A162" s="786"/>
      <c r="B162" s="786"/>
      <c r="C162" s="802"/>
      <c r="D162" s="1908"/>
      <c r="E162" s="1908"/>
      <c r="F162" s="1908"/>
      <c r="G162" s="670"/>
      <c r="I162" s="620"/>
    </row>
    <row r="163" spans="1:9" s="720" customFormat="1" ht="13.7" customHeight="1">
      <c r="A163" s="786"/>
      <c r="B163" s="786"/>
      <c r="C163" s="802"/>
      <c r="D163" s="1929" t="s">
        <v>1403</v>
      </c>
      <c r="E163" s="1929"/>
      <c r="F163" s="1929"/>
      <c r="G163" s="854"/>
      <c r="I163" s="620"/>
    </row>
    <row r="164" spans="1:9" s="720" customFormat="1" ht="13.7" customHeight="1">
      <c r="A164" s="786"/>
      <c r="B164" s="786"/>
      <c r="C164" s="802"/>
      <c r="D164" s="1928"/>
      <c r="E164" s="1928"/>
      <c r="F164" s="1928"/>
      <c r="G164" s="1928"/>
      <c r="I164" s="620"/>
    </row>
    <row r="165" spans="1:9" s="720" customFormat="1" ht="14.45" customHeight="1">
      <c r="A165" s="811"/>
      <c r="B165" s="796" t="s">
        <v>2642</v>
      </c>
      <c r="C165" s="812"/>
      <c r="D165" s="1865" t="s">
        <v>1431</v>
      </c>
      <c r="E165" s="1865"/>
      <c r="F165" s="1865"/>
      <c r="G165" s="813"/>
      <c r="I165" s="620" t="s">
        <v>2355</v>
      </c>
    </row>
    <row r="166" spans="1:9" s="720" customFormat="1" ht="14.45" customHeight="1">
      <c r="A166" s="811"/>
      <c r="B166" s="811"/>
      <c r="C166" s="812"/>
      <c r="D166" s="1865"/>
      <c r="E166" s="1865"/>
      <c r="F166" s="1865"/>
      <c r="G166" s="813"/>
      <c r="I166" s="620"/>
    </row>
    <row r="167" spans="1:9" s="720" customFormat="1" ht="13.7" customHeight="1">
      <c r="A167" s="811"/>
      <c r="B167" s="811"/>
      <c r="C167" s="812"/>
      <c r="D167" s="1865"/>
      <c r="E167" s="1865"/>
      <c r="F167" s="1865"/>
      <c r="G167" s="813"/>
      <c r="I167" s="620"/>
    </row>
    <row r="168" spans="1:9" s="720" customFormat="1" ht="13.7" customHeight="1">
      <c r="A168" s="811"/>
      <c r="B168" s="811"/>
      <c r="C168" s="812"/>
      <c r="D168" s="794"/>
      <c r="E168" s="812"/>
      <c r="F168" s="812"/>
      <c r="G168" s="813"/>
      <c r="I168" s="620"/>
    </row>
    <row r="169" spans="1:9" s="720" customFormat="1" ht="13.7" customHeight="1">
      <c r="A169" s="811"/>
      <c r="B169" s="796" t="s">
        <v>2641</v>
      </c>
      <c r="C169" s="812"/>
      <c r="D169" s="1808" t="s">
        <v>1263</v>
      </c>
      <c r="E169" s="1808"/>
      <c r="F169" s="1808"/>
      <c r="G169" s="813"/>
      <c r="I169" s="620" t="s">
        <v>2361</v>
      </c>
    </row>
    <row r="170" spans="1:9" s="720" customFormat="1" ht="13.7" customHeight="1">
      <c r="A170" s="811"/>
      <c r="B170" s="811"/>
      <c r="C170" s="812"/>
      <c r="D170" s="1808"/>
      <c r="E170" s="1808"/>
      <c r="F170" s="1808"/>
      <c r="G170" s="813"/>
      <c r="I170" s="620"/>
    </row>
    <row r="171" spans="1:9" s="720" customFormat="1" ht="13.7" customHeight="1">
      <c r="A171" s="811"/>
      <c r="B171" s="811"/>
      <c r="C171" s="812"/>
      <c r="D171" s="1808"/>
      <c r="E171" s="1808"/>
      <c r="F171" s="1808"/>
      <c r="G171" s="813"/>
      <c r="I171" s="620"/>
    </row>
    <row r="172" spans="1:9" s="720" customFormat="1" ht="13.7" customHeight="1">
      <c r="A172" s="811"/>
      <c r="B172" s="811"/>
      <c r="C172" s="812"/>
      <c r="D172" s="1808"/>
      <c r="E172" s="1808"/>
      <c r="F172" s="1808"/>
      <c r="G172" s="813"/>
      <c r="I172" s="620"/>
    </row>
    <row r="173" spans="1:9" s="720" customFormat="1" ht="13.7" customHeight="1">
      <c r="A173" s="786"/>
      <c r="B173" s="786"/>
      <c r="C173" s="802"/>
      <c r="D173" s="783"/>
      <c r="E173" s="783"/>
      <c r="F173" s="783"/>
      <c r="G173" s="670"/>
      <c r="I173" s="620"/>
    </row>
    <row r="174" spans="1:9" s="720" customFormat="1" ht="13.7" customHeight="1">
      <c r="A174" s="786"/>
      <c r="B174" s="796" t="s">
        <v>2641</v>
      </c>
      <c r="C174" s="802"/>
      <c r="D174" s="1853" t="s">
        <v>1264</v>
      </c>
      <c r="E174" s="1853"/>
      <c r="F174" s="1853"/>
      <c r="G174" s="670"/>
      <c r="I174" s="620" t="s">
        <v>2362</v>
      </c>
    </row>
    <row r="175" spans="1:9" s="720" customFormat="1" ht="13.7" customHeight="1">
      <c r="A175" s="786"/>
      <c r="B175" s="786"/>
      <c r="C175" s="802"/>
      <c r="D175" s="1853"/>
      <c r="E175" s="1853"/>
      <c r="F175" s="1853"/>
      <c r="G175" s="670"/>
      <c r="I175" s="620"/>
    </row>
    <row r="176" spans="1:9" s="720" customFormat="1" ht="13.7" customHeight="1">
      <c r="A176" s="786"/>
      <c r="B176" s="786"/>
      <c r="C176" s="802"/>
      <c r="D176" s="1853"/>
      <c r="E176" s="1853"/>
      <c r="F176" s="1853"/>
      <c r="G176" s="670"/>
      <c r="I176" s="620"/>
    </row>
    <row r="177" spans="1:9" s="720" customFormat="1" ht="13.7" customHeight="1">
      <c r="A177" s="814"/>
      <c r="B177" s="814"/>
      <c r="C177" s="802"/>
      <c r="D177" s="787"/>
      <c r="E177" s="783"/>
      <c r="F177" s="783"/>
      <c r="G177" s="670"/>
      <c r="I177" s="620"/>
    </row>
    <row r="178" spans="1:9">
      <c r="A178" s="1831" t="s">
        <v>2337</v>
      </c>
      <c r="B178" s="1831"/>
      <c r="C178" s="1831"/>
      <c r="D178" s="1831"/>
      <c r="E178" s="1831"/>
      <c r="F178" s="1831"/>
      <c r="G178" s="1831"/>
      <c r="H178" s="1752"/>
      <c r="I178" s="1753"/>
    </row>
    <row r="179" spans="1:9" ht="12" customHeight="1">
      <c r="D179" s="798"/>
      <c r="E179" s="798"/>
      <c r="F179" s="798"/>
    </row>
    <row r="180" spans="1:9">
      <c r="B180" s="1903" t="s">
        <v>469</v>
      </c>
      <c r="C180" s="1903"/>
      <c r="D180" s="1903"/>
      <c r="E180" s="1903"/>
      <c r="F180" s="1903"/>
    </row>
    <row r="181" spans="1:9" s="1675" customFormat="1">
      <c r="A181" s="786"/>
      <c r="B181" s="1730" t="s">
        <v>2338</v>
      </c>
      <c r="C181" s="1730"/>
      <c r="D181" s="1730"/>
      <c r="E181" s="1730"/>
      <c r="F181" s="1730"/>
      <c r="G181" s="1674"/>
      <c r="I181" s="1677"/>
    </row>
    <row r="182" spans="1:9" ht="12" customHeight="1">
      <c r="A182" s="791"/>
      <c r="B182" s="791"/>
      <c r="C182" s="791"/>
    </row>
    <row r="183" spans="1:9">
      <c r="A183" s="1831" t="s">
        <v>1159</v>
      </c>
      <c r="B183" s="1831"/>
      <c r="C183" s="1831"/>
      <c r="D183" s="1831"/>
      <c r="E183" s="1831"/>
      <c r="F183" s="1831"/>
      <c r="G183" s="1831"/>
      <c r="H183" s="1752"/>
      <c r="I183" s="1753"/>
    </row>
    <row r="184" spans="1:9" ht="12" customHeight="1">
      <c r="A184" s="815"/>
      <c r="B184" s="815"/>
      <c r="C184" s="816"/>
      <c r="D184" s="817"/>
      <c r="E184" s="818"/>
      <c r="F184" s="817"/>
      <c r="G184" s="817"/>
    </row>
    <row r="185" spans="1:9" ht="13.7" customHeight="1">
      <c r="A185" s="815"/>
      <c r="B185" s="815"/>
      <c r="C185" s="816"/>
      <c r="D185" s="1867" t="s">
        <v>2180</v>
      </c>
      <c r="E185" s="1867"/>
      <c r="F185" s="1867"/>
      <c r="G185" s="817"/>
    </row>
    <row r="186" spans="1:9">
      <c r="A186" s="815"/>
      <c r="B186" s="815"/>
      <c r="C186" s="816"/>
      <c r="D186" s="1867"/>
      <c r="E186" s="1867"/>
      <c r="F186" s="1867"/>
      <c r="G186" s="817"/>
    </row>
    <row r="187" spans="1:9">
      <c r="A187" s="815"/>
      <c r="B187" s="815"/>
      <c r="C187" s="816"/>
      <c r="D187" s="1868" t="s">
        <v>1396</v>
      </c>
      <c r="E187" s="1868"/>
      <c r="F187" s="1868"/>
      <c r="G187" s="817"/>
    </row>
    <row r="188" spans="1:9">
      <c r="A188" s="815"/>
      <c r="B188" s="815"/>
      <c r="C188" s="816"/>
      <c r="D188" s="1616"/>
      <c r="E188" s="1616"/>
      <c r="F188" s="1616"/>
      <c r="G188" s="817"/>
    </row>
    <row r="189" spans="1:9">
      <c r="A189" s="815"/>
      <c r="B189" s="796" t="s">
        <v>2642</v>
      </c>
      <c r="C189" s="816"/>
      <c r="D189" s="1830" t="s">
        <v>2181</v>
      </c>
      <c r="E189" s="1830"/>
      <c r="F189" s="1830"/>
      <c r="G189" s="817"/>
      <c r="I189" s="1677" t="s">
        <v>2411</v>
      </c>
    </row>
    <row r="190" spans="1:9">
      <c r="A190" s="815"/>
      <c r="B190" s="815"/>
      <c r="C190" s="816"/>
      <c r="D190" s="1834" t="s">
        <v>2182</v>
      </c>
      <c r="E190" s="1834"/>
      <c r="F190" s="1834"/>
      <c r="G190" s="817"/>
    </row>
    <row r="191" spans="1:9">
      <c r="A191" s="815"/>
      <c r="B191" s="815"/>
      <c r="C191" s="816"/>
      <c r="D191" s="1633" t="s">
        <v>2183</v>
      </c>
      <c r="E191" s="1921" t="s">
        <v>2184</v>
      </c>
      <c r="F191" s="1921"/>
      <c r="G191" s="817"/>
    </row>
    <row r="192" spans="1:9">
      <c r="A192" s="815"/>
      <c r="B192" s="815"/>
      <c r="C192" s="816"/>
      <c r="D192" s="155"/>
      <c r="E192" s="155"/>
      <c r="F192" s="155"/>
      <c r="G192" s="817"/>
    </row>
    <row r="193" spans="1:9">
      <c r="A193" s="815"/>
      <c r="B193" s="796" t="s">
        <v>2641</v>
      </c>
      <c r="C193" s="816"/>
      <c r="D193" s="1834" t="s">
        <v>2185</v>
      </c>
      <c r="E193" s="1834"/>
      <c r="F193" s="1834"/>
      <c r="G193" s="817"/>
      <c r="I193" s="1677" t="s">
        <v>2412</v>
      </c>
    </row>
    <row r="194" spans="1:9">
      <c r="A194" s="815"/>
      <c r="B194" s="815"/>
      <c r="C194" s="816"/>
      <c r="D194" s="1830" t="s">
        <v>2182</v>
      </c>
      <c r="E194" s="1830"/>
      <c r="F194" s="1830"/>
      <c r="G194" s="817"/>
    </row>
    <row r="195" spans="1:9">
      <c r="A195" s="815"/>
      <c r="B195" s="815"/>
      <c r="C195" s="816"/>
      <c r="D195" s="1614" t="s">
        <v>2186</v>
      </c>
      <c r="E195" s="1926" t="s">
        <v>2187</v>
      </c>
      <c r="F195" s="1926"/>
      <c r="G195" s="817"/>
    </row>
    <row r="196" spans="1:9">
      <c r="A196" s="815"/>
      <c r="B196" s="815"/>
      <c r="C196" s="816"/>
      <c r="D196" s="155"/>
      <c r="E196" s="155"/>
      <c r="F196" s="155"/>
      <c r="G196" s="817"/>
    </row>
    <row r="197" spans="1:9">
      <c r="A197" s="815"/>
      <c r="B197" s="796" t="s">
        <v>2641</v>
      </c>
      <c r="C197" s="816"/>
      <c r="D197" s="1834" t="s">
        <v>2188</v>
      </c>
      <c r="E197" s="1834"/>
      <c r="F197" s="1834"/>
      <c r="G197" s="817"/>
      <c r="I197" s="1677" t="s">
        <v>2413</v>
      </c>
    </row>
    <row r="198" spans="1:9">
      <c r="A198" s="815"/>
      <c r="B198" s="815"/>
      <c r="C198" s="816"/>
      <c r="D198" s="1611" t="s">
        <v>2182</v>
      </c>
      <c r="E198" s="155"/>
      <c r="F198" s="155"/>
      <c r="G198" s="817"/>
    </row>
    <row r="199" spans="1:9">
      <c r="A199" s="815"/>
      <c r="B199" s="815"/>
      <c r="C199" s="816"/>
      <c r="D199" s="1614" t="s">
        <v>2183</v>
      </c>
      <c r="E199" s="1926" t="s">
        <v>2189</v>
      </c>
      <c r="F199" s="1926"/>
      <c r="G199" s="817"/>
    </row>
    <row r="200" spans="1:9">
      <c r="A200" s="815"/>
      <c r="B200" s="815"/>
      <c r="C200" s="816"/>
      <c r="D200" s="1616"/>
      <c r="E200" s="1616"/>
      <c r="F200" s="1616"/>
      <c r="G200" s="817"/>
    </row>
    <row r="201" spans="1:9" ht="14.25">
      <c r="A201" s="795"/>
      <c r="B201" s="796" t="s">
        <v>2641</v>
      </c>
      <c r="C201" s="816"/>
      <c r="D201" s="1866" t="s">
        <v>2190</v>
      </c>
      <c r="E201" s="1866"/>
      <c r="F201" s="1866"/>
      <c r="G201" s="817"/>
      <c r="I201" s="1677" t="s">
        <v>2414</v>
      </c>
    </row>
    <row r="202" spans="1:9" ht="14.25">
      <c r="A202" s="795"/>
      <c r="B202" s="795"/>
      <c r="C202" s="816"/>
      <c r="D202" s="1866"/>
      <c r="E202" s="1866"/>
      <c r="F202" s="1866"/>
      <c r="G202" s="817"/>
    </row>
    <row r="203" spans="1:9">
      <c r="A203" s="816"/>
      <c r="B203" s="816"/>
      <c r="C203" s="816"/>
      <c r="D203" s="1866"/>
      <c r="E203" s="1866"/>
      <c r="F203" s="1866"/>
    </row>
    <row r="204" spans="1:9">
      <c r="A204" s="816"/>
      <c r="B204" s="816"/>
      <c r="C204" s="816"/>
      <c r="D204" s="801"/>
      <c r="E204" s="817"/>
      <c r="F204" s="817"/>
    </row>
    <row r="205" spans="1:9">
      <c r="A205" s="816"/>
      <c r="B205" s="796" t="s">
        <v>2641</v>
      </c>
      <c r="C205" s="816"/>
      <c r="D205" s="1834" t="s">
        <v>2191</v>
      </c>
      <c r="E205" s="1834"/>
      <c r="F205" s="1834"/>
      <c r="I205" s="1677" t="s">
        <v>2415</v>
      </c>
    </row>
    <row r="206" spans="1:9">
      <c r="A206" s="816"/>
      <c r="B206" s="816"/>
      <c r="C206" s="816"/>
      <c r="D206" s="1834" t="s">
        <v>2182</v>
      </c>
      <c r="E206" s="1834"/>
      <c r="F206" s="1834"/>
    </row>
    <row r="207" spans="1:9">
      <c r="A207" s="816"/>
      <c r="B207" s="816"/>
      <c r="C207" s="816"/>
      <c r="D207" s="1614" t="s">
        <v>2183</v>
      </c>
      <c r="E207" s="1926" t="s">
        <v>2192</v>
      </c>
      <c r="F207" s="1926"/>
    </row>
    <row r="208" spans="1:9">
      <c r="A208" s="816"/>
      <c r="B208" s="816"/>
      <c r="C208" s="816"/>
      <c r="D208" s="777"/>
      <c r="E208" s="777"/>
      <c r="F208" s="777"/>
    </row>
    <row r="209" spans="1:9" s="616" customFormat="1" ht="14.25">
      <c r="A209" s="795"/>
      <c r="B209" s="796" t="s">
        <v>2641</v>
      </c>
      <c r="C209" s="804"/>
      <c r="D209" s="1866" t="s">
        <v>1422</v>
      </c>
      <c r="E209" s="1866"/>
      <c r="F209" s="1866"/>
      <c r="G209" s="691"/>
      <c r="I209" s="640"/>
    </row>
    <row r="210" spans="1:9" s="616" customFormat="1" ht="14.45" customHeight="1">
      <c r="A210" s="795"/>
      <c r="C210" s="804"/>
      <c r="D210" s="1866"/>
      <c r="E210" s="1866"/>
      <c r="F210" s="1866"/>
      <c r="G210" s="691"/>
      <c r="I210" s="640"/>
    </row>
    <row r="211" spans="1:9" s="616" customFormat="1" ht="14.25">
      <c r="A211" s="795"/>
      <c r="B211" s="816"/>
      <c r="C211" s="804"/>
      <c r="D211" s="1866"/>
      <c r="E211" s="1866"/>
      <c r="F211" s="1866"/>
      <c r="G211" s="691"/>
      <c r="I211" s="640"/>
    </row>
    <row r="212" spans="1:9" s="616" customFormat="1" ht="14.25">
      <c r="A212" s="795"/>
      <c r="B212" s="816"/>
      <c r="C212" s="804"/>
      <c r="D212" s="1866"/>
      <c r="E212" s="1866"/>
      <c r="F212" s="1866"/>
      <c r="G212" s="691"/>
      <c r="I212" s="640"/>
    </row>
    <row r="213" spans="1:9">
      <c r="A213" s="816"/>
      <c r="B213" s="816"/>
      <c r="C213" s="816"/>
      <c r="D213" s="777"/>
      <c r="E213" s="777"/>
      <c r="F213" s="777"/>
    </row>
    <row r="214" spans="1:9">
      <c r="A214" s="1831" t="s">
        <v>1160</v>
      </c>
      <c r="B214" s="1831"/>
      <c r="C214" s="1831"/>
      <c r="D214" s="1831"/>
      <c r="E214" s="1831"/>
      <c r="F214" s="1831"/>
      <c r="G214" s="1831"/>
      <c r="H214" s="1752"/>
      <c r="I214" s="1753"/>
    </row>
    <row r="215" spans="1:9" ht="12" customHeight="1">
      <c r="D215" s="798"/>
      <c r="E215" s="798"/>
      <c r="F215" s="798"/>
    </row>
    <row r="216" spans="1:9">
      <c r="C216" s="805"/>
      <c r="D216" s="1925" t="s">
        <v>213</v>
      </c>
      <c r="E216" s="1925"/>
      <c r="F216" s="1925"/>
    </row>
    <row r="217" spans="1:9">
      <c r="A217" s="791"/>
      <c r="B217" s="791"/>
      <c r="C217" s="791"/>
      <c r="D217" s="1905" t="s">
        <v>1289</v>
      </c>
      <c r="E217" s="1905"/>
      <c r="F217" s="1905"/>
    </row>
    <row r="218" spans="1:9" ht="12" customHeight="1">
      <c r="A218" s="814"/>
      <c r="B218" s="814"/>
      <c r="C218" s="814"/>
    </row>
    <row r="219" spans="1:9" ht="13.7" customHeight="1">
      <c r="A219" s="814"/>
      <c r="C219" s="814"/>
      <c r="D219" s="1821" t="s">
        <v>578</v>
      </c>
      <c r="E219" s="1821"/>
      <c r="F219" s="1821"/>
      <c r="I219" s="1677" t="s">
        <v>2363</v>
      </c>
    </row>
    <row r="220" spans="1:9" ht="14.25">
      <c r="A220" s="795"/>
      <c r="B220" s="796" t="s">
        <v>2642</v>
      </c>
      <c r="D220" s="1866" t="s">
        <v>2193</v>
      </c>
      <c r="E220" s="1866"/>
      <c r="F220" s="1866"/>
    </row>
    <row r="221" spans="1:9" ht="14.25" customHeight="1">
      <c r="A221" s="795"/>
      <c r="B221" s="795"/>
      <c r="D221" s="1866"/>
      <c r="E221" s="1866"/>
      <c r="F221" s="1866"/>
    </row>
    <row r="222" spans="1:9" ht="14.25" customHeight="1">
      <c r="A222" s="795"/>
      <c r="B222" s="795"/>
      <c r="D222" s="1866"/>
      <c r="E222" s="1866"/>
      <c r="F222" s="1866"/>
    </row>
    <row r="223" spans="1:9" ht="14.25">
      <c r="A223" s="795"/>
      <c r="B223" s="795"/>
      <c r="D223" s="1866"/>
      <c r="E223" s="1866"/>
      <c r="F223" s="1866"/>
    </row>
    <row r="224" spans="1:9" ht="14.25">
      <c r="A224" s="795"/>
      <c r="B224" s="795"/>
      <c r="D224" s="1615"/>
      <c r="E224" s="1615"/>
      <c r="F224" s="1615"/>
    </row>
    <row r="225" spans="1:9" ht="14.25">
      <c r="A225" s="795"/>
      <c r="B225" s="796" t="s">
        <v>2642</v>
      </c>
      <c r="D225" s="1866" t="s">
        <v>2194</v>
      </c>
      <c r="E225" s="1866"/>
      <c r="F225" s="1866"/>
      <c r="I225" s="1677" t="s">
        <v>2364</v>
      </c>
    </row>
    <row r="226" spans="1:9" ht="14.25">
      <c r="A226" s="795"/>
      <c r="B226" s="795"/>
      <c r="D226" s="1866"/>
      <c r="E226" s="1866"/>
      <c r="F226" s="1866"/>
    </row>
    <row r="227" spans="1:9" ht="14.25">
      <c r="A227" s="795"/>
      <c r="B227" s="795"/>
      <c r="D227" s="1866"/>
      <c r="E227" s="1866"/>
      <c r="F227" s="1866"/>
    </row>
    <row r="228" spans="1:9" ht="14.25">
      <c r="A228" s="795"/>
      <c r="B228" s="795"/>
      <c r="D228" s="1866"/>
      <c r="E228" s="1866"/>
      <c r="F228" s="1866"/>
    </row>
    <row r="229" spans="1:9" ht="14.25" customHeight="1">
      <c r="A229" s="795"/>
      <c r="B229" s="795"/>
      <c r="D229" s="1866"/>
      <c r="E229" s="1866"/>
      <c r="F229" s="1866"/>
    </row>
    <row r="230" spans="1:9" ht="14.25" customHeight="1">
      <c r="A230" s="795"/>
      <c r="B230" s="795"/>
      <c r="D230" s="1615"/>
      <c r="E230" s="1615"/>
      <c r="F230" s="1615"/>
    </row>
    <row r="231" spans="1:9" ht="14.25">
      <c r="A231" s="795"/>
      <c r="B231" s="795"/>
      <c r="D231" s="1866" t="s">
        <v>1285</v>
      </c>
      <c r="E231" s="1866"/>
      <c r="F231" s="1866"/>
      <c r="I231" s="1677" t="s">
        <v>2363</v>
      </c>
    </row>
    <row r="232" spans="1:9" ht="14.25">
      <c r="A232" s="795"/>
      <c r="B232" s="795"/>
      <c r="D232" s="1866"/>
      <c r="E232" s="1866"/>
      <c r="F232" s="1866"/>
    </row>
    <row r="233" spans="1:9" ht="14.25">
      <c r="A233" s="795"/>
      <c r="B233" s="795"/>
      <c r="D233" s="1866"/>
      <c r="E233" s="1866"/>
      <c r="F233" s="1866"/>
    </row>
    <row r="234" spans="1:9" ht="14.25">
      <c r="A234" s="795"/>
      <c r="B234" s="795"/>
      <c r="D234" s="1866"/>
      <c r="E234" s="1866"/>
      <c r="F234" s="1866"/>
    </row>
    <row r="235" spans="1:9" ht="14.25">
      <c r="A235" s="795"/>
      <c r="B235" s="795"/>
      <c r="D235" s="1866"/>
      <c r="E235" s="1866"/>
      <c r="F235" s="1866"/>
    </row>
    <row r="236" spans="1:9" ht="14.25">
      <c r="A236" s="795"/>
      <c r="B236" s="795"/>
      <c r="D236" s="798"/>
      <c r="E236" s="798"/>
      <c r="F236" s="798"/>
    </row>
    <row r="237" spans="1:9" ht="14.25">
      <c r="A237" s="795"/>
      <c r="B237" s="796" t="s">
        <v>2642</v>
      </c>
      <c r="D237" s="1902" t="s">
        <v>2198</v>
      </c>
      <c r="E237" s="1902"/>
      <c r="F237" s="1902"/>
      <c r="I237" s="1677" t="s">
        <v>2402</v>
      </c>
    </row>
    <row r="238" spans="1:9" ht="14.25">
      <c r="A238" s="795"/>
      <c r="B238" s="795"/>
      <c r="D238" s="1902"/>
      <c r="E238" s="1902"/>
      <c r="F238" s="1902"/>
    </row>
    <row r="239" spans="1:9" ht="14.25">
      <c r="A239" s="795"/>
      <c r="B239" s="795"/>
      <c r="D239" s="1902"/>
      <c r="E239" s="1902"/>
      <c r="F239" s="1902"/>
    </row>
    <row r="240" spans="1:9" ht="14.25">
      <c r="A240" s="795"/>
      <c r="B240" s="795"/>
      <c r="D240" s="1903" t="s">
        <v>962</v>
      </c>
      <c r="E240" s="1903"/>
      <c r="F240" s="1903"/>
    </row>
    <row r="241" spans="1:9" ht="14.25">
      <c r="A241" s="795"/>
      <c r="B241" s="795"/>
      <c r="D241" s="798"/>
      <c r="E241" s="798"/>
      <c r="F241" s="798"/>
    </row>
    <row r="242" spans="1:9" ht="14.45" customHeight="1">
      <c r="A242" s="795"/>
      <c r="B242" s="796" t="s">
        <v>2641</v>
      </c>
      <c r="D242" s="1902" t="s">
        <v>1288</v>
      </c>
      <c r="E242" s="1902"/>
      <c r="F242" s="1902"/>
      <c r="I242" s="1677" t="s">
        <v>2422</v>
      </c>
    </row>
    <row r="243" spans="1:9" ht="14.25">
      <c r="A243" s="795"/>
      <c r="B243" s="795"/>
      <c r="D243" s="1902"/>
      <c r="E243" s="1902"/>
      <c r="F243" s="1902"/>
    </row>
    <row r="244" spans="1:9" ht="14.25">
      <c r="A244" s="795"/>
      <c r="B244" s="795"/>
      <c r="D244" s="1902"/>
      <c r="E244" s="1902"/>
      <c r="F244" s="1902"/>
    </row>
    <row r="245" spans="1:9" ht="14.25">
      <c r="A245" s="795"/>
      <c r="B245" s="795"/>
      <c r="D245" s="1902"/>
      <c r="E245" s="1902"/>
      <c r="F245" s="1902"/>
    </row>
    <row r="246" spans="1:9" ht="14.25">
      <c r="A246" s="795"/>
      <c r="B246" s="795"/>
      <c r="D246" s="1902"/>
      <c r="E246" s="1902"/>
      <c r="F246" s="1902"/>
    </row>
    <row r="247" spans="1:9" ht="14.25">
      <c r="A247" s="795"/>
      <c r="B247" s="795"/>
      <c r="D247" s="1627"/>
      <c r="E247" s="1627"/>
      <c r="F247" s="1627"/>
    </row>
    <row r="248" spans="1:9" ht="14.25">
      <c r="A248" s="795"/>
      <c r="B248" s="796" t="s">
        <v>2642</v>
      </c>
      <c r="D248" s="1626" t="s">
        <v>2195</v>
      </c>
      <c r="E248" s="1627"/>
      <c r="F248" s="1627"/>
      <c r="I248" s="1677" t="s">
        <v>2401</v>
      </c>
    </row>
    <row r="249" spans="1:9" ht="14.25">
      <c r="A249" s="795"/>
      <c r="B249" s="795"/>
      <c r="D249" s="1626"/>
      <c r="E249" s="1634" t="s">
        <v>2196</v>
      </c>
      <c r="F249" s="1627"/>
    </row>
    <row r="250" spans="1:9">
      <c r="D250" s="798"/>
      <c r="E250" s="798"/>
      <c r="F250" s="798"/>
    </row>
    <row r="251" spans="1:9" ht="14.25">
      <c r="A251" s="795"/>
      <c r="B251" s="796" t="s">
        <v>2642</v>
      </c>
      <c r="D251" s="1866" t="s">
        <v>1287</v>
      </c>
      <c r="E251" s="1866"/>
      <c r="F251" s="1866"/>
    </row>
    <row r="252" spans="1:9" ht="14.25">
      <c r="A252" s="795"/>
      <c r="B252" s="795"/>
      <c r="D252" s="1866"/>
      <c r="E252" s="1866"/>
      <c r="F252" s="1866"/>
    </row>
    <row r="253" spans="1:9">
      <c r="D253" s="819"/>
    </row>
    <row r="254" spans="1:9">
      <c r="A254" s="1831" t="s">
        <v>1161</v>
      </c>
      <c r="B254" s="1831"/>
      <c r="C254" s="1831"/>
      <c r="D254" s="1831"/>
      <c r="E254" s="1831"/>
      <c r="F254" s="1831"/>
      <c r="G254" s="1831"/>
      <c r="H254" s="1752"/>
      <c r="I254" s="1753"/>
    </row>
    <row r="255" spans="1:9">
      <c r="D255" s="819"/>
    </row>
    <row r="256" spans="1:9">
      <c r="C256" s="805"/>
      <c r="D256" s="1821" t="s">
        <v>1290</v>
      </c>
      <c r="E256" s="1821"/>
      <c r="F256" s="1821"/>
    </row>
    <row r="257" spans="1:9">
      <c r="A257" s="791"/>
      <c r="B257" s="791"/>
      <c r="C257" s="791"/>
      <c r="D257" s="798"/>
      <c r="E257" s="798"/>
      <c r="F257" s="798"/>
    </row>
    <row r="258" spans="1:9">
      <c r="A258" s="793"/>
      <c r="B258" s="793"/>
      <c r="C258" s="793"/>
      <c r="D258" s="1821" t="s">
        <v>274</v>
      </c>
      <c r="E258" s="1821"/>
      <c r="F258" s="1821"/>
      <c r="I258" s="1677" t="s">
        <v>2403</v>
      </c>
    </row>
    <row r="259" spans="1:9" ht="14.45" customHeight="1">
      <c r="A259" s="795"/>
      <c r="B259" s="796" t="s">
        <v>2642</v>
      </c>
      <c r="D259" s="1934" t="s">
        <v>1397</v>
      </c>
      <c r="E259" s="1934"/>
      <c r="F259" s="1934"/>
    </row>
    <row r="260" spans="1:9">
      <c r="D260" s="1934"/>
      <c r="E260" s="1934"/>
      <c r="F260" s="1934"/>
    </row>
    <row r="261" spans="1:9">
      <c r="D261" s="1905" t="s">
        <v>953</v>
      </c>
      <c r="E261" s="1905"/>
      <c r="F261" s="1905"/>
    </row>
    <row r="262" spans="1:9">
      <c r="D262" s="798"/>
      <c r="E262" s="798"/>
      <c r="F262" s="798"/>
    </row>
    <row r="263" spans="1:9" ht="14.45" customHeight="1">
      <c r="A263" s="795"/>
      <c r="B263" s="796" t="s">
        <v>2641</v>
      </c>
      <c r="D263" s="1902" t="s">
        <v>2197</v>
      </c>
      <c r="E263" s="1902"/>
      <c r="F263" s="1902"/>
      <c r="I263" s="1677" t="s">
        <v>2423</v>
      </c>
    </row>
    <row r="264" spans="1:9">
      <c r="D264" s="1902"/>
      <c r="E264" s="1902"/>
      <c r="F264" s="1902"/>
    </row>
    <row r="265" spans="1:9">
      <c r="D265" s="1902"/>
      <c r="E265" s="1902"/>
      <c r="F265" s="1902"/>
    </row>
    <row r="266" spans="1:9">
      <c r="D266" s="1902"/>
      <c r="E266" s="1902"/>
      <c r="F266" s="1902"/>
    </row>
    <row r="267" spans="1:9">
      <c r="D267" s="1902"/>
      <c r="E267" s="1902"/>
      <c r="F267" s="1902"/>
    </row>
    <row r="268" spans="1:9">
      <c r="D268" s="1902"/>
      <c r="E268" s="1902"/>
      <c r="F268" s="1902"/>
    </row>
    <row r="269" spans="1:9">
      <c r="D269" s="798"/>
      <c r="E269" s="798"/>
      <c r="F269" s="798"/>
    </row>
    <row r="270" spans="1:9" ht="14.25">
      <c r="A270" s="795"/>
      <c r="B270" s="796" t="s">
        <v>2641</v>
      </c>
      <c r="D270" s="1866" t="s">
        <v>1293</v>
      </c>
      <c r="E270" s="1866"/>
      <c r="F270" s="1866"/>
    </row>
    <row r="271" spans="1:9">
      <c r="D271" s="1866"/>
      <c r="E271" s="1866"/>
      <c r="F271" s="1866"/>
    </row>
    <row r="272" spans="1:9">
      <c r="D272" s="1866"/>
      <c r="E272" s="1866"/>
      <c r="F272" s="1866"/>
    </row>
    <row r="273" spans="1:9">
      <c r="D273" s="820"/>
      <c r="E273" s="798"/>
      <c r="F273" s="798"/>
    </row>
    <row r="274" spans="1:9">
      <c r="A274" s="1831" t="s">
        <v>1162</v>
      </c>
      <c r="B274" s="1831"/>
      <c r="C274" s="1831"/>
      <c r="D274" s="1831"/>
      <c r="E274" s="1831"/>
      <c r="F274" s="1831"/>
      <c r="G274" s="1831"/>
      <c r="H274" s="1752"/>
      <c r="I274" s="1753"/>
    </row>
    <row r="275" spans="1:9">
      <c r="D275" s="820"/>
      <c r="E275" s="798"/>
      <c r="F275" s="798"/>
    </row>
    <row r="276" spans="1:9">
      <c r="C276" s="791"/>
      <c r="D276" s="1904" t="s">
        <v>1295</v>
      </c>
      <c r="E276" s="1904"/>
      <c r="F276" s="1904"/>
    </row>
    <row r="277" spans="1:9">
      <c r="C277" s="791"/>
      <c r="D277" s="1904"/>
      <c r="E277" s="1904"/>
      <c r="F277" s="1904"/>
    </row>
    <row r="278" spans="1:9">
      <c r="A278" s="793"/>
      <c r="B278" s="793"/>
      <c r="C278" s="793"/>
      <c r="D278" s="620"/>
      <c r="E278" s="670"/>
      <c r="F278" s="670"/>
    </row>
    <row r="279" spans="1:9">
      <c r="C279" s="793"/>
      <c r="D279" s="1821" t="s">
        <v>214</v>
      </c>
      <c r="E279" s="1821"/>
      <c r="F279" s="1821"/>
    </row>
    <row r="280" spans="1:9" ht="15.75" customHeight="1">
      <c r="A280" s="795"/>
      <c r="B280" s="795"/>
      <c r="D280" s="1914" t="s">
        <v>1296</v>
      </c>
      <c r="E280" s="1914"/>
      <c r="F280" s="1914"/>
    </row>
    <row r="281" spans="1:9">
      <c r="E281" s="798"/>
      <c r="F281" s="798"/>
    </row>
    <row r="282" spans="1:9" ht="14.25">
      <c r="A282" s="795"/>
      <c r="B282" s="796" t="s">
        <v>2641</v>
      </c>
      <c r="D282" s="1866" t="s">
        <v>1297</v>
      </c>
      <c r="E282" s="1866"/>
      <c r="F282" s="1866"/>
      <c r="I282" s="1677" t="s">
        <v>2365</v>
      </c>
    </row>
    <row r="283" spans="1:9" ht="14.25">
      <c r="A283" s="795"/>
      <c r="B283" s="795"/>
      <c r="D283" s="1866"/>
      <c r="E283" s="1866"/>
      <c r="F283" s="1866"/>
    </row>
    <row r="284" spans="1:9">
      <c r="D284" s="798"/>
      <c r="E284" s="798"/>
      <c r="F284" s="798"/>
    </row>
    <row r="285" spans="1:9" ht="14.25">
      <c r="A285" s="795"/>
      <c r="B285" s="796" t="s">
        <v>2641</v>
      </c>
      <c r="D285" s="1902" t="s">
        <v>1298</v>
      </c>
      <c r="E285" s="1902"/>
      <c r="F285" s="1902"/>
      <c r="I285" s="1677" t="s">
        <v>2365</v>
      </c>
    </row>
    <row r="286" spans="1:9" ht="14.25">
      <c r="A286" s="795"/>
      <c r="B286" s="795"/>
      <c r="D286" s="1902"/>
      <c r="E286" s="1902"/>
      <c r="F286" s="1902"/>
    </row>
    <row r="287" spans="1:9" ht="14.25">
      <c r="A287" s="795"/>
      <c r="B287" s="795"/>
      <c r="D287" s="1902"/>
      <c r="E287" s="1902"/>
      <c r="F287" s="1902"/>
    </row>
    <row r="288" spans="1:9">
      <c r="D288" s="798"/>
      <c r="E288" s="798"/>
      <c r="F288" s="798"/>
    </row>
    <row r="289" spans="1:9" ht="14.25">
      <c r="A289" s="795"/>
      <c r="B289" s="796" t="s">
        <v>2641</v>
      </c>
      <c r="D289" s="1866" t="s">
        <v>1299</v>
      </c>
      <c r="E289" s="1866"/>
      <c r="F289" s="1866"/>
      <c r="I289" s="1677" t="s">
        <v>2365</v>
      </c>
    </row>
    <row r="290" spans="1:9" ht="14.25">
      <c r="A290" s="795"/>
      <c r="B290" s="795"/>
      <c r="D290" s="1866"/>
      <c r="E290" s="1866"/>
      <c r="F290" s="1866"/>
    </row>
    <row r="291" spans="1:9">
      <c r="A291" s="814"/>
      <c r="B291" s="814"/>
      <c r="E291" s="798"/>
      <c r="F291" s="798"/>
    </row>
    <row r="292" spans="1:9">
      <c r="A292" s="1831" t="s">
        <v>1163</v>
      </c>
      <c r="B292" s="1831"/>
      <c r="C292" s="1831"/>
      <c r="D292" s="1831"/>
      <c r="E292" s="1831"/>
      <c r="F292" s="1831"/>
      <c r="G292" s="1831"/>
      <c r="H292" s="1752"/>
      <c r="I292" s="1753"/>
    </row>
    <row r="293" spans="1:9">
      <c r="A293" s="814"/>
      <c r="B293" s="814"/>
      <c r="D293" s="798"/>
      <c r="E293" s="798"/>
      <c r="F293" s="798"/>
    </row>
    <row r="294" spans="1:9">
      <c r="C294" s="814"/>
      <c r="D294" s="1821" t="s">
        <v>718</v>
      </c>
      <c r="E294" s="1821"/>
      <c r="F294" s="1821"/>
    </row>
    <row r="295" spans="1:9">
      <c r="C295" s="814"/>
      <c r="D295" s="1871" t="s">
        <v>1300</v>
      </c>
      <c r="E295" s="1871"/>
      <c r="F295" s="1871"/>
    </row>
    <row r="296" spans="1:9">
      <c r="C296" s="814"/>
      <c r="D296" s="821"/>
    </row>
    <row r="297" spans="1:9">
      <c r="A297" s="799"/>
      <c r="B297" s="796" t="s">
        <v>2641</v>
      </c>
      <c r="D297" s="1871" t="s">
        <v>1301</v>
      </c>
      <c r="E297" s="1871"/>
      <c r="F297" s="1871"/>
      <c r="I297" s="1677" t="s">
        <v>2366</v>
      </c>
    </row>
    <row r="298" spans="1:9" s="789" customFormat="1" ht="14.25">
      <c r="A298" s="803"/>
      <c r="B298" s="803"/>
      <c r="C298" s="799"/>
      <c r="D298" s="822"/>
      <c r="E298" s="823"/>
      <c r="F298" s="823"/>
      <c r="G298" s="800"/>
      <c r="I298" s="1736"/>
    </row>
    <row r="299" spans="1:9" s="789" customFormat="1" ht="13.7" customHeight="1">
      <c r="A299" s="799"/>
      <c r="B299" s="796" t="s">
        <v>2641</v>
      </c>
      <c r="C299" s="799"/>
      <c r="D299" s="1909" t="s">
        <v>1426</v>
      </c>
      <c r="E299" s="1909"/>
      <c r="F299" s="1909"/>
      <c r="G299" s="800"/>
      <c r="I299" s="1736" t="s">
        <v>2366</v>
      </c>
    </row>
    <row r="300" spans="1:9" s="789" customFormat="1" ht="14.25">
      <c r="A300" s="803"/>
      <c r="B300" s="803"/>
      <c r="C300" s="799"/>
      <c r="D300" s="1909"/>
      <c r="E300" s="1909"/>
      <c r="F300" s="1909"/>
      <c r="G300" s="800"/>
      <c r="I300" s="1736"/>
    </row>
    <row r="301" spans="1:9" s="789" customFormat="1" ht="14.25">
      <c r="A301" s="803"/>
      <c r="B301" s="803"/>
      <c r="C301" s="799"/>
      <c r="D301" s="1909"/>
      <c r="E301" s="1909"/>
      <c r="F301" s="1909"/>
      <c r="G301" s="800"/>
      <c r="I301" s="1736"/>
    </row>
    <row r="302" spans="1:9" s="789" customFormat="1" ht="14.25">
      <c r="A302" s="803"/>
      <c r="B302" s="803"/>
      <c r="C302" s="799"/>
      <c r="D302" s="1909"/>
      <c r="E302" s="1909"/>
      <c r="F302" s="1909"/>
      <c r="G302" s="800"/>
      <c r="I302" s="1736"/>
    </row>
    <row r="303" spans="1:9" s="789" customFormat="1" ht="14.25">
      <c r="A303" s="803"/>
      <c r="B303" s="803"/>
      <c r="C303" s="799"/>
      <c r="D303" s="1909"/>
      <c r="E303" s="1909"/>
      <c r="F303" s="1909"/>
      <c r="G303" s="800"/>
      <c r="I303" s="1736"/>
    </row>
    <row r="304" spans="1:9" s="789" customFormat="1" ht="14.25">
      <c r="A304" s="803"/>
      <c r="B304" s="803"/>
      <c r="C304" s="799"/>
      <c r="D304" s="822"/>
      <c r="E304" s="823"/>
      <c r="F304" s="823"/>
      <c r="G304" s="800"/>
      <c r="I304" s="1736"/>
    </row>
    <row r="305" spans="1:9" s="789" customFormat="1" ht="13.7" customHeight="1">
      <c r="A305" s="799"/>
      <c r="B305" s="796" t="s">
        <v>2641</v>
      </c>
      <c r="C305" s="799"/>
      <c r="D305" s="1909" t="s">
        <v>1303</v>
      </c>
      <c r="E305" s="1909"/>
      <c r="F305" s="1909"/>
      <c r="G305" s="800"/>
      <c r="I305" s="1736" t="s">
        <v>2366</v>
      </c>
    </row>
    <row r="306" spans="1:9" s="789" customFormat="1">
      <c r="A306" s="799"/>
      <c r="B306" s="799"/>
      <c r="C306" s="799"/>
      <c r="D306" s="1909"/>
      <c r="E306" s="1909"/>
      <c r="F306" s="1909"/>
      <c r="G306" s="800"/>
      <c r="I306" s="1736"/>
    </row>
    <row r="307" spans="1:9" s="789" customFormat="1" ht="14.25">
      <c r="A307" s="803"/>
      <c r="B307" s="803"/>
      <c r="C307" s="799"/>
      <c r="D307" s="822"/>
      <c r="E307" s="823"/>
      <c r="F307" s="823"/>
      <c r="G307" s="800"/>
      <c r="I307" s="1736"/>
    </row>
    <row r="308" spans="1:9">
      <c r="A308" s="799"/>
      <c r="B308" s="796" t="s">
        <v>2641</v>
      </c>
      <c r="D308" s="1871" t="s">
        <v>1304</v>
      </c>
      <c r="E308" s="1871"/>
      <c r="F308" s="1871"/>
      <c r="I308" s="1677" t="s">
        <v>2352</v>
      </c>
    </row>
    <row r="309" spans="1:9">
      <c r="E309" s="798"/>
      <c r="F309" s="798"/>
    </row>
    <row r="310" spans="1:9" ht="14.25">
      <c r="A310" s="795"/>
      <c r="B310" s="796" t="s">
        <v>2641</v>
      </c>
      <c r="D310" s="1902" t="s">
        <v>1453</v>
      </c>
      <c r="E310" s="1902"/>
      <c r="F310" s="1902"/>
      <c r="I310" s="1677" t="s">
        <v>2367</v>
      </c>
    </row>
    <row r="311" spans="1:9" ht="14.25">
      <c r="A311" s="795"/>
      <c r="B311" s="795"/>
      <c r="D311" s="1902"/>
      <c r="E311" s="1902"/>
      <c r="F311" s="1902"/>
    </row>
    <row r="312" spans="1:9" ht="14.25">
      <c r="A312" s="795"/>
      <c r="B312" s="795"/>
      <c r="D312" s="1902"/>
      <c r="E312" s="1902"/>
      <c r="F312" s="1902"/>
    </row>
    <row r="313" spans="1:9" ht="14.25">
      <c r="A313" s="795"/>
      <c r="B313" s="795"/>
      <c r="D313" s="1902"/>
      <c r="E313" s="1902"/>
      <c r="F313" s="1902"/>
    </row>
    <row r="314" spans="1:9" ht="14.25">
      <c r="A314" s="795"/>
      <c r="B314" s="795"/>
      <c r="D314" s="1902"/>
      <c r="E314" s="1902"/>
      <c r="F314" s="1902"/>
    </row>
    <row r="315" spans="1:9" ht="14.25">
      <c r="A315" s="795"/>
      <c r="B315" s="795"/>
      <c r="D315" s="1902"/>
      <c r="E315" s="1902"/>
      <c r="F315" s="1902"/>
    </row>
    <row r="316" spans="1:9" ht="14.25">
      <c r="A316" s="795"/>
      <c r="B316" s="795"/>
      <c r="D316" s="1902"/>
      <c r="E316" s="1902"/>
      <c r="F316" s="1902"/>
    </row>
    <row r="317" spans="1:9" ht="14.25">
      <c r="A317" s="795"/>
      <c r="B317" s="795"/>
      <c r="D317" s="1902"/>
      <c r="E317" s="1902"/>
      <c r="F317" s="1902"/>
    </row>
    <row r="318" spans="1:9" ht="14.25">
      <c r="A318" s="795"/>
      <c r="B318" s="795"/>
      <c r="D318" s="1902"/>
      <c r="E318" s="1902"/>
      <c r="F318" s="1902"/>
    </row>
    <row r="319" spans="1:9" ht="14.25">
      <c r="A319" s="795"/>
      <c r="B319" s="795"/>
      <c r="D319" s="1902"/>
      <c r="E319" s="1902"/>
      <c r="F319" s="1902"/>
    </row>
    <row r="320" spans="1:9" ht="14.25">
      <c r="A320" s="795"/>
      <c r="B320" s="795"/>
      <c r="D320" s="1902"/>
      <c r="E320" s="1902"/>
      <c r="F320" s="1902"/>
    </row>
    <row r="321" spans="1:9" ht="14.25">
      <c r="A321" s="795"/>
      <c r="B321" s="795"/>
      <c r="D321" s="1902"/>
      <c r="E321" s="1902"/>
      <c r="F321" s="1902"/>
    </row>
    <row r="322" spans="1:9" ht="14.25">
      <c r="A322" s="795"/>
      <c r="B322" s="795"/>
      <c r="D322" s="1902"/>
      <c r="E322" s="1902"/>
      <c r="F322" s="1902"/>
    </row>
    <row r="323" spans="1:9" ht="14.25">
      <c r="A323" s="795"/>
      <c r="B323" s="795"/>
      <c r="D323" s="1902"/>
      <c r="E323" s="1902"/>
      <c r="F323" s="1902"/>
    </row>
    <row r="324" spans="1:9" ht="14.25">
      <c r="A324" s="795"/>
      <c r="B324" s="795"/>
      <c r="D324" s="1902"/>
      <c r="E324" s="1902"/>
      <c r="F324" s="1902"/>
    </row>
    <row r="325" spans="1:9">
      <c r="D325" s="798"/>
      <c r="E325" s="798"/>
      <c r="F325" s="798"/>
    </row>
    <row r="326" spans="1:9" ht="14.25">
      <c r="A326" s="795"/>
      <c r="B326" s="796" t="s">
        <v>2641</v>
      </c>
      <c r="D326" s="1902" t="s">
        <v>1306</v>
      </c>
      <c r="E326" s="1902"/>
      <c r="F326" s="1902"/>
      <c r="I326" s="1677" t="s">
        <v>2367</v>
      </c>
    </row>
    <row r="327" spans="1:9">
      <c r="D327" s="1902"/>
      <c r="E327" s="1902"/>
      <c r="F327" s="1902"/>
    </row>
    <row r="328" spans="1:9">
      <c r="D328" s="1902"/>
      <c r="E328" s="1902"/>
      <c r="F328" s="1902"/>
    </row>
    <row r="329" spans="1:9">
      <c r="D329" s="1902"/>
      <c r="E329" s="1902"/>
      <c r="F329" s="1902"/>
    </row>
    <row r="330" spans="1:9">
      <c r="D330" s="1902"/>
      <c r="E330" s="1902"/>
      <c r="F330" s="1902"/>
    </row>
    <row r="331" spans="1:9">
      <c r="D331" s="1902"/>
      <c r="E331" s="1902"/>
      <c r="F331" s="1902"/>
    </row>
    <row r="332" spans="1:9">
      <c r="D332" s="1902"/>
      <c r="E332" s="1902"/>
      <c r="F332" s="1902"/>
    </row>
    <row r="333" spans="1:9">
      <c r="D333" s="1902"/>
      <c r="E333" s="1902"/>
      <c r="F333" s="1902"/>
    </row>
    <row r="334" spans="1:9">
      <c r="D334" s="1902"/>
      <c r="E334" s="1902"/>
      <c r="F334" s="1902"/>
    </row>
    <row r="335" spans="1:9">
      <c r="D335" s="798"/>
      <c r="E335" s="798"/>
      <c r="F335" s="798"/>
    </row>
    <row r="336" spans="1:9" ht="14.25">
      <c r="A336" s="795"/>
      <c r="B336" s="796" t="s">
        <v>2641</v>
      </c>
      <c r="D336" s="1866" t="s">
        <v>1502</v>
      </c>
      <c r="E336" s="1866"/>
      <c r="F336" s="1866"/>
      <c r="I336" s="1677" t="s">
        <v>2404</v>
      </c>
    </row>
    <row r="337" spans="1:9">
      <c r="D337" s="1866"/>
      <c r="E337" s="1866"/>
      <c r="F337" s="1866"/>
      <c r="G337" s="788"/>
    </row>
    <row r="338" spans="1:9">
      <c r="D338" s="1866"/>
      <c r="E338" s="1866"/>
      <c r="F338" s="1866"/>
      <c r="G338" s="788"/>
    </row>
    <row r="339" spans="1:9">
      <c r="D339" s="1866"/>
      <c r="E339" s="1866"/>
      <c r="F339" s="1866"/>
      <c r="G339" s="788"/>
    </row>
    <row r="340" spans="1:9">
      <c r="D340" s="1866"/>
      <c r="E340" s="1866"/>
      <c r="F340" s="1866"/>
      <c r="G340" s="788"/>
    </row>
    <row r="341" spans="1:9">
      <c r="D341" s="1866"/>
      <c r="E341" s="1866"/>
      <c r="F341" s="1866"/>
      <c r="G341" s="788"/>
    </row>
    <row r="342" spans="1:9" s="1675" customFormat="1">
      <c r="A342" s="786"/>
      <c r="B342" s="786"/>
      <c r="C342" s="786"/>
      <c r="D342" s="1726"/>
      <c r="E342" s="1726"/>
      <c r="F342" s="1726"/>
      <c r="I342" s="1677"/>
    </row>
    <row r="343" spans="1:9" ht="13.5" thickBot="1">
      <c r="A343" s="1727"/>
      <c r="B343" s="1727"/>
      <c r="C343" s="1727"/>
      <c r="D343" s="1933" t="s">
        <v>1059</v>
      </c>
      <c r="E343" s="1933"/>
      <c r="F343" s="1933"/>
      <c r="G343" s="1750"/>
      <c r="H343" s="1750"/>
      <c r="I343" s="1751"/>
    </row>
    <row r="344" spans="1:9" ht="13.5" thickTop="1">
      <c r="D344" s="1910" t="s">
        <v>1308</v>
      </c>
      <c r="E344" s="1910"/>
      <c r="F344" s="1910"/>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2368</v>
      </c>
    </row>
    <row r="347" spans="1:9" ht="14.25">
      <c r="A347" s="795"/>
      <c r="B347" s="796" t="s">
        <v>2641</v>
      </c>
      <c r="C347" s="827"/>
      <c r="D347" s="1871" t="s">
        <v>1317</v>
      </c>
      <c r="E347" s="1871"/>
      <c r="F347" s="1871"/>
      <c r="I347" s="1899" t="s">
        <v>2419</v>
      </c>
    </row>
    <row r="348" spans="1:9" ht="12.75" customHeight="1">
      <c r="D348" s="1875" t="s">
        <v>1451</v>
      </c>
      <c r="E348" s="1875"/>
      <c r="F348" s="1875"/>
      <c r="I348" s="1900"/>
    </row>
    <row r="349" spans="1:9">
      <c r="D349" s="1902" t="s">
        <v>1450</v>
      </c>
      <c r="E349" s="1902"/>
      <c r="F349" s="1902"/>
      <c r="I349" s="1900"/>
    </row>
    <row r="350" spans="1:9">
      <c r="D350" s="1902"/>
      <c r="E350" s="1902"/>
      <c r="F350" s="1902"/>
      <c r="I350" s="1900"/>
    </row>
    <row r="351" spans="1:9">
      <c r="D351" s="1902"/>
      <c r="E351" s="1902"/>
      <c r="F351" s="1902"/>
      <c r="I351" s="1901"/>
    </row>
    <row r="352" spans="1:9" ht="14.25">
      <c r="A352" s="795"/>
      <c r="B352" s="796" t="s">
        <v>2641</v>
      </c>
      <c r="C352" s="812"/>
      <c r="D352" s="1878" t="s">
        <v>1309</v>
      </c>
      <c r="E352" s="1878"/>
      <c r="F352" s="1878"/>
      <c r="G352" s="788"/>
      <c r="I352" s="617"/>
    </row>
    <row r="353" spans="1:9">
      <c r="A353" s="812"/>
      <c r="B353" s="812"/>
      <c r="C353" s="812"/>
      <c r="D353" s="784"/>
      <c r="E353" s="784"/>
      <c r="F353" s="798"/>
      <c r="G353" s="788"/>
    </row>
    <row r="354" spans="1:9">
      <c r="A354" s="812"/>
      <c r="B354" s="796" t="s">
        <v>2641</v>
      </c>
      <c r="C354" s="812"/>
      <c r="D354" s="1862" t="s">
        <v>1429</v>
      </c>
      <c r="E354" s="1862"/>
      <c r="F354" s="1862"/>
      <c r="G354" s="788"/>
    </row>
    <row r="355" spans="1:9">
      <c r="A355" s="812"/>
      <c r="B355" s="812"/>
      <c r="C355" s="812"/>
      <c r="D355" s="1862"/>
      <c r="E355" s="1862"/>
      <c r="F355" s="1862"/>
      <c r="G355" s="788"/>
    </row>
    <row r="356" spans="1:9">
      <c r="A356" s="812"/>
      <c r="B356" s="812"/>
      <c r="C356" s="812"/>
      <c r="D356" s="1862"/>
      <c r="E356" s="1862"/>
      <c r="F356" s="1862"/>
      <c r="G356" s="788"/>
    </row>
    <row r="357" spans="1:9">
      <c r="A357" s="812"/>
      <c r="B357" s="812"/>
      <c r="C357" s="812"/>
      <c r="D357" s="1862"/>
      <c r="E357" s="1862"/>
      <c r="F357" s="1862"/>
      <c r="G357" s="788"/>
    </row>
    <row r="358" spans="1:9">
      <c r="A358" s="812"/>
      <c r="B358" s="812"/>
      <c r="C358" s="812"/>
      <c r="D358" s="1862"/>
      <c r="E358" s="1862"/>
      <c r="F358" s="1862"/>
      <c r="G358" s="788"/>
    </row>
    <row r="359" spans="1:9">
      <c r="A359" s="812"/>
      <c r="B359" s="812"/>
      <c r="C359" s="812"/>
      <c r="D359" s="1862"/>
      <c r="E359" s="1862"/>
      <c r="F359" s="1862"/>
      <c r="G359" s="788"/>
    </row>
    <row r="360" spans="1:9">
      <c r="A360" s="812"/>
      <c r="B360" s="812"/>
      <c r="C360" s="812"/>
      <c r="D360" s="1862"/>
      <c r="E360" s="1862"/>
      <c r="F360" s="1862"/>
      <c r="G360" s="788"/>
    </row>
    <row r="361" spans="1:9">
      <c r="A361" s="812"/>
      <c r="B361" s="812"/>
      <c r="C361" s="812"/>
      <c r="D361" s="1862"/>
      <c r="E361" s="1862"/>
      <c r="F361" s="1862"/>
      <c r="G361" s="788"/>
    </row>
    <row r="362" spans="1:9">
      <c r="A362" s="812"/>
      <c r="B362" s="812"/>
      <c r="C362" s="812"/>
      <c r="D362" s="1862"/>
      <c r="E362" s="1862"/>
      <c r="F362" s="1862"/>
      <c r="G362" s="788"/>
    </row>
    <row r="363" spans="1:9">
      <c r="A363" s="812"/>
      <c r="B363" s="812"/>
      <c r="C363" s="812"/>
      <c r="D363" s="1862"/>
      <c r="E363" s="1862"/>
      <c r="F363" s="1862"/>
      <c r="G363" s="788"/>
    </row>
    <row r="364" spans="1:9">
      <c r="A364" s="812"/>
      <c r="B364" s="812"/>
      <c r="C364" s="812"/>
      <c r="D364" s="1862"/>
      <c r="E364" s="1862"/>
      <c r="F364" s="1862"/>
      <c r="G364" s="788"/>
    </row>
    <row r="365" spans="1:9">
      <c r="A365" s="812"/>
      <c r="B365" s="812"/>
      <c r="C365" s="812"/>
      <c r="D365" s="1862"/>
      <c r="E365" s="1862"/>
      <c r="F365" s="1862"/>
      <c r="G365" s="788"/>
    </row>
    <row r="366" spans="1:9" s="1675" customFormat="1">
      <c r="A366" s="1680"/>
      <c r="B366" s="1680"/>
      <c r="C366" s="1680"/>
      <c r="D366" s="1682"/>
      <c r="E366" s="1682"/>
      <c r="F366" s="1682"/>
      <c r="I366" s="1677"/>
    </row>
    <row r="367" spans="1:9" ht="12.4" customHeight="1">
      <c r="A367" s="812"/>
      <c r="B367" s="796" t="s">
        <v>2641</v>
      </c>
      <c r="C367" s="812"/>
      <c r="D367" s="1906" t="s">
        <v>1430</v>
      </c>
      <c r="E367" s="1906"/>
      <c r="F367" s="1906"/>
      <c r="G367" s="788"/>
    </row>
    <row r="368" spans="1:9">
      <c r="A368" s="812"/>
      <c r="B368" s="812"/>
      <c r="C368" s="812"/>
      <c r="D368" s="1906"/>
      <c r="E368" s="1906"/>
      <c r="F368" s="1906"/>
      <c r="G368" s="788"/>
    </row>
    <row r="369" spans="1:9">
      <c r="A369" s="812"/>
      <c r="B369" s="812"/>
      <c r="C369" s="812"/>
      <c r="D369" s="1906"/>
      <c r="E369" s="1906"/>
      <c r="F369" s="1906"/>
      <c r="G369" s="788"/>
    </row>
    <row r="370" spans="1:9">
      <c r="A370" s="812"/>
      <c r="B370" s="812"/>
      <c r="C370" s="812"/>
      <c r="D370" s="1906"/>
      <c r="E370" s="1906"/>
      <c r="F370" s="1906"/>
      <c r="G370" s="788"/>
    </row>
    <row r="371" spans="1:9" s="1675" customFormat="1">
      <c r="A371" s="1680"/>
      <c r="B371" s="1680"/>
      <c r="C371" s="1680"/>
      <c r="D371" s="1681"/>
      <c r="E371" s="1681"/>
      <c r="F371" s="1681"/>
      <c r="I371" s="1677"/>
    </row>
    <row r="372" spans="1:9" s="1675" customFormat="1">
      <c r="A372" s="1680"/>
      <c r="B372" s="1678" t="s">
        <v>2641</v>
      </c>
      <c r="C372" s="1680"/>
      <c r="D372" s="1675" t="s">
        <v>2289</v>
      </c>
      <c r="E372" s="1681"/>
      <c r="F372" s="1681"/>
      <c r="I372" s="1677"/>
    </row>
    <row r="373" spans="1:9" s="1675" customFormat="1">
      <c r="A373" s="1680"/>
      <c r="B373" s="1680"/>
      <c r="C373" s="1680"/>
      <c r="D373" s="1675" t="s">
        <v>2290</v>
      </c>
      <c r="E373" s="1681"/>
      <c r="F373" s="1681"/>
      <c r="I373" s="1677"/>
    </row>
    <row r="374" spans="1:9" s="1675" customFormat="1">
      <c r="A374" s="1680"/>
      <c r="B374" s="1680"/>
      <c r="C374" s="1680"/>
      <c r="D374" s="1675" t="s">
        <v>2291</v>
      </c>
      <c r="E374" s="1681"/>
      <c r="F374" s="1681"/>
      <c r="I374" s="1677"/>
    </row>
    <row r="375" spans="1:9" s="1675" customFormat="1">
      <c r="A375" s="1680"/>
      <c r="B375" s="1680"/>
      <c r="C375" s="1680"/>
      <c r="D375" s="1675" t="s">
        <v>2292</v>
      </c>
      <c r="E375" s="1681"/>
      <c r="F375" s="1681"/>
      <c r="I375" s="1677"/>
    </row>
    <row r="376" spans="1:9" s="1675" customFormat="1">
      <c r="A376" s="1680"/>
      <c r="B376" s="1680"/>
      <c r="C376" s="1680"/>
      <c r="D376" s="1675" t="s">
        <v>2293</v>
      </c>
      <c r="E376" s="1681"/>
      <c r="F376" s="1681"/>
      <c r="I376" s="1677"/>
    </row>
    <row r="377" spans="1:9" s="1675" customFormat="1">
      <c r="A377" s="1680"/>
      <c r="B377" s="1680"/>
      <c r="C377" s="1680"/>
      <c r="D377" s="1675" t="s">
        <v>2294</v>
      </c>
      <c r="E377" s="1681"/>
      <c r="F377" s="1681"/>
      <c r="I377" s="1677"/>
    </row>
    <row r="378" spans="1:9">
      <c r="A378" s="812"/>
      <c r="B378" s="812"/>
      <c r="C378" s="812"/>
      <c r="D378" s="788"/>
      <c r="E378" s="784"/>
      <c r="F378" s="798"/>
      <c r="G378" s="788"/>
    </row>
    <row r="379" spans="1:9" ht="14.25">
      <c r="A379" s="795"/>
      <c r="B379" s="796" t="s">
        <v>2641</v>
      </c>
      <c r="C379" s="812"/>
      <c r="D379" s="1881" t="s">
        <v>1311</v>
      </c>
      <c r="E379" s="1881"/>
      <c r="F379" s="1881"/>
      <c r="G379" s="788"/>
    </row>
    <row r="380" spans="1:9">
      <c r="A380" s="812"/>
      <c r="B380" s="812"/>
      <c r="C380" s="812"/>
      <c r="D380" s="1881"/>
      <c r="E380" s="1881"/>
      <c r="F380" s="1881"/>
      <c r="G380" s="788"/>
    </row>
    <row r="381" spans="1:9">
      <c r="A381" s="812"/>
      <c r="B381" s="812"/>
      <c r="C381" s="812"/>
      <c r="D381" s="1881"/>
      <c r="E381" s="1881"/>
      <c r="F381" s="1881"/>
      <c r="G381" s="788"/>
    </row>
    <row r="382" spans="1:9">
      <c r="A382" s="812"/>
      <c r="B382" s="812"/>
      <c r="C382" s="812"/>
      <c r="D382" s="1881"/>
      <c r="E382" s="1881"/>
      <c r="F382" s="1881"/>
      <c r="G382" s="788"/>
    </row>
    <row r="383" spans="1:9">
      <c r="A383" s="812"/>
      <c r="B383" s="812"/>
      <c r="C383" s="812"/>
      <c r="D383" s="824"/>
      <c r="E383" s="784"/>
      <c r="F383" s="798"/>
      <c r="G383" s="788"/>
    </row>
    <row r="384" spans="1:9">
      <c r="A384" s="812"/>
      <c r="B384" s="812"/>
      <c r="C384" s="812"/>
      <c r="D384" s="1881" t="s">
        <v>1312</v>
      </c>
      <c r="E384" s="1881"/>
      <c r="F384" s="1881"/>
      <c r="G384" s="788"/>
    </row>
    <row r="385" spans="1:7">
      <c r="A385" s="812"/>
      <c r="B385" s="812"/>
      <c r="C385" s="812"/>
      <c r="D385" s="1881"/>
      <c r="E385" s="1881"/>
      <c r="F385" s="1881"/>
      <c r="G385" s="788"/>
    </row>
    <row r="386" spans="1:7">
      <c r="A386" s="812"/>
      <c r="B386" s="812"/>
      <c r="C386" s="812"/>
      <c r="D386" s="1881"/>
      <c r="E386" s="1881"/>
      <c r="F386" s="1881"/>
      <c r="G386" s="788"/>
    </row>
    <row r="387" spans="1:7">
      <c r="A387" s="812"/>
      <c r="B387" s="812"/>
      <c r="C387" s="812"/>
      <c r="D387" s="1881"/>
      <c r="E387" s="1881"/>
      <c r="F387" s="1881"/>
      <c r="G387" s="788"/>
    </row>
    <row r="388" spans="1:7" ht="18" customHeight="1">
      <c r="A388" s="812"/>
      <c r="B388" s="812"/>
      <c r="C388" s="812"/>
      <c r="D388" s="1881"/>
      <c r="E388" s="1881"/>
      <c r="F388" s="1881"/>
      <c r="G388" s="788"/>
    </row>
    <row r="389" spans="1:7">
      <c r="A389" s="812"/>
      <c r="B389" s="812"/>
      <c r="C389" s="812"/>
      <c r="D389" s="1881"/>
      <c r="E389" s="1881"/>
      <c r="F389" s="1881"/>
      <c r="G389" s="788"/>
    </row>
    <row r="390" spans="1:7">
      <c r="A390" s="812"/>
      <c r="B390" s="812"/>
      <c r="C390" s="812"/>
      <c r="D390" s="1881"/>
      <c r="E390" s="1881"/>
      <c r="F390" s="1881"/>
      <c r="G390" s="788"/>
    </row>
    <row r="391" spans="1:7">
      <c r="A391" s="812"/>
      <c r="B391" s="812"/>
      <c r="C391" s="812"/>
      <c r="D391" s="1881"/>
      <c r="E391" s="1881"/>
      <c r="F391" s="1881"/>
      <c r="G391" s="788"/>
    </row>
    <row r="392" spans="1:7" ht="8.25" customHeight="1">
      <c r="A392" s="812"/>
      <c r="B392" s="812"/>
      <c r="C392" s="812"/>
      <c r="D392" s="1881"/>
      <c r="E392" s="1881"/>
      <c r="F392" s="1881"/>
      <c r="G392" s="788"/>
    </row>
    <row r="393" spans="1:7" ht="13.7" customHeight="1">
      <c r="A393" s="812"/>
      <c r="B393" s="812"/>
      <c r="C393" s="812"/>
      <c r="D393" s="1874" t="s">
        <v>1313</v>
      </c>
      <c r="E393" s="1874"/>
      <c r="F393" s="1874"/>
      <c r="G393" s="788"/>
    </row>
    <row r="394" spans="1:7">
      <c r="A394" s="812"/>
      <c r="B394" s="812"/>
      <c r="C394" s="812"/>
      <c r="D394" s="1874"/>
      <c r="E394" s="1874"/>
      <c r="F394" s="1874"/>
      <c r="G394" s="788"/>
    </row>
    <row r="395" spans="1:7">
      <c r="A395" s="812"/>
      <c r="B395" s="812"/>
      <c r="C395" s="812"/>
      <c r="D395" s="1874"/>
      <c r="E395" s="1874"/>
      <c r="F395" s="1874"/>
      <c r="G395" s="788"/>
    </row>
    <row r="396" spans="1:7">
      <c r="A396" s="812"/>
      <c r="B396" s="812"/>
      <c r="C396" s="812"/>
      <c r="D396" s="1874"/>
      <c r="E396" s="1874"/>
      <c r="F396" s="1874"/>
      <c r="G396" s="788"/>
    </row>
    <row r="397" spans="1:7">
      <c r="A397" s="812"/>
      <c r="B397" s="812"/>
      <c r="C397" s="812"/>
      <c r="D397" s="1874"/>
      <c r="E397" s="1874"/>
      <c r="F397" s="1874"/>
      <c r="G397" s="788"/>
    </row>
    <row r="398" spans="1:7">
      <c r="A398" s="812"/>
      <c r="B398" s="812"/>
      <c r="C398" s="812"/>
      <c r="D398" s="1874"/>
      <c r="E398" s="1874"/>
      <c r="F398" s="1874"/>
      <c r="G398" s="788"/>
    </row>
    <row r="399" spans="1:7">
      <c r="A399" s="812"/>
      <c r="B399" s="812"/>
      <c r="C399" s="812"/>
      <c r="D399" s="1874"/>
      <c r="E399" s="1874"/>
      <c r="F399" s="1874"/>
      <c r="G399" s="788"/>
    </row>
    <row r="400" spans="1:7">
      <c r="A400" s="812"/>
      <c r="B400" s="812"/>
      <c r="C400" s="812"/>
      <c r="D400" s="1874"/>
      <c r="E400" s="1874"/>
      <c r="F400" s="1874"/>
      <c r="G400" s="788"/>
    </row>
    <row r="401" spans="1:7">
      <c r="A401" s="812"/>
      <c r="B401" s="812"/>
      <c r="C401" s="812"/>
      <c r="D401" s="1874"/>
      <c r="E401" s="1874"/>
      <c r="F401" s="1874"/>
      <c r="G401" s="788"/>
    </row>
    <row r="402" spans="1:7">
      <c r="A402" s="812"/>
      <c r="B402" s="812"/>
      <c r="C402" s="812"/>
      <c r="D402" s="1874"/>
      <c r="E402" s="1874"/>
      <c r="F402" s="1874"/>
      <c r="G402" s="788"/>
    </row>
    <row r="403" spans="1:7">
      <c r="A403" s="812"/>
      <c r="B403" s="812"/>
      <c r="C403" s="812"/>
      <c r="D403" s="1874"/>
      <c r="E403" s="1874"/>
      <c r="F403" s="1874"/>
      <c r="G403" s="788"/>
    </row>
    <row r="404" spans="1:7">
      <c r="A404" s="812"/>
      <c r="B404" s="812"/>
      <c r="C404" s="812"/>
      <c r="D404" s="1874"/>
      <c r="E404" s="1874"/>
      <c r="F404" s="1874"/>
      <c r="G404" s="788"/>
    </row>
    <row r="405" spans="1:7">
      <c r="A405" s="812"/>
      <c r="B405" s="812"/>
      <c r="C405" s="825"/>
      <c r="D405" s="1874"/>
      <c r="E405" s="1874"/>
      <c r="F405" s="1874"/>
      <c r="G405" s="788"/>
    </row>
    <row r="406" spans="1:7">
      <c r="A406" s="812"/>
      <c r="B406" s="812"/>
      <c r="C406" s="825"/>
      <c r="D406" s="1874"/>
      <c r="E406" s="1874"/>
      <c r="F406" s="1874"/>
      <c r="G406" s="788"/>
    </row>
    <row r="407" spans="1:7">
      <c r="A407" s="812"/>
      <c r="B407" s="812"/>
      <c r="C407" s="812"/>
      <c r="D407" s="1874"/>
      <c r="E407" s="1874"/>
      <c r="F407" s="1874"/>
      <c r="G407" s="788"/>
    </row>
    <row r="408" spans="1:7">
      <c r="A408" s="812"/>
      <c r="B408" s="812"/>
      <c r="C408" s="825"/>
      <c r="D408" s="1874"/>
      <c r="E408" s="1874"/>
      <c r="F408" s="1874"/>
      <c r="G408" s="788"/>
    </row>
    <row r="409" spans="1:7">
      <c r="A409" s="812"/>
      <c r="B409" s="812"/>
      <c r="C409" s="825"/>
      <c r="D409" s="1874"/>
      <c r="E409" s="1874"/>
      <c r="F409" s="1874"/>
      <c r="G409" s="788"/>
    </row>
    <row r="410" spans="1:7">
      <c r="A410" s="812"/>
      <c r="B410" s="812"/>
      <c r="C410" s="825"/>
      <c r="D410" s="1874"/>
      <c r="E410" s="1874"/>
      <c r="F410" s="1874"/>
      <c r="G410" s="788"/>
    </row>
    <row r="411" spans="1:7">
      <c r="A411" s="812"/>
      <c r="B411" s="812"/>
      <c r="C411" s="812"/>
      <c r="D411" s="824"/>
      <c r="E411" s="784"/>
      <c r="F411" s="798"/>
      <c r="G411" s="788"/>
    </row>
    <row r="412" spans="1:7">
      <c r="A412" s="812"/>
      <c r="B412" s="796" t="s">
        <v>2641</v>
      </c>
      <c r="C412" s="812"/>
      <c r="D412" s="1874" t="s">
        <v>1314</v>
      </c>
      <c r="E412" s="1874"/>
      <c r="F412" s="1874"/>
      <c r="G412" s="788"/>
    </row>
    <row r="413" spans="1:7">
      <c r="A413" s="812"/>
      <c r="B413" s="812"/>
      <c r="C413" s="812"/>
      <c r="D413" s="1874"/>
      <c r="E413" s="1874"/>
      <c r="F413" s="1874"/>
      <c r="G413" s="788"/>
    </row>
    <row r="414" spans="1:7">
      <c r="A414" s="812"/>
      <c r="B414" s="812"/>
      <c r="C414" s="812"/>
      <c r="D414" s="901"/>
      <c r="E414" s="901"/>
      <c r="F414" s="901"/>
      <c r="G414" s="788"/>
    </row>
    <row r="415" spans="1:7" ht="14.45" customHeight="1">
      <c r="A415" s="795"/>
      <c r="B415" s="796" t="s">
        <v>2641</v>
      </c>
      <c r="D415" s="1874" t="s">
        <v>2405</v>
      </c>
      <c r="E415" s="1874"/>
      <c r="F415" s="1874"/>
    </row>
    <row r="416" spans="1:7" ht="14.45" customHeight="1">
      <c r="A416" s="795"/>
      <c r="D416" s="1874"/>
      <c r="E416" s="1874"/>
      <c r="F416" s="1874"/>
    </row>
    <row r="417" spans="1:7" ht="14.45" customHeight="1">
      <c r="A417" s="795"/>
      <c r="D417" s="1874"/>
      <c r="E417" s="1874"/>
      <c r="F417" s="1874"/>
    </row>
    <row r="418" spans="1:7" ht="14.45" customHeight="1">
      <c r="A418" s="795"/>
      <c r="D418" s="1874"/>
      <c r="E418" s="1874"/>
      <c r="F418" s="1874"/>
    </row>
    <row r="419" spans="1:7" ht="14.45" customHeight="1">
      <c r="A419" s="795"/>
      <c r="D419" s="1874"/>
      <c r="E419" s="1874"/>
      <c r="F419" s="1874"/>
    </row>
    <row r="420" spans="1:7" ht="14.45" customHeight="1">
      <c r="A420" s="795"/>
      <c r="D420" s="876"/>
      <c r="E420" s="876"/>
      <c r="F420" s="876"/>
    </row>
    <row r="421" spans="1:7" ht="13.7" customHeight="1">
      <c r="A421" s="795"/>
      <c r="B421" s="796" t="s">
        <v>2641</v>
      </c>
      <c r="C421" s="812"/>
      <c r="D421" s="1862" t="s">
        <v>1454</v>
      </c>
      <c r="E421" s="1862"/>
      <c r="F421" s="1862"/>
      <c r="G421" s="788"/>
    </row>
    <row r="422" spans="1:7" ht="14.25">
      <c r="A422" s="826"/>
      <c r="B422" s="826"/>
      <c r="C422" s="812"/>
      <c r="D422" s="1862"/>
      <c r="E422" s="1862"/>
      <c r="F422" s="1862"/>
      <c r="G422" s="788"/>
    </row>
    <row r="423" spans="1:7" ht="14.25">
      <c r="A423" s="826"/>
      <c r="B423" s="826"/>
      <c r="C423" s="812"/>
      <c r="D423" s="1862"/>
      <c r="E423" s="1862"/>
      <c r="F423" s="1862"/>
      <c r="G423" s="788"/>
    </row>
    <row r="424" spans="1:7" ht="14.25">
      <c r="A424" s="826"/>
      <c r="B424" s="826"/>
      <c r="C424" s="812"/>
      <c r="D424" s="1862"/>
      <c r="E424" s="1862"/>
      <c r="F424" s="1862"/>
      <c r="G424" s="788"/>
    </row>
    <row r="425" spans="1:7" ht="15.75" customHeight="1">
      <c r="A425" s="826"/>
      <c r="B425" s="826"/>
      <c r="C425" s="812"/>
      <c r="D425" s="1912" t="s">
        <v>1503</v>
      </c>
      <c r="E425" s="1862"/>
      <c r="F425" s="1862"/>
      <c r="G425" s="788"/>
    </row>
    <row r="426" spans="1:7">
      <c r="D426" s="798"/>
      <c r="E426" s="798"/>
      <c r="F426" s="798"/>
      <c r="G426" s="788"/>
    </row>
    <row r="427" spans="1:7" ht="14.25">
      <c r="A427" s="795"/>
      <c r="B427" s="796" t="s">
        <v>2641</v>
      </c>
      <c r="C427" s="827"/>
      <c r="D427" s="1866" t="s">
        <v>1316</v>
      </c>
      <c r="E427" s="1866"/>
      <c r="F427" s="1866"/>
      <c r="G427" s="788"/>
    </row>
    <row r="428" spans="1:7" ht="14.25">
      <c r="A428" s="795"/>
      <c r="B428" s="795"/>
      <c r="D428" s="1866"/>
      <c r="E428" s="1866"/>
      <c r="F428" s="1866"/>
      <c r="G428" s="788"/>
    </row>
    <row r="429" spans="1:7">
      <c r="D429" s="1866"/>
      <c r="E429" s="1866"/>
      <c r="F429" s="1866"/>
      <c r="G429" s="788"/>
    </row>
    <row r="430" spans="1:7">
      <c r="D430" s="1866"/>
      <c r="E430" s="1866"/>
      <c r="F430" s="1866"/>
      <c r="G430" s="788"/>
    </row>
    <row r="431" spans="1:7">
      <c r="D431" s="1866"/>
      <c r="E431" s="1866"/>
      <c r="F431" s="1866"/>
      <c r="G431" s="788"/>
    </row>
    <row r="432" spans="1:7">
      <c r="D432" s="1866"/>
      <c r="E432" s="1866"/>
      <c r="F432" s="1866"/>
      <c r="G432" s="788"/>
    </row>
    <row r="433" spans="1:7">
      <c r="D433" s="1866"/>
      <c r="E433" s="1866"/>
      <c r="F433" s="1866"/>
      <c r="G433" s="788"/>
    </row>
    <row r="434" spans="1:7">
      <c r="D434" s="1866"/>
      <c r="E434" s="1866"/>
      <c r="F434" s="1866"/>
      <c r="G434" s="788"/>
    </row>
    <row r="435" spans="1:7">
      <c r="D435" s="1866"/>
      <c r="E435" s="1866"/>
      <c r="F435" s="1866"/>
      <c r="G435" s="788"/>
    </row>
    <row r="436" spans="1:7">
      <c r="D436" s="1866"/>
      <c r="E436" s="1866"/>
      <c r="F436" s="1866"/>
      <c r="G436" s="788"/>
    </row>
    <row r="437" spans="1:7">
      <c r="D437" s="1866"/>
      <c r="E437" s="1866"/>
      <c r="F437" s="1866"/>
      <c r="G437" s="788"/>
    </row>
    <row r="438" spans="1:7">
      <c r="D438" s="1866"/>
      <c r="E438" s="1866"/>
      <c r="F438" s="1866"/>
      <c r="G438" s="788"/>
    </row>
    <row r="439" spans="1:7">
      <c r="D439" s="1866"/>
      <c r="E439" s="1866"/>
      <c r="F439" s="1866"/>
      <c r="G439" s="788"/>
    </row>
    <row r="440" spans="1:7">
      <c r="A440" s="788"/>
      <c r="B440" s="788"/>
      <c r="C440" s="788"/>
      <c r="D440" s="1866"/>
      <c r="E440" s="1866"/>
      <c r="F440" s="1866"/>
      <c r="G440" s="788"/>
    </row>
    <row r="441" spans="1:7">
      <c r="A441" s="788"/>
      <c r="B441" s="788"/>
      <c r="C441" s="788"/>
      <c r="D441" s="1866"/>
      <c r="E441" s="1866"/>
      <c r="F441" s="1866"/>
      <c r="G441" s="788"/>
    </row>
    <row r="442" spans="1:7">
      <c r="A442" s="788"/>
      <c r="B442" s="788"/>
      <c r="C442" s="788"/>
      <c r="D442" s="1866"/>
      <c r="E442" s="1866"/>
      <c r="F442" s="1866"/>
      <c r="G442" s="788"/>
    </row>
    <row r="443" spans="1:7">
      <c r="A443" s="788"/>
      <c r="B443" s="788"/>
      <c r="C443" s="788"/>
      <c r="D443" s="1866"/>
      <c r="E443" s="1866"/>
      <c r="F443" s="1866"/>
      <c r="G443" s="788"/>
    </row>
    <row r="444" spans="1:7">
      <c r="A444" s="788"/>
      <c r="B444" s="788"/>
      <c r="C444" s="788"/>
      <c r="D444" s="1866"/>
      <c r="E444" s="1866"/>
      <c r="F444" s="1866"/>
      <c r="G444" s="788"/>
    </row>
    <row r="445" spans="1:7">
      <c r="A445" s="788"/>
      <c r="B445" s="788"/>
      <c r="C445" s="788"/>
      <c r="D445" s="1866"/>
      <c r="E445" s="1866"/>
      <c r="F445" s="1866"/>
      <c r="G445" s="788"/>
    </row>
    <row r="446" spans="1:7">
      <c r="A446" s="788"/>
      <c r="B446" s="788"/>
      <c r="C446" s="788"/>
      <c r="D446" s="1866"/>
      <c r="E446" s="1866"/>
      <c r="F446" s="1866"/>
      <c r="G446" s="788"/>
    </row>
    <row r="447" spans="1:7">
      <c r="A447" s="788"/>
      <c r="B447" s="788"/>
      <c r="C447" s="788"/>
      <c r="D447" s="1866"/>
      <c r="E447" s="1866"/>
      <c r="F447" s="1866"/>
      <c r="G447" s="788"/>
    </row>
    <row r="448" spans="1:7">
      <c r="A448" s="788"/>
      <c r="B448" s="788"/>
      <c r="C448" s="788"/>
      <c r="D448" s="1866"/>
      <c r="E448" s="1866"/>
      <c r="F448" s="1866"/>
      <c r="G448" s="788"/>
    </row>
    <row r="449" spans="1:9">
      <c r="A449" s="788"/>
      <c r="B449" s="788"/>
      <c r="C449" s="788"/>
      <c r="D449" s="1866"/>
      <c r="E449" s="1866"/>
      <c r="F449" s="1866"/>
      <c r="G449" s="788"/>
    </row>
    <row r="450" spans="1:9">
      <c r="A450" s="788"/>
      <c r="B450" s="788"/>
      <c r="C450" s="788"/>
      <c r="D450" s="1866"/>
      <c r="E450" s="1866"/>
      <c r="F450" s="1866"/>
      <c r="G450" s="788"/>
    </row>
    <row r="451" spans="1:9">
      <c r="A451" s="788"/>
      <c r="B451" s="788"/>
      <c r="C451" s="788"/>
      <c r="D451" s="1866"/>
      <c r="E451" s="1866"/>
      <c r="F451" s="1866"/>
      <c r="G451" s="788"/>
    </row>
    <row r="452" spans="1:9">
      <c r="A452" s="788"/>
      <c r="B452" s="788"/>
      <c r="C452" s="788"/>
      <c r="D452" s="1866"/>
      <c r="E452" s="1866"/>
      <c r="F452" s="1866"/>
      <c r="G452" s="788"/>
    </row>
    <row r="453" spans="1:9">
      <c r="A453" s="788"/>
      <c r="B453" s="788"/>
      <c r="C453" s="788"/>
      <c r="D453" s="1866"/>
      <c r="E453" s="1866"/>
      <c r="F453" s="1866"/>
      <c r="G453" s="788"/>
    </row>
    <row r="454" spans="1:9">
      <c r="A454" s="788"/>
      <c r="B454" s="788"/>
      <c r="C454" s="788"/>
      <c r="D454" s="1866"/>
      <c r="E454" s="1866"/>
      <c r="F454" s="1866"/>
      <c r="G454" s="788"/>
    </row>
    <row r="455" spans="1:9">
      <c r="A455" s="788"/>
      <c r="B455" s="788"/>
      <c r="C455" s="788"/>
      <c r="D455" s="1866"/>
      <c r="E455" s="1866"/>
      <c r="F455" s="1866"/>
      <c r="G455" s="788"/>
    </row>
    <row r="456" spans="1:9" s="829" customFormat="1">
      <c r="A456" s="786"/>
      <c r="B456" s="786"/>
      <c r="C456" s="786"/>
      <c r="D456" s="1866"/>
      <c r="E456" s="1866"/>
      <c r="F456" s="1866"/>
      <c r="G456" s="828"/>
      <c r="I456" s="1739"/>
    </row>
    <row r="457" spans="1:9" s="829" customFormat="1" ht="40.700000000000003" customHeight="1">
      <c r="A457" s="786"/>
      <c r="B457" s="786"/>
      <c r="C457" s="786"/>
      <c r="D457" s="1866"/>
      <c r="E457" s="1866"/>
      <c r="F457" s="1866"/>
      <c r="G457" s="828"/>
      <c r="I457" s="1739"/>
    </row>
    <row r="458" spans="1:9">
      <c r="D458" s="798"/>
      <c r="E458" s="798"/>
      <c r="F458" s="798"/>
      <c r="G458" s="788"/>
    </row>
    <row r="459" spans="1:9" ht="14.25">
      <c r="A459" s="795"/>
      <c r="B459" s="796" t="s">
        <v>2641</v>
      </c>
      <c r="C459" s="827"/>
      <c r="D459" s="1866" t="s">
        <v>1319</v>
      </c>
      <c r="E459" s="1866"/>
      <c r="F459" s="1866"/>
      <c r="G459" s="788"/>
    </row>
    <row r="460" spans="1:9">
      <c r="D460" s="1866"/>
      <c r="E460" s="1866"/>
      <c r="F460" s="1866"/>
      <c r="G460" s="788"/>
    </row>
    <row r="461" spans="1:9">
      <c r="D461" s="1866"/>
      <c r="E461" s="1866"/>
      <c r="F461" s="1866"/>
      <c r="G461" s="788"/>
    </row>
    <row r="462" spans="1:9">
      <c r="D462" s="782"/>
      <c r="E462" s="782"/>
      <c r="F462" s="782"/>
      <c r="G462" s="788"/>
    </row>
    <row r="463" spans="1:9" ht="14.25">
      <c r="B463" s="796" t="s">
        <v>2641</v>
      </c>
      <c r="C463" s="795"/>
      <c r="D463" s="1902" t="s">
        <v>1398</v>
      </c>
      <c r="E463" s="1902"/>
      <c r="F463" s="1902"/>
      <c r="G463" s="788"/>
    </row>
    <row r="464" spans="1:9">
      <c r="D464" s="1902"/>
      <c r="E464" s="1902"/>
      <c r="F464" s="1902"/>
      <c r="G464" s="788"/>
    </row>
    <row r="465" spans="1:7">
      <c r="D465" s="798"/>
      <c r="E465" s="798"/>
      <c r="F465" s="798"/>
      <c r="G465" s="788"/>
    </row>
    <row r="466" spans="1:7" ht="14.25">
      <c r="B466" s="796" t="s">
        <v>2641</v>
      </c>
      <c r="C466" s="795"/>
      <c r="D466" s="1902" t="s">
        <v>1321</v>
      </c>
      <c r="E466" s="1902"/>
      <c r="F466" s="1902"/>
      <c r="G466" s="788"/>
    </row>
    <row r="467" spans="1:7">
      <c r="D467" s="1902"/>
      <c r="E467" s="1902"/>
      <c r="F467" s="1902"/>
      <c r="G467" s="788"/>
    </row>
    <row r="468" spans="1:7">
      <c r="D468" s="1902"/>
      <c r="E468" s="1902"/>
      <c r="F468" s="1902"/>
      <c r="G468" s="788"/>
    </row>
    <row r="469" spans="1:7">
      <c r="D469" s="1902"/>
      <c r="E469" s="1902"/>
      <c r="F469" s="1902"/>
      <c r="G469" s="788"/>
    </row>
    <row r="470" spans="1:7">
      <c r="B470" s="796" t="s">
        <v>2641</v>
      </c>
      <c r="D470" s="1902"/>
      <c r="E470" s="1902"/>
      <c r="F470" s="1902"/>
      <c r="G470" s="788"/>
    </row>
    <row r="471" spans="1:7">
      <c r="A471" s="788"/>
      <c r="B471" s="788"/>
      <c r="C471" s="788"/>
      <c r="D471" s="1902"/>
      <c r="E471" s="1902"/>
      <c r="F471" s="1902"/>
      <c r="G471" s="788"/>
    </row>
    <row r="472" spans="1:7">
      <c r="A472" s="788"/>
      <c r="C472" s="788"/>
      <c r="D472" s="1902"/>
      <c r="E472" s="1902"/>
      <c r="F472" s="1902"/>
      <c r="G472" s="788"/>
    </row>
    <row r="473" spans="1:7">
      <c r="A473" s="788"/>
      <c r="B473" s="796" t="s">
        <v>2641</v>
      </c>
      <c r="C473" s="788"/>
      <c r="D473" s="1902"/>
      <c r="E473" s="1902"/>
      <c r="F473" s="1902"/>
      <c r="G473" s="788"/>
    </row>
    <row r="474" spans="1:7">
      <c r="A474" s="788"/>
      <c r="B474" s="788"/>
      <c r="C474" s="788"/>
      <c r="D474" s="1902"/>
      <c r="E474" s="1902"/>
      <c r="F474" s="1902"/>
      <c r="G474" s="788"/>
    </row>
    <row r="475" spans="1:7">
      <c r="A475" s="788"/>
      <c r="C475" s="788"/>
      <c r="D475" s="1902"/>
      <c r="E475" s="1902"/>
      <c r="F475" s="1902"/>
      <c r="G475" s="788"/>
    </row>
    <row r="476" spans="1:7">
      <c r="A476" s="788"/>
      <c r="C476" s="788"/>
      <c r="D476" s="1902"/>
      <c r="E476" s="1902"/>
      <c r="F476" s="1902"/>
      <c r="G476" s="788"/>
    </row>
    <row r="477" spans="1:7">
      <c r="A477" s="788"/>
      <c r="C477" s="788"/>
      <c r="D477" s="1902"/>
      <c r="E477" s="1902"/>
      <c r="F477" s="1902"/>
      <c r="G477" s="788"/>
    </row>
    <row r="478" spans="1:7">
      <c r="A478" s="788"/>
      <c r="B478" s="796" t="s">
        <v>2641</v>
      </c>
      <c r="C478" s="788"/>
      <c r="D478" s="1902"/>
      <c r="E478" s="1902"/>
      <c r="F478" s="1902"/>
      <c r="G478" s="788"/>
    </row>
    <row r="479" spans="1:7">
      <c r="A479" s="788"/>
      <c r="C479" s="788"/>
      <c r="D479" s="1902"/>
      <c r="E479" s="1902"/>
      <c r="F479" s="1902"/>
      <c r="G479" s="788"/>
    </row>
    <row r="480" spans="1:7">
      <c r="A480" s="788"/>
      <c r="B480" s="796" t="s">
        <v>2641</v>
      </c>
      <c r="C480" s="788"/>
      <c r="D480" s="1902" t="s">
        <v>1322</v>
      </c>
      <c r="E480" s="1902"/>
      <c r="F480" s="1902"/>
      <c r="G480" s="788"/>
    </row>
    <row r="481" spans="1:9">
      <c r="A481" s="788"/>
      <c r="B481" s="788"/>
      <c r="C481" s="788"/>
      <c r="D481" s="1902"/>
      <c r="E481" s="1902"/>
      <c r="F481" s="1902"/>
      <c r="G481" s="788"/>
    </row>
    <row r="482" spans="1:9">
      <c r="A482" s="788"/>
      <c r="B482" s="788"/>
      <c r="C482" s="788"/>
      <c r="D482" s="1902"/>
      <c r="E482" s="1902"/>
      <c r="F482" s="1902"/>
      <c r="G482" s="788"/>
    </row>
    <row r="483" spans="1:9">
      <c r="A483" s="788"/>
      <c r="B483" s="788"/>
      <c r="C483" s="788"/>
      <c r="D483" s="1902"/>
      <c r="E483" s="1902"/>
      <c r="F483" s="1902"/>
      <c r="G483" s="788"/>
    </row>
    <row r="484" spans="1:9">
      <c r="D484" s="1902"/>
      <c r="E484" s="1902"/>
      <c r="F484" s="1902"/>
    </row>
    <row r="485" spans="1:9">
      <c r="D485" s="798"/>
      <c r="E485" s="798"/>
      <c r="F485" s="798"/>
    </row>
    <row r="486" spans="1:9">
      <c r="B486" s="796" t="s">
        <v>2641</v>
      </c>
      <c r="D486" s="1905" t="s">
        <v>1323</v>
      </c>
      <c r="E486" s="1905"/>
      <c r="F486" s="1905"/>
    </row>
    <row r="487" spans="1:9">
      <c r="A487" s="798"/>
      <c r="B487" s="798"/>
    </row>
    <row r="488" spans="1:9">
      <c r="A488" s="1831" t="s">
        <v>1164</v>
      </c>
      <c r="B488" s="1831"/>
      <c r="C488" s="1831"/>
      <c r="D488" s="1831"/>
      <c r="E488" s="1831"/>
      <c r="F488" s="1831"/>
      <c r="G488" s="1831"/>
      <c r="H488" s="1752"/>
      <c r="I488" s="1753"/>
    </row>
    <row r="489" spans="1:9">
      <c r="A489" s="798"/>
      <c r="B489" s="798"/>
    </row>
    <row r="490" spans="1:9">
      <c r="D490" s="1882" t="s">
        <v>947</v>
      </c>
      <c r="E490" s="1882"/>
      <c r="F490" s="1882"/>
    </row>
    <row r="491" spans="1:9" s="789" customFormat="1" ht="14.25">
      <c r="A491" s="803"/>
      <c r="B491" s="803"/>
      <c r="C491" s="799"/>
      <c r="D491" s="1883" t="s">
        <v>1324</v>
      </c>
      <c r="E491" s="1883"/>
      <c r="F491" s="1883"/>
      <c r="G491" s="800"/>
      <c r="I491" s="1736"/>
    </row>
    <row r="492" spans="1:9" s="789" customFormat="1" ht="14.25">
      <c r="A492" s="803"/>
      <c r="B492" s="803"/>
      <c r="C492" s="799"/>
      <c r="D492" s="785"/>
      <c r="E492" s="670"/>
      <c r="F492" s="670"/>
      <c r="G492" s="800"/>
      <c r="I492" s="1736"/>
    </row>
    <row r="493" spans="1:9" s="789" customFormat="1" ht="14.25">
      <c r="A493" s="795"/>
      <c r="B493" s="796" t="s">
        <v>2641</v>
      </c>
      <c r="C493" s="799"/>
      <c r="D493" s="1884" t="s">
        <v>1325</v>
      </c>
      <c r="E493" s="1884"/>
      <c r="F493" s="1884"/>
      <c r="G493" s="800"/>
      <c r="I493" s="1736" t="s">
        <v>2369</v>
      </c>
    </row>
    <row r="494" spans="1:9" s="789" customFormat="1" ht="14.25">
      <c r="A494" s="795"/>
      <c r="B494" s="795"/>
      <c r="C494" s="799"/>
      <c r="D494" s="1884"/>
      <c r="E494" s="1884"/>
      <c r="F494" s="1884"/>
      <c r="G494" s="800"/>
      <c r="I494" s="1736"/>
    </row>
    <row r="495" spans="1:9" s="789" customFormat="1" ht="14.25">
      <c r="A495" s="795"/>
      <c r="B495" s="795"/>
      <c r="C495" s="799"/>
      <c r="D495" s="783"/>
      <c r="E495" s="670"/>
      <c r="F495" s="670"/>
      <c r="G495" s="800"/>
      <c r="I495" s="1736"/>
    </row>
    <row r="496" spans="1:9" ht="12.75" customHeight="1">
      <c r="B496" s="796" t="s">
        <v>2641</v>
      </c>
      <c r="D496" s="1854" t="s">
        <v>1504</v>
      </c>
      <c r="E496" s="1854"/>
      <c r="F496" s="1854"/>
      <c r="I496" s="1677" t="s">
        <v>2370</v>
      </c>
    </row>
    <row r="497" spans="1:9" ht="14.25">
      <c r="A497" s="795"/>
      <c r="D497" s="1854"/>
      <c r="E497" s="1854"/>
      <c r="F497" s="1854"/>
    </row>
    <row r="498" spans="1:9" ht="14.25">
      <c r="A498" s="795"/>
      <c r="B498" s="795"/>
      <c r="D498" s="1854"/>
      <c r="E498" s="1854"/>
      <c r="F498" s="1854"/>
    </row>
    <row r="499" spans="1:9" ht="14.25">
      <c r="A499" s="795"/>
      <c r="B499" s="795"/>
      <c r="D499" s="1854"/>
      <c r="E499" s="1854"/>
      <c r="F499" s="1854"/>
    </row>
    <row r="500" spans="1:9" ht="14.25">
      <c r="A500" s="795"/>
      <c r="D500" s="891"/>
      <c r="E500" s="891"/>
      <c r="F500" s="891"/>
      <c r="G500" s="788"/>
    </row>
    <row r="501" spans="1:9" ht="14.25">
      <c r="A501" s="795"/>
      <c r="B501" s="796" t="s">
        <v>2641</v>
      </c>
      <c r="D501" s="1871" t="s">
        <v>1328</v>
      </c>
      <c r="E501" s="1871"/>
      <c r="F501" s="1871"/>
      <c r="G501" s="788"/>
      <c r="I501" s="1677" t="s">
        <v>2371</v>
      </c>
    </row>
    <row r="502" spans="1:9" ht="14.25">
      <c r="A502" s="795"/>
      <c r="B502" s="795"/>
      <c r="D502" s="783"/>
      <c r="E502" s="670"/>
      <c r="F502" s="670"/>
      <c r="G502" s="788"/>
    </row>
    <row r="503" spans="1:9" ht="14.25">
      <c r="A503" s="795"/>
      <c r="B503" s="796" t="s">
        <v>2641</v>
      </c>
      <c r="D503" s="1866" t="s">
        <v>1329</v>
      </c>
      <c r="E503" s="1866"/>
      <c r="F503" s="1866"/>
      <c r="G503" s="788"/>
      <c r="I503" s="1677" t="s">
        <v>2371</v>
      </c>
    </row>
    <row r="504" spans="1:9" ht="14.25">
      <c r="A504" s="795"/>
      <c r="D504" s="1866"/>
      <c r="E504" s="1866"/>
      <c r="F504" s="1866"/>
      <c r="G504" s="788"/>
    </row>
    <row r="505" spans="1:9">
      <c r="A505" s="814"/>
      <c r="B505" s="814"/>
      <c r="D505" s="731"/>
      <c r="E505" s="670"/>
      <c r="F505" s="670"/>
      <c r="G505" s="788"/>
    </row>
    <row r="506" spans="1:9">
      <c r="A506" s="814"/>
      <c r="B506" s="796" t="s">
        <v>2641</v>
      </c>
      <c r="D506" s="1871" t="s">
        <v>1330</v>
      </c>
      <c r="E506" s="1871"/>
      <c r="F506" s="1871"/>
      <c r="G506" s="788"/>
      <c r="I506" s="1677" t="s">
        <v>2426</v>
      </c>
    </row>
    <row r="507" spans="1:9" ht="14.25">
      <c r="A507" s="795"/>
      <c r="B507" s="795"/>
      <c r="D507" s="798"/>
    </row>
    <row r="508" spans="1:9">
      <c r="A508" s="1831" t="s">
        <v>1165</v>
      </c>
      <c r="B508" s="1831"/>
      <c r="C508" s="1831"/>
      <c r="D508" s="1831"/>
      <c r="E508" s="1831"/>
      <c r="F508" s="1831"/>
      <c r="G508" s="1831"/>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07" t="s">
        <v>850</v>
      </c>
      <c r="E510" s="1907"/>
      <c r="F510" s="1907"/>
      <c r="G510" s="691"/>
      <c r="I510" s="620"/>
    </row>
    <row r="511" spans="1:9" s="720" customFormat="1">
      <c r="A511" s="799"/>
      <c r="B511" s="799"/>
      <c r="C511" s="830"/>
      <c r="D511" s="853" t="s">
        <v>1400</v>
      </c>
      <c r="E511" s="853"/>
      <c r="F511" s="853"/>
      <c r="G511" s="691"/>
      <c r="I511" s="620"/>
    </row>
    <row r="512" spans="1:9" s="720" customFormat="1">
      <c r="A512" s="799"/>
      <c r="B512" s="799"/>
      <c r="C512" s="830"/>
      <c r="D512" s="853" t="s">
        <v>1401</v>
      </c>
      <c r="E512" s="853"/>
      <c r="F512" s="853"/>
      <c r="G512" s="691"/>
      <c r="I512" s="620"/>
    </row>
    <row r="513" spans="1:9" s="720" customFormat="1">
      <c r="A513" s="799"/>
      <c r="B513" s="799"/>
      <c r="C513" s="830"/>
      <c r="D513" s="852"/>
      <c r="E513" s="852"/>
      <c r="F513" s="852"/>
      <c r="G513" s="691"/>
      <c r="I513" s="620"/>
    </row>
    <row r="514" spans="1:9" s="720" customFormat="1" ht="13.7" customHeight="1">
      <c r="A514" s="793"/>
      <c r="B514" s="796" t="s">
        <v>2642</v>
      </c>
      <c r="C514" s="797"/>
      <c r="D514" s="1865" t="s">
        <v>2199</v>
      </c>
      <c r="E514" s="1865"/>
      <c r="F514" s="1865"/>
      <c r="G514" s="670"/>
      <c r="I514" s="620" t="s">
        <v>2406</v>
      </c>
    </row>
    <row r="515" spans="1:9" s="720" customFormat="1">
      <c r="A515" s="793"/>
      <c r="B515" s="793"/>
      <c r="C515" s="797"/>
      <c r="D515" s="1865"/>
      <c r="E515" s="1865"/>
      <c r="F515" s="1865"/>
      <c r="G515" s="670"/>
      <c r="I515" s="620"/>
    </row>
    <row r="516" spans="1:9" s="720" customFormat="1">
      <c r="A516" s="793"/>
      <c r="B516" s="793"/>
      <c r="C516" s="797"/>
      <c r="D516" s="1610"/>
      <c r="E516" s="1610"/>
      <c r="F516" s="1610"/>
      <c r="G516" s="670"/>
    </row>
    <row r="517" spans="1:9" s="720" customFormat="1">
      <c r="A517" s="793"/>
      <c r="B517" s="796" t="s">
        <v>2641</v>
      </c>
      <c r="C517" s="802"/>
      <c r="D517" s="1865" t="s">
        <v>1203</v>
      </c>
      <c r="E517" s="1865"/>
      <c r="F517" s="1865"/>
      <c r="G517" s="670"/>
      <c r="I517" s="620" t="s">
        <v>2372</v>
      </c>
    </row>
    <row r="518" spans="1:9" s="720" customFormat="1">
      <c r="A518" s="793"/>
      <c r="B518" s="793"/>
      <c r="C518" s="802"/>
      <c r="D518" s="1865"/>
      <c r="E518" s="1865"/>
      <c r="F518" s="1865"/>
      <c r="G518" s="670"/>
      <c r="I518" s="620"/>
    </row>
    <row r="519" spans="1:9" s="720" customFormat="1">
      <c r="A519" s="793"/>
      <c r="B519" s="793"/>
      <c r="C519" s="797"/>
      <c r="D519" s="1865"/>
      <c r="E519" s="1865"/>
      <c r="F519" s="1865"/>
      <c r="G519" s="670"/>
      <c r="I519" s="620"/>
    </row>
    <row r="520" spans="1:9" s="720" customFormat="1">
      <c r="A520" s="793"/>
      <c r="B520" s="793"/>
      <c r="C520" s="797"/>
      <c r="D520" s="831"/>
      <c r="E520" s="670"/>
      <c r="F520" s="783"/>
      <c r="G520" s="670"/>
      <c r="I520" s="620"/>
    </row>
    <row r="521" spans="1:9" s="720" customFormat="1" ht="13.15" customHeight="1">
      <c r="A521" s="793"/>
      <c r="B521" s="796" t="s">
        <v>2641</v>
      </c>
      <c r="C521" s="797"/>
      <c r="D521" s="1911" t="s">
        <v>1229</v>
      </c>
      <c r="E521" s="1911"/>
      <c r="F521" s="1911"/>
      <c r="G521" s="670"/>
      <c r="I521" s="620" t="s">
        <v>2372</v>
      </c>
    </row>
    <row r="522" spans="1:9" s="720" customFormat="1">
      <c r="A522" s="793"/>
      <c r="B522" s="793"/>
      <c r="C522" s="797"/>
      <c r="D522" s="1911"/>
      <c r="E522" s="1911"/>
      <c r="F522" s="1911"/>
      <c r="G522" s="670"/>
      <c r="I522" s="620"/>
    </row>
    <row r="523" spans="1:9" s="720" customFormat="1" ht="12" customHeight="1">
      <c r="A523" s="798"/>
      <c r="B523" s="798"/>
      <c r="C523" s="806"/>
      <c r="D523" s="798"/>
      <c r="E523" s="670"/>
      <c r="F523" s="833"/>
      <c r="G523" s="670"/>
      <c r="I523" s="620"/>
    </row>
    <row r="524" spans="1:9">
      <c r="A524" s="1831" t="s">
        <v>1166</v>
      </c>
      <c r="B524" s="1831"/>
      <c r="C524" s="1831"/>
      <c r="D524" s="1831"/>
      <c r="E524" s="1831"/>
      <c r="F524" s="1831"/>
      <c r="G524" s="1831"/>
      <c r="H524" s="1752"/>
      <c r="I524" s="1753"/>
    </row>
    <row r="525" spans="1:9">
      <c r="A525" s="798"/>
      <c r="B525" s="798"/>
      <c r="C525" s="827"/>
      <c r="F525" s="834"/>
    </row>
    <row r="526" spans="1:9">
      <c r="B526" s="1903" t="s">
        <v>469</v>
      </c>
      <c r="C526" s="1903"/>
      <c r="D526" s="1903"/>
      <c r="E526" s="1903"/>
      <c r="F526" s="1903"/>
    </row>
    <row r="527" spans="1:9">
      <c r="A527" s="798"/>
      <c r="B527" s="798"/>
      <c r="C527" s="827"/>
      <c r="D527" s="798"/>
      <c r="F527" s="798"/>
    </row>
    <row r="528" spans="1:9">
      <c r="A528" s="1832" t="s">
        <v>1167</v>
      </c>
      <c r="B528" s="1832"/>
      <c r="C528" s="1832"/>
      <c r="D528" s="1832"/>
      <c r="E528" s="1832"/>
      <c r="F528" s="1832"/>
      <c r="G528" s="1832"/>
      <c r="H528" s="1752"/>
      <c r="I528" s="1753"/>
    </row>
    <row r="529" spans="1:9">
      <c r="A529" s="798"/>
      <c r="B529" s="798"/>
      <c r="C529" s="827"/>
      <c r="D529" s="798"/>
      <c r="F529" s="798"/>
    </row>
    <row r="530" spans="1:9">
      <c r="C530" s="827"/>
      <c r="D530" s="1821" t="s">
        <v>719</v>
      </c>
      <c r="E530" s="1821"/>
      <c r="F530" s="1821"/>
    </row>
    <row r="531" spans="1:9">
      <c r="C531" s="827"/>
      <c r="D531" s="1871" t="s">
        <v>1224</v>
      </c>
      <c r="E531" s="1871"/>
      <c r="F531" s="1871"/>
    </row>
    <row r="532" spans="1:9">
      <c r="C532" s="827"/>
      <c r="D532" s="783"/>
      <c r="E532" s="783"/>
      <c r="F532" s="783"/>
    </row>
    <row r="533" spans="1:9" ht="13.7" customHeight="1">
      <c r="A533" s="795"/>
      <c r="B533" s="796" t="s">
        <v>2642</v>
      </c>
      <c r="C533" s="827"/>
      <c r="D533" s="1871" t="s">
        <v>948</v>
      </c>
      <c r="E533" s="1871"/>
      <c r="F533" s="1871"/>
      <c r="G533" s="788"/>
      <c r="I533" s="1677" t="s">
        <v>2424</v>
      </c>
    </row>
    <row r="534" spans="1:9" ht="13.7" customHeight="1">
      <c r="A534" s="827"/>
      <c r="B534" s="827"/>
      <c r="C534" s="827"/>
      <c r="D534" s="783"/>
      <c r="E534" s="616"/>
      <c r="F534" s="616"/>
      <c r="G534" s="788"/>
    </row>
    <row r="535" spans="1:9" ht="14.25">
      <c r="A535" s="795"/>
      <c r="B535" s="796" t="s">
        <v>2642</v>
      </c>
      <c r="C535" s="827"/>
      <c r="D535" s="1866" t="s">
        <v>1225</v>
      </c>
      <c r="E535" s="1866"/>
      <c r="F535" s="1866"/>
      <c r="G535" s="788"/>
      <c r="I535" s="1677" t="s">
        <v>2424</v>
      </c>
    </row>
    <row r="536" spans="1:9">
      <c r="A536" s="827"/>
      <c r="B536" s="827"/>
      <c r="C536" s="827"/>
      <c r="D536" s="1866"/>
      <c r="E536" s="1866"/>
      <c r="F536" s="1866"/>
      <c r="G536" s="788"/>
    </row>
    <row r="537" spans="1:9">
      <c r="A537" s="827"/>
      <c r="B537" s="827"/>
      <c r="C537" s="827"/>
      <c r="D537" s="798"/>
      <c r="E537" s="798"/>
      <c r="F537" s="798"/>
      <c r="G537" s="788"/>
    </row>
    <row r="538" spans="1:9" ht="14.25">
      <c r="A538" s="795"/>
      <c r="B538" s="796" t="s">
        <v>2642</v>
      </c>
      <c r="C538" s="827"/>
      <c r="D538" s="1866" t="s">
        <v>1226</v>
      </c>
      <c r="E538" s="1866"/>
      <c r="F538" s="1866"/>
      <c r="G538" s="788"/>
      <c r="I538" s="1677" t="s">
        <v>2373</v>
      </c>
    </row>
    <row r="539" spans="1:9">
      <c r="A539" s="827"/>
      <c r="B539" s="827"/>
      <c r="C539" s="827"/>
      <c r="D539" s="1866"/>
      <c r="E539" s="1866"/>
      <c r="F539" s="1866"/>
      <c r="G539" s="788"/>
    </row>
    <row r="540" spans="1:9">
      <c r="A540" s="827"/>
      <c r="B540" s="827"/>
      <c r="C540" s="827"/>
      <c r="D540" s="798"/>
      <c r="E540" s="798"/>
      <c r="F540" s="798"/>
      <c r="G540" s="788"/>
    </row>
    <row r="541" spans="1:9" ht="14.25">
      <c r="A541" s="795"/>
      <c r="B541" s="796" t="s">
        <v>2642</v>
      </c>
      <c r="C541" s="827"/>
      <c r="D541" s="1866" t="s">
        <v>1227</v>
      </c>
      <c r="E541" s="1866"/>
      <c r="F541" s="1866"/>
      <c r="G541" s="788"/>
      <c r="I541" s="1677" t="s">
        <v>2374</v>
      </c>
    </row>
    <row r="542" spans="1:9">
      <c r="A542" s="827"/>
      <c r="B542" s="827"/>
      <c r="C542" s="827"/>
      <c r="D542" s="1866"/>
      <c r="E542" s="1866"/>
      <c r="F542" s="1866"/>
      <c r="G542" s="788"/>
    </row>
    <row r="543" spans="1:9">
      <c r="A543" s="827"/>
      <c r="B543" s="827"/>
      <c r="C543" s="827"/>
      <c r="D543" s="798"/>
      <c r="E543" s="798"/>
      <c r="F543" s="798"/>
      <c r="G543" s="788"/>
    </row>
    <row r="544" spans="1:9" ht="14.25">
      <c r="A544" s="795"/>
      <c r="B544" s="796" t="s">
        <v>2642</v>
      </c>
      <c r="C544" s="827"/>
      <c r="D544" s="1866" t="s">
        <v>1228</v>
      </c>
      <c r="E544" s="1866"/>
      <c r="F544" s="1866"/>
      <c r="G544" s="788"/>
      <c r="I544" s="1677" t="s">
        <v>2425</v>
      </c>
    </row>
    <row r="545" spans="1:9">
      <c r="A545" s="827"/>
      <c r="B545" s="827"/>
      <c r="C545" s="827"/>
      <c r="D545" s="1866"/>
      <c r="E545" s="1866"/>
      <c r="F545" s="1866"/>
      <c r="G545" s="788"/>
    </row>
    <row r="546" spans="1:9">
      <c r="A546" s="827"/>
      <c r="B546" s="827"/>
      <c r="C546" s="827"/>
      <c r="D546" s="1866"/>
      <c r="E546" s="1866"/>
      <c r="F546" s="1866"/>
      <c r="G546" s="788"/>
    </row>
    <row r="547" spans="1:9">
      <c r="A547" s="827"/>
      <c r="B547" s="827"/>
      <c r="C547" s="827"/>
      <c r="D547" s="798"/>
      <c r="E547" s="798"/>
      <c r="F547" s="798"/>
    </row>
    <row r="548" spans="1:9" ht="14.25">
      <c r="A548" s="795"/>
      <c r="B548" s="796" t="s">
        <v>2641</v>
      </c>
      <c r="C548" s="827"/>
      <c r="D548" s="1911" t="s">
        <v>1346</v>
      </c>
      <c r="E548" s="1911"/>
      <c r="F548" s="1911"/>
      <c r="I548" s="1677" t="s">
        <v>2424</v>
      </c>
    </row>
    <row r="549" spans="1:9">
      <c r="A549" s="827"/>
      <c r="B549" s="827"/>
      <c r="C549" s="827"/>
      <c r="D549" s="1911"/>
      <c r="E549" s="1911"/>
      <c r="F549" s="1911"/>
    </row>
    <row r="550" spans="1:9">
      <c r="A550" s="827"/>
      <c r="B550" s="827"/>
      <c r="C550" s="827"/>
      <c r="D550" s="798"/>
      <c r="E550" s="798"/>
      <c r="F550" s="798"/>
    </row>
    <row r="551" spans="1:9" ht="14.25">
      <c r="A551" s="795"/>
      <c r="B551" s="796" t="s">
        <v>2642</v>
      </c>
      <c r="C551" s="827"/>
      <c r="D551" s="1866" t="s">
        <v>1230</v>
      </c>
      <c r="E551" s="1866"/>
      <c r="F551" s="1866"/>
      <c r="I551" s="1677" t="s">
        <v>2424</v>
      </c>
    </row>
    <row r="552" spans="1:9">
      <c r="A552" s="827"/>
      <c r="B552" s="827"/>
      <c r="C552" s="827"/>
      <c r="D552" s="1866"/>
      <c r="E552" s="1866"/>
      <c r="F552" s="1866"/>
      <c r="G552" s="817"/>
    </row>
    <row r="553" spans="1:9">
      <c r="A553" s="827"/>
      <c r="B553" s="827"/>
      <c r="C553" s="827"/>
      <c r="D553" s="798"/>
      <c r="E553" s="798"/>
      <c r="F553" s="798"/>
      <c r="G553" s="817"/>
    </row>
    <row r="554" spans="1:9" ht="14.25">
      <c r="A554" s="795"/>
      <c r="B554" s="796" t="s">
        <v>2642</v>
      </c>
      <c r="C554" s="827"/>
      <c r="D554" s="1871" t="s">
        <v>1231</v>
      </c>
      <c r="E554" s="1871"/>
      <c r="F554" s="1871"/>
      <c r="G554" s="817"/>
      <c r="I554" s="1677" t="s">
        <v>2427</v>
      </c>
    </row>
    <row r="555" spans="1:9">
      <c r="A555" s="814"/>
      <c r="B555" s="814"/>
      <c r="C555" s="827"/>
      <c r="D555" s="1871" t="s">
        <v>880</v>
      </c>
      <c r="E555" s="1871"/>
      <c r="F555" s="1871"/>
      <c r="G555" s="817"/>
    </row>
    <row r="556" spans="1:9">
      <c r="A556" s="814"/>
      <c r="B556" s="814"/>
      <c r="C556" s="827"/>
      <c r="D556" s="670"/>
      <c r="E556" s="1914" t="s">
        <v>1232</v>
      </c>
      <c r="F556" s="1914"/>
      <c r="G556" s="817"/>
    </row>
    <row r="557" spans="1:9" ht="14.25">
      <c r="A557" s="795"/>
      <c r="B557" s="795"/>
      <c r="C557" s="827"/>
      <c r="E557" s="798"/>
      <c r="F557" s="798"/>
      <c r="G557" s="817"/>
    </row>
    <row r="558" spans="1:9" ht="14.25">
      <c r="A558" s="795"/>
      <c r="B558" s="796" t="s">
        <v>2642</v>
      </c>
      <c r="C558" s="827"/>
      <c r="D558" s="1913" t="s">
        <v>1233</v>
      </c>
      <c r="E558" s="1913"/>
      <c r="F558" s="1913"/>
      <c r="G558" s="817"/>
      <c r="I558" s="1677" t="s">
        <v>2375</v>
      </c>
    </row>
    <row r="559" spans="1:9">
      <c r="C559" s="827"/>
      <c r="D559" s="1866" t="s">
        <v>1234</v>
      </c>
      <c r="E559" s="1866"/>
      <c r="F559" s="1866"/>
      <c r="G559" s="817"/>
    </row>
    <row r="560" spans="1:9">
      <c r="A560" s="827"/>
      <c r="B560" s="827"/>
      <c r="C560" s="827"/>
      <c r="D560" s="1866"/>
      <c r="E560" s="1866"/>
      <c r="F560" s="1866"/>
      <c r="G560" s="817"/>
    </row>
    <row r="561" spans="1:9">
      <c r="A561" s="827"/>
      <c r="B561" s="827"/>
      <c r="C561" s="827"/>
      <c r="D561" s="1866"/>
      <c r="E561" s="1866"/>
      <c r="F561" s="1866"/>
      <c r="G561" s="817"/>
    </row>
    <row r="562" spans="1:9">
      <c r="A562" s="827"/>
      <c r="B562" s="827"/>
      <c r="C562" s="827"/>
      <c r="D562" s="798"/>
      <c r="E562" s="798"/>
      <c r="F562" s="798"/>
      <c r="G562" s="817"/>
    </row>
    <row r="563" spans="1:9" ht="14.25">
      <c r="A563" s="795"/>
      <c r="B563" s="796" t="s">
        <v>2642</v>
      </c>
      <c r="C563" s="827"/>
      <c r="D563" s="1866" t="s">
        <v>1235</v>
      </c>
      <c r="E563" s="1866"/>
      <c r="F563" s="1866"/>
      <c r="G563" s="817"/>
      <c r="I563" s="1677" t="s">
        <v>2376</v>
      </c>
    </row>
    <row r="564" spans="1:9" ht="14.25">
      <c r="A564" s="795"/>
      <c r="B564" s="795"/>
      <c r="C564" s="827"/>
      <c r="D564" s="1866"/>
      <c r="E564" s="1866"/>
      <c r="F564" s="1866"/>
      <c r="G564" s="817"/>
    </row>
    <row r="565" spans="1:9" ht="14.25">
      <c r="A565" s="795"/>
      <c r="B565" s="795"/>
      <c r="C565" s="827"/>
      <c r="D565" s="1866"/>
      <c r="E565" s="1866"/>
      <c r="F565" s="1866"/>
      <c r="G565" s="817"/>
    </row>
    <row r="566" spans="1:9" ht="14.25">
      <c r="A566" s="795"/>
      <c r="B566" s="795"/>
      <c r="C566" s="827"/>
      <c r="D566" s="1866"/>
      <c r="E566" s="1866"/>
      <c r="F566" s="1866"/>
      <c r="G566" s="817"/>
    </row>
    <row r="567" spans="1:9" ht="14.25">
      <c r="A567" s="795"/>
      <c r="B567" s="795"/>
      <c r="C567" s="827"/>
      <c r="D567" s="798"/>
      <c r="E567" s="798"/>
      <c r="F567" s="798"/>
      <c r="G567" s="817"/>
    </row>
    <row r="568" spans="1:9">
      <c r="A568" s="1831" t="s">
        <v>1168</v>
      </c>
      <c r="B568" s="1831"/>
      <c r="C568" s="1831"/>
      <c r="D568" s="1831"/>
      <c r="E568" s="1831"/>
      <c r="F568" s="1831"/>
      <c r="G568" s="1831"/>
      <c r="H568" s="1752"/>
      <c r="I568" s="1753"/>
    </row>
    <row r="569" spans="1:9">
      <c r="A569" s="827"/>
      <c r="B569" s="827"/>
      <c r="C569" s="827"/>
      <c r="E569" s="798"/>
      <c r="F569" s="798"/>
      <c r="G569" s="817"/>
    </row>
    <row r="570" spans="1:9" ht="12.75" customHeight="1">
      <c r="C570" s="791"/>
      <c r="D570" s="1904" t="s">
        <v>215</v>
      </c>
      <c r="E570" s="1904"/>
      <c r="F570" s="1904"/>
      <c r="G570" s="817"/>
    </row>
    <row r="571" spans="1:9">
      <c r="A571" s="793"/>
      <c r="B571" s="793"/>
      <c r="C571" s="793"/>
      <c r="D571" s="1853" t="s">
        <v>1184</v>
      </c>
      <c r="E571" s="1853"/>
      <c r="F571" s="1853"/>
      <c r="G571" s="817"/>
    </row>
    <row r="572" spans="1:9">
      <c r="A572" s="788"/>
      <c r="B572" s="788"/>
      <c r="C572" s="793"/>
      <c r="D572" s="835"/>
      <c r="G572" s="817"/>
      <c r="I572" s="1677" t="s">
        <v>2377</v>
      </c>
    </row>
    <row r="573" spans="1:9">
      <c r="A573" s="793"/>
      <c r="B573" s="796" t="s">
        <v>2642</v>
      </c>
      <c r="D573" s="1853" t="s">
        <v>954</v>
      </c>
      <c r="E573" s="1853"/>
      <c r="F573" s="1853"/>
      <c r="G573" s="817"/>
    </row>
    <row r="574" spans="1:9">
      <c r="A574" s="814"/>
      <c r="B574" s="814"/>
      <c r="D574" s="812"/>
    </row>
    <row r="575" spans="1:9">
      <c r="A575" s="814"/>
      <c r="B575" s="796" t="s">
        <v>2642</v>
      </c>
      <c r="D575" s="1854" t="s">
        <v>1185</v>
      </c>
      <c r="E575" s="1854"/>
      <c r="F575" s="1854"/>
      <c r="I575" s="1677" t="s">
        <v>2379</v>
      </c>
    </row>
    <row r="576" spans="1:9">
      <c r="A576" s="814"/>
      <c r="B576" s="814"/>
      <c r="D576" s="1854"/>
      <c r="E576" s="1854"/>
      <c r="F576" s="1854"/>
      <c r="G576" s="788"/>
      <c r="I576" s="1677" t="s">
        <v>2378</v>
      </c>
    </row>
    <row r="577" spans="1:9">
      <c r="A577" s="814"/>
      <c r="B577" s="814"/>
      <c r="D577" s="1854"/>
      <c r="E577" s="1854"/>
      <c r="F577" s="1854"/>
      <c r="G577" s="788"/>
    </row>
    <row r="578" spans="1:9">
      <c r="A578" s="814"/>
      <c r="B578" s="814"/>
      <c r="D578" s="1854"/>
      <c r="E578" s="1854"/>
      <c r="F578" s="1854"/>
      <c r="G578" s="788"/>
    </row>
    <row r="579" spans="1:9">
      <c r="A579" s="814"/>
      <c r="B579" s="796" t="s">
        <v>2641</v>
      </c>
      <c r="D579" s="1854" t="s">
        <v>1186</v>
      </c>
      <c r="E579" s="1854"/>
      <c r="F579" s="1854"/>
      <c r="G579" s="788"/>
    </row>
    <row r="580" spans="1:9">
      <c r="A580" s="814"/>
      <c r="B580" s="814"/>
      <c r="D580" s="1854"/>
      <c r="E580" s="1854"/>
      <c r="F580" s="1854"/>
      <c r="G580" s="788"/>
    </row>
    <row r="581" spans="1:9">
      <c r="A581" s="814"/>
      <c r="B581" s="814"/>
      <c r="D581" s="1854"/>
      <c r="E581" s="1854"/>
      <c r="F581" s="1854"/>
      <c r="G581" s="788"/>
    </row>
    <row r="582" spans="1:9">
      <c r="A582" s="814"/>
      <c r="B582" s="814"/>
      <c r="D582" s="1854"/>
      <c r="E582" s="1854"/>
      <c r="F582" s="1854"/>
      <c r="G582" s="788"/>
    </row>
    <row r="583" spans="1:9">
      <c r="A583" s="814"/>
      <c r="B583" s="814"/>
      <c r="D583" s="781"/>
      <c r="E583" s="781"/>
      <c r="F583" s="781"/>
      <c r="G583" s="788"/>
    </row>
    <row r="584" spans="1:9">
      <c r="A584" s="814"/>
      <c r="B584" s="796" t="s">
        <v>2642</v>
      </c>
      <c r="D584" s="1854" t="s">
        <v>1187</v>
      </c>
      <c r="E584" s="1854"/>
      <c r="F584" s="1854"/>
      <c r="G584" s="788"/>
    </row>
    <row r="585" spans="1:9">
      <c r="A585" s="814"/>
      <c r="B585" s="814"/>
      <c r="D585" s="1854"/>
      <c r="E585" s="1854"/>
      <c r="F585" s="1854"/>
      <c r="G585" s="788"/>
    </row>
    <row r="586" spans="1:9">
      <c r="A586" s="814"/>
      <c r="B586" s="814"/>
      <c r="D586" s="835"/>
      <c r="G586" s="788"/>
    </row>
    <row r="587" spans="1:9">
      <c r="A587" s="814"/>
      <c r="B587" s="796" t="s">
        <v>2641</v>
      </c>
      <c r="D587" s="1853" t="s">
        <v>1188</v>
      </c>
      <c r="E587" s="1853"/>
      <c r="F587" s="1853"/>
      <c r="G587" s="788"/>
      <c r="I587" s="1677" t="s">
        <v>2428</v>
      </c>
    </row>
    <row r="588" spans="1:9">
      <c r="A588" s="814"/>
      <c r="B588" s="814"/>
      <c r="D588" s="1853"/>
      <c r="E588" s="1853"/>
      <c r="F588" s="1853"/>
      <c r="G588" s="788"/>
    </row>
    <row r="589" spans="1:9" ht="14.25">
      <c r="A589" s="795"/>
      <c r="B589" s="795"/>
      <c r="D589" s="835"/>
      <c r="G589" s="788"/>
    </row>
    <row r="590" spans="1:9">
      <c r="A590" s="1831" t="s">
        <v>1169</v>
      </c>
      <c r="B590" s="1831"/>
      <c r="C590" s="1831"/>
      <c r="D590" s="1831"/>
      <c r="E590" s="1831"/>
      <c r="F590" s="1831"/>
      <c r="G590" s="1831"/>
      <c r="H590" s="1752"/>
      <c r="I590" s="1753"/>
    </row>
    <row r="591" spans="1:9"/>
    <row r="592" spans="1:9">
      <c r="D592" s="1821" t="s">
        <v>1269</v>
      </c>
      <c r="E592" s="1821"/>
      <c r="F592" s="1821"/>
    </row>
    <row r="593" spans="1:9">
      <c r="D593" s="1822" t="s">
        <v>1270</v>
      </c>
      <c r="E593" s="1822"/>
      <c r="F593" s="1822"/>
    </row>
    <row r="594" spans="1:9">
      <c r="D594" s="778"/>
      <c r="E594" s="720"/>
      <c r="F594" s="720"/>
    </row>
    <row r="595" spans="1:9" s="789" customFormat="1" ht="14.25">
      <c r="A595" s="803"/>
      <c r="B595" s="796" t="s">
        <v>2642</v>
      </c>
      <c r="C595" s="799"/>
      <c r="D595" s="1823" t="s">
        <v>1271</v>
      </c>
      <c r="E595" s="1823"/>
      <c r="F595" s="1823"/>
      <c r="G595" s="800"/>
      <c r="I595" s="1736" t="s">
        <v>2407</v>
      </c>
    </row>
    <row r="596" spans="1:9">
      <c r="D596" s="1823"/>
      <c r="E596" s="1823"/>
      <c r="F596" s="1823"/>
    </row>
    <row r="597" spans="1:9">
      <c r="D597" s="1823"/>
      <c r="E597" s="1823"/>
      <c r="F597" s="1823"/>
    </row>
    <row r="598" spans="1:9"/>
    <row r="599" spans="1:9">
      <c r="A599" s="1831" t="s">
        <v>1170</v>
      </c>
      <c r="B599" s="1831"/>
      <c r="C599" s="1831"/>
      <c r="D599" s="1831"/>
      <c r="E599" s="1831"/>
      <c r="F599" s="1831"/>
      <c r="G599" s="1831"/>
      <c r="H599" s="1752"/>
      <c r="I599" s="1753"/>
    </row>
    <row r="600" spans="1:9">
      <c r="A600" s="798"/>
      <c r="B600" s="798"/>
      <c r="G600" s="817"/>
    </row>
    <row r="601" spans="1:9">
      <c r="A601" s="836"/>
      <c r="B601" s="836"/>
      <c r="C601" s="791"/>
      <c r="D601" s="1824" t="s">
        <v>1272</v>
      </c>
      <c r="E601" s="1824"/>
      <c r="F601" s="1824"/>
      <c r="G601" s="817"/>
    </row>
    <row r="602" spans="1:9">
      <c r="A602" s="836"/>
      <c r="B602" s="836"/>
      <c r="C602" s="791"/>
      <c r="D602" s="1824"/>
      <c r="E602" s="1824"/>
      <c r="F602" s="1824"/>
      <c r="G602" s="817"/>
    </row>
    <row r="603" spans="1:9">
      <c r="C603" s="793"/>
      <c r="D603" s="1822" t="s">
        <v>1273</v>
      </c>
      <c r="E603" s="1822"/>
      <c r="F603" s="1822"/>
      <c r="G603" s="817"/>
    </row>
    <row r="604" spans="1:9">
      <c r="C604" s="793"/>
      <c r="D604" s="778"/>
      <c r="E604" s="778"/>
      <c r="F604" s="778"/>
      <c r="G604" s="817"/>
    </row>
    <row r="605" spans="1:9" ht="12.75" customHeight="1">
      <c r="A605" s="814"/>
      <c r="B605" s="796" t="s">
        <v>2642</v>
      </c>
      <c r="D605" s="1825" t="s">
        <v>1274</v>
      </c>
      <c r="E605" s="1825"/>
      <c r="F605" s="1825"/>
      <c r="G605" s="817"/>
      <c r="I605" s="1677" t="s">
        <v>2429</v>
      </c>
    </row>
    <row r="606" spans="1:9">
      <c r="D606" s="1825"/>
      <c r="E606" s="1825"/>
      <c r="F606" s="1825"/>
      <c r="G606" s="817"/>
    </row>
    <row r="607" spans="1:9">
      <c r="D607" s="788"/>
      <c r="G607" s="817"/>
    </row>
    <row r="608" spans="1:9">
      <c r="B608" s="796" t="s">
        <v>2642</v>
      </c>
      <c r="D608" s="1825" t="s">
        <v>1275</v>
      </c>
      <c r="E608" s="1825"/>
      <c r="F608" s="1825"/>
      <c r="G608" s="817"/>
      <c r="I608" s="1677" t="s">
        <v>2380</v>
      </c>
    </row>
    <row r="609" spans="1:9">
      <c r="C609" s="837"/>
      <c r="D609" s="1825"/>
      <c r="E609" s="1825"/>
      <c r="F609" s="1825"/>
      <c r="G609" s="817"/>
    </row>
    <row r="610" spans="1:9">
      <c r="C610" s="837"/>
      <c r="G610" s="817"/>
    </row>
    <row r="611" spans="1:9">
      <c r="B611" s="796" t="s">
        <v>2641</v>
      </c>
      <c r="C611" s="837"/>
      <c r="D611" s="1825" t="s">
        <v>1276</v>
      </c>
      <c r="E611" s="1825"/>
      <c r="F611" s="1825"/>
      <c r="G611" s="817"/>
      <c r="I611" s="1677" t="s">
        <v>2430</v>
      </c>
    </row>
    <row r="612" spans="1:9">
      <c r="C612" s="837"/>
      <c r="D612" s="1825"/>
      <c r="E612" s="1825"/>
      <c r="F612" s="1825"/>
      <c r="G612" s="817"/>
      <c r="I612" s="1749" t="s">
        <v>2431</v>
      </c>
    </row>
    <row r="613" spans="1:9">
      <c r="C613" s="837"/>
      <c r="G613" s="817"/>
    </row>
    <row r="614" spans="1:9">
      <c r="A614" s="1831" t="s">
        <v>1171</v>
      </c>
      <c r="B614" s="1831"/>
      <c r="C614" s="1831"/>
      <c r="D614" s="1831"/>
      <c r="E614" s="1831"/>
      <c r="F614" s="1831"/>
      <c r="G614" s="1831"/>
      <c r="H614" s="1752"/>
      <c r="I614" s="1753"/>
    </row>
    <row r="615" spans="1:9">
      <c r="A615" s="838"/>
      <c r="B615" s="838"/>
      <c r="C615" s="838"/>
      <c r="G615" s="817"/>
    </row>
    <row r="616" spans="1:9">
      <c r="C616" s="814"/>
      <c r="D616" s="1821" t="s">
        <v>1277</v>
      </c>
      <c r="E616" s="1821"/>
      <c r="F616" s="1821"/>
      <c r="G616" s="817"/>
    </row>
    <row r="617" spans="1:9">
      <c r="A617" s="814"/>
      <c r="B617" s="814"/>
      <c r="C617" s="816"/>
      <c r="D617" s="792"/>
      <c r="G617" s="817"/>
    </row>
    <row r="618" spans="1:9" ht="14.25">
      <c r="A618" s="795"/>
      <c r="B618" s="796" t="s">
        <v>2642</v>
      </c>
      <c r="C618" s="816"/>
      <c r="D618" s="1866" t="s">
        <v>1498</v>
      </c>
      <c r="E618" s="1866"/>
      <c r="F618" s="1866"/>
      <c r="G618" s="817"/>
      <c r="I618" s="1677" t="s">
        <v>2408</v>
      </c>
    </row>
    <row r="619" spans="1:9">
      <c r="C619" s="816"/>
      <c r="D619" s="1866"/>
      <c r="E619" s="1866"/>
      <c r="F619" s="1866"/>
      <c r="G619" s="817"/>
    </row>
    <row r="620" spans="1:9">
      <c r="C620" s="816"/>
      <c r="D620" s="1866"/>
      <c r="E620" s="1866"/>
      <c r="F620" s="1866"/>
      <c r="G620" s="817"/>
    </row>
    <row r="621" spans="1:9">
      <c r="C621" s="816"/>
      <c r="D621" s="1866"/>
      <c r="E621" s="1866"/>
      <c r="F621" s="1866"/>
      <c r="G621" s="817"/>
    </row>
    <row r="622" spans="1:9">
      <c r="C622" s="816"/>
      <c r="D622" s="1866"/>
      <c r="E622" s="1866"/>
      <c r="F622" s="1866"/>
      <c r="G622" s="817"/>
    </row>
    <row r="623" spans="1:9">
      <c r="C623" s="816"/>
      <c r="D623" s="1866"/>
      <c r="E623" s="1866"/>
      <c r="F623" s="1866"/>
      <c r="G623" s="817"/>
    </row>
    <row r="624" spans="1:9">
      <c r="C624" s="816"/>
      <c r="D624" s="782"/>
      <c r="E624" s="782"/>
      <c r="F624" s="782"/>
      <c r="G624" s="817"/>
    </row>
    <row r="625" spans="1:9" ht="14.25">
      <c r="A625" s="795"/>
      <c r="B625" s="796" t="s">
        <v>2641</v>
      </c>
      <c r="C625" s="816"/>
      <c r="D625" s="1866" t="s">
        <v>1279</v>
      </c>
      <c r="E625" s="1866"/>
      <c r="F625" s="1866"/>
      <c r="G625" s="817"/>
      <c r="I625" s="1677" t="s">
        <v>2432</v>
      </c>
    </row>
    <row r="626" spans="1:9">
      <c r="A626" s="827"/>
      <c r="B626" s="827"/>
      <c r="C626" s="827"/>
      <c r="D626" s="1866"/>
      <c r="E626" s="1866"/>
      <c r="F626" s="1866"/>
      <c r="G626" s="817"/>
    </row>
    <row r="627" spans="1:9">
      <c r="A627" s="827"/>
      <c r="B627" s="827"/>
      <c r="C627" s="827"/>
      <c r="D627" s="783"/>
      <c r="E627" s="839"/>
      <c r="F627" s="839"/>
      <c r="G627" s="817"/>
    </row>
    <row r="628" spans="1:9" ht="14.25">
      <c r="A628" s="795"/>
      <c r="B628" s="796" t="s">
        <v>2641</v>
      </c>
      <c r="C628" s="827"/>
      <c r="D628" s="1823" t="s">
        <v>1436</v>
      </c>
      <c r="E628" s="1823"/>
      <c r="F628" s="1823"/>
      <c r="G628" s="817"/>
      <c r="I628" s="1677" t="s">
        <v>2381</v>
      </c>
    </row>
    <row r="629" spans="1:9" ht="14.25">
      <c r="A629" s="795"/>
      <c r="B629" s="795"/>
      <c r="C629" s="827"/>
      <c r="D629" s="1823"/>
      <c r="E629" s="1823"/>
      <c r="F629" s="1823"/>
      <c r="G629" s="817"/>
    </row>
    <row r="630" spans="1:9" ht="14.25">
      <c r="A630" s="795"/>
      <c r="B630" s="795"/>
      <c r="C630" s="827"/>
      <c r="D630" s="1823"/>
      <c r="E630" s="1823"/>
      <c r="F630" s="1823"/>
      <c r="G630" s="817"/>
    </row>
    <row r="631" spans="1:9">
      <c r="A631" s="827"/>
      <c r="B631" s="796" t="s">
        <v>2641</v>
      </c>
      <c r="C631" s="827"/>
      <c r="D631" s="1871" t="s">
        <v>1281</v>
      </c>
      <c r="E631" s="1871"/>
      <c r="F631" s="1871"/>
      <c r="G631" s="817"/>
      <c r="I631" s="1677" t="s">
        <v>2381</v>
      </c>
    </row>
    <row r="632" spans="1:9">
      <c r="A632" s="827"/>
      <c r="B632" s="827"/>
      <c r="C632" s="827"/>
      <c r="D632" s="725"/>
      <c r="E632" s="725"/>
      <c r="F632" s="725"/>
      <c r="G632" s="817"/>
    </row>
    <row r="633" spans="1:9">
      <c r="A633" s="1831" t="s">
        <v>1172</v>
      </c>
      <c r="B633" s="1831"/>
      <c r="C633" s="1831"/>
      <c r="D633" s="1831"/>
      <c r="E633" s="1831"/>
      <c r="F633" s="1831"/>
      <c r="G633" s="1831"/>
      <c r="H633" s="1752"/>
      <c r="I633" s="1753"/>
    </row>
    <row r="634" spans="1:9">
      <c r="A634" s="798"/>
      <c r="B634" s="798"/>
      <c r="C634" s="827"/>
      <c r="D634" s="839"/>
      <c r="E634" s="839"/>
      <c r="F634" s="839"/>
      <c r="G634" s="817"/>
    </row>
    <row r="635" spans="1:9">
      <c r="C635" s="838"/>
      <c r="D635" s="1931" t="s">
        <v>1331</v>
      </c>
      <c r="E635" s="1931"/>
      <c r="F635" s="1931"/>
      <c r="G635" s="817"/>
    </row>
    <row r="636" spans="1:9">
      <c r="A636" s="793"/>
      <c r="B636" s="793"/>
      <c r="C636" s="793"/>
      <c r="D636" s="1932" t="s">
        <v>1332</v>
      </c>
      <c r="E636" s="1932"/>
      <c r="F636" s="1932"/>
      <c r="G636" s="817"/>
    </row>
    <row r="637" spans="1:9">
      <c r="A637" s="793"/>
      <c r="B637" s="793"/>
      <c r="C637" s="793"/>
      <c r="D637" s="725"/>
      <c r="E637" s="725"/>
      <c r="F637" s="725"/>
      <c r="G637" s="817"/>
    </row>
    <row r="638" spans="1:9" ht="12.75" customHeight="1">
      <c r="B638" s="796" t="s">
        <v>2642</v>
      </c>
      <c r="C638" s="827"/>
      <c r="D638" s="1908" t="s">
        <v>1519</v>
      </c>
      <c r="E638" s="1908"/>
      <c r="F638" s="1908"/>
      <c r="I638" s="1677" t="s">
        <v>2435</v>
      </c>
    </row>
    <row r="639" spans="1:9">
      <c r="D639" s="1908"/>
      <c r="E639" s="1908"/>
      <c r="F639" s="1908"/>
    </row>
    <row r="640" spans="1:9">
      <c r="D640" s="1908"/>
      <c r="E640" s="1908"/>
      <c r="F640" s="1908"/>
    </row>
    <row r="641" spans="1:9">
      <c r="D641" s="1908"/>
      <c r="E641" s="1908"/>
      <c r="F641" s="1908"/>
    </row>
    <row r="642" spans="1:9" ht="14.45" customHeight="1">
      <c r="A642" s="795"/>
      <c r="B642" s="795"/>
      <c r="C642" s="827"/>
      <c r="D642" s="898"/>
      <c r="E642" s="898"/>
      <c r="F642" s="898"/>
      <c r="G642" s="817"/>
    </row>
    <row r="643" spans="1:9" ht="12.75" customHeight="1">
      <c r="A643" s="793"/>
      <c r="B643" s="796" t="s">
        <v>2641</v>
      </c>
      <c r="C643" s="827"/>
      <c r="D643" s="1908" t="s">
        <v>1522</v>
      </c>
      <c r="E643" s="1908"/>
      <c r="F643" s="1908"/>
      <c r="G643" s="817"/>
      <c r="I643" s="1677" t="s">
        <v>2435</v>
      </c>
    </row>
    <row r="644" spans="1:9" ht="14.25">
      <c r="A644" s="793"/>
      <c r="B644" s="795"/>
      <c r="C644" s="827"/>
      <c r="D644" s="1908"/>
      <c r="E644" s="1908"/>
      <c r="F644" s="1908"/>
      <c r="G644" s="817"/>
    </row>
    <row r="645" spans="1:9" ht="14.25">
      <c r="A645" s="793"/>
      <c r="B645" s="795"/>
      <c r="C645" s="827"/>
      <c r="D645" s="1908"/>
      <c r="E645" s="1908"/>
      <c r="F645" s="1908"/>
      <c r="G645" s="817"/>
    </row>
    <row r="646" spans="1:9" ht="14.25">
      <c r="A646" s="793"/>
      <c r="B646" s="795"/>
      <c r="C646" s="827"/>
      <c r="D646" s="1908"/>
      <c r="E646" s="1908"/>
      <c r="F646" s="1908"/>
      <c r="G646" s="817"/>
    </row>
    <row r="647" spans="1:9" ht="14.25">
      <c r="A647" s="793"/>
      <c r="B647" s="795"/>
      <c r="C647" s="827"/>
      <c r="D647" s="1908"/>
      <c r="E647" s="1908"/>
      <c r="F647" s="1908"/>
      <c r="G647" s="817"/>
    </row>
    <row r="648" spans="1:9" ht="14.25" customHeight="1">
      <c r="A648" s="793"/>
      <c r="B648" s="795"/>
      <c r="C648" s="827"/>
      <c r="F648" s="899"/>
      <c r="G648" s="817"/>
    </row>
    <row r="649" spans="1:9" ht="12.75" customHeight="1">
      <c r="A649" s="793"/>
      <c r="B649" s="796" t="s">
        <v>2641</v>
      </c>
      <c r="C649" s="827"/>
      <c r="D649" s="1908" t="s">
        <v>1520</v>
      </c>
      <c r="E649" s="1908"/>
      <c r="F649" s="1908"/>
      <c r="G649" s="817"/>
      <c r="I649" s="1677" t="s">
        <v>2435</v>
      </c>
    </row>
    <row r="650" spans="1:9" ht="14.25">
      <c r="A650" s="793"/>
      <c r="B650" s="795"/>
      <c r="C650" s="827"/>
      <c r="D650" s="1908"/>
      <c r="E650" s="1908"/>
      <c r="F650" s="1908"/>
      <c r="G650" s="817"/>
    </row>
    <row r="651" spans="1:9" ht="14.25">
      <c r="A651" s="795"/>
      <c r="B651" s="795"/>
      <c r="C651" s="827"/>
      <c r="D651" s="1908"/>
      <c r="E651" s="1908"/>
      <c r="F651" s="1908"/>
      <c r="G651" s="817"/>
    </row>
    <row r="652" spans="1:9" ht="14.25">
      <c r="A652" s="795"/>
      <c r="B652" s="795"/>
      <c r="C652" s="827"/>
      <c r="D652" s="1908"/>
      <c r="E652" s="1908"/>
      <c r="F652" s="1908"/>
      <c r="G652" s="817"/>
    </row>
    <row r="653" spans="1:9" ht="14.25">
      <c r="A653" s="795"/>
      <c r="B653" s="795"/>
      <c r="C653" s="827"/>
      <c r="D653" s="890"/>
      <c r="E653" s="890"/>
      <c r="F653" s="890"/>
      <c r="G653" s="817"/>
    </row>
    <row r="654" spans="1:9" ht="12.75" customHeight="1">
      <c r="A654" s="793"/>
      <c r="B654" s="796" t="s">
        <v>2641</v>
      </c>
      <c r="C654" s="827"/>
      <c r="D654" s="1908" t="s">
        <v>1521</v>
      </c>
      <c r="E654" s="1908"/>
      <c r="F654" s="1908"/>
      <c r="G654" s="817"/>
      <c r="I654" s="1677" t="s">
        <v>2435</v>
      </c>
    </row>
    <row r="655" spans="1:9" ht="12.75" customHeight="1">
      <c r="A655" s="793"/>
      <c r="B655" s="795"/>
      <c r="C655" s="827"/>
      <c r="D655" s="1908"/>
      <c r="E655" s="1908"/>
      <c r="F655" s="1908"/>
      <c r="G655" s="817"/>
    </row>
    <row r="656" spans="1:9" ht="12.75" customHeight="1">
      <c r="A656" s="793"/>
      <c r="B656" s="795"/>
      <c r="C656" s="827"/>
      <c r="D656" s="1908"/>
      <c r="E656" s="1908"/>
      <c r="F656" s="1908"/>
      <c r="G656" s="817"/>
    </row>
    <row r="657" spans="1:11" ht="12.75" customHeight="1">
      <c r="A657" s="793"/>
      <c r="B657" s="795"/>
      <c r="C657" s="827"/>
      <c r="D657" s="1908"/>
      <c r="E657" s="1908"/>
      <c r="F657" s="1908"/>
      <c r="G657" s="817"/>
    </row>
    <row r="658" spans="1:11" ht="12.75" customHeight="1">
      <c r="A658" s="793"/>
      <c r="B658" s="795"/>
      <c r="C658" s="827"/>
      <c r="D658" s="1908"/>
      <c r="E658" s="1908"/>
      <c r="F658" s="1908"/>
      <c r="G658" s="817"/>
    </row>
    <row r="659" spans="1:11" ht="12.75" customHeight="1">
      <c r="A659" s="793"/>
      <c r="B659" s="795"/>
      <c r="C659" s="827"/>
      <c r="D659" s="1908"/>
      <c r="E659" s="1908"/>
      <c r="F659" s="1908"/>
      <c r="G659" s="817"/>
    </row>
    <row r="660" spans="1:11" ht="12.75" customHeight="1">
      <c r="A660" s="793"/>
      <c r="B660" s="795"/>
      <c r="C660" s="827"/>
      <c r="D660" s="1908"/>
      <c r="E660" s="1908"/>
      <c r="F660" s="1908"/>
      <c r="G660" s="817"/>
    </row>
    <row r="661" spans="1:11" ht="12.75" customHeight="1">
      <c r="A661" s="793"/>
      <c r="B661" s="795"/>
      <c r="C661" s="827"/>
      <c r="D661" s="1908"/>
      <c r="E661" s="1908"/>
      <c r="F661" s="1908"/>
      <c r="G661" s="817"/>
    </row>
    <row r="662" spans="1:11" ht="12.75" customHeight="1">
      <c r="A662" s="793"/>
      <c r="B662" s="795"/>
      <c r="C662" s="827"/>
      <c r="D662" s="1908"/>
      <c r="E662" s="1908"/>
      <c r="F662" s="1908"/>
      <c r="G662" s="817"/>
    </row>
    <row r="663" spans="1:11">
      <c r="A663" s="827"/>
      <c r="B663" s="827"/>
      <c r="C663" s="827"/>
      <c r="D663" s="839"/>
      <c r="E663" s="839"/>
      <c r="F663" s="839"/>
      <c r="G663" s="817"/>
    </row>
    <row r="664" spans="1:11">
      <c r="A664" s="1831" t="s">
        <v>1173</v>
      </c>
      <c r="B664" s="1831"/>
      <c r="C664" s="1831"/>
      <c r="D664" s="1831"/>
      <c r="E664" s="1831"/>
      <c r="F664" s="1831"/>
      <c r="G664" s="1831"/>
      <c r="H664" s="1754"/>
      <c r="I664" s="1755"/>
      <c r="J664" s="840"/>
      <c r="K664" s="840"/>
    </row>
    <row r="665" spans="1:11">
      <c r="A665" s="733"/>
      <c r="B665" s="733"/>
      <c r="C665" s="733"/>
      <c r="D665" s="733"/>
      <c r="E665" s="733"/>
      <c r="F665" s="733"/>
      <c r="G665" s="733"/>
      <c r="H665" s="840"/>
      <c r="I665" s="1740"/>
      <c r="J665" s="840"/>
      <c r="K665" s="840"/>
    </row>
    <row r="666" spans="1:11">
      <c r="C666" s="838"/>
      <c r="D666" s="1821" t="s">
        <v>104</v>
      </c>
      <c r="E666" s="1821"/>
      <c r="F666" s="1821"/>
      <c r="G666" s="817"/>
      <c r="H666" s="840"/>
      <c r="I666" s="1740"/>
      <c r="J666" s="840"/>
      <c r="K666" s="840"/>
    </row>
    <row r="667" spans="1:11">
      <c r="A667" s="838"/>
      <c r="B667" s="838"/>
      <c r="C667" s="838"/>
      <c r="D667" s="1821" t="s">
        <v>128</v>
      </c>
      <c r="E667" s="1821"/>
      <c r="F667" s="1821"/>
      <c r="G667" s="817"/>
      <c r="H667" s="840"/>
      <c r="I667" s="1740"/>
      <c r="J667" s="840"/>
      <c r="K667" s="840"/>
    </row>
    <row r="668" spans="1:11">
      <c r="A668" s="793"/>
      <c r="B668" s="793"/>
      <c r="C668" s="793"/>
      <c r="D668" s="1871" t="s">
        <v>1209</v>
      </c>
      <c r="E668" s="1871"/>
      <c r="F668" s="1871"/>
      <c r="G668" s="817"/>
      <c r="H668" s="840"/>
      <c r="I668" s="1740"/>
      <c r="J668" s="840"/>
      <c r="K668" s="840"/>
    </row>
    <row r="669" spans="1:11">
      <c r="A669" s="793"/>
      <c r="B669" s="793"/>
      <c r="C669" s="793"/>
      <c r="G669" s="817"/>
      <c r="H669" s="840"/>
      <c r="I669" s="1740"/>
      <c r="J669" s="840"/>
      <c r="K669" s="840"/>
    </row>
    <row r="670" spans="1:11" ht="14.25">
      <c r="A670" s="795"/>
      <c r="B670" s="796" t="s">
        <v>2642</v>
      </c>
      <c r="C670" s="793"/>
      <c r="D670" s="1871" t="s">
        <v>950</v>
      </c>
      <c r="E670" s="1871"/>
      <c r="F670" s="1871"/>
      <c r="G670" s="817"/>
      <c r="H670" s="840"/>
      <c r="I670" s="1740" t="s">
        <v>2409</v>
      </c>
      <c r="J670" s="840"/>
      <c r="K670" s="840"/>
    </row>
    <row r="671" spans="1:11">
      <c r="A671" s="793"/>
      <c r="B671" s="793"/>
      <c r="C671" s="793"/>
      <c r="D671" s="1871" t="s">
        <v>961</v>
      </c>
      <c r="E671" s="1871"/>
      <c r="F671" s="1871"/>
      <c r="G671" s="817"/>
      <c r="H671" s="840"/>
      <c r="I671" s="1740"/>
      <c r="J671" s="840"/>
      <c r="K671" s="840"/>
    </row>
    <row r="672" spans="1:11">
      <c r="A672" s="793"/>
      <c r="B672" s="793"/>
      <c r="C672" s="793"/>
      <c r="D672" s="670"/>
      <c r="E672" s="1917" t="s">
        <v>1210</v>
      </c>
      <c r="F672" s="1917"/>
      <c r="G672" s="817"/>
      <c r="H672" s="840"/>
      <c r="I672" s="1740"/>
      <c r="J672" s="840"/>
      <c r="K672" s="840"/>
    </row>
    <row r="673" spans="1:11">
      <c r="A673" s="793"/>
      <c r="B673" s="793"/>
      <c r="C673" s="793"/>
      <c r="D673" s="670"/>
      <c r="E673" s="1917"/>
      <c r="F673" s="1917"/>
      <c r="G673" s="817"/>
      <c r="H673" s="840"/>
      <c r="I673" s="1740"/>
      <c r="J673" s="840"/>
      <c r="K673" s="840"/>
    </row>
    <row r="674" spans="1:11">
      <c r="A674" s="793"/>
      <c r="B674" s="793"/>
      <c r="C674" s="793"/>
      <c r="D674" s="841"/>
      <c r="E674" s="798"/>
      <c r="G674" s="817"/>
      <c r="H674" s="840"/>
      <c r="I674" s="1740"/>
      <c r="J674" s="840"/>
      <c r="K674" s="840"/>
    </row>
    <row r="675" spans="1:11" ht="14.25">
      <c r="A675" s="795"/>
      <c r="B675" s="796" t="s">
        <v>2641</v>
      </c>
      <c r="C675" s="793"/>
      <c r="D675" s="1866" t="s">
        <v>1402</v>
      </c>
      <c r="E675" s="1866"/>
      <c r="F675" s="1866"/>
      <c r="G675" s="817"/>
      <c r="H675" s="840"/>
      <c r="I675" s="1740" t="s">
        <v>2433</v>
      </c>
      <c r="J675" s="840"/>
      <c r="K675" s="840"/>
    </row>
    <row r="676" spans="1:11">
      <c r="A676" s="814"/>
      <c r="B676" s="814"/>
      <c r="C676" s="793"/>
      <c r="D676" s="1866"/>
      <c r="E676" s="1866"/>
      <c r="F676" s="1866"/>
      <c r="G676" s="817"/>
      <c r="H676" s="840"/>
      <c r="I676" s="1740"/>
      <c r="J676" s="840"/>
      <c r="K676" s="840"/>
    </row>
    <row r="677" spans="1:11">
      <c r="A677" s="793"/>
      <c r="B677" s="793"/>
      <c r="C677" s="793"/>
      <c r="D677" s="1866"/>
      <c r="E677" s="1866"/>
      <c r="F677" s="1866"/>
      <c r="G677" s="817"/>
      <c r="H677" s="840"/>
      <c r="I677" s="1740"/>
      <c r="J677" s="840"/>
      <c r="K677" s="840"/>
    </row>
    <row r="678" spans="1:11">
      <c r="A678" s="793"/>
      <c r="B678" s="793"/>
      <c r="C678" s="793"/>
      <c r="G678" s="817"/>
      <c r="H678" s="840"/>
      <c r="I678" s="1740" t="s">
        <v>2410</v>
      </c>
      <c r="J678" s="840"/>
      <c r="K678" s="840"/>
    </row>
    <row r="679" spans="1:11" ht="14.25">
      <c r="A679" s="795"/>
      <c r="B679" s="796" t="s">
        <v>2642</v>
      </c>
      <c r="C679" s="793"/>
      <c r="D679" s="1871" t="s">
        <v>990</v>
      </c>
      <c r="E679" s="1871"/>
      <c r="F679" s="1871"/>
      <c r="G679" s="817"/>
      <c r="H679" s="840"/>
      <c r="I679" s="1740"/>
      <c r="J679" s="840"/>
      <c r="K679" s="840"/>
    </row>
    <row r="680" spans="1:11" ht="14.25">
      <c r="A680" s="795"/>
      <c r="B680" s="795"/>
      <c r="C680" s="793"/>
      <c r="D680" s="1871" t="s">
        <v>961</v>
      </c>
      <c r="E680" s="1871"/>
      <c r="F680" s="1871"/>
      <c r="G680" s="817"/>
      <c r="H680" s="840"/>
      <c r="I680" s="1740"/>
      <c r="J680" s="840"/>
      <c r="K680" s="840"/>
    </row>
    <row r="681" spans="1:11">
      <c r="A681" s="793"/>
      <c r="B681" s="793"/>
      <c r="C681" s="793"/>
      <c r="D681" s="670"/>
      <c r="E681" s="1914" t="s">
        <v>1212</v>
      </c>
      <c r="F681" s="1914"/>
      <c r="G681" s="817"/>
      <c r="H681" s="840"/>
      <c r="I681" s="1740"/>
      <c r="J681" s="840"/>
      <c r="K681" s="840"/>
    </row>
    <row r="682" spans="1:11">
      <c r="A682" s="793"/>
      <c r="B682" s="793"/>
      <c r="C682" s="793"/>
      <c r="D682" s="792"/>
      <c r="G682" s="817"/>
      <c r="H682" s="840"/>
      <c r="I682" s="1740"/>
      <c r="J682" s="840"/>
      <c r="K682" s="840"/>
    </row>
    <row r="683" spans="1:11" ht="14.25">
      <c r="A683" s="795"/>
      <c r="B683" s="796" t="s">
        <v>2641</v>
      </c>
      <c r="C683" s="793"/>
      <c r="D683" s="1911" t="s">
        <v>1222</v>
      </c>
      <c r="E683" s="1911"/>
      <c r="F683" s="1911"/>
      <c r="G683" s="817"/>
      <c r="H683" s="840"/>
      <c r="I683" s="1740" t="s">
        <v>2382</v>
      </c>
      <c r="J683" s="840"/>
      <c r="K683" s="840"/>
    </row>
    <row r="684" spans="1:11">
      <c r="A684" s="793"/>
      <c r="B684" s="793"/>
      <c r="C684" s="793"/>
      <c r="D684" s="1911"/>
      <c r="E684" s="1911"/>
      <c r="F684" s="1911"/>
      <c r="G684" s="817"/>
      <c r="H684" s="840"/>
      <c r="I684" s="1740"/>
      <c r="J684" s="840"/>
      <c r="K684" s="840"/>
    </row>
    <row r="685" spans="1:11">
      <c r="A685" s="793"/>
      <c r="B685" s="793"/>
      <c r="C685" s="793"/>
      <c r="D685" s="1911"/>
      <c r="E685" s="1911"/>
      <c r="F685" s="1911"/>
      <c r="G685" s="817"/>
      <c r="H685" s="840"/>
      <c r="I685" s="1740"/>
      <c r="J685" s="840"/>
      <c r="K685" s="840"/>
    </row>
    <row r="686" spans="1:11">
      <c r="A686" s="793"/>
      <c r="B686" s="793"/>
      <c r="C686" s="793"/>
      <c r="D686" s="1911"/>
      <c r="E686" s="1911"/>
      <c r="F686" s="1911"/>
      <c r="G686" s="817"/>
      <c r="H686" s="840"/>
      <c r="I686" s="1740"/>
      <c r="J686" s="840"/>
      <c r="K686" s="840"/>
    </row>
    <row r="687" spans="1:11">
      <c r="A687" s="793"/>
      <c r="B687" s="793"/>
      <c r="C687" s="793"/>
      <c r="D687" s="1911"/>
      <c r="E687" s="1911"/>
      <c r="F687" s="1911"/>
      <c r="G687" s="817"/>
      <c r="H687" s="840"/>
      <c r="I687" s="1740"/>
      <c r="J687" s="840"/>
      <c r="K687" s="840"/>
    </row>
    <row r="688" spans="1:11" s="789" customFormat="1">
      <c r="A688" s="832"/>
      <c r="B688" s="832"/>
      <c r="C688" s="832"/>
      <c r="D688" s="1911"/>
      <c r="E688" s="1911"/>
      <c r="F688" s="1911"/>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2641</v>
      </c>
      <c r="C690" s="832"/>
      <c r="D690" s="1911" t="s">
        <v>1404</v>
      </c>
      <c r="E690" s="1911"/>
      <c r="F690" s="1911"/>
      <c r="G690" s="842"/>
      <c r="H690" s="843"/>
      <c r="I690" s="1741" t="s">
        <v>2382</v>
      </c>
      <c r="J690" s="843"/>
      <c r="K690" s="843"/>
    </row>
    <row r="691" spans="1:11" s="789" customFormat="1">
      <c r="A691" s="832"/>
      <c r="B691" s="832"/>
      <c r="C691" s="832"/>
      <c r="D691" s="1911"/>
      <c r="E691" s="1911"/>
      <c r="F691" s="1911"/>
      <c r="G691" s="842"/>
      <c r="H691" s="843"/>
      <c r="I691" s="1741"/>
      <c r="J691" s="843"/>
      <c r="K691" s="843"/>
    </row>
    <row r="692" spans="1:11" s="789" customFormat="1">
      <c r="A692" s="832"/>
      <c r="B692" s="832"/>
      <c r="C692" s="832"/>
      <c r="D692" s="844"/>
      <c r="E692" s="844"/>
      <c r="F692" s="844"/>
      <c r="G692" s="842"/>
      <c r="H692" s="843"/>
      <c r="I692" s="1741"/>
      <c r="J692" s="843"/>
      <c r="K692" s="843"/>
    </row>
    <row r="693" spans="1:11" ht="14.25">
      <c r="A693" s="795"/>
      <c r="B693" s="796" t="s">
        <v>2641</v>
      </c>
      <c r="C693" s="793"/>
      <c r="D693" s="1911" t="s">
        <v>1213</v>
      </c>
      <c r="E693" s="1911"/>
      <c r="F693" s="1911"/>
      <c r="G693" s="817"/>
      <c r="H693" s="840"/>
      <c r="I693" s="1740" t="s">
        <v>2382</v>
      </c>
      <c r="J693" s="840"/>
      <c r="K693" s="840"/>
    </row>
    <row r="694" spans="1:11">
      <c r="A694" s="793"/>
      <c r="B694" s="793"/>
      <c r="C694" s="793"/>
      <c r="D694" s="1911"/>
      <c r="E694" s="1911"/>
      <c r="F694" s="1911"/>
      <c r="G694" s="817"/>
      <c r="H694" s="840"/>
      <c r="I694" s="1740"/>
      <c r="J694" s="840"/>
      <c r="K694" s="840"/>
    </row>
    <row r="695" spans="1:11">
      <c r="A695" s="793"/>
      <c r="B695" s="793"/>
      <c r="C695" s="793"/>
      <c r="D695" s="1911"/>
      <c r="E695" s="1911"/>
      <c r="F695" s="1911"/>
      <c r="G695" s="817"/>
      <c r="H695" s="840"/>
      <c r="I695" s="1740"/>
      <c r="J695" s="840"/>
      <c r="K695" s="840"/>
    </row>
    <row r="696" spans="1:11" ht="15" customHeight="1">
      <c r="A696" s="793"/>
      <c r="B696" s="793"/>
      <c r="C696" s="793"/>
      <c r="D696" s="1911"/>
      <c r="E696" s="1911"/>
      <c r="F696" s="1911"/>
      <c r="G696" s="817"/>
      <c r="H696" s="840"/>
      <c r="I696" s="1740"/>
      <c r="J696" s="840"/>
      <c r="K696" s="840"/>
    </row>
    <row r="697" spans="1:11" ht="15" customHeight="1">
      <c r="A697" s="793"/>
      <c r="B697" s="793"/>
      <c r="C697" s="793"/>
      <c r="D697" s="1911"/>
      <c r="E697" s="1911"/>
      <c r="F697" s="1911"/>
      <c r="G697" s="817"/>
      <c r="H697" s="840"/>
      <c r="I697" s="1740"/>
      <c r="J697" s="840"/>
      <c r="K697" s="840"/>
    </row>
    <row r="698" spans="1:11">
      <c r="A698" s="793"/>
      <c r="B698" s="793"/>
      <c r="C698" s="793"/>
      <c r="D698" s="1911"/>
      <c r="E698" s="1911"/>
      <c r="F698" s="1911"/>
      <c r="G698" s="817"/>
      <c r="H698" s="840"/>
      <c r="I698" s="1740"/>
      <c r="J698" s="840"/>
      <c r="K698" s="840"/>
    </row>
    <row r="699" spans="1:11">
      <c r="A699" s="793"/>
      <c r="B699" s="793"/>
      <c r="C699" s="793"/>
      <c r="D699" s="1911"/>
      <c r="E699" s="1911"/>
      <c r="F699" s="1911"/>
      <c r="G699" s="817"/>
      <c r="H699" s="840"/>
      <c r="I699" s="1740"/>
      <c r="J699" s="840"/>
      <c r="K699" s="840"/>
    </row>
    <row r="700" spans="1:11">
      <c r="A700" s="793"/>
      <c r="B700" s="793"/>
      <c r="C700" s="793"/>
      <c r="D700" s="1911"/>
      <c r="E700" s="1911"/>
      <c r="F700" s="1911"/>
      <c r="G700" s="817"/>
      <c r="H700" s="840"/>
      <c r="I700" s="1740"/>
      <c r="J700" s="840"/>
      <c r="K700" s="840"/>
    </row>
    <row r="701" spans="1:11" ht="15" customHeight="1">
      <c r="A701" s="793"/>
      <c r="B701" s="793"/>
      <c r="C701" s="793"/>
      <c r="D701" s="1911"/>
      <c r="E701" s="1911"/>
      <c r="F701" s="1911"/>
      <c r="G701" s="817"/>
      <c r="H701" s="840"/>
      <c r="I701" s="1740"/>
      <c r="J701" s="840"/>
      <c r="K701" s="840"/>
    </row>
    <row r="702" spans="1:11">
      <c r="A702" s="793"/>
      <c r="B702" s="793"/>
      <c r="C702" s="793"/>
      <c r="D702" s="1911"/>
      <c r="E702" s="1911"/>
      <c r="F702" s="1911"/>
      <c r="G702" s="817"/>
      <c r="H702" s="840"/>
      <c r="I702" s="1740"/>
      <c r="J702" s="840"/>
      <c r="K702" s="840"/>
    </row>
    <row r="703" spans="1:11">
      <c r="A703" s="793"/>
      <c r="B703" s="793"/>
      <c r="C703" s="793"/>
      <c r="D703" s="1911"/>
      <c r="E703" s="1911"/>
      <c r="F703" s="1911"/>
      <c r="G703" s="817"/>
      <c r="H703" s="840"/>
      <c r="I703" s="1740"/>
      <c r="J703" s="840"/>
      <c r="K703" s="840"/>
    </row>
    <row r="704" spans="1:11">
      <c r="A704" s="793"/>
      <c r="B704" s="793"/>
      <c r="C704" s="793"/>
      <c r="D704" s="1911"/>
      <c r="E704" s="1911"/>
      <c r="F704" s="1911"/>
      <c r="G704" s="817"/>
      <c r="H704" s="840"/>
      <c r="I704" s="1740"/>
      <c r="J704" s="840"/>
      <c r="K704" s="840"/>
    </row>
    <row r="705" spans="1:11">
      <c r="A705" s="793"/>
      <c r="B705" s="793"/>
      <c r="C705" s="793"/>
      <c r="D705" s="1911"/>
      <c r="E705" s="1911"/>
      <c r="F705" s="1911"/>
      <c r="G705" s="817"/>
      <c r="H705" s="840"/>
      <c r="I705" s="1740"/>
      <c r="J705" s="840"/>
      <c r="K705" s="840"/>
    </row>
    <row r="706" spans="1:11">
      <c r="A706" s="793"/>
      <c r="B706" s="796" t="s">
        <v>2641</v>
      </c>
      <c r="C706" s="793"/>
      <c r="D706" s="1911" t="s">
        <v>1220</v>
      </c>
      <c r="E706" s="1911"/>
      <c r="F706" s="1911"/>
      <c r="G706" s="817"/>
      <c r="H706" s="840"/>
      <c r="I706" s="1740" t="s">
        <v>2434</v>
      </c>
      <c r="J706" s="840"/>
      <c r="K706" s="840"/>
    </row>
    <row r="707" spans="1:11">
      <c r="A707" s="793"/>
      <c r="B707" s="793"/>
      <c r="C707" s="793"/>
      <c r="D707" s="1911"/>
      <c r="E707" s="1911"/>
      <c r="F707" s="1911"/>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2641</v>
      </c>
      <c r="C709" s="793"/>
      <c r="D709" s="1911" t="s">
        <v>1214</v>
      </c>
      <c r="E709" s="1911"/>
      <c r="F709" s="1911"/>
      <c r="G709" s="817"/>
      <c r="H709" s="840"/>
      <c r="I709" s="1740" t="s">
        <v>2434</v>
      </c>
      <c r="J709" s="840"/>
      <c r="K709" s="840"/>
    </row>
    <row r="710" spans="1:11">
      <c r="A710" s="793"/>
      <c r="B710" s="793"/>
      <c r="C710" s="793"/>
      <c r="D710" s="1911"/>
      <c r="E710" s="1911"/>
      <c r="F710" s="1911"/>
      <c r="G710" s="817"/>
      <c r="H710" s="840"/>
      <c r="I710" s="1740"/>
      <c r="J710" s="840"/>
      <c r="K710" s="840"/>
    </row>
    <row r="711" spans="1:11">
      <c r="A711" s="793"/>
      <c r="B711" s="793"/>
      <c r="C711" s="793"/>
      <c r="D711" s="1911"/>
      <c r="E711" s="1911"/>
      <c r="F711" s="1911"/>
      <c r="G711" s="817"/>
      <c r="H711" s="840"/>
      <c r="I711" s="1740"/>
      <c r="J711" s="840"/>
      <c r="K711" s="840"/>
    </row>
    <row r="712" spans="1:11">
      <c r="A712" s="793"/>
      <c r="B712" s="793"/>
      <c r="C712" s="793"/>
      <c r="D712" s="800"/>
      <c r="G712" s="817"/>
      <c r="H712" s="840"/>
      <c r="I712" s="1740"/>
      <c r="J712" s="840"/>
      <c r="K712" s="840"/>
    </row>
    <row r="713" spans="1:11">
      <c r="A713" s="793"/>
      <c r="B713" s="796" t="s">
        <v>2641</v>
      </c>
      <c r="C713" s="793"/>
      <c r="D713" s="1911" t="s">
        <v>1215</v>
      </c>
      <c r="E713" s="1911"/>
      <c r="F713" s="1911"/>
      <c r="G713" s="817"/>
      <c r="H713" s="840"/>
      <c r="I713" s="1740" t="s">
        <v>2434</v>
      </c>
      <c r="J713" s="840"/>
      <c r="K713" s="840"/>
    </row>
    <row r="714" spans="1:11">
      <c r="A714" s="793"/>
      <c r="B714" s="793"/>
      <c r="C714" s="793"/>
      <c r="D714" s="1911"/>
      <c r="E714" s="1911"/>
      <c r="F714" s="1911"/>
      <c r="G714" s="817"/>
      <c r="H714" s="840"/>
      <c r="I714" s="1740"/>
      <c r="J714" s="840"/>
      <c r="K714" s="840"/>
    </row>
    <row r="715" spans="1:11">
      <c r="A715" s="793"/>
      <c r="B715" s="793"/>
      <c r="C715" s="793"/>
      <c r="D715" s="1911"/>
      <c r="E715" s="1911"/>
      <c r="F715" s="1911"/>
      <c r="G715" s="817"/>
      <c r="H715" s="840"/>
      <c r="I715" s="1740"/>
      <c r="J715" s="840"/>
      <c r="K715" s="840"/>
    </row>
    <row r="716" spans="1:11">
      <c r="A716" s="793"/>
      <c r="B716" s="793"/>
      <c r="C716" s="793"/>
      <c r="D716" s="788"/>
      <c r="G716" s="817"/>
      <c r="H716" s="840"/>
      <c r="I716" s="1740"/>
      <c r="J716" s="840"/>
      <c r="K716" s="840"/>
    </row>
    <row r="717" spans="1:11" ht="14.25">
      <c r="A717" s="795"/>
      <c r="B717" s="796" t="s">
        <v>2641</v>
      </c>
      <c r="C717" s="793"/>
      <c r="D717" s="1866" t="s">
        <v>1216</v>
      </c>
      <c r="E717" s="1866"/>
      <c r="F717" s="1866"/>
      <c r="G717" s="817"/>
      <c r="H717" s="840"/>
      <c r="I717" s="1740" t="s">
        <v>2383</v>
      </c>
      <c r="J717" s="840"/>
      <c r="K717" s="840"/>
    </row>
    <row r="718" spans="1:11">
      <c r="A718" s="793"/>
      <c r="B718" s="793"/>
      <c r="C718" s="793"/>
      <c r="D718" s="1866"/>
      <c r="E718" s="1866"/>
      <c r="F718" s="1866"/>
      <c r="G718" s="817"/>
      <c r="H718" s="840"/>
      <c r="I718" s="1740"/>
      <c r="J718" s="840"/>
      <c r="K718" s="840"/>
    </row>
    <row r="719" spans="1:11">
      <c r="A719" s="793"/>
      <c r="B719" s="793"/>
      <c r="C719" s="793"/>
      <c r="D719" s="1866"/>
      <c r="E719" s="1866"/>
      <c r="F719" s="1866"/>
      <c r="G719" s="817"/>
      <c r="H719" s="840"/>
      <c r="I719" s="1740"/>
      <c r="J719" s="840"/>
      <c r="K719" s="840"/>
    </row>
    <row r="720" spans="1:11">
      <c r="A720" s="793"/>
      <c r="B720" s="793"/>
      <c r="C720" s="793"/>
      <c r="D720" s="1866"/>
      <c r="E720" s="1866"/>
      <c r="F720" s="1866"/>
      <c r="G720" s="817"/>
      <c r="H720" s="840"/>
      <c r="I720" s="1740"/>
      <c r="J720" s="840"/>
      <c r="K720" s="840"/>
    </row>
    <row r="721" spans="1:11">
      <c r="A721" s="793"/>
      <c r="B721" s="793"/>
      <c r="C721" s="793"/>
      <c r="D721" s="820"/>
      <c r="G721" s="817"/>
      <c r="H721" s="840"/>
      <c r="I721" s="1740"/>
      <c r="J721" s="840"/>
      <c r="K721" s="840"/>
    </row>
    <row r="722" spans="1:11" ht="14.25">
      <c r="A722" s="795"/>
      <c r="B722" s="796" t="s">
        <v>2641</v>
      </c>
      <c r="C722" s="793"/>
      <c r="D722" s="1911" t="s">
        <v>1349</v>
      </c>
      <c r="E722" s="1911"/>
      <c r="F722" s="1911"/>
      <c r="G722" s="817"/>
      <c r="H722" s="840"/>
      <c r="I722" s="1740" t="s">
        <v>2399</v>
      </c>
      <c r="J722" s="840"/>
      <c r="K722" s="840"/>
    </row>
    <row r="723" spans="1:11">
      <c r="A723" s="793"/>
      <c r="B723" s="793"/>
      <c r="C723" s="793"/>
      <c r="D723" s="1911"/>
      <c r="E723" s="1911"/>
      <c r="F723" s="1911"/>
      <c r="G723" s="817"/>
      <c r="H723" s="840"/>
      <c r="I723" s="1740"/>
      <c r="J723" s="840"/>
      <c r="K723" s="840"/>
    </row>
    <row r="724" spans="1:11">
      <c r="A724" s="793"/>
      <c r="B724" s="793"/>
      <c r="C724" s="793"/>
      <c r="D724" s="1911"/>
      <c r="E724" s="1911"/>
      <c r="F724" s="1911"/>
      <c r="G724" s="817"/>
      <c r="H724" s="840"/>
      <c r="I724" s="1740"/>
      <c r="J724" s="840"/>
      <c r="K724" s="840"/>
    </row>
    <row r="725" spans="1:11">
      <c r="A725" s="793"/>
      <c r="B725" s="793"/>
      <c r="C725" s="793"/>
      <c r="D725" s="1911"/>
      <c r="E725" s="1911"/>
      <c r="F725" s="1911"/>
      <c r="G725" s="817"/>
      <c r="H725" s="840"/>
      <c r="I725" s="1740"/>
      <c r="J725" s="840"/>
      <c r="K725" s="840"/>
    </row>
    <row r="726" spans="1:11">
      <c r="A726" s="793"/>
      <c r="B726" s="793"/>
      <c r="C726" s="793"/>
      <c r="D726" s="1911"/>
      <c r="E726" s="1911"/>
      <c r="F726" s="1911"/>
      <c r="G726" s="817"/>
      <c r="H726" s="840"/>
      <c r="I726" s="1740"/>
      <c r="J726" s="840"/>
      <c r="K726" s="840"/>
    </row>
    <row r="727" spans="1:11">
      <c r="A727" s="793"/>
      <c r="B727" s="793"/>
      <c r="C727" s="793"/>
      <c r="D727" s="1911"/>
      <c r="E727" s="1911"/>
      <c r="F727" s="1911"/>
      <c r="G727" s="817"/>
      <c r="H727" s="840"/>
      <c r="I727" s="1740"/>
      <c r="J727" s="840"/>
      <c r="K727" s="840"/>
    </row>
    <row r="728" spans="1:11">
      <c r="A728" s="793"/>
      <c r="B728" s="793"/>
      <c r="C728" s="793"/>
      <c r="D728" s="1911"/>
      <c r="E728" s="1911"/>
      <c r="F728" s="1911"/>
      <c r="G728" s="817"/>
      <c r="H728" s="840"/>
      <c r="I728" s="1740"/>
      <c r="J728" s="840"/>
      <c r="K728" s="840"/>
    </row>
    <row r="729" spans="1:11">
      <c r="A729" s="793"/>
      <c r="B729" s="793"/>
      <c r="C729" s="793"/>
      <c r="D729" s="1839" t="s">
        <v>1217</v>
      </c>
      <c r="E729" s="1839"/>
      <c r="F729" s="1839"/>
      <c r="G729" s="817"/>
      <c r="H729" s="840"/>
      <c r="I729" s="1740"/>
      <c r="J729" s="840"/>
      <c r="K729" s="840"/>
    </row>
    <row r="730" spans="1:11">
      <c r="A730" s="793"/>
      <c r="B730" s="793"/>
      <c r="C730" s="793"/>
      <c r="D730" s="780"/>
      <c r="G730" s="817"/>
      <c r="H730" s="840"/>
      <c r="I730" s="1740"/>
      <c r="J730" s="840"/>
      <c r="K730" s="840"/>
    </row>
    <row r="731" spans="1:11">
      <c r="A731" s="1832" t="s">
        <v>1174</v>
      </c>
      <c r="B731" s="1832"/>
      <c r="C731" s="1832"/>
      <c r="D731" s="1832"/>
      <c r="E731" s="1832"/>
      <c r="F731" s="1832"/>
      <c r="G731" s="1832"/>
      <c r="H731" s="1754"/>
      <c r="I731" s="1755"/>
      <c r="J731" s="840"/>
      <c r="K731" s="840"/>
    </row>
    <row r="732" spans="1:11">
      <c r="A732" s="793"/>
      <c r="B732" s="793"/>
      <c r="C732" s="793"/>
      <c r="D732" s="820"/>
      <c r="G732" s="845"/>
      <c r="H732" s="840"/>
      <c r="I732" s="1740"/>
      <c r="J732" s="840"/>
      <c r="K732" s="840"/>
    </row>
    <row r="733" spans="1:11" ht="13.7" customHeight="1">
      <c r="C733" s="793"/>
      <c r="D733" s="1904" t="s">
        <v>1190</v>
      </c>
      <c r="E733" s="1904"/>
      <c r="F733" s="1904"/>
      <c r="G733" s="845"/>
      <c r="H733" s="840"/>
      <c r="I733" s="1740"/>
      <c r="J733" s="840"/>
      <c r="K733" s="840"/>
    </row>
    <row r="734" spans="1:11">
      <c r="A734" s="793"/>
      <c r="B734" s="793"/>
      <c r="C734" s="793"/>
      <c r="D734" s="1845" t="s">
        <v>1191</v>
      </c>
      <c r="E734" s="1845"/>
      <c r="F734" s="1845"/>
      <c r="G734" s="845"/>
      <c r="H734" s="840"/>
      <c r="I734" s="1740"/>
      <c r="J734" s="840"/>
      <c r="K734" s="840"/>
    </row>
    <row r="735" spans="1:11">
      <c r="A735" s="793"/>
      <c r="B735" s="793"/>
      <c r="C735" s="793"/>
      <c r="G735" s="845"/>
      <c r="H735" s="840"/>
      <c r="I735" s="1740"/>
      <c r="J735" s="840"/>
      <c r="K735" s="840"/>
    </row>
    <row r="736" spans="1:11" s="789" customFormat="1" ht="14.25">
      <c r="A736" s="795"/>
      <c r="B736" s="796" t="s">
        <v>2642</v>
      </c>
      <c r="C736" s="786"/>
      <c r="D736" s="1866" t="s">
        <v>1192</v>
      </c>
      <c r="E736" s="1866"/>
      <c r="F736" s="1866"/>
      <c r="G736" s="845"/>
      <c r="H736" s="843"/>
      <c r="I736" s="1741" t="s">
        <v>2384</v>
      </c>
      <c r="J736" s="843"/>
      <c r="K736" s="843"/>
    </row>
    <row r="737" spans="1:11" s="789" customFormat="1" ht="10.5" customHeight="1">
      <c r="A737" s="786"/>
      <c r="B737" s="786"/>
      <c r="C737" s="786"/>
      <c r="D737" s="1866"/>
      <c r="E737" s="1866"/>
      <c r="F737" s="1866"/>
      <c r="G737" s="845"/>
      <c r="H737" s="843"/>
      <c r="I737" s="1741"/>
      <c r="J737" s="843"/>
      <c r="K737" s="843"/>
    </row>
    <row r="738" spans="1:11" s="789" customFormat="1">
      <c r="A738" s="786"/>
      <c r="B738" s="786"/>
      <c r="C738" s="786"/>
      <c r="D738" s="1866"/>
      <c r="E738" s="1866"/>
      <c r="F738" s="1866"/>
      <c r="G738" s="845"/>
      <c r="H738" s="843"/>
      <c r="I738" s="1741"/>
      <c r="J738" s="843"/>
      <c r="K738" s="843"/>
    </row>
    <row r="739" spans="1:11">
      <c r="D739" s="1866"/>
      <c r="E739" s="1866"/>
      <c r="F739" s="1866"/>
      <c r="G739" s="845"/>
      <c r="H739" s="840"/>
      <c r="I739" s="1740"/>
      <c r="J739" s="840"/>
      <c r="K739" s="840"/>
    </row>
    <row r="740" spans="1:11">
      <c r="A740" s="799"/>
      <c r="B740" s="799"/>
      <c r="C740" s="799"/>
      <c r="D740" s="1866"/>
      <c r="E740" s="1866"/>
      <c r="F740" s="1866"/>
      <c r="G740" s="846"/>
      <c r="H740" s="840"/>
      <c r="I740" s="1740"/>
      <c r="J740" s="840"/>
      <c r="K740" s="840"/>
    </row>
    <row r="741" spans="1:11" ht="15.6" customHeight="1">
      <c r="A741" s="799"/>
      <c r="B741" s="799"/>
      <c r="C741" s="799"/>
      <c r="D741" s="1866"/>
      <c r="E741" s="1866"/>
      <c r="F741" s="1866"/>
      <c r="G741" s="846"/>
      <c r="H741" s="840"/>
      <c r="I741" s="1740"/>
      <c r="J741" s="840"/>
      <c r="K741" s="840"/>
    </row>
    <row r="742" spans="1:11">
      <c r="A742" s="799"/>
      <c r="B742" s="799"/>
      <c r="C742" s="799"/>
      <c r="D742" s="835"/>
      <c r="E742" s="847"/>
      <c r="F742" s="847"/>
      <c r="G742" s="846"/>
      <c r="H742" s="840"/>
      <c r="I742" s="1740"/>
      <c r="J742" s="840"/>
      <c r="K742" s="840"/>
    </row>
    <row r="743" spans="1:11" s="851" customFormat="1" ht="14.25">
      <c r="A743" s="848"/>
      <c r="B743" s="796" t="s">
        <v>2642</v>
      </c>
      <c r="C743" s="849"/>
      <c r="D743" s="1823" t="s">
        <v>1455</v>
      </c>
      <c r="E743" s="1823"/>
      <c r="F743" s="1823"/>
      <c r="G743" s="850"/>
      <c r="I743" s="1742" t="s">
        <v>2384</v>
      </c>
    </row>
    <row r="744" spans="1:11" s="851" customFormat="1">
      <c r="A744" s="849"/>
      <c r="B744" s="849"/>
      <c r="C744" s="849"/>
      <c r="D744" s="1823"/>
      <c r="E744" s="1823"/>
      <c r="F744" s="1823"/>
      <c r="G744" s="850"/>
      <c r="I744" s="1742"/>
    </row>
    <row r="745" spans="1:11" s="851" customFormat="1">
      <c r="A745" s="849"/>
      <c r="B745" s="849"/>
      <c r="C745" s="849"/>
      <c r="D745" s="1823"/>
      <c r="E745" s="1823"/>
      <c r="F745" s="1823"/>
      <c r="G745" s="850"/>
      <c r="I745" s="1742"/>
    </row>
    <row r="746" spans="1:11" s="851" customFormat="1">
      <c r="A746" s="849"/>
      <c r="B746" s="849"/>
      <c r="C746" s="849"/>
      <c r="D746" s="1823"/>
      <c r="E746" s="1823"/>
      <c r="F746" s="1823"/>
      <c r="G746" s="850"/>
      <c r="I746" s="1742"/>
    </row>
    <row r="747" spans="1:11" s="851" customFormat="1">
      <c r="A747" s="849"/>
      <c r="B747" s="849"/>
      <c r="C747" s="849"/>
      <c r="D747" s="835"/>
      <c r="E747" s="850"/>
      <c r="F747" s="850"/>
      <c r="G747" s="850"/>
      <c r="I747" s="1742"/>
    </row>
    <row r="748" spans="1:11" s="851" customFormat="1" ht="14.25">
      <c r="A748" s="795"/>
      <c r="B748" s="796" t="s">
        <v>2642</v>
      </c>
      <c r="C748" s="849"/>
      <c r="D748" s="1918" t="s">
        <v>1456</v>
      </c>
      <c r="E748" s="1918"/>
      <c r="F748" s="1918"/>
      <c r="G748" s="850"/>
      <c r="I748" s="1742" t="s">
        <v>2385</v>
      </c>
    </row>
    <row r="749" spans="1:11" s="851" customFormat="1">
      <c r="A749" s="849"/>
      <c r="B749" s="849"/>
      <c r="C749" s="849"/>
      <c r="D749" s="1918"/>
      <c r="E749" s="1918"/>
      <c r="F749" s="1918"/>
      <c r="G749" s="850"/>
      <c r="I749" s="1742"/>
    </row>
    <row r="750" spans="1:11" s="851" customFormat="1">
      <c r="A750" s="849"/>
      <c r="B750" s="849"/>
      <c r="C750" s="849"/>
      <c r="D750" s="1918"/>
      <c r="E750" s="1918"/>
      <c r="F750" s="1918"/>
      <c r="G750" s="850"/>
      <c r="I750" s="1742"/>
    </row>
    <row r="751" spans="1:11">
      <c r="A751" s="799"/>
      <c r="B751" s="799"/>
      <c r="C751" s="799"/>
      <c r="D751" s="835"/>
      <c r="E751" s="847"/>
      <c r="F751" s="847"/>
      <c r="G751" s="846"/>
      <c r="H751" s="840"/>
      <c r="I751" s="1740"/>
      <c r="J751" s="840"/>
      <c r="K751" s="840"/>
    </row>
    <row r="752" spans="1:11" ht="14.25">
      <c r="A752" s="795"/>
      <c r="B752" s="796" t="s">
        <v>2641</v>
      </c>
      <c r="C752" s="799"/>
      <c r="D752" s="1823" t="s">
        <v>1399</v>
      </c>
      <c r="E752" s="1823"/>
      <c r="F752" s="1823"/>
      <c r="G752" s="846"/>
      <c r="H752" s="840"/>
      <c r="I752" s="1740" t="s">
        <v>2384</v>
      </c>
      <c r="J752" s="840"/>
      <c r="K752" s="840"/>
    </row>
    <row r="753" spans="1:11">
      <c r="A753" s="799"/>
      <c r="B753" s="799"/>
      <c r="C753" s="799"/>
      <c r="D753" s="1823"/>
      <c r="E753" s="1823"/>
      <c r="F753" s="1823"/>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2641</v>
      </c>
      <c r="C755" s="799"/>
      <c r="D755" s="1823" t="s">
        <v>1421</v>
      </c>
      <c r="E755" s="1823"/>
      <c r="F755" s="1823"/>
      <c r="G755" s="846"/>
      <c r="H755" s="840"/>
      <c r="I755" s="1740" t="s">
        <v>2384</v>
      </c>
      <c r="J755" s="840"/>
      <c r="K755" s="840"/>
    </row>
    <row r="756" spans="1:11">
      <c r="A756" s="799"/>
      <c r="B756" s="799"/>
      <c r="C756" s="799"/>
      <c r="D756" s="1823"/>
      <c r="E756" s="1823"/>
      <c r="F756" s="1823"/>
      <c r="G756" s="846"/>
      <c r="H756" s="840"/>
      <c r="I756" s="1740"/>
      <c r="J756" s="840"/>
      <c r="K756" s="840"/>
    </row>
    <row r="757" spans="1:11">
      <c r="A757" s="799"/>
      <c r="B757" s="799"/>
      <c r="C757" s="799"/>
      <c r="D757" s="1823"/>
      <c r="E757" s="1823"/>
      <c r="F757" s="1823"/>
      <c r="G757" s="846"/>
      <c r="H757" s="840"/>
      <c r="I757" s="1740"/>
      <c r="J757" s="840"/>
      <c r="K757" s="840"/>
    </row>
    <row r="758" spans="1:11">
      <c r="A758" s="799"/>
      <c r="B758" s="799"/>
      <c r="C758" s="799"/>
      <c r="D758" s="779"/>
      <c r="E758" s="779"/>
      <c r="F758" s="779"/>
      <c r="G758" s="846"/>
      <c r="H758" s="840"/>
      <c r="I758" s="1740"/>
      <c r="J758" s="840"/>
      <c r="K758" s="840"/>
    </row>
    <row r="759" spans="1:11">
      <c r="A759" s="1915" t="s">
        <v>2255</v>
      </c>
      <c r="B759" s="1915"/>
      <c r="C759" s="1915"/>
      <c r="D759" s="1915"/>
      <c r="E759" s="1915"/>
      <c r="F759" s="1915"/>
      <c r="G759" s="1915"/>
      <c r="H759" s="1752"/>
      <c r="I759" s="1753"/>
    </row>
    <row r="760" spans="1:11">
      <c r="A760" s="93"/>
      <c r="B760" s="93"/>
      <c r="C760" s="1635"/>
      <c r="D760" s="155"/>
      <c r="E760" s="155"/>
      <c r="F760" s="155"/>
      <c r="G760" s="684"/>
    </row>
    <row r="761" spans="1:11">
      <c r="A761" s="93"/>
      <c r="B761" s="93"/>
      <c r="C761" s="1635"/>
      <c r="D761" s="1916" t="s">
        <v>2312</v>
      </c>
      <c r="E761" s="1916"/>
      <c r="F761" s="1916"/>
      <c r="G761" s="684"/>
    </row>
    <row r="762" spans="1:11">
      <c r="A762" s="93"/>
      <c r="B762" s="93"/>
      <c r="C762" s="1635"/>
      <c r="D762" s="1930" t="s">
        <v>2200</v>
      </c>
      <c r="E762" s="1930"/>
      <c r="F762" s="1930"/>
      <c r="G762" s="684"/>
    </row>
    <row r="763" spans="1:11">
      <c r="A763" s="93"/>
      <c r="B763" s="93"/>
      <c r="C763" s="1635"/>
      <c r="D763" s="731"/>
      <c r="E763" s="731"/>
      <c r="F763" s="731"/>
      <c r="G763" s="684"/>
    </row>
    <row r="764" spans="1:11">
      <c r="A764" s="93"/>
      <c r="B764" s="796" t="s">
        <v>2642</v>
      </c>
      <c r="C764" s="1635"/>
      <c r="D764" s="1850" t="s">
        <v>2201</v>
      </c>
      <c r="E764" s="1850"/>
      <c r="F764" s="1850"/>
      <c r="G764" s="684"/>
      <c r="I764" s="1740" t="s">
        <v>2436</v>
      </c>
    </row>
    <row r="765" spans="1:11">
      <c r="A765" s="93"/>
      <c r="B765" s="93"/>
      <c r="C765" s="1635"/>
      <c r="D765" s="1850"/>
      <c r="E765" s="1850"/>
      <c r="F765" s="1850"/>
      <c r="G765" s="684"/>
    </row>
    <row r="766" spans="1:11">
      <c r="A766" s="718"/>
      <c r="B766" s="718"/>
      <c r="C766" s="313"/>
      <c r="D766" s="1850"/>
      <c r="E766" s="1850"/>
      <c r="F766" s="1850"/>
      <c r="G766" s="1636"/>
    </row>
    <row r="767" spans="1:11">
      <c r="A767" s="1629"/>
      <c r="B767" s="1629"/>
      <c r="C767" s="1637"/>
      <c r="D767" s="1613"/>
      <c r="E767" s="684"/>
      <c r="F767" s="684"/>
      <c r="G767" s="684"/>
    </row>
    <row r="768" spans="1:11">
      <c r="A768" s="267"/>
      <c r="B768" s="796" t="s">
        <v>2641</v>
      </c>
      <c r="C768" s="1638"/>
      <c r="D768" s="1850" t="s">
        <v>2202</v>
      </c>
      <c r="E768" s="1850"/>
      <c r="F768" s="1850"/>
      <c r="G768" s="684"/>
      <c r="I768" s="1740" t="s">
        <v>2436</v>
      </c>
    </row>
    <row r="769" spans="1:9">
      <c r="A769" s="1639"/>
      <c r="B769" s="1639"/>
      <c r="C769" s="1640"/>
      <c r="D769" s="1850"/>
      <c r="E769" s="1850"/>
      <c r="F769" s="1850"/>
      <c r="G769" s="684"/>
    </row>
    <row r="770" spans="1:9">
      <c r="A770" s="267"/>
      <c r="B770" s="267"/>
      <c r="C770" s="1638"/>
      <c r="D770" s="1850"/>
      <c r="E770" s="1850"/>
      <c r="F770" s="1850"/>
      <c r="G770" s="684"/>
    </row>
    <row r="771" spans="1:9">
      <c r="A771" s="718"/>
      <c r="B771" s="718"/>
      <c r="C771" s="313"/>
      <c r="D771" s="6"/>
      <c r="E771" s="1641"/>
      <c r="F771" s="1641"/>
      <c r="G771" s="1642"/>
    </row>
    <row r="772" spans="1:9" ht="14.25">
      <c r="A772" s="712"/>
      <c r="B772" s="796" t="s">
        <v>2641</v>
      </c>
      <c r="C772" s="1643"/>
      <c r="D772" s="1850" t="s">
        <v>2203</v>
      </c>
      <c r="E772" s="1850"/>
      <c r="F772" s="1850"/>
      <c r="G772" s="1642"/>
      <c r="I772" s="1740" t="s">
        <v>2436</v>
      </c>
    </row>
    <row r="773" spans="1:9" ht="14.25">
      <c r="A773" s="712"/>
      <c r="B773" s="712"/>
      <c r="C773" s="1643"/>
      <c r="D773" s="1850"/>
      <c r="E773" s="1850"/>
      <c r="F773" s="1850"/>
      <c r="G773" s="1642"/>
    </row>
    <row r="774" spans="1:9" ht="14.25">
      <c r="A774" s="712"/>
      <c r="B774" s="712"/>
      <c r="C774" s="1643"/>
      <c r="D774" s="1850"/>
      <c r="E774" s="1850"/>
      <c r="F774" s="1850"/>
      <c r="G774" s="1642"/>
    </row>
    <row r="775" spans="1:9" ht="14.25">
      <c r="A775" s="712"/>
      <c r="B775" s="712"/>
      <c r="C775" s="1643"/>
      <c r="D775" s="1611"/>
      <c r="E775" s="6"/>
      <c r="F775" s="6"/>
      <c r="G775" s="1642"/>
    </row>
    <row r="776" spans="1:9" ht="14.25">
      <c r="A776" s="712"/>
      <c r="B776" s="796" t="s">
        <v>2641</v>
      </c>
      <c r="C776" s="1643"/>
      <c r="D776" s="1850" t="s">
        <v>2204</v>
      </c>
      <c r="E776" s="1850"/>
      <c r="F776" s="1850"/>
      <c r="G776" s="1642"/>
      <c r="I776" s="1740" t="s">
        <v>2436</v>
      </c>
    </row>
    <row r="777" spans="1:9" ht="14.25">
      <c r="A777" s="712"/>
      <c r="B777" s="712"/>
      <c r="C777" s="1643"/>
      <c r="D777" s="1850"/>
      <c r="E777" s="1850"/>
      <c r="F777" s="1850"/>
      <c r="G777" s="1642"/>
    </row>
    <row r="778" spans="1:9" ht="14.25">
      <c r="A778" s="712"/>
      <c r="B778" s="712"/>
      <c r="C778" s="1643"/>
      <c r="D778" s="1850"/>
      <c r="E778" s="1850"/>
      <c r="F778" s="1850"/>
      <c r="G778" s="1642"/>
    </row>
    <row r="779" spans="1:9" ht="14.25">
      <c r="A779" s="712"/>
      <c r="B779" s="712"/>
      <c r="C779" s="1643"/>
      <c r="D779" s="1850"/>
      <c r="E779" s="1850"/>
      <c r="F779" s="1850"/>
      <c r="G779" s="1642"/>
    </row>
    <row r="780" spans="1:9" ht="14.25">
      <c r="A780" s="712"/>
      <c r="B780" s="712"/>
      <c r="C780" s="1643"/>
      <c r="D780" s="1850"/>
      <c r="E780" s="1850"/>
      <c r="F780" s="1850"/>
      <c r="G780" s="1642"/>
    </row>
    <row r="781" spans="1:9" ht="14.25">
      <c r="A781" s="712"/>
      <c r="B781" s="712"/>
      <c r="C781" s="1643"/>
      <c r="D781" s="1850"/>
      <c r="E781" s="1850"/>
      <c r="F781" s="1850"/>
      <c r="G781" s="1642"/>
    </row>
    <row r="782" spans="1:9" ht="14.25">
      <c r="A782" s="712"/>
      <c r="B782" s="712"/>
      <c r="C782" s="1643"/>
      <c r="D782" s="1850" t="s">
        <v>2256</v>
      </c>
      <c r="E782" s="1850"/>
      <c r="F782" s="1850"/>
      <c r="G782" s="1642"/>
    </row>
    <row r="783" spans="1:9" ht="14.25">
      <c r="A783" s="712"/>
      <c r="B783" s="712"/>
      <c r="C783" s="1643"/>
      <c r="D783" s="1850"/>
      <c r="E783" s="1850"/>
      <c r="F783" s="1850"/>
      <c r="G783" s="1642"/>
    </row>
    <row r="784" spans="1:9" ht="14.25">
      <c r="A784" s="712"/>
      <c r="B784" s="712"/>
      <c r="C784" s="1643"/>
      <c r="D784" s="1850"/>
      <c r="E784" s="1850"/>
      <c r="F784" s="1850"/>
      <c r="G784" s="1642"/>
    </row>
    <row r="785" spans="1:9" ht="14.25">
      <c r="A785" s="712"/>
      <c r="B785" s="554"/>
      <c r="C785" s="1643"/>
      <c r="D785" s="1644"/>
      <c r="E785" s="1644"/>
      <c r="F785" s="1644"/>
      <c r="G785" s="1642"/>
    </row>
    <row r="786" spans="1:9" ht="14.25">
      <c r="A786" s="712"/>
      <c r="B786" s="796" t="s">
        <v>2641</v>
      </c>
      <c r="C786" s="1643"/>
      <c r="D786" s="1850" t="s">
        <v>2205</v>
      </c>
      <c r="E786" s="1850"/>
      <c r="F786" s="1850"/>
      <c r="G786" s="1642"/>
      <c r="I786" s="1740" t="s">
        <v>2436</v>
      </c>
    </row>
    <row r="787" spans="1:9" ht="14.25">
      <c r="A787" s="712"/>
      <c r="B787" s="712"/>
      <c r="C787" s="1643"/>
      <c r="D787" s="1850"/>
      <c r="E787" s="1850"/>
      <c r="F787" s="1850"/>
      <c r="G787" s="1642"/>
    </row>
    <row r="788" spans="1:9" ht="14.25">
      <c r="A788" s="712"/>
      <c r="B788" s="712"/>
      <c r="C788" s="1643"/>
      <c r="D788" s="1850"/>
      <c r="E788" s="1850"/>
      <c r="F788" s="1850"/>
      <c r="G788" s="1642"/>
    </row>
    <row r="789" spans="1:9" ht="14.25">
      <c r="A789" s="712"/>
      <c r="B789" s="712"/>
      <c r="C789" s="1643"/>
      <c r="D789" s="1850"/>
      <c r="E789" s="1850"/>
      <c r="F789" s="1850"/>
      <c r="G789" s="1642"/>
    </row>
    <row r="790" spans="1:9" ht="14.25">
      <c r="A790" s="712"/>
      <c r="B790" s="712"/>
      <c r="C790" s="1643"/>
      <c r="D790" s="1850"/>
      <c r="E790" s="1850"/>
      <c r="F790" s="1850"/>
      <c r="G790" s="1642"/>
    </row>
    <row r="791" spans="1:9" ht="14.25">
      <c r="A791" s="712"/>
      <c r="B791" s="712"/>
      <c r="C791" s="1643"/>
      <c r="D791" s="1850"/>
      <c r="E791" s="1850"/>
      <c r="F791" s="1850"/>
      <c r="G791" s="1642"/>
    </row>
    <row r="792" spans="1:9" ht="14.25">
      <c r="A792" s="712"/>
      <c r="B792" s="712"/>
      <c r="C792" s="1643"/>
      <c r="D792" s="1620"/>
      <c r="E792" s="1620"/>
      <c r="F792" s="1620"/>
      <c r="G792" s="1642"/>
    </row>
    <row r="793" spans="1:9" ht="14.25">
      <c r="A793" s="712"/>
      <c r="B793" s="796" t="s">
        <v>2641</v>
      </c>
      <c r="C793" s="1643"/>
      <c r="D793" s="1850" t="s">
        <v>2206</v>
      </c>
      <c r="E793" s="1850"/>
      <c r="F793" s="1850"/>
      <c r="G793" s="1642"/>
      <c r="I793" s="1740" t="s">
        <v>2436</v>
      </c>
    </row>
    <row r="794" spans="1:9" ht="14.25">
      <c r="A794" s="712"/>
      <c r="B794" s="712"/>
      <c r="C794" s="1643"/>
      <c r="D794" s="1850"/>
      <c r="E794" s="1850"/>
      <c r="F794" s="1850"/>
      <c r="G794" s="1642"/>
    </row>
    <row r="795" spans="1:9" ht="14.25">
      <c r="A795" s="712"/>
      <c r="B795" s="712"/>
      <c r="C795" s="1643"/>
      <c r="D795" s="1850"/>
      <c r="E795" s="1850"/>
      <c r="F795" s="1850"/>
      <c r="G795" s="1642"/>
    </row>
    <row r="796" spans="1:9" ht="14.25">
      <c r="A796" s="712"/>
      <c r="B796" s="712"/>
      <c r="C796" s="1643"/>
      <c r="D796" s="1850"/>
      <c r="E796" s="1850"/>
      <c r="F796" s="1850"/>
      <c r="G796" s="1642"/>
    </row>
    <row r="797" spans="1:9" ht="14.25">
      <c r="A797" s="712"/>
      <c r="B797" s="712"/>
      <c r="C797" s="1643"/>
      <c r="D797" s="1850"/>
      <c r="E797" s="1850"/>
      <c r="F797" s="1850"/>
      <c r="G797" s="1642"/>
    </row>
    <row r="798" spans="1:9" ht="14.25">
      <c r="A798" s="712"/>
      <c r="B798" s="712"/>
      <c r="C798" s="1643"/>
      <c r="D798" s="1850"/>
      <c r="E798" s="1850"/>
      <c r="F798" s="1850"/>
      <c r="G798" s="1642"/>
    </row>
    <row r="799" spans="1:9" ht="14.25">
      <c r="A799" s="712"/>
      <c r="B799" s="712"/>
      <c r="C799" s="1643"/>
      <c r="D799" s="1620"/>
      <c r="E799" s="1620"/>
      <c r="F799" s="1620"/>
      <c r="G799" s="1642"/>
    </row>
    <row r="800" spans="1:9" ht="14.25">
      <c r="A800" s="712"/>
      <c r="B800" s="796" t="s">
        <v>2641</v>
      </c>
      <c r="C800" s="1643"/>
      <c r="D800" s="1863" t="s">
        <v>2207</v>
      </c>
      <c r="E800" s="1863"/>
      <c r="F800" s="1863"/>
      <c r="G800" s="1642"/>
      <c r="I800" s="1740" t="s">
        <v>2436</v>
      </c>
    </row>
    <row r="801" spans="1:9" ht="14.25">
      <c r="A801" s="712"/>
      <c r="B801" s="712"/>
      <c r="C801" s="1643"/>
      <c r="D801" s="1863"/>
      <c r="E801" s="1863"/>
      <c r="F801" s="1863"/>
      <c r="G801" s="1642"/>
    </row>
    <row r="802" spans="1:9">
      <c r="A802" s="1628"/>
      <c r="B802" s="1628"/>
      <c r="C802" s="1643"/>
      <c r="D802" s="1863"/>
      <c r="E802" s="1863"/>
      <c r="F802" s="1863"/>
      <c r="G802" s="1642"/>
    </row>
    <row r="803" spans="1:9" ht="14.25">
      <c r="A803" s="712"/>
      <c r="B803" s="1628"/>
      <c r="C803" s="1643"/>
      <c r="D803" s="1863"/>
      <c r="E803" s="1863"/>
      <c r="F803" s="1863"/>
      <c r="G803" s="1642"/>
    </row>
    <row r="804" spans="1:9" ht="12.75" customHeight="1">
      <c r="A804" s="712"/>
      <c r="B804" s="1628"/>
      <c r="C804" s="1643"/>
      <c r="D804" s="1863"/>
      <c r="E804" s="1863"/>
      <c r="F804" s="1863"/>
      <c r="G804" s="1642"/>
    </row>
    <row r="805" spans="1:9" ht="12.75" customHeight="1">
      <c r="A805" s="712"/>
      <c r="B805" s="1628"/>
      <c r="C805" s="1643"/>
      <c r="D805" s="1863"/>
      <c r="E805" s="1863"/>
      <c r="F805" s="1863"/>
      <c r="G805" s="1642"/>
    </row>
    <row r="806" spans="1:9" ht="12.75" customHeight="1">
      <c r="A806" s="1628"/>
      <c r="B806" s="1628"/>
      <c r="C806" s="1643"/>
      <c r="D806" s="1641"/>
      <c r="E806" s="6"/>
      <c r="F806" s="6"/>
      <c r="G806" s="1642"/>
    </row>
    <row r="807" spans="1:9" ht="12.75" customHeight="1">
      <c r="A807" s="1840" t="s">
        <v>2208</v>
      </c>
      <c r="B807" s="1840"/>
      <c r="C807" s="1840"/>
      <c r="D807" s="1840"/>
      <c r="E807" s="1840"/>
      <c r="F807" s="1840"/>
      <c r="G807" s="1840"/>
      <c r="H807" s="1752"/>
      <c r="I807" s="1753"/>
    </row>
    <row r="808" spans="1:9" ht="12.75" customHeight="1">
      <c r="A808" s="1617"/>
      <c r="B808" s="1617"/>
      <c r="C808" s="1643"/>
      <c r="D808" s="1641"/>
      <c r="E808" s="1641"/>
      <c r="F808" s="1641"/>
      <c r="G808" s="1642"/>
    </row>
    <row r="809" spans="1:9" ht="12.75" customHeight="1">
      <c r="A809" s="712"/>
      <c r="B809" s="712"/>
      <c r="C809" s="554"/>
      <c r="D809" s="1847" t="s">
        <v>2257</v>
      </c>
      <c r="E809" s="1847"/>
      <c r="F809" s="1847"/>
      <c r="G809" s="676"/>
    </row>
    <row r="810" spans="1:9" ht="14.25" customHeight="1">
      <c r="A810" s="712"/>
      <c r="B810" s="712"/>
      <c r="C810" s="554"/>
      <c r="D810" s="1805" t="s">
        <v>2209</v>
      </c>
      <c r="E810" s="1805"/>
      <c r="F810" s="1805"/>
      <c r="G810" s="676"/>
    </row>
    <row r="811" spans="1:9" ht="12.75" customHeight="1">
      <c r="A811" s="712"/>
      <c r="B811" s="712"/>
      <c r="C811" s="554"/>
      <c r="D811" s="1606"/>
      <c r="E811" s="1606"/>
      <c r="F811" s="1606"/>
      <c r="G811" s="676"/>
    </row>
    <row r="812" spans="1:9" ht="12.75" customHeight="1">
      <c r="A812" s="1645"/>
      <c r="B812" s="796" t="s">
        <v>2642</v>
      </c>
      <c r="C812" s="1643"/>
      <c r="D812" s="1805" t="s">
        <v>2210</v>
      </c>
      <c r="E812" s="1805"/>
      <c r="F812" s="1805"/>
      <c r="G812" s="676"/>
      <c r="I812" s="1677" t="s">
        <v>2402</v>
      </c>
    </row>
    <row r="813" spans="1:9" ht="14.25" customHeight="1">
      <c r="A813" s="1628"/>
      <c r="B813" s="1628"/>
      <c r="C813" s="1643"/>
      <c r="D813" s="5" t="s">
        <v>2186</v>
      </c>
      <c r="E813" s="1809" t="s">
        <v>2211</v>
      </c>
      <c r="F813" s="1809"/>
      <c r="G813" s="676"/>
    </row>
    <row r="814" spans="1:9" ht="12.75" customHeight="1">
      <c r="A814" s="1628"/>
      <c r="B814" s="1628"/>
      <c r="C814" s="1643"/>
      <c r="D814" s="1646"/>
      <c r="E814" s="6"/>
      <c r="F814" s="6"/>
      <c r="G814" s="676"/>
    </row>
    <row r="815" spans="1:9" ht="14.25" hidden="1" customHeight="1">
      <c r="A815" s="1628"/>
      <c r="B815" s="796" t="s">
        <v>315</v>
      </c>
      <c r="C815" s="1643"/>
      <c r="D815" s="1935" t="s">
        <v>2212</v>
      </c>
      <c r="E815" s="1935"/>
      <c r="F815" s="1935"/>
      <c r="G815" s="676"/>
    </row>
    <row r="816" spans="1:9" ht="12.75" hidden="1" customHeight="1">
      <c r="A816" s="1628"/>
      <c r="B816" s="1628"/>
      <c r="C816" s="1643"/>
      <c r="D816" s="1935"/>
      <c r="E816" s="1935"/>
      <c r="F816" s="1935"/>
      <c r="G816" s="676"/>
    </row>
    <row r="817" spans="1:9" ht="12.75" hidden="1" customHeight="1">
      <c r="A817" s="1628"/>
      <c r="B817" s="1628"/>
      <c r="C817" s="1643"/>
      <c r="D817" s="1935"/>
      <c r="E817" s="1935"/>
      <c r="F817" s="1935"/>
      <c r="G817" s="676"/>
    </row>
    <row r="818" spans="1:9" ht="12.75" hidden="1" customHeight="1">
      <c r="A818" s="1628"/>
      <c r="B818" s="1628"/>
      <c r="C818" s="1643"/>
      <c r="D818" s="1935"/>
      <c r="E818" s="1935"/>
      <c r="F818" s="1935"/>
      <c r="G818" s="676"/>
    </row>
    <row r="819" spans="1:9" ht="12.75" hidden="1" customHeight="1">
      <c r="A819" s="1628"/>
      <c r="B819" s="1628"/>
      <c r="C819" s="1643"/>
      <c r="D819" s="1935"/>
      <c r="E819" s="1935"/>
      <c r="F819" s="1935"/>
      <c r="G819" s="676"/>
    </row>
    <row r="820" spans="1:9" ht="12.75" hidden="1" customHeight="1">
      <c r="A820" s="1628"/>
      <c r="B820" s="1628"/>
      <c r="C820" s="1643"/>
      <c r="D820" s="1935"/>
      <c r="E820" s="1935"/>
      <c r="F820" s="1935"/>
      <c r="G820" s="676"/>
    </row>
    <row r="821" spans="1:9" ht="12.75" hidden="1" customHeight="1">
      <c r="A821" s="1628"/>
      <c r="B821" s="1628"/>
      <c r="C821" s="1643"/>
      <c r="D821" s="1935"/>
      <c r="E821" s="1935"/>
      <c r="F821" s="1935"/>
      <c r="G821" s="676"/>
    </row>
    <row r="822" spans="1:9" ht="12.75" hidden="1" customHeight="1">
      <c r="A822" s="1628"/>
      <c r="B822" s="1628"/>
      <c r="C822" s="1643"/>
      <c r="D822" s="1935"/>
      <c r="E822" s="1935"/>
      <c r="F822" s="1935"/>
      <c r="G822" s="676"/>
    </row>
    <row r="823" spans="1:9" ht="12.75" hidden="1" customHeight="1">
      <c r="A823" s="1628"/>
      <c r="B823" s="1628"/>
      <c r="C823" s="1643"/>
      <c r="D823" s="1935"/>
      <c r="E823" s="1935"/>
      <c r="F823" s="1935"/>
      <c r="G823" s="676"/>
    </row>
    <row r="824" spans="1:9" ht="12.75" hidden="1" customHeight="1">
      <c r="A824" s="1628"/>
      <c r="B824" s="1628"/>
      <c r="C824" s="1643"/>
      <c r="D824" s="1935"/>
      <c r="E824" s="1935"/>
      <c r="F824" s="1935"/>
      <c r="G824" s="676"/>
    </row>
    <row r="825" spans="1:9" ht="12.75" hidden="1" customHeight="1">
      <c r="A825" s="1628"/>
      <c r="B825" s="1628"/>
      <c r="C825" s="1643"/>
      <c r="D825" s="1646"/>
      <c r="E825" s="6"/>
      <c r="F825" s="6"/>
      <c r="G825" s="676"/>
    </row>
    <row r="826" spans="1:9" ht="12.75" customHeight="1">
      <c r="A826" s="712"/>
      <c r="B826" s="796" t="s">
        <v>2642</v>
      </c>
      <c r="C826" s="1643"/>
      <c r="D826" s="1805" t="s">
        <v>2213</v>
      </c>
      <c r="E826" s="1805"/>
      <c r="F826" s="1805"/>
      <c r="G826" s="676"/>
      <c r="I826" s="1677" t="s">
        <v>2422</v>
      </c>
    </row>
    <row r="827" spans="1:9" ht="12.75" customHeight="1">
      <c r="A827" s="712"/>
      <c r="B827" s="712"/>
      <c r="C827" s="1643"/>
      <c r="D827" s="1805"/>
      <c r="E827" s="1805"/>
      <c r="F827" s="1805"/>
      <c r="G827" s="676"/>
    </row>
    <row r="828" spans="1:9" ht="12.75" customHeight="1">
      <c r="A828" s="712"/>
      <c r="B828" s="712"/>
      <c r="C828" s="1643"/>
      <c r="D828" s="1805"/>
      <c r="E828" s="1805"/>
      <c r="F828" s="1805"/>
      <c r="G828" s="676"/>
    </row>
    <row r="829" spans="1:9" ht="12.75" customHeight="1">
      <c r="A829" s="403"/>
      <c r="B829" s="403"/>
      <c r="C829" s="1647"/>
      <c r="D829" s="1624"/>
      <c r="E829" s="676"/>
      <c r="F829" s="676"/>
      <c r="G829" s="676"/>
    </row>
    <row r="830" spans="1:9" ht="12.75" customHeight="1">
      <c r="A830" s="1648"/>
      <c r="B830" s="796" t="s">
        <v>2641</v>
      </c>
      <c r="C830" s="1647"/>
      <c r="D830" s="1936" t="s">
        <v>2214</v>
      </c>
      <c r="E830" s="1936"/>
      <c r="F830" s="1936"/>
      <c r="G830" s="676"/>
    </row>
    <row r="831" spans="1:9" ht="12.75" customHeight="1">
      <c r="A831" s="554"/>
      <c r="B831" s="1648"/>
      <c r="C831" s="1647"/>
      <c r="D831" s="1936"/>
      <c r="E831" s="1936"/>
      <c r="F831" s="1936"/>
      <c r="G831" s="676"/>
    </row>
    <row r="832" spans="1:9" ht="12.75" customHeight="1">
      <c r="A832" s="403"/>
      <c r="B832" s="554"/>
      <c r="C832" s="1647"/>
      <c r="D832" s="1807" t="s">
        <v>2215</v>
      </c>
      <c r="E832" s="1807"/>
      <c r="F832" s="1807"/>
      <c r="G832" s="676"/>
    </row>
    <row r="833" spans="1:9" ht="12.75" customHeight="1">
      <c r="A833" s="403"/>
      <c r="B833" s="403"/>
      <c r="C833" s="1647"/>
      <c r="D833" s="1807"/>
      <c r="E833" s="1807"/>
      <c r="F833" s="1807"/>
      <c r="G833" s="676"/>
    </row>
    <row r="834" spans="1:9" ht="12.75" customHeight="1">
      <c r="A834" s="403"/>
      <c r="B834" s="403"/>
      <c r="C834" s="1647"/>
      <c r="D834" s="1807"/>
      <c r="E834" s="1807"/>
      <c r="F834" s="1807"/>
      <c r="G834" s="676"/>
    </row>
    <row r="835" spans="1:9" ht="12.75" customHeight="1">
      <c r="A835" s="403"/>
      <c r="B835" s="403"/>
      <c r="C835" s="1647"/>
      <c r="D835" s="1807"/>
      <c r="E835" s="1807"/>
      <c r="F835" s="1807"/>
      <c r="G835" s="676"/>
    </row>
    <row r="836" spans="1:9" ht="12.75" customHeight="1">
      <c r="A836" s="403"/>
      <c r="B836" s="403"/>
      <c r="C836" s="1647"/>
      <c r="D836" s="1807"/>
      <c r="E836" s="1807"/>
      <c r="F836" s="1807"/>
      <c r="G836" s="676"/>
    </row>
    <row r="837" spans="1:9" ht="12.75" customHeight="1">
      <c r="A837" s="403"/>
      <c r="B837" s="403"/>
      <c r="C837" s="1647"/>
      <c r="D837" s="1807"/>
      <c r="E837" s="1807"/>
      <c r="F837" s="1807"/>
      <c r="G837" s="676"/>
    </row>
    <row r="838" spans="1:9" ht="12.75" customHeight="1">
      <c r="A838" s="403"/>
      <c r="B838" s="403"/>
      <c r="C838" s="1647"/>
      <c r="D838" s="1624"/>
      <c r="E838" s="676"/>
      <c r="F838" s="676"/>
      <c r="G838" s="676"/>
    </row>
    <row r="839" spans="1:9" ht="12.75" customHeight="1">
      <c r="A839" s="403"/>
      <c r="B839" s="796" t="s">
        <v>2641</v>
      </c>
      <c r="C839" s="1647"/>
      <c r="D839" s="1807" t="s">
        <v>2216</v>
      </c>
      <c r="E839" s="1807"/>
      <c r="F839" s="1807"/>
      <c r="G839" s="676"/>
      <c r="I839" s="1677" t="s">
        <v>2403</v>
      </c>
    </row>
    <row r="840" spans="1:9" ht="12.75" customHeight="1">
      <c r="A840" s="403"/>
      <c r="B840" s="403"/>
      <c r="C840" s="1647"/>
      <c r="D840" s="1807" t="s">
        <v>2217</v>
      </c>
      <c r="E840" s="1807"/>
      <c r="F840" s="1807"/>
      <c r="G840" s="676"/>
    </row>
    <row r="841" spans="1:9" ht="12.75" customHeight="1">
      <c r="A841" s="403"/>
      <c r="B841" s="403"/>
      <c r="C841" s="1647"/>
      <c r="D841" s="183" t="s">
        <v>2183</v>
      </c>
      <c r="E841" s="1937" t="s">
        <v>2218</v>
      </c>
      <c r="F841" s="1937"/>
      <c r="G841" s="676"/>
    </row>
    <row r="842" spans="1:9" ht="12.75" customHeight="1">
      <c r="A842" s="403"/>
      <c r="B842" s="403"/>
      <c r="C842" s="1647"/>
      <c r="D842" s="1624"/>
      <c r="E842" s="676"/>
      <c r="F842" s="676"/>
      <c r="G842" s="676"/>
    </row>
    <row r="843" spans="1:9" ht="12.75" customHeight="1">
      <c r="A843" s="403"/>
      <c r="B843" s="796" t="s">
        <v>2641</v>
      </c>
      <c r="C843" s="1647"/>
      <c r="D843" s="1807" t="s">
        <v>2219</v>
      </c>
      <c r="E843" s="1807"/>
      <c r="F843" s="1807"/>
      <c r="G843" s="676"/>
      <c r="I843" s="1677" t="s">
        <v>2423</v>
      </c>
    </row>
    <row r="844" spans="1:9" ht="12.75" customHeight="1">
      <c r="A844" s="403"/>
      <c r="B844" s="403"/>
      <c r="C844" s="1647"/>
      <c r="D844" s="1807"/>
      <c r="E844" s="1807"/>
      <c r="F844" s="1807"/>
      <c r="G844" s="676"/>
    </row>
    <row r="845" spans="1:9" ht="12.75" customHeight="1">
      <c r="A845" s="403"/>
      <c r="B845" s="403"/>
      <c r="C845" s="1647"/>
      <c r="D845" s="1807"/>
      <c r="E845" s="1807"/>
      <c r="F845" s="1807"/>
      <c r="G845" s="676"/>
    </row>
    <row r="846" spans="1:9" ht="12.75" customHeight="1">
      <c r="A846" s="403"/>
      <c r="B846" s="403"/>
      <c r="C846" s="1647"/>
      <c r="D846" s="1807"/>
      <c r="E846" s="1807"/>
      <c r="F846" s="1807"/>
      <c r="G846" s="676"/>
    </row>
    <row r="847" spans="1:9" ht="12.75" customHeight="1">
      <c r="A847" s="1617"/>
      <c r="B847" s="1617"/>
      <c r="C847" s="1649"/>
      <c r="D847" s="1611"/>
      <c r="E847" s="6"/>
      <c r="F847" s="6"/>
      <c r="G847" s="676"/>
    </row>
    <row r="848" spans="1:9" ht="12.75" customHeight="1">
      <c r="A848" s="1623" t="s">
        <v>2220</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29" t="s">
        <v>2258</v>
      </c>
      <c r="E850" s="1829"/>
      <c r="F850" s="1829"/>
      <c r="G850" s="1642"/>
    </row>
    <row r="851" spans="1:9" ht="12.75" customHeight="1">
      <c r="A851" s="1645"/>
      <c r="B851" s="1645"/>
      <c r="C851" s="313"/>
      <c r="D851" s="1938" t="s">
        <v>2221</v>
      </c>
      <c r="E851" s="1938"/>
      <c r="F851" s="1938"/>
      <c r="G851" s="1642"/>
    </row>
    <row r="852" spans="1:9" ht="12.75" customHeight="1">
      <c r="A852" s="1645"/>
      <c r="B852" s="1645"/>
      <c r="C852" s="313"/>
      <c r="D852" s="1653"/>
      <c r="E852" s="1653"/>
      <c r="F852" s="1653"/>
      <c r="G852" s="1642"/>
    </row>
    <row r="853" spans="1:9" ht="12.75" customHeight="1">
      <c r="A853" s="712"/>
      <c r="B853" s="796" t="s">
        <v>2642</v>
      </c>
      <c r="C853" s="554"/>
      <c r="D853" s="1830" t="s">
        <v>2222</v>
      </c>
      <c r="E853" s="1830"/>
      <c r="F853" s="1830"/>
      <c r="G853" s="1642"/>
      <c r="I853" s="1677" t="s">
        <v>2403</v>
      </c>
    </row>
    <row r="854" spans="1:9" ht="12.75" customHeight="1">
      <c r="A854" s="1645"/>
      <c r="B854" s="1645"/>
      <c r="C854" s="554"/>
      <c r="D854" s="5" t="s">
        <v>2183</v>
      </c>
      <c r="E854" s="1940" t="s">
        <v>2218</v>
      </c>
      <c r="F854" s="1940"/>
      <c r="G854" s="1642"/>
    </row>
    <row r="855" spans="1:9" ht="12.75" customHeight="1">
      <c r="A855" s="1645"/>
      <c r="B855" s="1645"/>
      <c r="C855" s="554"/>
      <c r="D855" s="1611"/>
      <c r="E855" s="1641"/>
      <c r="F855" s="1641"/>
      <c r="G855" s="1642"/>
    </row>
    <row r="856" spans="1:9" ht="12.75" customHeight="1">
      <c r="A856" s="712"/>
      <c r="B856" s="796" t="s">
        <v>2642</v>
      </c>
      <c r="C856" s="554"/>
      <c r="D856" s="1805" t="s">
        <v>2223</v>
      </c>
      <c r="E856" s="1879"/>
      <c r="F856" s="1879"/>
      <c r="G856" s="676"/>
      <c r="I856" s="1677" t="s">
        <v>2423</v>
      </c>
    </row>
    <row r="857" spans="1:9" ht="12.75" customHeight="1">
      <c r="A857" s="1645"/>
      <c r="B857" s="1645"/>
      <c r="C857" s="554"/>
      <c r="D857" s="1879"/>
      <c r="E857" s="1879"/>
      <c r="F857" s="1879"/>
      <c r="G857" s="676"/>
    </row>
    <row r="858" spans="1:9" ht="12.75" customHeight="1">
      <c r="A858" s="1645"/>
      <c r="B858" s="1645"/>
      <c r="C858" s="554"/>
      <c r="D858" s="1611"/>
      <c r="E858" s="6"/>
      <c r="F858" s="6"/>
      <c r="G858" s="676"/>
    </row>
    <row r="859" spans="1:9" ht="12.75" customHeight="1">
      <c r="A859" s="554"/>
      <c r="B859" s="796" t="s">
        <v>2641</v>
      </c>
      <c r="C859" s="555"/>
      <c r="D859" s="1941" t="s">
        <v>2224</v>
      </c>
      <c r="E859" s="1941"/>
      <c r="F859" s="1941"/>
      <c r="G859" s="1642"/>
    </row>
    <row r="860" spans="1:9" ht="12.75" customHeight="1">
      <c r="A860" s="554"/>
      <c r="B860" s="1654"/>
      <c r="C860" s="555"/>
      <c r="D860" s="1941"/>
      <c r="E860" s="1941"/>
      <c r="F860" s="1941"/>
      <c r="G860" s="1642"/>
    </row>
    <row r="861" spans="1:9" ht="12.75" customHeight="1">
      <c r="A861" s="712"/>
      <c r="B861" s="675"/>
      <c r="C861" s="554"/>
      <c r="D861" s="1807" t="s">
        <v>2215</v>
      </c>
      <c r="E861" s="1807"/>
      <c r="F861" s="1807"/>
      <c r="G861" s="1642"/>
    </row>
    <row r="862" spans="1:9" ht="12.75" customHeight="1">
      <c r="A862" s="712"/>
      <c r="B862" s="712"/>
      <c r="C862" s="554"/>
      <c r="D862" s="1807"/>
      <c r="E862" s="1807"/>
      <c r="F862" s="1807"/>
      <c r="G862" s="1642"/>
    </row>
    <row r="863" spans="1:9" ht="12.75" customHeight="1">
      <c r="A863" s="712"/>
      <c r="B863" s="712"/>
      <c r="C863" s="554"/>
      <c r="D863" s="1807"/>
      <c r="E863" s="1807"/>
      <c r="F863" s="1807"/>
      <c r="G863" s="1642"/>
    </row>
    <row r="864" spans="1:9" ht="12.75" customHeight="1">
      <c r="A864" s="712"/>
      <c r="B864" s="712"/>
      <c r="C864" s="554"/>
      <c r="D864" s="1807"/>
      <c r="E864" s="1807"/>
      <c r="F864" s="1807"/>
      <c r="G864" s="1642"/>
    </row>
    <row r="865" spans="1:9" ht="12.75" customHeight="1">
      <c r="A865" s="712"/>
      <c r="B865" s="712"/>
      <c r="C865" s="554"/>
      <c r="D865" s="1807"/>
      <c r="E865" s="1807"/>
      <c r="F865" s="1807"/>
      <c r="G865" s="1642"/>
    </row>
    <row r="866" spans="1:9" ht="12.75" customHeight="1">
      <c r="A866" s="712"/>
      <c r="B866" s="712"/>
      <c r="C866" s="554"/>
      <c r="D866" s="1807"/>
      <c r="E866" s="1807"/>
      <c r="F866" s="1807"/>
      <c r="G866" s="1642"/>
    </row>
    <row r="867" spans="1:9" ht="12.75" customHeight="1">
      <c r="A867" s="712"/>
      <c r="B867" s="712"/>
      <c r="C867" s="554"/>
      <c r="D867" s="1611"/>
      <c r="E867" s="1641"/>
      <c r="F867" s="1641"/>
      <c r="G867" s="1642"/>
    </row>
    <row r="868" spans="1:9" ht="12.75" customHeight="1">
      <c r="A868" s="712"/>
      <c r="B868" s="796" t="s">
        <v>2641</v>
      </c>
      <c r="C868" s="554"/>
      <c r="D868" s="1834" t="s">
        <v>2216</v>
      </c>
      <c r="E868" s="1834"/>
      <c r="F868" s="1834"/>
      <c r="G868" s="1642"/>
      <c r="I868" s="1677" t="s">
        <v>2403</v>
      </c>
    </row>
    <row r="869" spans="1:9" ht="12.75" customHeight="1">
      <c r="A869" s="712"/>
      <c r="B869" s="712"/>
      <c r="C869" s="554"/>
      <c r="D869" s="1834" t="s">
        <v>2217</v>
      </c>
      <c r="E869" s="1834"/>
      <c r="F869" s="1834"/>
      <c r="G869" s="1642"/>
    </row>
    <row r="870" spans="1:9" ht="12.75" customHeight="1">
      <c r="A870" s="712"/>
      <c r="B870" s="712"/>
      <c r="C870" s="554"/>
      <c r="D870" s="5" t="s">
        <v>1499</v>
      </c>
      <c r="E870" s="1942" t="s">
        <v>2218</v>
      </c>
      <c r="F870" s="1942"/>
      <c r="G870" s="1642"/>
    </row>
    <row r="871" spans="1:9" ht="12.75" customHeight="1">
      <c r="A871" s="712"/>
      <c r="B871" s="712"/>
      <c r="C871" s="554"/>
      <c r="D871" s="1611"/>
      <c r="E871" s="1641"/>
      <c r="F871" s="1641"/>
      <c r="G871" s="1642"/>
    </row>
    <row r="872" spans="1:9" ht="12.75" customHeight="1">
      <c r="A872" s="712"/>
      <c r="B872" s="796" t="s">
        <v>2641</v>
      </c>
      <c r="C872" s="554"/>
      <c r="D872" s="1805" t="s">
        <v>2219</v>
      </c>
      <c r="E872" s="1805"/>
      <c r="F872" s="1805"/>
      <c r="G872" s="1642"/>
      <c r="I872" s="1677" t="s">
        <v>2423</v>
      </c>
    </row>
    <row r="873" spans="1:9" ht="12.75" customHeight="1">
      <c r="A873" s="712"/>
      <c r="B873" s="712"/>
      <c r="C873" s="554"/>
      <c r="D873" s="1805"/>
      <c r="E873" s="1805"/>
      <c r="F873" s="1805"/>
      <c r="G873" s="1642"/>
    </row>
    <row r="874" spans="1:9" ht="12.75" customHeight="1">
      <c r="A874" s="712"/>
      <c r="B874" s="712"/>
      <c r="C874" s="554"/>
      <c r="D874" s="1805"/>
      <c r="E874" s="1805"/>
      <c r="F874" s="1805"/>
      <c r="G874" s="1642"/>
    </row>
    <row r="875" spans="1:9" ht="12.75" customHeight="1">
      <c r="A875" s="712"/>
      <c r="B875" s="712"/>
      <c r="C875" s="554"/>
      <c r="D875" s="1805"/>
      <c r="E875" s="1805"/>
      <c r="F875" s="1805"/>
      <c r="G875" s="1642"/>
    </row>
    <row r="876" spans="1:9" ht="12.75" customHeight="1">
      <c r="A876" s="1612"/>
      <c r="B876" s="1612"/>
      <c r="C876" s="1643"/>
      <c r="D876" s="1641"/>
      <c r="E876" s="1641"/>
      <c r="F876" s="1641"/>
      <c r="G876" s="1642"/>
    </row>
    <row r="877" spans="1:9" ht="12.75" customHeight="1">
      <c r="A877" s="1840" t="s">
        <v>2259</v>
      </c>
      <c r="B877" s="1840"/>
      <c r="C877" s="1840"/>
      <c r="D877" s="1840"/>
      <c r="E877" s="1840"/>
      <c r="F877" s="1840"/>
      <c r="G877" s="1840"/>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49" t="s">
        <v>2265</v>
      </c>
      <c r="E879" s="1849"/>
      <c r="F879" s="1849"/>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2642</v>
      </c>
      <c r="C881" s="93"/>
      <c r="D881" s="1625" t="s">
        <v>2266</v>
      </c>
      <c r="E881" s="1619"/>
      <c r="F881" s="1619"/>
      <c r="G881" s="93"/>
      <c r="I881" s="1677" t="s">
        <v>2437</v>
      </c>
    </row>
    <row r="882" spans="1:9" s="1675" customFormat="1" ht="12.75" customHeight="1">
      <c r="A882" s="93"/>
      <c r="B882" s="93"/>
      <c r="C882" s="93"/>
      <c r="D882" s="1619"/>
      <c r="E882" s="1619"/>
      <c r="F882" s="1619"/>
      <c r="G882" s="93"/>
      <c r="I882" s="1677"/>
    </row>
    <row r="883" spans="1:9" ht="12.75" customHeight="1">
      <c r="A883" s="1645"/>
      <c r="B883" s="1645"/>
      <c r="C883" s="1643"/>
      <c r="D883" s="1849" t="s">
        <v>2260</v>
      </c>
      <c r="E883" s="1849"/>
      <c r="F883" s="1849"/>
      <c r="G883" s="1642"/>
    </row>
    <row r="884" spans="1:9" ht="12.75" customHeight="1">
      <c r="A884" s="1617"/>
      <c r="B884" s="1617"/>
      <c r="C884" s="1649"/>
      <c r="D884" s="1830" t="s">
        <v>2225</v>
      </c>
      <c r="E884" s="1830"/>
      <c r="F884" s="1830"/>
      <c r="G884" s="1642"/>
    </row>
    <row r="885" spans="1:9" ht="12.75" customHeight="1">
      <c r="A885" s="1659"/>
      <c r="B885" s="1659"/>
      <c r="C885" s="1643"/>
      <c r="D885" s="5"/>
      <c r="E885" s="1641"/>
      <c r="F885" s="1641"/>
      <c r="G885" s="1642"/>
    </row>
    <row r="886" spans="1:9" ht="12.75" customHeight="1">
      <c r="A886" s="712"/>
      <c r="B886" s="796" t="s">
        <v>2642</v>
      </c>
      <c r="C886" s="554"/>
      <c r="D886" s="1805" t="s">
        <v>2229</v>
      </c>
      <c r="E886" s="1805"/>
      <c r="F886" s="1805"/>
      <c r="G886" s="676"/>
      <c r="I886" s="1677" t="s">
        <v>2387</v>
      </c>
    </row>
    <row r="887" spans="1:9" ht="12.75" customHeight="1">
      <c r="A887" s="1645"/>
      <c r="B887" s="1645"/>
      <c r="C887" s="554"/>
      <c r="D887" s="1805"/>
      <c r="E887" s="1805"/>
      <c r="F887" s="1805"/>
      <c r="G887" s="676"/>
    </row>
    <row r="888" spans="1:9" s="1675" customFormat="1" ht="12.75" customHeight="1">
      <c r="A888" s="1745"/>
      <c r="B888" s="1745"/>
      <c r="C888" s="1649"/>
      <c r="D888" s="1805" t="s">
        <v>2228</v>
      </c>
      <c r="E888" s="1805"/>
      <c r="F888" s="1805"/>
      <c r="G888" s="1642"/>
      <c r="I888" s="1677"/>
    </row>
    <row r="889" spans="1:9" s="1675" customFormat="1" ht="12.75" customHeight="1">
      <c r="A889" s="1745"/>
      <c r="B889" s="1745"/>
      <c r="C889" s="1649"/>
      <c r="D889" s="1805"/>
      <c r="E889" s="1805"/>
      <c r="F889" s="1805"/>
      <c r="G889" s="1642"/>
      <c r="I889" s="1677"/>
    </row>
    <row r="890" spans="1:9" ht="12.75" customHeight="1">
      <c r="A890" s="1617"/>
      <c r="B890" s="1617"/>
      <c r="C890" s="1649"/>
      <c r="D890" s="6"/>
      <c r="E890" s="6"/>
      <c r="F890" s="1641"/>
      <c r="G890" s="1642"/>
    </row>
    <row r="891" spans="1:9" ht="12.75" customHeight="1">
      <c r="A891" s="403"/>
      <c r="B891" s="796" t="s">
        <v>2642</v>
      </c>
      <c r="C891" s="486"/>
      <c r="D891" s="1937" t="s">
        <v>2226</v>
      </c>
      <c r="E891" s="1937"/>
      <c r="F891" s="1937"/>
      <c r="G891" s="1642"/>
      <c r="I891" s="1677" t="s">
        <v>2386</v>
      </c>
    </row>
    <row r="892" spans="1:9" ht="12.75" customHeight="1">
      <c r="A892" s="403"/>
      <c r="B892" s="403"/>
      <c r="C892" s="486"/>
      <c r="D892" s="1937"/>
      <c r="E892" s="1937"/>
      <c r="F892" s="1937"/>
      <c r="G892" s="1642"/>
    </row>
    <row r="893" spans="1:9" ht="12.75" customHeight="1">
      <c r="A893" s="403"/>
      <c r="B893" s="403"/>
      <c r="C893" s="486"/>
      <c r="D893" s="1937"/>
      <c r="E893" s="1937"/>
      <c r="F893" s="1937"/>
      <c r="G893" s="1642"/>
    </row>
    <row r="894" spans="1:9" s="1675" customFormat="1" ht="12.75" customHeight="1">
      <c r="A894" s="403"/>
      <c r="B894" s="403"/>
      <c r="C894" s="486"/>
      <c r="D894" s="1937"/>
      <c r="E894" s="1937"/>
      <c r="F894" s="1937"/>
      <c r="G894" s="1642"/>
      <c r="I894" s="1677"/>
    </row>
    <row r="895" spans="1:9" ht="12.75" customHeight="1">
      <c r="A895" s="403"/>
      <c r="B895" s="403"/>
      <c r="C895" s="486"/>
      <c r="D895" s="1937"/>
      <c r="E895" s="1937"/>
      <c r="F895" s="1937"/>
      <c r="G895" s="1642"/>
    </row>
    <row r="896" spans="1:9" ht="12.75" customHeight="1">
      <c r="A896" s="487"/>
      <c r="B896" s="487"/>
      <c r="C896" s="486"/>
      <c r="D896" s="1937"/>
      <c r="E896" s="1937"/>
      <c r="F896" s="1937"/>
      <c r="G896" s="1642"/>
    </row>
    <row r="897" spans="1:9" ht="12.75" customHeight="1">
      <c r="A897" s="487"/>
      <c r="B897" s="487"/>
      <c r="C897" s="486"/>
      <c r="D897" s="1937"/>
      <c r="E897" s="1937"/>
      <c r="F897" s="1937"/>
      <c r="G897" s="1642"/>
    </row>
    <row r="898" spans="1:9" ht="12.75" customHeight="1">
      <c r="A898" s="487"/>
      <c r="B898" s="487"/>
      <c r="C898" s="486"/>
      <c r="D898" s="1937"/>
      <c r="E898" s="1937"/>
      <c r="F898" s="1937"/>
      <c r="G898" s="1642"/>
    </row>
    <row r="899" spans="1:9" s="1675" customFormat="1" ht="12.75" customHeight="1">
      <c r="A899" s="487"/>
      <c r="B899" s="487"/>
      <c r="C899" s="486"/>
      <c r="D899" s="1746"/>
      <c r="E899" s="1746"/>
      <c r="F899" s="1746"/>
      <c r="G899" s="1642"/>
      <c r="I899" s="1677"/>
    </row>
    <row r="900" spans="1:9" ht="12.75" customHeight="1">
      <c r="A900" s="1659"/>
      <c r="B900" s="796" t="s">
        <v>2641</v>
      </c>
      <c r="C900" s="1643"/>
      <c r="D900" s="1805" t="s">
        <v>2230</v>
      </c>
      <c r="E900" s="1805"/>
      <c r="F900" s="1805"/>
      <c r="G900" s="1642"/>
    </row>
    <row r="901" spans="1:9" ht="12.75" customHeight="1">
      <c r="A901" s="1659"/>
      <c r="B901" s="1659"/>
      <c r="C901" s="1643"/>
      <c r="D901" s="1805"/>
      <c r="E901" s="1805"/>
      <c r="F901" s="1805"/>
      <c r="G901" s="1642"/>
    </row>
    <row r="902" spans="1:9" ht="12.75" customHeight="1">
      <c r="A902" s="1659"/>
      <c r="B902" s="1659"/>
      <c r="C902" s="1643"/>
      <c r="D902" s="1641"/>
      <c r="E902" s="1641"/>
      <c r="F902" s="1641"/>
      <c r="G902" s="1642"/>
    </row>
    <row r="903" spans="1:9" ht="12.75" customHeight="1">
      <c r="A903" s="1659"/>
      <c r="B903" s="796" t="s">
        <v>2641</v>
      </c>
      <c r="C903" s="1643"/>
      <c r="D903" s="1863" t="s">
        <v>2231</v>
      </c>
      <c r="E903" s="1863"/>
      <c r="F903" s="1863"/>
      <c r="G903" s="1642"/>
    </row>
    <row r="904" spans="1:9" ht="12.75" customHeight="1">
      <c r="A904" s="1659"/>
      <c r="B904" s="1659"/>
      <c r="C904" s="1643"/>
      <c r="D904" s="1863"/>
      <c r="E904" s="1863"/>
      <c r="F904" s="1863"/>
      <c r="G904" s="1642"/>
    </row>
    <row r="905" spans="1:9" ht="12.75" customHeight="1">
      <c r="A905" s="1659"/>
      <c r="B905" s="1659"/>
      <c r="C905" s="1643"/>
      <c r="D905" s="1863"/>
      <c r="E905" s="1863"/>
      <c r="F905" s="1863"/>
      <c r="G905" s="1642"/>
    </row>
    <row r="906" spans="1:9" ht="12.75" customHeight="1">
      <c r="A906" s="1659"/>
      <c r="B906" s="1659"/>
      <c r="C906" s="1643"/>
      <c r="D906" s="1863"/>
      <c r="E906" s="1863"/>
      <c r="F906" s="1863"/>
      <c r="G906" s="1642"/>
    </row>
    <row r="907" spans="1:9" ht="12.75" customHeight="1">
      <c r="A907" s="1659"/>
      <c r="B907" s="1659"/>
      <c r="C907" s="1643"/>
      <c r="D907" s="1611"/>
      <c r="E907" s="1641"/>
      <c r="F907" s="1641"/>
      <c r="G907" s="1642"/>
    </row>
    <row r="908" spans="1:9" ht="12.75" customHeight="1">
      <c r="A908" s="1659"/>
      <c r="B908" s="796" t="s">
        <v>2641</v>
      </c>
      <c r="C908" s="1643"/>
      <c r="D908" s="1830" t="s">
        <v>2232</v>
      </c>
      <c r="E908" s="1830"/>
      <c r="F908" s="1830"/>
      <c r="G908" s="1642"/>
    </row>
    <row r="909" spans="1:9" ht="12.75" customHeight="1">
      <c r="A909" s="1659"/>
      <c r="B909" s="1659"/>
      <c r="C909" s="1643"/>
      <c r="D909" s="1611"/>
      <c r="E909" s="1641"/>
      <c r="F909" s="1641"/>
      <c r="G909" s="1642"/>
    </row>
    <row r="910" spans="1:9" ht="12.75" customHeight="1">
      <c r="A910" s="1659"/>
      <c r="B910" s="796" t="s">
        <v>2641</v>
      </c>
      <c r="C910" s="1643"/>
      <c r="D910" s="1830" t="s">
        <v>2233</v>
      </c>
      <c r="E910" s="1830"/>
      <c r="F910" s="1830"/>
      <c r="G910" s="1642"/>
    </row>
    <row r="911" spans="1:9" ht="12.75" customHeight="1">
      <c r="A911" s="487"/>
      <c r="B911" s="487"/>
      <c r="C911" s="486"/>
      <c r="D911" s="183"/>
      <c r="E911" s="676"/>
      <c r="F911" s="1642"/>
      <c r="G911" s="1642"/>
    </row>
    <row r="912" spans="1:9" ht="12.75" customHeight="1">
      <c r="A912" s="1655"/>
      <c r="B912" s="796" t="s">
        <v>2642</v>
      </c>
      <c r="C912" s="1656"/>
      <c r="D912" s="1937" t="s">
        <v>2227</v>
      </c>
      <c r="E912" s="1937"/>
      <c r="F912" s="1937"/>
      <c r="G912" s="1657"/>
      <c r="I912" s="1677" t="s">
        <v>2438</v>
      </c>
    </row>
    <row r="913" spans="1:9" ht="12.75" customHeight="1">
      <c r="A913" s="1655"/>
      <c r="B913" s="1655"/>
      <c r="C913" s="1656"/>
      <c r="D913" s="1937"/>
      <c r="E913" s="1937"/>
      <c r="F913" s="1937"/>
      <c r="G913" s="1657"/>
    </row>
    <row r="914" spans="1:9" ht="12.75" customHeight="1">
      <c r="A914" s="1655"/>
      <c r="B914" s="1655"/>
      <c r="C914" s="1656"/>
      <c r="D914" s="1937"/>
      <c r="E914" s="1937"/>
      <c r="F914" s="1937"/>
      <c r="G914" s="1657"/>
    </row>
    <row r="915" spans="1:9" ht="12.75" customHeight="1">
      <c r="A915" s="1655"/>
      <c r="B915" s="1655"/>
      <c r="C915" s="1656"/>
      <c r="D915" s="1937"/>
      <c r="E915" s="1937"/>
      <c r="F915" s="1937"/>
      <c r="G915" s="1657"/>
    </row>
    <row r="916" spans="1:9" ht="12.75" customHeight="1">
      <c r="A916" s="1655"/>
      <c r="B916" s="1655"/>
      <c r="C916" s="1656"/>
      <c r="D916" s="1937"/>
      <c r="E916" s="1937"/>
      <c r="F916" s="1937"/>
      <c r="G916" s="1657"/>
    </row>
    <row r="917" spans="1:9" ht="12.75" customHeight="1">
      <c r="A917" s="1655"/>
      <c r="B917" s="1655"/>
      <c r="C917" s="1656"/>
      <c r="D917" s="1937"/>
      <c r="E917" s="1937"/>
      <c r="F917" s="1937"/>
      <c r="G917" s="1657"/>
    </row>
    <row r="918" spans="1:9" ht="12.75" customHeight="1">
      <c r="A918" s="1655"/>
      <c r="B918" s="1655"/>
      <c r="C918" s="1656"/>
      <c r="D918" s="1937"/>
      <c r="E918" s="1937"/>
      <c r="F918" s="1937"/>
      <c r="G918" s="1657"/>
    </row>
    <row r="919" spans="1:9" ht="12.75" customHeight="1">
      <c r="A919" s="1655"/>
      <c r="B919" s="1655"/>
      <c r="C919" s="1656"/>
      <c r="D919" s="1937"/>
      <c r="E919" s="1937"/>
      <c r="F919" s="1937"/>
      <c r="G919" s="1657"/>
    </row>
    <row r="920" spans="1:9" ht="12.75" customHeight="1">
      <c r="A920" s="1655"/>
      <c r="B920" s="1655"/>
      <c r="C920" s="1656"/>
      <c r="D920" s="1937"/>
      <c r="E920" s="1937"/>
      <c r="F920" s="1937"/>
      <c r="G920" s="1657"/>
    </row>
    <row r="921" spans="1:9" ht="12.75" customHeight="1">
      <c r="A921" s="487"/>
      <c r="B921" s="487"/>
      <c r="C921" s="486"/>
      <c r="D921" s="183"/>
      <c r="E921" s="676"/>
      <c r="F921" s="1642"/>
      <c r="G921" s="1642"/>
    </row>
    <row r="922" spans="1:9" ht="12.75" customHeight="1">
      <c r="A922" s="403"/>
      <c r="B922" s="796" t="s">
        <v>2642</v>
      </c>
      <c r="C922" s="486"/>
      <c r="D922" s="1939" t="s">
        <v>2441</v>
      </c>
      <c r="E922" s="1939"/>
      <c r="F922" s="1939"/>
      <c r="G922" s="1642"/>
      <c r="I922" s="1677" t="s">
        <v>2438</v>
      </c>
    </row>
    <row r="923" spans="1:9" ht="12.75" customHeight="1">
      <c r="A923" s="403"/>
      <c r="B923" s="403"/>
      <c r="C923" s="486"/>
      <c r="D923" s="1939"/>
      <c r="E923" s="1939"/>
      <c r="F923" s="1939"/>
      <c r="G923" s="1642"/>
    </row>
    <row r="924" spans="1:9" ht="12.75" customHeight="1">
      <c r="A924" s="403"/>
      <c r="B924" s="403"/>
      <c r="C924" s="486"/>
      <c r="D924" s="1939"/>
      <c r="E924" s="1939"/>
      <c r="F924" s="1939"/>
      <c r="G924" s="1642"/>
    </row>
    <row r="925" spans="1:9" ht="12.75" customHeight="1">
      <c r="A925" s="403"/>
      <c r="B925" s="403"/>
      <c r="C925" s="486"/>
      <c r="D925" s="1939"/>
      <c r="E925" s="1939"/>
      <c r="F925" s="1939"/>
      <c r="G925" s="1642"/>
    </row>
    <row r="926" spans="1:9" ht="12.75" customHeight="1">
      <c r="A926" s="403"/>
      <c r="B926" s="403"/>
      <c r="C926" s="486"/>
      <c r="D926" s="1939"/>
      <c r="E926" s="1939"/>
      <c r="F926" s="1939"/>
      <c r="G926" s="1642"/>
    </row>
    <row r="927" spans="1:9" ht="12.75" customHeight="1">
      <c r="A927" s="403"/>
      <c r="B927" s="403"/>
      <c r="C927" s="486"/>
      <c r="D927" s="1939"/>
      <c r="E927" s="1939"/>
      <c r="F927" s="1939"/>
      <c r="G927" s="1642"/>
    </row>
    <row r="928" spans="1:9" ht="12.75" customHeight="1">
      <c r="A928" s="403"/>
      <c r="B928" s="403"/>
      <c r="C928" s="486"/>
      <c r="D928" s="1939"/>
      <c r="E928" s="1939"/>
      <c r="F928" s="193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2641</v>
      </c>
      <c r="C930" s="486"/>
      <c r="D930" s="1865" t="s">
        <v>2439</v>
      </c>
      <c r="E930" s="1865"/>
      <c r="F930" s="1865"/>
      <c r="G930" s="1642"/>
      <c r="I930" s="1677"/>
    </row>
    <row r="931" spans="1:9" s="1675" customFormat="1" ht="12.75" customHeight="1">
      <c r="A931" s="403"/>
      <c r="B931" s="403"/>
      <c r="C931" s="486"/>
      <c r="D931" s="1865"/>
      <c r="E931" s="1865"/>
      <c r="F931" s="1865"/>
      <c r="G931" s="1642"/>
      <c r="I931" s="1677"/>
    </row>
    <row r="932" spans="1:9" s="1675" customFormat="1" ht="12.75" customHeight="1">
      <c r="A932" s="403"/>
      <c r="B932" s="403"/>
      <c r="C932" s="486"/>
      <c r="D932" s="1865"/>
      <c r="E932" s="1865"/>
      <c r="F932" s="1865"/>
      <c r="G932" s="1642"/>
      <c r="I932" s="1677"/>
    </row>
    <row r="933" spans="1:9" s="1675" customFormat="1" ht="12.75" customHeight="1">
      <c r="A933" s="403"/>
      <c r="B933" s="403"/>
      <c r="C933" s="486"/>
      <c r="D933" s="1865"/>
      <c r="E933" s="1865"/>
      <c r="F933" s="1865"/>
      <c r="G933" s="1642"/>
      <c r="I933" s="1677"/>
    </row>
    <row r="934" spans="1:9" s="1675" customFormat="1" ht="12.75" customHeight="1">
      <c r="A934" s="403"/>
      <c r="B934" s="403"/>
      <c r="C934" s="486"/>
      <c r="D934" s="1865"/>
      <c r="E934" s="1865"/>
      <c r="F934" s="1865"/>
      <c r="G934" s="1642"/>
      <c r="I934" s="1677"/>
    </row>
    <row r="935" spans="1:9" s="1675" customFormat="1" ht="12.75" customHeight="1">
      <c r="A935" s="403"/>
      <c r="B935" s="403"/>
      <c r="C935" s="486"/>
      <c r="D935" s="1865"/>
      <c r="E935" s="1865"/>
      <c r="F935" s="1865"/>
      <c r="G935" s="1642"/>
      <c r="I935" s="1677"/>
    </row>
    <row r="936" spans="1:9" s="1675" customFormat="1" ht="12.75" customHeight="1">
      <c r="A936" s="403"/>
      <c r="B936" s="403"/>
      <c r="C936" s="486"/>
      <c r="D936" s="1747"/>
      <c r="E936" s="1747"/>
      <c r="F936" s="1747"/>
      <c r="G936" s="1642"/>
      <c r="I936" s="1677"/>
    </row>
    <row r="937" spans="1:9" ht="12.75" customHeight="1">
      <c r="A937" s="1659"/>
      <c r="B937" s="796" t="s">
        <v>2641</v>
      </c>
      <c r="C937" s="1643"/>
      <c r="D937" s="1943" t="s">
        <v>2234</v>
      </c>
      <c r="E937" s="1943"/>
      <c r="F937" s="1943"/>
      <c r="G937" s="1642"/>
    </row>
    <row r="938" spans="1:9" ht="12.75" customHeight="1">
      <c r="A938" s="1659"/>
      <c r="B938" s="1659"/>
      <c r="C938" s="1643"/>
      <c r="D938" s="1943"/>
      <c r="E938" s="1943"/>
      <c r="F938" s="1943"/>
      <c r="G938" s="1642"/>
    </row>
    <row r="939" spans="1:9" ht="12.75" customHeight="1">
      <c r="A939" s="1659"/>
      <c r="B939" s="1659"/>
      <c r="C939" s="1643"/>
      <c r="D939" s="1943"/>
      <c r="E939" s="1943"/>
      <c r="F939" s="194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2641</v>
      </c>
      <c r="C942" s="486"/>
      <c r="D942" s="1937" t="s">
        <v>2440</v>
      </c>
      <c r="E942" s="1937"/>
      <c r="F942" s="1937"/>
      <c r="G942" s="1642"/>
      <c r="I942" s="1677" t="s">
        <v>2438</v>
      </c>
    </row>
    <row r="943" spans="1:9" ht="12.75" customHeight="1">
      <c r="A943" s="403"/>
      <c r="B943" s="403"/>
      <c r="C943" s="486"/>
      <c r="D943" s="1937"/>
      <c r="E943" s="1937"/>
      <c r="F943" s="1937"/>
      <c r="G943" s="1642"/>
    </row>
    <row r="944" spans="1:9" ht="12.75" customHeight="1">
      <c r="A944" s="403"/>
      <c r="B944" s="403"/>
      <c r="C944" s="486"/>
      <c r="D944" s="1937"/>
      <c r="E944" s="1937"/>
      <c r="F944" s="1937"/>
      <c r="G944" s="1642"/>
    </row>
    <row r="945" spans="1:9" ht="12.75" customHeight="1">
      <c r="A945" s="403"/>
      <c r="B945" s="403"/>
      <c r="C945" s="486"/>
      <c r="D945" s="1937"/>
      <c r="E945" s="1937"/>
      <c r="F945" s="1937"/>
      <c r="G945" s="1642"/>
    </row>
    <row r="946" spans="1:9" ht="12.75" customHeight="1">
      <c r="A946" s="1661"/>
      <c r="B946" s="1661"/>
      <c r="C946" s="1647"/>
      <c r="D946" s="1608"/>
      <c r="E946" s="1608"/>
      <c r="F946" s="1608"/>
      <c r="G946" s="1608"/>
    </row>
    <row r="947" spans="1:9" ht="12.75" customHeight="1">
      <c r="A947" s="1645"/>
      <c r="B947" s="1645"/>
      <c r="C947" s="554"/>
      <c r="D947" s="1829" t="s">
        <v>2235</v>
      </c>
      <c r="E947" s="1829"/>
      <c r="F947" s="1829"/>
      <c r="G947" s="676"/>
    </row>
    <row r="948" spans="1:9" ht="12.75" customHeight="1">
      <c r="A948" s="712"/>
      <c r="B948" s="796" t="s">
        <v>2641</v>
      </c>
      <c r="C948" s="554"/>
      <c r="D948" s="1830" t="s">
        <v>2261</v>
      </c>
      <c r="E948" s="1830"/>
      <c r="F948" s="1830"/>
      <c r="G948" s="676"/>
      <c r="I948" s="1677" t="s">
        <v>2438</v>
      </c>
    </row>
    <row r="949" spans="1:9" ht="12.75" customHeight="1">
      <c r="A949" s="1645"/>
      <c r="B949" s="1645"/>
      <c r="C949" s="554"/>
      <c r="D949" s="6"/>
      <c r="E949" s="6"/>
      <c r="F949" s="6"/>
      <c r="G949" s="676"/>
    </row>
    <row r="950" spans="1:9" ht="12.75" customHeight="1">
      <c r="A950" s="1645"/>
      <c r="B950" s="1645"/>
      <c r="C950" s="554"/>
      <c r="D950" s="1829" t="s">
        <v>2236</v>
      </c>
      <c r="E950" s="1829"/>
      <c r="F950" s="1829"/>
      <c r="G950" s="675"/>
    </row>
    <row r="951" spans="1:9" ht="12.75" customHeight="1">
      <c r="A951" s="712"/>
      <c r="B951" s="796" t="s">
        <v>2641</v>
      </c>
      <c r="C951" s="554"/>
      <c r="D951" s="1805" t="s">
        <v>2237</v>
      </c>
      <c r="E951" s="1805"/>
      <c r="F951" s="1805"/>
      <c r="G951" s="675"/>
      <c r="I951" s="1677" t="s">
        <v>2438</v>
      </c>
    </row>
    <row r="952" spans="1:9" ht="12.75" customHeight="1">
      <c r="A952" s="712"/>
      <c r="B952" s="712"/>
      <c r="C952" s="554"/>
      <c r="D952" s="1805"/>
      <c r="E952" s="1805"/>
      <c r="F952" s="1805"/>
      <c r="G952" s="675"/>
    </row>
    <row r="953" spans="1:9" ht="12.75" customHeight="1">
      <c r="A953" s="712"/>
      <c r="B953" s="712"/>
      <c r="C953" s="554"/>
      <c r="D953" s="1805"/>
      <c r="E953" s="1805"/>
      <c r="F953" s="1805"/>
      <c r="G953" s="675"/>
    </row>
    <row r="954" spans="1:9" ht="12.75" customHeight="1">
      <c r="A954" s="712"/>
      <c r="B954" s="712"/>
      <c r="C954" s="554"/>
      <c r="D954" s="1805"/>
      <c r="E954" s="1805"/>
      <c r="F954" s="1805"/>
      <c r="G954" s="675"/>
    </row>
    <row r="955" spans="1:9" ht="12.75" customHeight="1">
      <c r="A955" s="712"/>
      <c r="B955" s="712"/>
      <c r="C955" s="554"/>
      <c r="D955" s="1805"/>
      <c r="E955" s="1805"/>
      <c r="F955" s="1805"/>
      <c r="G955" s="675"/>
    </row>
    <row r="956" spans="1:9" ht="12.75" customHeight="1">
      <c r="A956" s="712"/>
      <c r="B956" s="712"/>
      <c r="C956" s="554"/>
      <c r="D956" s="1805"/>
      <c r="E956" s="1805"/>
      <c r="F956" s="1805"/>
      <c r="G956" s="675"/>
    </row>
    <row r="957" spans="1:9" ht="12.75" customHeight="1">
      <c r="A957" s="712"/>
      <c r="B957" s="712"/>
      <c r="C957" s="554"/>
      <c r="D957" s="1805"/>
      <c r="E957" s="1805"/>
      <c r="F957" s="1805"/>
      <c r="G957" s="675"/>
    </row>
    <row r="958" spans="1:9" ht="12.75" customHeight="1">
      <c r="A958" s="712"/>
      <c r="B958" s="712"/>
      <c r="C958" s="554"/>
      <c r="D958" s="1805"/>
      <c r="E958" s="1805"/>
      <c r="F958" s="1805"/>
      <c r="G958" s="675"/>
    </row>
    <row r="959" spans="1:9" ht="12.75" customHeight="1">
      <c r="A959" s="712"/>
      <c r="B959" s="712"/>
      <c r="C959" s="554"/>
      <c r="D959" s="1805"/>
      <c r="E959" s="1805"/>
      <c r="F959" s="1805"/>
      <c r="G959" s="675"/>
    </row>
    <row r="960" spans="1:9" ht="12.75" customHeight="1">
      <c r="A960" s="712"/>
      <c r="B960" s="712"/>
      <c r="C960" s="554"/>
      <c r="D960" s="1805"/>
      <c r="E960" s="1805"/>
      <c r="F960" s="1805"/>
      <c r="G960" s="675"/>
    </row>
    <row r="961" spans="1:9" ht="12.75" customHeight="1">
      <c r="A961" s="712"/>
      <c r="B961" s="712"/>
      <c r="C961" s="554"/>
      <c r="D961" s="1805"/>
      <c r="E961" s="1805"/>
      <c r="F961" s="1805"/>
      <c r="G961" s="675"/>
    </row>
    <row r="962" spans="1:9" ht="12.75" customHeight="1">
      <c r="A962" s="712"/>
      <c r="B962" s="712"/>
      <c r="C962" s="554"/>
      <c r="D962" s="1805"/>
      <c r="E962" s="1805"/>
      <c r="F962" s="1805"/>
      <c r="G962" s="675"/>
    </row>
    <row r="963" spans="1:9" s="1675" customFormat="1" ht="12.75" customHeight="1">
      <c r="A963" s="712"/>
      <c r="B963" s="712"/>
      <c r="C963" s="554"/>
      <c r="D963" s="1805"/>
      <c r="E963" s="1805"/>
      <c r="F963" s="1805"/>
      <c r="G963" s="675"/>
      <c r="I963" s="1677"/>
    </row>
    <row r="964" spans="1:9" ht="12.75" customHeight="1">
      <c r="A964" s="712"/>
      <c r="B964" s="712"/>
      <c r="C964" s="554"/>
      <c r="D964" s="1805"/>
      <c r="E964" s="1805"/>
      <c r="F964" s="1805"/>
      <c r="G964" s="675"/>
    </row>
    <row r="965" spans="1:9" ht="12.75" customHeight="1">
      <c r="A965" s="712"/>
      <c r="B965" s="712"/>
      <c r="C965" s="554"/>
      <c r="D965" s="1805"/>
      <c r="E965" s="1805"/>
      <c r="F965" s="1805"/>
      <c r="G965" s="676"/>
    </row>
    <row r="966" spans="1:9" ht="12.75" customHeight="1">
      <c r="A966" s="1645"/>
      <c r="B966" s="1645"/>
      <c r="C966" s="554"/>
      <c r="D966" s="6"/>
      <c r="E966" s="6"/>
      <c r="F966" s="6"/>
      <c r="G966" s="676"/>
    </row>
    <row r="967" spans="1:9" ht="12.75" customHeight="1">
      <c r="A967" s="1840" t="s">
        <v>2238</v>
      </c>
      <c r="B967" s="1840"/>
      <c r="C967" s="1840"/>
      <c r="D967" s="1840"/>
      <c r="E967" s="1840"/>
      <c r="F967" s="1840"/>
      <c r="G967" s="1840"/>
      <c r="H967" s="1752"/>
      <c r="I967" s="1753"/>
    </row>
    <row r="968" spans="1:9" ht="12.75" customHeight="1">
      <c r="A968" s="1612"/>
      <c r="B968" s="1612"/>
      <c r="C968" s="554"/>
      <c r="D968" s="6"/>
      <c r="E968" s="6"/>
      <c r="F968" s="6"/>
      <c r="G968" s="676"/>
    </row>
    <row r="969" spans="1:9" ht="12.75" customHeight="1">
      <c r="A969" s="1645"/>
      <c r="B969" s="1645"/>
      <c r="C969" s="1643"/>
      <c r="D969" s="1829" t="s">
        <v>2262</v>
      </c>
      <c r="E969" s="1829"/>
      <c r="F969" s="1829"/>
      <c r="G969" s="676"/>
    </row>
    <row r="970" spans="1:9" ht="12.75" customHeight="1">
      <c r="A970" s="1617"/>
      <c r="B970" s="1617"/>
      <c r="C970" s="1649"/>
      <c r="D970" s="1830" t="s">
        <v>2239</v>
      </c>
      <c r="E970" s="1830"/>
      <c r="F970" s="1830"/>
      <c r="G970" s="676"/>
    </row>
    <row r="971" spans="1:9" ht="12.75" customHeight="1">
      <c r="A971" s="1617"/>
      <c r="B971" s="1617"/>
      <c r="C971" s="1649"/>
      <c r="D971" s="6"/>
      <c r="E971" s="6"/>
      <c r="F971" s="1641"/>
      <c r="G971" s="675"/>
    </row>
    <row r="972" spans="1:9" ht="12.75" customHeight="1">
      <c r="A972" s="1645"/>
      <c r="B972" s="796" t="s">
        <v>2642</v>
      </c>
      <c r="C972" s="554"/>
      <c r="D972" s="1809" t="s">
        <v>2240</v>
      </c>
      <c r="E972" s="1809"/>
      <c r="F972" s="1809"/>
      <c r="G972" s="675"/>
      <c r="I972" s="1677" t="s">
        <v>2416</v>
      </c>
    </row>
    <row r="973" spans="1:9" ht="12.75" customHeight="1">
      <c r="A973" s="1645"/>
      <c r="B973" s="1645"/>
      <c r="C973" s="554"/>
      <c r="D973" s="1809"/>
      <c r="E973" s="1809"/>
      <c r="F973" s="1809"/>
      <c r="G973" s="675"/>
    </row>
    <row r="974" spans="1:9" ht="12.75" customHeight="1">
      <c r="A974" s="1645"/>
      <c r="B974" s="1645"/>
      <c r="C974" s="554"/>
      <c r="D974" s="1809"/>
      <c r="E974" s="1809"/>
      <c r="F974" s="1809"/>
      <c r="G974" s="675"/>
    </row>
    <row r="975" spans="1:9" ht="12.75" customHeight="1">
      <c r="A975" s="1645"/>
      <c r="B975" s="1645"/>
      <c r="C975" s="554"/>
      <c r="D975" s="1809"/>
      <c r="E975" s="1809"/>
      <c r="F975" s="1809"/>
      <c r="G975" s="675"/>
    </row>
    <row r="976" spans="1:9" ht="12.75" customHeight="1">
      <c r="A976" s="1629"/>
      <c r="B976" s="1629"/>
      <c r="C976" s="555"/>
      <c r="D976" s="1809"/>
      <c r="E976" s="1809"/>
      <c r="F976" s="1809"/>
      <c r="G976" s="675"/>
    </row>
    <row r="977" spans="1:7" ht="12.75" customHeight="1">
      <c r="A977" s="1629"/>
      <c r="B977" s="1629"/>
      <c r="C977" s="555"/>
      <c r="D977" s="1809"/>
      <c r="E977" s="1809"/>
      <c r="F977" s="1809"/>
      <c r="G977" s="675"/>
    </row>
    <row r="978" spans="1:7" ht="12.75" customHeight="1">
      <c r="A978" s="718"/>
      <c r="B978" s="718"/>
      <c r="C978" s="313"/>
      <c r="D978" s="1809"/>
      <c r="E978" s="1809"/>
      <c r="F978" s="1809"/>
      <c r="G978" s="675"/>
    </row>
    <row r="979" spans="1:7" ht="12.75" customHeight="1">
      <c r="A979" s="718"/>
      <c r="B979" s="718"/>
      <c r="C979" s="313"/>
      <c r="D979" s="1809"/>
      <c r="E979" s="1809"/>
      <c r="F979" s="1809"/>
      <c r="G979" s="675"/>
    </row>
    <row r="980" spans="1:7" ht="12.75" customHeight="1">
      <c r="A980" s="718"/>
      <c r="B980" s="718"/>
      <c r="C980" s="313"/>
      <c r="D980" s="1609"/>
      <c r="E980" s="1609"/>
      <c r="F980" s="1609"/>
      <c r="G980" s="675"/>
    </row>
    <row r="981" spans="1:7" ht="12.75" customHeight="1">
      <c r="A981" s="718"/>
      <c r="B981" s="796" t="s">
        <v>2641</v>
      </c>
      <c r="C981" s="313"/>
      <c r="D981" s="1807" t="s">
        <v>2241</v>
      </c>
      <c r="E981" s="1807"/>
      <c r="F981" s="1807"/>
      <c r="G981" s="675"/>
    </row>
    <row r="982" spans="1:7" ht="12.75" customHeight="1">
      <c r="A982" s="718"/>
      <c r="B982" s="718"/>
      <c r="C982" s="313"/>
      <c r="D982" s="1807"/>
      <c r="E982" s="1807"/>
      <c r="F982" s="1807"/>
      <c r="G982" s="675"/>
    </row>
    <row r="983" spans="1:7" ht="12.75" customHeight="1">
      <c r="A983" s="718"/>
      <c r="B983" s="718"/>
      <c r="C983" s="313"/>
      <c r="D983" s="1807"/>
      <c r="E983" s="1807"/>
      <c r="F983" s="1807"/>
      <c r="G983" s="675"/>
    </row>
    <row r="984" spans="1:7" ht="12.75" customHeight="1">
      <c r="A984" s="718"/>
      <c r="B984" s="718"/>
      <c r="C984" s="313"/>
      <c r="D984" s="1807"/>
      <c r="E984" s="1807"/>
      <c r="F984" s="1807"/>
      <c r="G984" s="675"/>
    </row>
    <row r="985" spans="1:7" ht="12.75" customHeight="1">
      <c r="A985" s="718"/>
      <c r="B985" s="718"/>
      <c r="C985" s="313"/>
      <c r="D985" s="1607"/>
      <c r="E985" s="1607"/>
      <c r="F985" s="1607"/>
      <c r="G985" s="675"/>
    </row>
    <row r="986" spans="1:7" ht="12.75" customHeight="1">
      <c r="A986" s="718"/>
      <c r="B986" s="796" t="s">
        <v>2641</v>
      </c>
      <c r="C986" s="313"/>
      <c r="D986" s="1807" t="s">
        <v>2242</v>
      </c>
      <c r="E986" s="1807"/>
      <c r="F986" s="1807"/>
      <c r="G986" s="675"/>
    </row>
    <row r="987" spans="1:7" ht="12.75" customHeight="1">
      <c r="A987" s="718"/>
      <c r="B987" s="718"/>
      <c r="C987" s="313"/>
      <c r="D987" s="1807"/>
      <c r="E987" s="1807"/>
      <c r="F987" s="1807"/>
      <c r="G987" s="675"/>
    </row>
    <row r="988" spans="1:7" ht="12.75" customHeight="1">
      <c r="A988" s="718"/>
      <c r="B988" s="718"/>
      <c r="C988" s="313"/>
      <c r="D988" s="1607"/>
      <c r="E988" s="1607"/>
      <c r="F988" s="1607"/>
      <c r="G988" s="675"/>
    </row>
    <row r="989" spans="1:7" ht="12.75" customHeight="1">
      <c r="A989" s="712"/>
      <c r="B989" s="796" t="s">
        <v>2642</v>
      </c>
      <c r="C989" s="554"/>
      <c r="D989" s="1830" t="s">
        <v>2243</v>
      </c>
      <c r="E989" s="1830"/>
      <c r="F989" s="1830"/>
      <c r="G989" s="675"/>
    </row>
    <row r="990" spans="1:7" ht="12.75" customHeight="1">
      <c r="A990" s="1645"/>
      <c r="B990" s="1645"/>
      <c r="C990" s="554"/>
      <c r="D990" s="6"/>
      <c r="E990" s="6"/>
      <c r="F990" s="6"/>
      <c r="G990" s="675"/>
    </row>
    <row r="991" spans="1:7" ht="12.75" customHeight="1">
      <c r="A991" s="712"/>
      <c r="B991" s="796" t="s">
        <v>2641</v>
      </c>
      <c r="C991" s="554"/>
      <c r="D991" s="1830" t="s">
        <v>2244</v>
      </c>
      <c r="E991" s="1830"/>
      <c r="F991" s="1830"/>
      <c r="G991" s="675"/>
    </row>
    <row r="992" spans="1:7" ht="12.75" customHeight="1">
      <c r="A992" s="1645"/>
      <c r="B992" s="1645"/>
      <c r="C992" s="554"/>
      <c r="D992" s="1611"/>
      <c r="E992" s="6"/>
      <c r="F992" s="6"/>
      <c r="G992" s="675"/>
    </row>
    <row r="993" spans="1:9" ht="12.75" customHeight="1">
      <c r="A993" s="712"/>
      <c r="B993" s="796" t="s">
        <v>2642</v>
      </c>
      <c r="C993" s="554"/>
      <c r="D993" s="1830" t="s">
        <v>2245</v>
      </c>
      <c r="E993" s="1830"/>
      <c r="F993" s="1830"/>
      <c r="G993" s="675"/>
    </row>
    <row r="994" spans="1:9" ht="12.75" customHeight="1">
      <c r="A994" s="1645"/>
      <c r="B994" s="1645"/>
      <c r="C994" s="554"/>
      <c r="D994" s="1611"/>
      <c r="E994" s="6"/>
      <c r="F994" s="6"/>
      <c r="G994" s="675"/>
    </row>
    <row r="995" spans="1:9" ht="12.75" customHeight="1">
      <c r="A995" s="712"/>
      <c r="B995" s="796" t="s">
        <v>2641</v>
      </c>
      <c r="C995" s="554"/>
      <c r="D995" s="1805" t="s">
        <v>2246</v>
      </c>
      <c r="E995" s="1805"/>
      <c r="F995" s="1805"/>
      <c r="G995" s="675"/>
    </row>
    <row r="996" spans="1:9" ht="12.75" customHeight="1">
      <c r="A996" s="712"/>
      <c r="B996" s="712"/>
      <c r="C996" s="554"/>
      <c r="D996" s="1805"/>
      <c r="E996" s="1805"/>
      <c r="F996" s="1805"/>
      <c r="G996" s="675"/>
    </row>
    <row r="997" spans="1:9" ht="12.75" customHeight="1">
      <c r="A997" s="712"/>
      <c r="B997" s="712"/>
      <c r="C997" s="554"/>
      <c r="D997" s="1611"/>
      <c r="E997" s="6"/>
      <c r="F997" s="6"/>
      <c r="G997" s="676"/>
    </row>
    <row r="998" spans="1:9" ht="12.75" customHeight="1">
      <c r="A998" s="407"/>
      <c r="B998" s="796" t="s">
        <v>2641</v>
      </c>
      <c r="C998" s="1662"/>
      <c r="D998" s="1848" t="s">
        <v>2247</v>
      </c>
      <c r="E998" s="1848"/>
      <c r="F998" s="1848"/>
      <c r="G998" s="1663"/>
    </row>
    <row r="999" spans="1:9" ht="12.75" customHeight="1">
      <c r="A999" s="1662"/>
      <c r="B999" s="1662"/>
      <c r="C999" s="1662"/>
      <c r="D999" s="1848"/>
      <c r="E999" s="1848"/>
      <c r="F999" s="1848"/>
      <c r="G999" s="1663"/>
    </row>
    <row r="1000" spans="1:9" ht="12.75" customHeight="1">
      <c r="A1000" s="1662"/>
      <c r="B1000" s="1662"/>
      <c r="C1000" s="1662"/>
      <c r="D1000" s="1664"/>
      <c r="E1000" s="1665"/>
      <c r="F1000" s="1665"/>
      <c r="G1000" s="1663"/>
    </row>
    <row r="1001" spans="1:9" ht="12.75" customHeight="1">
      <c r="A1001" s="407"/>
      <c r="B1001" s="796" t="s">
        <v>2642</v>
      </c>
      <c r="C1001" s="1662"/>
      <c r="D1001" s="1949" t="s">
        <v>2248</v>
      </c>
      <c r="E1001" s="1949"/>
      <c r="F1001" s="1949"/>
      <c r="G1001" s="1663"/>
    </row>
    <row r="1002" spans="1:9" ht="12.75" customHeight="1">
      <c r="A1002" s="1662"/>
      <c r="B1002" s="1662"/>
      <c r="C1002" s="1662"/>
      <c r="D1002" s="1664"/>
      <c r="E1002" s="1665"/>
      <c r="F1002" s="1665"/>
      <c r="G1002" s="1663"/>
    </row>
    <row r="1003" spans="1:9" ht="12.75" customHeight="1">
      <c r="A1003" s="712"/>
      <c r="B1003" s="796" t="s">
        <v>2641</v>
      </c>
      <c r="C1003" s="554"/>
      <c r="D1003" s="1830" t="s">
        <v>2249</v>
      </c>
      <c r="E1003" s="1830"/>
      <c r="F1003" s="1830"/>
      <c r="G1003" s="676"/>
    </row>
    <row r="1004" spans="1:9" ht="12.75" customHeight="1">
      <c r="A1004" s="712"/>
      <c r="B1004" s="712"/>
      <c r="C1004" s="554"/>
      <c r="D1004" s="1611"/>
      <c r="E1004" s="6"/>
      <c r="F1004" s="6"/>
      <c r="G1004" s="676"/>
    </row>
    <row r="1005" spans="1:9" ht="12.75" customHeight="1">
      <c r="A1005" s="712"/>
      <c r="B1005" s="796" t="s">
        <v>2641</v>
      </c>
      <c r="C1005" s="554"/>
      <c r="D1005" s="1805" t="s">
        <v>2250</v>
      </c>
      <c r="E1005" s="1805"/>
      <c r="F1005" s="1805"/>
      <c r="G1005" s="676"/>
    </row>
    <row r="1006" spans="1:9" ht="12.75" customHeight="1">
      <c r="A1006" s="712"/>
      <c r="B1006" s="712"/>
      <c r="C1006" s="554"/>
      <c r="D1006" s="1805"/>
      <c r="E1006" s="1805"/>
      <c r="F1006" s="1805"/>
      <c r="G1006" s="676"/>
    </row>
    <row r="1007" spans="1:9" ht="12.75" customHeight="1">
      <c r="A1007" s="1645"/>
      <c r="B1007" s="1645"/>
      <c r="C1007" s="554"/>
      <c r="D1007" s="6"/>
      <c r="E1007" s="6"/>
      <c r="F1007" s="6"/>
      <c r="G1007" s="676"/>
    </row>
    <row r="1008" spans="1:9" ht="12.75" customHeight="1">
      <c r="A1008" s="1840" t="s">
        <v>2251</v>
      </c>
      <c r="B1008" s="1840"/>
      <c r="C1008" s="1840"/>
      <c r="D1008" s="1840"/>
      <c r="E1008" s="1840"/>
      <c r="F1008" s="1840"/>
      <c r="G1008" s="1840"/>
      <c r="H1008" s="1752"/>
      <c r="I1008" s="1753"/>
    </row>
    <row r="1009" spans="1:9" ht="12.75" customHeight="1">
      <c r="A1009" s="1645"/>
      <c r="B1009" s="1645"/>
      <c r="C1009" s="554"/>
      <c r="D1009" s="6"/>
      <c r="E1009" s="6"/>
      <c r="F1009" s="6"/>
      <c r="G1009" s="676"/>
    </row>
    <row r="1010" spans="1:9" ht="12.75" customHeight="1">
      <c r="A1010" s="1629"/>
      <c r="B1010" s="1629"/>
      <c r="C1010" s="555"/>
      <c r="D1010" s="1849" t="s">
        <v>2252</v>
      </c>
      <c r="E1010" s="1849"/>
      <c r="F1010" s="1849"/>
      <c r="G1010" s="676"/>
    </row>
    <row r="1011" spans="1:9" ht="12.75" customHeight="1">
      <c r="A1011" s="1629"/>
      <c r="B1011" s="1629"/>
      <c r="C1011" s="555"/>
      <c r="D1011" s="1948" t="s">
        <v>2253</v>
      </c>
      <c r="E1011" s="1948"/>
      <c r="F1011" s="1948"/>
      <c r="G1011" s="676"/>
    </row>
    <row r="1012" spans="1:9" ht="12.75" customHeight="1">
      <c r="A1012" s="672"/>
      <c r="B1012" s="672"/>
      <c r="C1012" s="1618"/>
      <c r="D1012" s="676"/>
      <c r="E1012" s="676"/>
      <c r="F1012" s="676"/>
      <c r="G1012" s="676"/>
    </row>
    <row r="1013" spans="1:9" ht="12.75" customHeight="1">
      <c r="A1013" s="712"/>
      <c r="B1013" s="712"/>
      <c r="C1013" s="313"/>
      <c r="D1013" s="1849" t="s">
        <v>2267</v>
      </c>
      <c r="E1013" s="1849"/>
      <c r="F1013" s="1849"/>
      <c r="G1013" s="676"/>
      <c r="I1013" s="1677" t="s">
        <v>2388</v>
      </c>
    </row>
    <row r="1014" spans="1:9" ht="12.75" customHeight="1">
      <c r="A1014" s="1645"/>
      <c r="B1014" s="796" t="s">
        <v>2642</v>
      </c>
      <c r="C1014" s="554"/>
      <c r="D1014" s="1948" t="s">
        <v>1500</v>
      </c>
      <c r="E1014" s="1948"/>
      <c r="F1014" s="1948"/>
      <c r="G1014" s="676"/>
    </row>
    <row r="1015" spans="1:9" s="1675" customFormat="1" ht="12.75" customHeight="1">
      <c r="A1015" s="1645"/>
      <c r="B1015" s="712"/>
      <c r="C1015" s="554"/>
      <c r="D1015" s="1944" t="s">
        <v>2254</v>
      </c>
      <c r="E1015" s="1944"/>
      <c r="F1015" s="1944"/>
      <c r="G1015" s="676"/>
      <c r="I1015" s="1677"/>
    </row>
    <row r="1016" spans="1:9" ht="12.75" customHeight="1">
      <c r="A1016" s="1645"/>
      <c r="B1016" s="1645"/>
      <c r="C1016" s="554"/>
      <c r="D1016" s="1948"/>
      <c r="E1016" s="1948"/>
      <c r="F1016" s="1948"/>
      <c r="G1016" s="676"/>
    </row>
    <row r="1017" spans="1:9" ht="12.75" customHeight="1">
      <c r="A1017" s="1945" t="s">
        <v>2263</v>
      </c>
      <c r="B1017" s="1945"/>
      <c r="C1017" s="1945"/>
      <c r="D1017" s="1945"/>
      <c r="E1017" s="1945"/>
      <c r="F1017" s="1945"/>
      <c r="G1017" s="1945"/>
      <c r="H1017" s="1752"/>
      <c r="I1017" s="1753"/>
    </row>
    <row r="1018" spans="1:9" ht="12.75" customHeight="1">
      <c r="A1018" s="254"/>
      <c r="B1018" s="254"/>
      <c r="C1018" s="1637"/>
      <c r="D1018" s="684"/>
      <c r="E1018" s="684"/>
      <c r="F1018" s="684"/>
      <c r="G1018" s="684"/>
    </row>
    <row r="1019" spans="1:9" ht="12.75" customHeight="1">
      <c r="A1019" s="254"/>
      <c r="B1019" s="1672"/>
      <c r="C1019" s="1679"/>
      <c r="D1019" s="1843" t="s">
        <v>1501</v>
      </c>
      <c r="E1019" s="1843"/>
      <c r="F1019" s="1843"/>
      <c r="G1019" s="684"/>
    </row>
    <row r="1020" spans="1:9" ht="12.75" customHeight="1">
      <c r="A1020" s="254"/>
      <c r="B1020" s="1678" t="s">
        <v>2642</v>
      </c>
      <c r="C1020" s="1679"/>
      <c r="D1020" s="1822" t="s">
        <v>1500</v>
      </c>
      <c r="E1020" s="1822"/>
      <c r="F1020" s="1822"/>
      <c r="G1020" s="684"/>
    </row>
    <row r="1021" spans="1:9" ht="12.75" customHeight="1">
      <c r="A1021" s="254"/>
      <c r="B1021" s="1675"/>
      <c r="C1021" s="1679"/>
      <c r="D1021" s="1822" t="s">
        <v>2264</v>
      </c>
      <c r="E1021" s="1822"/>
      <c r="F1021" s="1822"/>
      <c r="G1021" s="684"/>
    </row>
    <row r="1022" spans="1:9" s="1675" customFormat="1" ht="12.75" customHeight="1">
      <c r="A1022" s="254"/>
      <c r="C1022" s="1679"/>
      <c r="D1022" s="1673"/>
      <c r="E1022" s="1673"/>
      <c r="F1022" s="1673"/>
      <c r="G1022" s="684"/>
      <c r="I1022" s="1677"/>
    </row>
    <row r="1023" spans="1:9" ht="12.75" customHeight="1">
      <c r="A1023" s="254"/>
      <c r="B1023" s="254"/>
      <c r="C1023" s="1637"/>
      <c r="D1023" s="1946" t="s">
        <v>1181</v>
      </c>
      <c r="E1023" s="1946"/>
      <c r="F1023" s="1946"/>
      <c r="G1023" s="684"/>
      <c r="I1023" s="1677" t="s">
        <v>2417</v>
      </c>
    </row>
    <row r="1024" spans="1:9" ht="12.75" customHeight="1">
      <c r="A1024" s="501"/>
      <c r="B1024" s="501"/>
      <c r="C1024" s="500"/>
      <c r="D1024" s="1947" t="s">
        <v>1198</v>
      </c>
      <c r="E1024" s="1947"/>
      <c r="F1024" s="1947"/>
      <c r="G1024" s="1666"/>
    </row>
    <row r="1025" spans="1:9" ht="12.75" customHeight="1">
      <c r="A1025" s="712"/>
      <c r="B1025" s="1678" t="s">
        <v>2641</v>
      </c>
      <c r="C1025" s="555"/>
      <c r="D1025" s="1834" t="s">
        <v>1066</v>
      </c>
      <c r="E1025" s="1834"/>
      <c r="F1025" s="1834"/>
      <c r="G1025" s="676"/>
    </row>
    <row r="1026" spans="1:9" ht="12.75" customHeight="1">
      <c r="A1026" s="1629"/>
      <c r="B1026" s="1629"/>
      <c r="C1026" s="555"/>
      <c r="D1026" s="6"/>
      <c r="E1026" s="1921" t="s">
        <v>1182</v>
      </c>
      <c r="F1026" s="1921"/>
      <c r="G1026" s="676"/>
    </row>
    <row r="1027" spans="1:9">
      <c r="A1027" s="788"/>
      <c r="B1027" s="788"/>
      <c r="C1027" s="788"/>
      <c r="D1027" s="788"/>
      <c r="E1027" s="788"/>
      <c r="F1027" s="788"/>
      <c r="G1027" s="788"/>
    </row>
    <row r="1028" spans="1:9">
      <c r="A1028" s="1945" t="s">
        <v>2284</v>
      </c>
      <c r="B1028" s="1945"/>
      <c r="C1028" s="1945"/>
      <c r="D1028" s="1945"/>
      <c r="E1028" s="1945"/>
      <c r="F1028" s="1945"/>
      <c r="G1028" s="1945"/>
      <c r="H1028" s="1752"/>
      <c r="I1028" s="1753"/>
    </row>
    <row r="1029" spans="1:9">
      <c r="A1029" s="788"/>
      <c r="B1029" s="788"/>
      <c r="C1029" s="788"/>
      <c r="D1029" s="788"/>
      <c r="E1029" s="788"/>
      <c r="F1029" s="788"/>
      <c r="G1029" s="788"/>
    </row>
    <row r="1030" spans="1:9">
      <c r="A1030" s="788"/>
      <c r="B1030" s="788"/>
      <c r="C1030" s="788"/>
      <c r="D1030" s="1677" t="s">
        <v>2270</v>
      </c>
      <c r="E1030" s="788"/>
      <c r="F1030" s="788"/>
      <c r="G1030" s="788"/>
    </row>
    <row r="1031" spans="1:9" s="1675" customFormat="1">
      <c r="D1031" s="1674" t="s">
        <v>2269</v>
      </c>
      <c r="I1031" s="1677"/>
    </row>
    <row r="1032" spans="1:9" s="1675" customFormat="1">
      <c r="D1032" s="1677"/>
      <c r="I1032" s="1677"/>
    </row>
    <row r="1033" spans="1:9">
      <c r="A1033" s="788"/>
      <c r="B1033" s="1678" t="s">
        <v>2641</v>
      </c>
      <c r="C1033" s="788"/>
      <c r="D1033" s="1952" t="s">
        <v>2268</v>
      </c>
      <c r="E1033" s="1952"/>
      <c r="F1033" s="1952"/>
      <c r="G1033" s="788"/>
      <c r="I1033" s="1677" t="s">
        <v>2389</v>
      </c>
    </row>
    <row r="1034" spans="1:9">
      <c r="A1034" s="788"/>
      <c r="B1034" s="788"/>
      <c r="C1034" s="788"/>
      <c r="D1034" s="1952"/>
      <c r="E1034" s="1952"/>
      <c r="F1034" s="1952"/>
      <c r="G1034" s="788"/>
    </row>
    <row r="1035" spans="1:9">
      <c r="A1035" s="788"/>
      <c r="B1035" s="788"/>
      <c r="C1035" s="788"/>
      <c r="D1035" s="1952"/>
      <c r="E1035" s="1952"/>
      <c r="F1035" s="1952"/>
      <c r="G1035" s="788"/>
    </row>
    <row r="1036" spans="1:9">
      <c r="A1036" s="788"/>
      <c r="B1036" s="788"/>
      <c r="C1036" s="788"/>
      <c r="D1036" s="1952"/>
      <c r="E1036" s="1952"/>
      <c r="F1036" s="1952"/>
      <c r="G1036" s="788"/>
    </row>
    <row r="1037" spans="1:9">
      <c r="A1037" s="788"/>
      <c r="B1037" s="788"/>
      <c r="C1037" s="788"/>
      <c r="D1037" s="788"/>
      <c r="E1037" s="788"/>
      <c r="F1037" s="788"/>
      <c r="G1037" s="788"/>
    </row>
    <row r="1038" spans="1:9">
      <c r="A1038" s="788"/>
      <c r="B1038" s="1675"/>
      <c r="C1038" s="788"/>
      <c r="D1038" s="1677" t="s">
        <v>1579</v>
      </c>
      <c r="E1038" s="788"/>
      <c r="F1038" s="788"/>
      <c r="G1038" s="788"/>
    </row>
    <row r="1039" spans="1:9">
      <c r="A1039" s="788"/>
      <c r="B1039" s="788"/>
      <c r="C1039" s="788"/>
      <c r="D1039" s="1675" t="s">
        <v>2271</v>
      </c>
      <c r="E1039" s="788"/>
      <c r="F1039" s="788"/>
      <c r="G1039" s="788"/>
    </row>
    <row r="1040" spans="1:9">
      <c r="A1040" s="788"/>
      <c r="B1040" s="788"/>
      <c r="C1040" s="788"/>
      <c r="D1040" s="788"/>
      <c r="E1040" s="788"/>
      <c r="F1040" s="788"/>
      <c r="G1040" s="788"/>
    </row>
    <row r="1041" spans="1:9">
      <c r="A1041" s="788"/>
      <c r="B1041" s="1678" t="s">
        <v>2642</v>
      </c>
      <c r="C1041" s="788"/>
      <c r="D1041" s="1675" t="s">
        <v>2266</v>
      </c>
      <c r="E1041" s="788"/>
      <c r="F1041" s="788"/>
      <c r="G1041" s="788"/>
      <c r="I1041" s="1677" t="s">
        <v>2390</v>
      </c>
    </row>
    <row r="1042" spans="1:9">
      <c r="A1042" s="788"/>
      <c r="B1042" s="788"/>
      <c r="C1042" s="788"/>
      <c r="D1042" s="788"/>
      <c r="E1042" s="788"/>
      <c r="F1042" s="788"/>
      <c r="G1042" s="788"/>
    </row>
    <row r="1043" spans="1:9">
      <c r="A1043" s="788"/>
      <c r="B1043" s="1678" t="s">
        <v>2642</v>
      </c>
      <c r="C1043" s="788"/>
      <c r="D1043" s="1952" t="s">
        <v>2272</v>
      </c>
      <c r="E1043" s="1952"/>
      <c r="F1043" s="1952"/>
      <c r="G1043" s="788"/>
      <c r="I1043" s="1677" t="s">
        <v>2391</v>
      </c>
    </row>
    <row r="1044" spans="1:9">
      <c r="A1044" s="788"/>
      <c r="B1044" s="788"/>
      <c r="C1044" s="788"/>
      <c r="D1044" s="1952"/>
      <c r="E1044" s="1952"/>
      <c r="F1044" s="1952"/>
      <c r="G1044" s="788"/>
    </row>
    <row r="1045" spans="1:9">
      <c r="A1045" s="788"/>
      <c r="B1045" s="788"/>
      <c r="C1045" s="788"/>
      <c r="D1045" s="1952"/>
      <c r="E1045" s="1952"/>
      <c r="F1045" s="1952"/>
      <c r="G1045" s="788"/>
    </row>
    <row r="1046" spans="1:9">
      <c r="A1046" s="788"/>
      <c r="B1046" s="788"/>
      <c r="C1046" s="788"/>
      <c r="D1046" s="1952"/>
      <c r="E1046" s="1952"/>
      <c r="F1046" s="1952"/>
      <c r="G1046" s="788"/>
    </row>
    <row r="1047" spans="1:9">
      <c r="A1047" s="788"/>
      <c r="B1047" s="788"/>
      <c r="C1047" s="788"/>
      <c r="D1047" s="1952"/>
      <c r="E1047" s="1952"/>
      <c r="F1047" s="1952"/>
      <c r="G1047" s="788"/>
    </row>
    <row r="1048" spans="1:9">
      <c r="A1048" s="788"/>
      <c r="B1048" s="788"/>
      <c r="C1048" s="788"/>
      <c r="D1048" s="788"/>
      <c r="E1048" s="788"/>
      <c r="F1048" s="788"/>
      <c r="G1048" s="788"/>
    </row>
    <row r="1049" spans="1:9">
      <c r="A1049" s="1945" t="s">
        <v>2273</v>
      </c>
      <c r="B1049" s="1945"/>
      <c r="C1049" s="1945"/>
      <c r="D1049" s="1945"/>
      <c r="E1049" s="1945"/>
      <c r="F1049" s="1945"/>
      <c r="G1049" s="1945"/>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2642</v>
      </c>
      <c r="C1052" s="788"/>
      <c r="D1052" s="1670" t="s">
        <v>2276</v>
      </c>
      <c r="E1052" s="1674"/>
      <c r="F1052" s="788"/>
      <c r="G1052" s="788"/>
      <c r="I1052" s="1677" t="s">
        <v>2392</v>
      </c>
    </row>
    <row r="1053" spans="1:9">
      <c r="A1053" s="788"/>
      <c r="B1053" s="788"/>
      <c r="C1053" s="788"/>
      <c r="D1053" s="1670" t="s">
        <v>2278</v>
      </c>
      <c r="E1053" s="1674"/>
      <c r="F1053" s="788"/>
      <c r="G1053" s="788"/>
    </row>
    <row r="1054" spans="1:9" s="1675" customFormat="1">
      <c r="D1054" s="1670"/>
      <c r="E1054" s="1674"/>
      <c r="I1054" s="1677"/>
    </row>
    <row r="1055" spans="1:9">
      <c r="A1055" s="788"/>
      <c r="B1055" s="1678" t="s">
        <v>2642</v>
      </c>
      <c r="C1055" s="788"/>
      <c r="D1055" s="1670" t="s">
        <v>2279</v>
      </c>
      <c r="E1055" s="1674"/>
      <c r="F1055" s="788"/>
      <c r="G1055" s="788"/>
      <c r="I1055" s="1677" t="s">
        <v>2393</v>
      </c>
    </row>
    <row r="1056" spans="1:9" s="1675" customFormat="1">
      <c r="D1056" s="1670" t="s">
        <v>2277</v>
      </c>
      <c r="E1056" s="1674"/>
      <c r="I1056" s="1677"/>
    </row>
    <row r="1057" spans="1:9" s="1675" customFormat="1">
      <c r="D1057" s="1670"/>
      <c r="E1057" s="1674"/>
      <c r="I1057" s="1677"/>
    </row>
    <row r="1058" spans="1:9">
      <c r="A1058" s="788"/>
      <c r="B1058" s="1678" t="s">
        <v>2641</v>
      </c>
      <c r="C1058" s="788"/>
      <c r="D1058" s="1669" t="s">
        <v>2282</v>
      </c>
      <c r="E1058" s="1674"/>
      <c r="F1058" s="788"/>
      <c r="G1058" s="788"/>
      <c r="I1058" s="1677" t="s">
        <v>2394</v>
      </c>
    </row>
    <row r="1059" spans="1:9" s="1675" customFormat="1">
      <c r="D1059" s="1953" t="s">
        <v>2283</v>
      </c>
      <c r="E1059" s="1953"/>
      <c r="F1059" s="1953"/>
      <c r="I1059" s="1677"/>
    </row>
    <row r="1060" spans="1:9" s="1675" customFormat="1">
      <c r="D1060" s="1953"/>
      <c r="E1060" s="1953"/>
      <c r="F1060" s="1953"/>
      <c r="I1060" s="1677"/>
    </row>
    <row r="1061" spans="1:9" s="1675" customFormat="1">
      <c r="D1061" s="1953"/>
      <c r="E1061" s="1953"/>
      <c r="F1061" s="1953"/>
      <c r="I1061" s="1677"/>
    </row>
    <row r="1062" spans="1:9" s="1675" customFormat="1">
      <c r="D1062" s="1953"/>
      <c r="E1062" s="1953"/>
      <c r="F1062" s="1953"/>
      <c r="I1062" s="1677"/>
    </row>
    <row r="1063" spans="1:9" s="1675" customFormat="1">
      <c r="D1063" s="1669" t="s">
        <v>2281</v>
      </c>
      <c r="E1063" s="1674"/>
      <c r="I1063" s="1677"/>
    </row>
    <row r="1064" spans="1:9" s="1675" customFormat="1">
      <c r="D1064" s="1669"/>
      <c r="E1064" s="1674"/>
      <c r="I1064" s="1677"/>
    </row>
    <row r="1065" spans="1:9">
      <c r="A1065" s="788"/>
      <c r="B1065" s="788"/>
      <c r="C1065" s="788"/>
      <c r="D1065" s="1670" t="s">
        <v>2274</v>
      </c>
      <c r="E1065" s="1674"/>
      <c r="F1065" s="788"/>
      <c r="G1065" s="788"/>
      <c r="I1065" s="1677" t="s">
        <v>2395</v>
      </c>
    </row>
    <row r="1066" spans="1:9">
      <c r="A1066" s="788"/>
      <c r="B1066" s="1678" t="s">
        <v>2641</v>
      </c>
      <c r="C1066" s="788"/>
      <c r="D1066" s="1950" t="s">
        <v>2275</v>
      </c>
      <c r="E1066" s="1950"/>
      <c r="F1066" s="1950"/>
      <c r="G1066" s="788"/>
    </row>
    <row r="1067" spans="1:9" s="1675" customFormat="1">
      <c r="D1067" s="1950"/>
      <c r="E1067" s="1950"/>
      <c r="F1067" s="1950"/>
      <c r="I1067" s="1677"/>
    </row>
    <row r="1068" spans="1:9" s="1675" customFormat="1">
      <c r="D1068" s="1950"/>
      <c r="E1068" s="1950"/>
      <c r="F1068" s="1950"/>
      <c r="I1068" s="1677"/>
    </row>
    <row r="1069" spans="1:9" s="1675" customFormat="1">
      <c r="D1069" s="1950"/>
      <c r="E1069" s="1950"/>
      <c r="F1069" s="1950"/>
      <c r="I1069" s="1677"/>
    </row>
    <row r="1070" spans="1:9">
      <c r="A1070" s="788"/>
      <c r="B1070" s="788"/>
      <c r="C1070" s="788"/>
      <c r="D1070" s="1950"/>
      <c r="E1070" s="1950"/>
      <c r="F1070" s="1950"/>
      <c r="G1070" s="788"/>
    </row>
    <row r="1071" spans="1:9">
      <c r="A1071" s="788"/>
      <c r="B1071" s="788"/>
      <c r="C1071" s="788"/>
      <c r="D1071" s="1670" t="s">
        <v>2280</v>
      </c>
      <c r="E1071" s="788"/>
      <c r="F1071" s="788"/>
      <c r="G1071" s="788"/>
    </row>
    <row r="1072" spans="1:9">
      <c r="A1072" s="788"/>
      <c r="B1072" s="788"/>
      <c r="C1072" s="788"/>
      <c r="D1072" s="788"/>
      <c r="E1072" s="788"/>
      <c r="F1072" s="788"/>
      <c r="G1072" s="788"/>
    </row>
    <row r="1073" spans="1:9">
      <c r="A1073" s="1945" t="s">
        <v>2285</v>
      </c>
      <c r="B1073" s="1945"/>
      <c r="C1073" s="1945"/>
      <c r="D1073" s="1945"/>
      <c r="E1073" s="1945"/>
      <c r="F1073" s="1945"/>
      <c r="G1073" s="1945"/>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2641</v>
      </c>
      <c r="C1076" s="788"/>
      <c r="D1076" s="1950" t="s">
        <v>2286</v>
      </c>
      <c r="E1076" s="1950"/>
      <c r="F1076" s="1950"/>
      <c r="G1076" s="788"/>
      <c r="I1076" s="1677" t="s">
        <v>2396</v>
      </c>
    </row>
    <row r="1077" spans="1:9" s="1675" customFormat="1">
      <c r="D1077" s="1950"/>
      <c r="E1077" s="1950"/>
      <c r="F1077" s="1950"/>
      <c r="I1077" s="1677"/>
    </row>
    <row r="1078" spans="1:9" s="1675" customFormat="1">
      <c r="D1078" s="1950"/>
      <c r="E1078" s="1950"/>
      <c r="F1078" s="1950"/>
      <c r="I1078" s="1677"/>
    </row>
    <row r="1079" spans="1:9" s="1675" customFormat="1">
      <c r="D1079" s="1670"/>
      <c r="I1079" s="1677"/>
    </row>
    <row r="1080" spans="1:9">
      <c r="A1080" s="788"/>
      <c r="B1080" s="1678" t="s">
        <v>2641</v>
      </c>
      <c r="C1080" s="788"/>
      <c r="D1080" s="1950" t="s">
        <v>2287</v>
      </c>
      <c r="E1080" s="1950"/>
      <c r="F1080" s="1950"/>
      <c r="G1080" s="788"/>
      <c r="I1080" s="1677" t="s">
        <v>2397</v>
      </c>
    </row>
    <row r="1081" spans="1:9" s="1675" customFormat="1">
      <c r="D1081" s="1950"/>
      <c r="E1081" s="1950"/>
      <c r="F1081" s="1950"/>
      <c r="I1081" s="1677"/>
    </row>
    <row r="1082" spans="1:9" s="1675" customFormat="1">
      <c r="D1082" s="1670"/>
      <c r="I1082" s="1677"/>
    </row>
    <row r="1083" spans="1:9">
      <c r="A1083" s="788"/>
      <c r="B1083" s="1678" t="s">
        <v>2641</v>
      </c>
      <c r="C1083" s="788"/>
      <c r="D1083" s="1950" t="s">
        <v>2444</v>
      </c>
      <c r="E1083" s="1950"/>
      <c r="F1083" s="1950"/>
      <c r="G1083" s="788"/>
      <c r="I1083" s="1677" t="s">
        <v>2442</v>
      </c>
    </row>
    <row r="1084" spans="1:9" s="1675" customFormat="1">
      <c r="D1084" s="1950"/>
      <c r="E1084" s="1950"/>
      <c r="F1084" s="1950"/>
      <c r="I1084" s="1677"/>
    </row>
    <row r="1085" spans="1:9" s="1675" customFormat="1">
      <c r="D1085" s="1950"/>
      <c r="E1085" s="1950"/>
      <c r="F1085" s="1950"/>
      <c r="I1085" s="1677"/>
    </row>
    <row r="1086" spans="1:9" s="1675" customFormat="1">
      <c r="D1086" s="1950"/>
      <c r="E1086" s="1950"/>
      <c r="F1086" s="1950"/>
      <c r="I1086" s="1677"/>
    </row>
    <row r="1087" spans="1:9" s="1675" customFormat="1">
      <c r="D1087" s="1950"/>
      <c r="E1087" s="1950"/>
      <c r="F1087" s="1950"/>
      <c r="I1087" s="1677"/>
    </row>
    <row r="1088" spans="1:9" s="1675" customFormat="1">
      <c r="D1088" s="1950"/>
      <c r="E1088" s="1950"/>
      <c r="F1088" s="1950"/>
      <c r="I1088" s="1677"/>
    </row>
    <row r="1089" spans="1:9" s="1676" customFormat="1">
      <c r="B1089" s="1675"/>
      <c r="D1089" s="1670" t="s">
        <v>2443</v>
      </c>
    </row>
    <row r="1090" spans="1:9">
      <c r="A1090" s="788"/>
      <c r="B1090" s="1678" t="s">
        <v>2641</v>
      </c>
      <c r="C1090" s="788"/>
      <c r="D1090" s="1950" t="s">
        <v>2288</v>
      </c>
      <c r="E1090" s="1950"/>
      <c r="F1090" s="1950"/>
      <c r="G1090" s="788"/>
      <c r="I1090" s="1736" t="s">
        <v>2398</v>
      </c>
    </row>
    <row r="1091" spans="1:9" s="1675" customFormat="1">
      <c r="D1091" s="1950"/>
      <c r="E1091" s="1950"/>
      <c r="F1091" s="1950"/>
      <c r="I1091" s="1677"/>
    </row>
    <row r="1092" spans="1:9" s="1675" customFormat="1">
      <c r="D1092" s="1950"/>
      <c r="E1092" s="1950"/>
      <c r="F1092" s="1950"/>
      <c r="I1092" s="1677"/>
    </row>
    <row r="1093" spans="1:9" s="1675" customFormat="1">
      <c r="D1093" s="1670"/>
      <c r="I1093" s="1677"/>
    </row>
    <row r="1094" spans="1:9">
      <c r="A1094" s="788"/>
      <c r="B1094" s="1678" t="s">
        <v>2642</v>
      </c>
      <c r="C1094" s="788"/>
      <c r="D1094" s="1951" t="s">
        <v>2445</v>
      </c>
      <c r="E1094" s="1951"/>
      <c r="F1094" s="1951"/>
      <c r="G1094" s="788"/>
      <c r="I1094" s="1677" t="s">
        <v>2399</v>
      </c>
    </row>
    <row r="1095" spans="1:9">
      <c r="A1095" s="788"/>
      <c r="B1095" s="788"/>
      <c r="C1095" s="788"/>
      <c r="D1095" s="1951"/>
      <c r="E1095" s="1951"/>
      <c r="F1095" s="1951"/>
      <c r="G1095" s="788"/>
    </row>
    <row r="1096" spans="1:9">
      <c r="A1096" s="788"/>
      <c r="B1096" s="788"/>
      <c r="C1096" s="788"/>
      <c r="D1096" s="1951"/>
      <c r="E1096" s="1951"/>
      <c r="F1096" s="1951"/>
      <c r="G1096" s="788"/>
    </row>
    <row r="1097" spans="1:9" s="1675" customFormat="1">
      <c r="D1097" s="1748"/>
      <c r="E1097" s="1748"/>
      <c r="F1097" s="1748"/>
      <c r="I1097" s="1677"/>
    </row>
    <row r="1098" spans="1:9" s="1675" customFormat="1" ht="15.75" customHeight="1">
      <c r="B1098" s="1678" t="s">
        <v>2641</v>
      </c>
      <c r="D1098" s="1807" t="s">
        <v>2447</v>
      </c>
      <c r="E1098" s="1807"/>
      <c r="F1098" s="1807"/>
      <c r="I1098" s="1677" t="s">
        <v>2446</v>
      </c>
    </row>
    <row r="1099" spans="1:9" s="1675" customFormat="1">
      <c r="D1099" s="1807"/>
      <c r="E1099" s="1807"/>
      <c r="F1099" s="1807"/>
      <c r="I1099" s="1677"/>
    </row>
    <row r="1100" spans="1:9" s="1675" customFormat="1">
      <c r="D1100" s="1807"/>
      <c r="E1100" s="1807"/>
      <c r="F1100" s="1807"/>
      <c r="I1100" s="1677"/>
    </row>
    <row r="1101" spans="1:9" s="1675" customFormat="1">
      <c r="D1101" s="1807"/>
      <c r="E1101" s="1807"/>
      <c r="F1101" s="1807"/>
      <c r="I1101" s="1677"/>
    </row>
    <row r="1102" spans="1:9" s="1675" customFormat="1">
      <c r="D1102" s="1748"/>
      <c r="E1102" s="1748"/>
      <c r="F1102" s="1748"/>
      <c r="I1102" s="1677"/>
    </row>
    <row r="1103" spans="1:9" ht="38.25">
      <c r="A1103" s="788"/>
      <c r="B1103" s="788"/>
      <c r="C1103" s="788"/>
      <c r="D1103" s="788"/>
      <c r="E1103" s="788"/>
      <c r="F1103" s="788"/>
      <c r="G1103" s="788"/>
      <c r="I1103" s="1743" t="s">
        <v>2448</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21"/>
      <c r="H1516" s="1821"/>
      <c r="I1516" s="182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75" zoomScaleNormal="100" zoomScaleSheetLayoutView="80" workbookViewId="0">
      <selection activeCell="AN33" sqref="AN3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1" t="s">
        <v>105</v>
      </c>
      <c r="B8" s="2361"/>
      <c r="C8" s="2361"/>
      <c r="D8" s="2361"/>
      <c r="E8" s="2361"/>
      <c r="F8" s="2361"/>
      <c r="G8" s="2361"/>
      <c r="H8" s="2361"/>
      <c r="I8" s="2361"/>
      <c r="J8" s="2361"/>
      <c r="K8" s="2361"/>
      <c r="L8" s="2361"/>
      <c r="M8" s="2361"/>
      <c r="N8" s="2361"/>
      <c r="O8" s="2361"/>
      <c r="P8" s="2361"/>
      <c r="Q8" s="2361"/>
      <c r="R8" s="2361"/>
      <c r="S8" s="2361"/>
      <c r="T8" s="2361"/>
      <c r="U8" s="2361"/>
      <c r="V8" s="2361"/>
      <c r="W8" s="2361"/>
      <c r="X8" s="2361"/>
      <c r="Y8" s="2361"/>
      <c r="Z8" s="2361"/>
      <c r="AA8" s="2361"/>
      <c r="AB8" s="2361"/>
      <c r="AC8" s="2361"/>
      <c r="AD8" s="2361"/>
      <c r="AE8" s="2361"/>
      <c r="AF8" s="2361"/>
      <c r="AG8" s="2361"/>
      <c r="AH8" s="2361"/>
      <c r="AI8" s="2361"/>
      <c r="AJ8" s="2361"/>
      <c r="AK8" s="2361"/>
      <c r="AL8" s="2361"/>
      <c r="AM8" s="1476"/>
      <c r="AN8" s="1476"/>
      <c r="AO8" s="1476"/>
      <c r="AP8" s="1476"/>
      <c r="AQ8" s="1476"/>
      <c r="AR8" s="1476"/>
      <c r="AS8" s="1476"/>
      <c r="AT8" s="1476"/>
      <c r="AU8" s="1476"/>
      <c r="AV8" s="1476"/>
      <c r="AW8" s="1476"/>
      <c r="AX8" s="1476"/>
      <c r="AY8" s="1476"/>
    </row>
    <row r="9" spans="1:96" s="717" customFormat="1" ht="12.75">
      <c r="A9" s="2057" t="s">
        <v>1946</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1460"/>
      <c r="AN9" s="1460"/>
      <c r="AO9" s="1460"/>
      <c r="AP9" s="1460"/>
      <c r="AQ9" s="1460"/>
      <c r="AR9" s="1460"/>
      <c r="AS9" s="1460"/>
      <c r="AT9" s="1460"/>
      <c r="AU9" s="1460"/>
      <c r="AV9" s="1460"/>
      <c r="AW9" s="1460"/>
      <c r="AX9" s="1460"/>
      <c r="AY9" s="1460"/>
      <c r="CR9" s="25"/>
    </row>
    <row r="10" spans="1:96" ht="15" customHeight="1">
      <c r="A10" s="2178" t="s">
        <v>2462</v>
      </c>
      <c r="B10" s="2178"/>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8"/>
      <c r="AI10" s="2178"/>
      <c r="AJ10" s="2178"/>
      <c r="AK10" s="2178"/>
      <c r="AL10" s="2178"/>
      <c r="AM10" s="20"/>
      <c r="AN10" s="20"/>
      <c r="AO10" s="20"/>
      <c r="AP10" s="20"/>
      <c r="AQ10" s="20"/>
      <c r="AR10" s="20"/>
      <c r="AS10" s="20"/>
      <c r="AT10" s="20"/>
      <c r="AU10" s="20"/>
      <c r="AV10" s="20"/>
      <c r="AW10" s="20"/>
      <c r="AX10" s="20"/>
      <c r="AY10" s="20"/>
    </row>
    <row r="11" spans="1:96" ht="15" customHeight="1">
      <c r="A11" s="2057" t="s">
        <v>1966</v>
      </c>
      <c r="B11" s="2057"/>
      <c r="C11" s="2057"/>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7"/>
      <c r="AM11" s="1460"/>
      <c r="AN11" s="1460"/>
      <c r="AO11" s="1460"/>
      <c r="AP11" s="1460"/>
      <c r="AQ11" s="1460"/>
      <c r="AR11" s="1460"/>
      <c r="AS11" s="1460"/>
      <c r="AT11" s="1460"/>
      <c r="AU11" s="1460"/>
      <c r="AV11" s="1460"/>
      <c r="AW11" s="1460"/>
      <c r="AX11" s="1460"/>
      <c r="AY11" s="1460"/>
    </row>
    <row r="12" spans="1:96" ht="12.75">
      <c r="A12" s="2186" t="s">
        <v>2491</v>
      </c>
      <c r="B12" s="2187"/>
      <c r="C12" s="2187"/>
      <c r="D12" s="2187"/>
      <c r="E12" s="2187"/>
      <c r="F12" s="2187"/>
      <c r="G12" s="2187"/>
      <c r="H12" s="2187"/>
      <c r="I12" s="2187"/>
      <c r="J12" s="2187"/>
      <c r="K12" s="2187"/>
      <c r="L12" s="2187"/>
      <c r="M12" s="2187"/>
      <c r="N12" s="2187"/>
      <c r="O12" s="2187"/>
      <c r="P12" s="2187"/>
      <c r="Q12" s="2187"/>
      <c r="R12" s="2187"/>
      <c r="S12" s="2187"/>
      <c r="T12" s="2187"/>
      <c r="U12" s="2187"/>
      <c r="V12" s="2187"/>
      <c r="W12" s="2187"/>
      <c r="X12" s="2187"/>
      <c r="Y12" s="2187"/>
      <c r="Z12" s="2187"/>
      <c r="AA12" s="2187"/>
      <c r="AB12" s="2187"/>
      <c r="AC12" s="2187"/>
      <c r="AD12" s="2187"/>
      <c r="AE12" s="2187"/>
      <c r="AF12" s="2187"/>
      <c r="AG12" s="2187"/>
      <c r="AH12" s="2187"/>
      <c r="AI12" s="2187"/>
      <c r="AJ12" s="2187"/>
      <c r="AK12" s="2187"/>
      <c r="AL12" s="2187"/>
      <c r="AM12" s="1466"/>
      <c r="AN12" s="1466"/>
      <c r="AO12" s="1466"/>
      <c r="AP12" s="1466"/>
      <c r="AQ12" s="1466"/>
      <c r="AR12" s="1466"/>
      <c r="AS12" s="1466"/>
      <c r="AT12" s="1466"/>
      <c r="AU12" s="1466"/>
      <c r="AV12" s="1466"/>
      <c r="AW12" s="1466"/>
      <c r="AX12" s="1466"/>
      <c r="AY12" s="1466"/>
    </row>
    <row r="13" spans="1:96" ht="12.75">
      <c r="A13" s="1817" t="s">
        <v>1382</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7"/>
      <c r="AN13" s="1477"/>
      <c r="AO13" s="1477"/>
      <c r="AP13" s="1477"/>
      <c r="AQ13" s="1477"/>
      <c r="AR13" s="1477"/>
      <c r="AS13" s="1477"/>
      <c r="AT13" s="1477"/>
      <c r="AU13" s="1477"/>
      <c r="AV13" s="1477"/>
      <c r="AW13" s="1477"/>
      <c r="AX13" s="1477"/>
      <c r="AY13" s="1477"/>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1370</v>
      </c>
      <c r="C16" s="7"/>
      <c r="D16" s="7"/>
      <c r="E16" s="7"/>
      <c r="F16" s="7"/>
      <c r="G16" s="7"/>
      <c r="H16" s="2166" t="s">
        <v>2493</v>
      </c>
      <c r="I16" s="2167"/>
      <c r="J16" s="2167"/>
      <c r="K16" s="2167"/>
      <c r="L16" s="2167"/>
      <c r="M16" s="2167"/>
      <c r="N16" s="2167"/>
      <c r="O16" s="2167"/>
      <c r="P16" s="2167"/>
      <c r="Q16" s="2167"/>
      <c r="R16" s="2167"/>
      <c r="S16" s="2167"/>
      <c r="T16" s="2167"/>
      <c r="U16" s="2167"/>
      <c r="V16" s="2167"/>
      <c r="W16" s="2167"/>
      <c r="X16" s="2167"/>
      <c r="Y16" s="2167"/>
      <c r="Z16" s="2167"/>
      <c r="AA16" s="2167"/>
      <c r="AB16" s="2167"/>
      <c r="AC16" s="2167"/>
      <c r="AD16" s="2167"/>
      <c r="AE16" s="2167"/>
      <c r="AF16" s="2167"/>
      <c r="AG16" s="2167"/>
      <c r="AH16" s="2167"/>
      <c r="AI16" s="2167"/>
      <c r="AJ16" s="2167"/>
    </row>
    <row r="17" spans="1:96" ht="12.75" customHeight="1"/>
    <row r="18" spans="1:96" ht="12.75" customHeight="1">
      <c r="A18" s="134" t="s">
        <v>106</v>
      </c>
      <c r="C18" s="7"/>
      <c r="D18" s="7"/>
      <c r="E18" s="7"/>
      <c r="F18" s="7"/>
      <c r="G18" s="7"/>
      <c r="H18" s="1974" t="s">
        <v>2494</v>
      </c>
      <c r="I18" s="2153"/>
      <c r="J18" s="2153"/>
      <c r="K18" s="2153"/>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row>
    <row r="19" spans="1:96" ht="12.75" customHeight="1"/>
    <row r="20" spans="1:96" ht="14.25" customHeight="1">
      <c r="A20" s="2180" t="s">
        <v>935</v>
      </c>
      <c r="B20" s="2180"/>
      <c r="C20" s="2180"/>
      <c r="D20" s="2180"/>
      <c r="E20" s="2180"/>
      <c r="F20" s="2180"/>
      <c r="G20" s="2180"/>
      <c r="H20" s="2180"/>
      <c r="I20" s="2180"/>
      <c r="J20" s="2180"/>
      <c r="K20" s="2180"/>
      <c r="L20" s="2180"/>
      <c r="M20" s="2180"/>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c r="AL20" s="2180"/>
      <c r="AM20" s="1479"/>
      <c r="AN20" s="1479"/>
      <c r="AO20" s="1479"/>
      <c r="AP20" s="1479"/>
      <c r="AQ20" s="1479"/>
      <c r="AR20" s="1479"/>
      <c r="AS20" s="1479"/>
      <c r="AT20" s="1479"/>
      <c r="AU20" s="1479"/>
      <c r="AV20" s="1479"/>
      <c r="AW20" s="1479"/>
      <c r="AX20" s="1479"/>
      <c r="AY20" s="1479"/>
    </row>
    <row r="21" spans="1:96" ht="12.75" customHeight="1">
      <c r="A21" s="2190" t="s">
        <v>1112</v>
      </c>
      <c r="B21" s="2190"/>
      <c r="C21" s="2190"/>
      <c r="D21" s="2190"/>
      <c r="E21" s="2190"/>
      <c r="F21" s="2190"/>
      <c r="G21" s="2190"/>
      <c r="H21" s="2190"/>
      <c r="I21" s="2190"/>
      <c r="J21" s="2190"/>
      <c r="K21" s="2190"/>
      <c r="L21" s="2190"/>
      <c r="M21" s="2190"/>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c r="AL21" s="2190"/>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9">
        <f>'Basis &amp; Credits'!AB56</f>
        <v>3271511</v>
      </c>
      <c r="N26" s="2189"/>
      <c r="O26" s="2189"/>
      <c r="P26" s="2189"/>
      <c r="Q26" s="2189"/>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3">
        <f>'Basis &amp; Credits'!AB77</f>
        <v>2670273</v>
      </c>
      <c r="N27" s="2113"/>
      <c r="O27" s="2113"/>
      <c r="P27" s="2113"/>
      <c r="Q27" s="2113"/>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1509</v>
      </c>
      <c r="C33" s="896"/>
      <c r="D33" s="896"/>
      <c r="E33" s="896"/>
      <c r="F33" s="896"/>
      <c r="G33" s="896"/>
      <c r="H33" s="896"/>
      <c r="I33" s="896"/>
      <c r="J33" s="896"/>
      <c r="K33" s="896"/>
      <c r="L33" s="896"/>
      <c r="M33" s="896"/>
      <c r="N33" s="896"/>
      <c r="O33" s="1999" t="s">
        <v>705</v>
      </c>
      <c r="P33" s="1999"/>
      <c r="Q33" s="896" t="s">
        <v>1510</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1512</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1511</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1513</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6"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81" t="s">
        <v>2639</v>
      </c>
      <c r="H122" s="2181"/>
      <c r="I122" s="239" t="s">
        <v>186</v>
      </c>
      <c r="L122" s="2181" t="s">
        <v>2640</v>
      </c>
      <c r="M122" s="2181"/>
      <c r="N122" s="2181"/>
      <c r="O122" s="909" t="s">
        <v>2634</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54" t="s">
        <v>71</v>
      </c>
      <c r="D124" s="2154"/>
      <c r="E124" s="2154"/>
      <c r="F124" s="2154"/>
      <c r="G124" s="2154"/>
      <c r="H124" s="2154"/>
      <c r="I124" s="2154"/>
      <c r="J124" s="2154"/>
      <c r="K124" s="215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81"/>
      <c r="Z126" s="2181"/>
      <c r="AA126" s="2181"/>
      <c r="AB126" s="2181"/>
      <c r="AC126" s="2181"/>
      <c r="AD126" s="2181"/>
      <c r="AE126" s="2181"/>
      <c r="AF126" s="2181"/>
      <c r="AG126" s="2181"/>
      <c r="AH126" s="2181"/>
      <c r="AI126" s="2181"/>
      <c r="AJ126" s="2181"/>
      <c r="AK126" s="218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75">
      <c r="A129" s="695"/>
      <c r="B129" s="150"/>
      <c r="R129" s="265"/>
      <c r="S129" s="265"/>
      <c r="T129" s="265"/>
      <c r="U129" s="265"/>
      <c r="V129" s="265"/>
      <c r="W129" s="265"/>
      <c r="X129" s="58"/>
      <c r="Y129" s="2188" t="s">
        <v>2495</v>
      </c>
      <c r="Z129" s="2188"/>
      <c r="AA129" s="2188"/>
      <c r="AB129" s="2188"/>
      <c r="AC129" s="2188"/>
      <c r="AD129" s="2188"/>
      <c r="AE129" s="2188"/>
      <c r="AF129" s="2188"/>
      <c r="AG129" s="2188"/>
      <c r="AH129" s="2188"/>
      <c r="AI129" s="2188"/>
      <c r="AJ129" s="2188"/>
      <c r="AK129" s="2188"/>
      <c r="AL129" s="695"/>
      <c r="AM129" s="1484"/>
      <c r="AN129" s="1484"/>
      <c r="AO129" s="1484"/>
      <c r="AP129" s="1484"/>
      <c r="AQ129" s="1484"/>
      <c r="AR129" s="1484"/>
      <c r="AS129" s="1484"/>
      <c r="AT129" s="1484"/>
      <c r="AU129" s="1484"/>
      <c r="AV129" s="1484"/>
      <c r="AW129" s="1484"/>
      <c r="AX129" s="1484"/>
      <c r="AY129" s="1484"/>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8" t="s">
        <v>2496</v>
      </c>
      <c r="Z132" s="2188"/>
      <c r="AA132" s="2188"/>
      <c r="AB132" s="2188"/>
      <c r="AC132" s="2188"/>
      <c r="AD132" s="2188"/>
      <c r="AE132" s="2188"/>
      <c r="AF132" s="2188"/>
      <c r="AG132" s="2188"/>
      <c r="AH132" s="2188"/>
      <c r="AI132" s="2188"/>
      <c r="AJ132" s="2188"/>
      <c r="AK132" s="218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6"/>
      <c r="G150" s="2096"/>
      <c r="H150" s="2096"/>
      <c r="I150" s="2096"/>
      <c r="J150" s="2096"/>
      <c r="K150" s="2096"/>
      <c r="L150" s="2096"/>
      <c r="M150" s="2096"/>
      <c r="N150" s="2096"/>
      <c r="O150" s="2096"/>
      <c r="P150" s="2096"/>
      <c r="Q150" s="2096"/>
      <c r="R150" s="2096"/>
      <c r="S150" s="2096"/>
      <c r="T150" s="209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74" t="s">
        <v>2497</v>
      </c>
      <c r="P153" s="2153"/>
      <c r="Q153" s="2153"/>
      <c r="R153" s="2153"/>
      <c r="S153" s="2153"/>
      <c r="T153" s="2153"/>
      <c r="U153" s="2153"/>
      <c r="V153" s="2153"/>
      <c r="W153" s="2153"/>
      <c r="X153" s="2153"/>
      <c r="Y153" s="2153"/>
      <c r="Z153" s="2153"/>
      <c r="AA153" s="2153"/>
      <c r="AB153" s="2153"/>
      <c r="AC153" s="2153"/>
      <c r="AD153" s="2153"/>
      <c r="AE153" s="2153"/>
      <c r="AF153" s="2153"/>
      <c r="AG153" s="2153"/>
      <c r="AH153" s="2153"/>
    </row>
    <row r="154" spans="1:96" ht="12.75" customHeight="1">
      <c r="D154" s="466" t="s">
        <v>461</v>
      </c>
      <c r="F154" s="32"/>
      <c r="G154" s="32"/>
      <c r="H154" s="32"/>
      <c r="I154" s="32"/>
      <c r="J154" s="32"/>
      <c r="K154" s="32"/>
      <c r="L154" s="32"/>
      <c r="M154" s="32"/>
      <c r="N154" s="32"/>
      <c r="O154" s="2001" t="s">
        <v>2498</v>
      </c>
      <c r="P154" s="1976"/>
      <c r="Q154" s="1976"/>
      <c r="R154" s="1976"/>
      <c r="S154" s="1976"/>
      <c r="T154" s="1976"/>
      <c r="U154" s="1976"/>
      <c r="V154" s="1976"/>
      <c r="W154" s="1976"/>
      <c r="X154" s="1976"/>
      <c r="Y154" s="1976"/>
      <c r="Z154" s="1976"/>
      <c r="AA154" s="1976"/>
      <c r="AB154" s="1976"/>
      <c r="AC154" s="1976"/>
      <c r="AD154" s="1976"/>
      <c r="AE154" s="1976"/>
      <c r="AF154" s="1976"/>
      <c r="AG154" s="1976"/>
      <c r="AH154" s="1976"/>
      <c r="AZ154" s="25"/>
    </row>
    <row r="155" spans="1:96" ht="12.75">
      <c r="D155" s="13" t="s">
        <v>463</v>
      </c>
      <c r="F155" s="13"/>
      <c r="G155" s="13"/>
      <c r="H155" s="13"/>
      <c r="I155" s="13"/>
      <c r="J155" s="13"/>
      <c r="K155" s="13"/>
      <c r="L155" s="13"/>
      <c r="M155" s="13"/>
      <c r="N155" s="13"/>
      <c r="O155" s="2192" t="s">
        <v>462</v>
      </c>
      <c r="P155" s="2192"/>
      <c r="Q155" s="2192"/>
      <c r="R155" s="2192"/>
      <c r="S155" s="2192"/>
      <c r="T155" s="2192"/>
      <c r="U155" s="2192"/>
      <c r="V155" s="2192"/>
      <c r="W155" s="2192"/>
      <c r="X155" s="2192"/>
      <c r="Y155" s="2192"/>
      <c r="Z155" s="2192"/>
      <c r="AA155" s="2192"/>
      <c r="AB155" s="2192"/>
      <c r="AC155" s="2192"/>
      <c r="AD155" s="2192"/>
      <c r="AE155" s="2192"/>
      <c r="AF155" s="2192"/>
      <c r="AG155" s="2192"/>
      <c r="AH155" s="2192"/>
      <c r="AZ155" s="25"/>
    </row>
    <row r="156" spans="1:96" ht="12.75">
      <c r="D156" s="32" t="s">
        <v>321</v>
      </c>
      <c r="F156" s="32"/>
      <c r="G156" s="32"/>
      <c r="H156" s="32"/>
      <c r="I156" s="32"/>
      <c r="J156" s="32"/>
      <c r="K156" s="32"/>
      <c r="L156" s="32"/>
      <c r="M156" s="32"/>
      <c r="N156" s="32"/>
      <c r="O156" s="1974" t="s">
        <v>2499</v>
      </c>
      <c r="P156" s="1975"/>
      <c r="Q156" s="1975"/>
      <c r="R156" s="1975"/>
      <c r="S156" s="1975"/>
      <c r="T156" s="1975"/>
      <c r="U156" s="1975"/>
      <c r="V156" s="1975"/>
      <c r="W156" s="1975"/>
      <c r="X156" s="1975"/>
      <c r="Y156" s="1975"/>
      <c r="Z156" s="1975"/>
      <c r="AA156" s="1975"/>
      <c r="AB156" s="1975"/>
      <c r="AC156" s="1975"/>
      <c r="AD156" s="1975"/>
      <c r="AE156" s="1975"/>
      <c r="AF156" s="1975"/>
      <c r="AG156" s="1975"/>
      <c r="AH156" s="1975"/>
      <c r="BT156" s="12" t="s">
        <v>315</v>
      </c>
    </row>
    <row r="157" spans="1:96" ht="12.75">
      <c r="D157" s="32" t="s">
        <v>322</v>
      </c>
      <c r="F157" s="32"/>
      <c r="G157" s="32"/>
      <c r="H157" s="32"/>
      <c r="I157" s="32"/>
      <c r="J157" s="32"/>
      <c r="K157" s="32"/>
      <c r="L157" s="32"/>
      <c r="M157" s="32"/>
      <c r="N157" s="32"/>
      <c r="O157" s="1974" t="s">
        <v>71</v>
      </c>
      <c r="P157" s="2153"/>
      <c r="Q157" s="2153"/>
      <c r="R157" s="2153"/>
      <c r="S157" s="2153"/>
      <c r="T157" s="2153"/>
      <c r="U157" s="2153"/>
      <c r="V157" s="2153"/>
      <c r="W157" s="2153"/>
      <c r="X157" s="2153"/>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193">
        <v>95814</v>
      </c>
      <c r="P158" s="2193"/>
      <c r="Q158" s="2193"/>
      <c r="R158" s="2193"/>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51" t="s">
        <v>2500</v>
      </c>
      <c r="P159" s="2155"/>
      <c r="Q159" s="2155"/>
      <c r="R159" s="2155"/>
      <c r="S159" s="2155"/>
      <c r="T159" s="2155"/>
      <c r="V159" s="146" t="s">
        <v>276</v>
      </c>
      <c r="W159" s="2194"/>
      <c r="X159" s="2194"/>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55"/>
      <c r="P160" s="2155"/>
      <c r="Q160" s="2155"/>
      <c r="R160" s="2155"/>
      <c r="S160" s="2155"/>
      <c r="T160" s="2155"/>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56" t="s">
        <v>2501</v>
      </c>
      <c r="P161" s="2156"/>
      <c r="Q161" s="2156"/>
      <c r="R161" s="2156"/>
      <c r="S161" s="2156"/>
      <c r="T161" s="2156"/>
      <c r="U161" s="2156"/>
      <c r="V161" s="2156"/>
      <c r="W161" s="2156"/>
      <c r="X161" s="2156"/>
      <c r="Y161" s="2156"/>
      <c r="Z161" s="2156"/>
      <c r="AA161" s="2156"/>
      <c r="AB161" s="2156"/>
      <c r="AC161" s="2156"/>
      <c r="AD161" s="2156"/>
      <c r="AE161" s="2156"/>
      <c r="AF161" s="2156"/>
      <c r="AG161" s="2156"/>
      <c r="AH161" s="2156"/>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57" t="s">
        <v>1452</v>
      </c>
      <c r="E164" s="2157"/>
      <c r="F164" s="2157"/>
      <c r="G164" s="2157"/>
      <c r="H164" s="2157"/>
      <c r="I164" s="2157"/>
      <c r="J164" s="2157"/>
      <c r="K164" s="2157"/>
      <c r="L164" s="2157"/>
      <c r="M164" s="2157"/>
      <c r="N164" s="2157"/>
      <c r="O164" s="2157"/>
      <c r="P164" s="2157"/>
      <c r="Q164" s="2157"/>
      <c r="R164" s="2157"/>
      <c r="S164" s="2157"/>
      <c r="T164" s="2157"/>
      <c r="U164" s="2157"/>
      <c r="V164" s="2157"/>
      <c r="W164" s="2157"/>
      <c r="X164" s="2157"/>
      <c r="Y164" s="2157"/>
      <c r="Z164" s="2157"/>
      <c r="AA164" s="2157"/>
      <c r="AB164" s="2157"/>
      <c r="AC164" s="2157"/>
      <c r="AD164" s="2157"/>
      <c r="AE164" s="2157"/>
      <c r="AF164" s="2157"/>
      <c r="AG164" s="2157"/>
      <c r="AH164" s="2157"/>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2" t="s">
        <v>571</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191" t="s">
        <v>388</v>
      </c>
      <c r="K173" s="2191"/>
      <c r="L173" s="2191"/>
      <c r="M173" s="2191"/>
      <c r="N173" s="2191"/>
      <c r="O173" s="2191"/>
      <c r="P173" s="2191"/>
      <c r="Q173" s="2191"/>
      <c r="R173" s="2191"/>
      <c r="S173" s="219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1405</v>
      </c>
      <c r="E174" s="25"/>
      <c r="F174" s="25"/>
      <c r="G174" s="25"/>
      <c r="H174" s="25"/>
      <c r="I174" s="25"/>
      <c r="J174" s="1975" t="s">
        <v>2502</v>
      </c>
      <c r="K174" s="1975"/>
      <c r="L174" s="1975"/>
      <c r="M174" s="1975"/>
      <c r="N174" s="1975"/>
      <c r="O174" s="1975"/>
      <c r="P174" s="1975"/>
      <c r="Q174" s="1975"/>
      <c r="R174" s="1975"/>
      <c r="S174" s="1975"/>
      <c r="T174" s="1975"/>
      <c r="U174" s="1975"/>
      <c r="V174" s="1975"/>
      <c r="W174" s="1975"/>
      <c r="X174" s="1975"/>
      <c r="Y174" s="1975"/>
      <c r="Z174" s="1975"/>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9" t="s">
        <v>577</v>
      </c>
      <c r="V175" s="199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1969">
        <v>21</v>
      </c>
      <c r="V176" s="1969"/>
      <c r="W176" s="4" t="s">
        <v>314</v>
      </c>
      <c r="X176" s="2175">
        <v>743</v>
      </c>
      <c r="Y176" s="217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9" t="s">
        <v>705</v>
      </c>
      <c r="S177" s="199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68"/>
      <c r="AG178" s="2368"/>
      <c r="AH178" s="4" t="s">
        <v>314</v>
      </c>
      <c r="AI178" s="2195"/>
      <c r="AJ178" s="2195"/>
      <c r="AK178" s="2195"/>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9" t="s">
        <v>705</v>
      </c>
      <c r="Y180" s="1999"/>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2000" t="str">
        <f>H18</f>
        <v>Anton Power Inn</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01" t="s">
        <v>2503</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55"/>
      <c r="F187" s="2055"/>
      <c r="G187" s="2055"/>
      <c r="H187" s="2055"/>
      <c r="I187" s="2055"/>
      <c r="J187" s="2055"/>
      <c r="K187" s="2055"/>
      <c r="L187" s="2055"/>
      <c r="M187" s="2055"/>
      <c r="N187" s="2055"/>
      <c r="O187" s="2055"/>
      <c r="P187" s="2055"/>
      <c r="Q187" s="2055"/>
      <c r="R187" s="2055"/>
      <c r="S187" s="2055"/>
      <c r="T187" s="2055"/>
      <c r="U187" s="2055"/>
      <c r="V187" s="2055"/>
      <c r="W187" s="2055"/>
      <c r="X187" s="2055"/>
      <c r="Y187" s="2055"/>
      <c r="Z187" s="2055"/>
      <c r="AA187" s="2055"/>
      <c r="AB187" s="2055"/>
      <c r="AC187" s="2055"/>
      <c r="AD187" s="2055"/>
      <c r="AE187" s="2055"/>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1974" t="s">
        <v>71</v>
      </c>
      <c r="J189" s="1975"/>
      <c r="K189" s="1975"/>
      <c r="L189" s="1975"/>
      <c r="M189" s="1975"/>
      <c r="N189" s="1975"/>
      <c r="O189" s="1975"/>
      <c r="P189" s="1975"/>
      <c r="Q189" s="25" t="s">
        <v>616</v>
      </c>
      <c r="T189" s="1975" t="s">
        <v>71</v>
      </c>
      <c r="U189" s="1975"/>
      <c r="V189" s="1975"/>
      <c r="W189" s="1975"/>
      <c r="X189" s="1975"/>
      <c r="Y189" s="1975"/>
      <c r="Z189" s="1975"/>
      <c r="AA189" s="1975"/>
      <c r="AB189" s="1975"/>
      <c r="AC189" s="1975"/>
      <c r="AD189" s="1975"/>
      <c r="AE189" s="1975"/>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2">
        <v>95828</v>
      </c>
      <c r="J190" s="2002"/>
      <c r="K190" s="2002"/>
      <c r="L190" s="2002"/>
      <c r="M190" s="2002"/>
      <c r="N190" s="2002"/>
      <c r="O190" s="25" t="s">
        <v>619</v>
      </c>
      <c r="P190" s="25"/>
      <c r="Q190" s="25"/>
      <c r="R190" s="25"/>
      <c r="S190" s="25"/>
      <c r="T190" s="2183">
        <v>51.01</v>
      </c>
      <c r="U190" s="2183"/>
      <c r="V190" s="2183"/>
      <c r="W190" s="2183"/>
      <c r="X190" s="2183"/>
      <c r="Y190" s="2183"/>
      <c r="Z190" s="2183"/>
      <c r="AA190" s="2183"/>
      <c r="AB190" s="2183"/>
      <c r="AC190" s="2183"/>
      <c r="AD190" s="2183"/>
      <c r="AE190" s="2183"/>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185" t="s">
        <v>2504</v>
      </c>
      <c r="O191" s="2055"/>
      <c r="P191" s="2055"/>
      <c r="Q191" s="2055"/>
      <c r="R191" s="2055"/>
      <c r="S191" s="2055"/>
      <c r="T191" s="2055"/>
      <c r="U191" s="2055"/>
      <c r="V191" s="2055"/>
      <c r="W191" s="2055"/>
      <c r="X191" s="2055"/>
      <c r="Y191" s="2055"/>
      <c r="Z191" s="2055"/>
      <c r="AA191" s="2055"/>
      <c r="AB191" s="2055"/>
      <c r="AC191" s="2055"/>
      <c r="AD191" s="2055"/>
      <c r="AE191" s="205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56"/>
      <c r="O192" s="2056"/>
      <c r="P192" s="2056"/>
      <c r="Q192" s="2056"/>
      <c r="R192" s="2056"/>
      <c r="S192" s="2056"/>
      <c r="T192" s="2056"/>
      <c r="U192" s="2056"/>
      <c r="V192" s="2056"/>
      <c r="W192" s="2056"/>
      <c r="X192" s="2056"/>
      <c r="Y192" s="2056"/>
      <c r="Z192" s="2056"/>
      <c r="AA192" s="2056"/>
      <c r="AB192" s="2056"/>
      <c r="AC192" s="2056"/>
      <c r="AD192" s="2056"/>
      <c r="AE192" s="205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1932</v>
      </c>
      <c r="BN192" s="36" t="s">
        <v>726</v>
      </c>
      <c r="BT192" s="12" t="s">
        <v>768</v>
      </c>
    </row>
    <row r="193" spans="1:96" ht="12.75">
      <c r="A193" s="25"/>
      <c r="B193" s="717"/>
      <c r="C193" s="46"/>
      <c r="D193" s="685" t="s">
        <v>1968</v>
      </c>
      <c r="E193" s="25"/>
      <c r="F193" s="25"/>
      <c r="G193" s="25"/>
      <c r="H193" s="25"/>
      <c r="I193" s="25"/>
      <c r="J193" s="25"/>
      <c r="K193" s="25"/>
      <c r="L193" s="25"/>
      <c r="M193" s="170"/>
      <c r="N193" s="1468"/>
      <c r="O193" s="1468"/>
      <c r="P193" s="1468"/>
      <c r="Q193" s="1468"/>
      <c r="R193" s="1468"/>
      <c r="S193" s="1468"/>
      <c r="T193" s="2176" t="s">
        <v>2505</v>
      </c>
      <c r="U193" s="2176"/>
      <c r="V193" s="2176"/>
      <c r="W193" s="2176"/>
      <c r="X193" s="2176"/>
      <c r="Y193" s="2176"/>
      <c r="Z193" s="2176"/>
      <c r="AA193" s="2176"/>
      <c r="AB193" s="2176"/>
      <c r="AC193" s="2176"/>
      <c r="AD193" s="2176"/>
      <c r="AE193" s="2176"/>
      <c r="AF193" s="2176"/>
      <c r="AG193" s="2176"/>
      <c r="AH193" s="2176"/>
      <c r="AI193" s="2176"/>
      <c r="AJ193" s="679"/>
      <c r="AK193" s="679"/>
      <c r="AL193" s="679"/>
      <c r="AM193" s="679"/>
      <c r="AN193" s="679"/>
      <c r="AO193" s="679"/>
      <c r="AP193" s="679"/>
      <c r="AQ193" s="679"/>
      <c r="AR193" s="679"/>
      <c r="AS193" s="679"/>
      <c r="AT193" s="679"/>
      <c r="AU193" s="679"/>
      <c r="AV193" s="679"/>
      <c r="AW193" s="679"/>
      <c r="AX193" s="679"/>
      <c r="AY193" s="679"/>
      <c r="BC193" s="717" t="s">
        <v>1152</v>
      </c>
      <c r="BH193" s="58" t="s">
        <v>1933</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9" t="s">
        <v>705</v>
      </c>
      <c r="U194" s="1999"/>
      <c r="W194" s="25" t="s">
        <v>721</v>
      </c>
      <c r="X194" s="25"/>
      <c r="Y194" s="25"/>
      <c r="Z194" s="25"/>
      <c r="AA194" s="25"/>
      <c r="AB194" s="25"/>
      <c r="AC194" s="25"/>
      <c r="AD194" s="25"/>
      <c r="AE194" s="25"/>
      <c r="AF194" s="25"/>
      <c r="AG194" s="25"/>
      <c r="AH194" s="1999">
        <v>7</v>
      </c>
      <c r="AI194" s="1999"/>
      <c r="AJ194" s="3"/>
      <c r="AK194" s="3"/>
      <c r="AL194" s="3"/>
      <c r="AM194" s="679"/>
      <c r="AN194" s="679"/>
      <c r="AO194" s="679"/>
      <c r="AP194" s="679"/>
      <c r="AQ194" s="679"/>
      <c r="AR194" s="679"/>
      <c r="AS194" s="679"/>
      <c r="AT194" s="679"/>
      <c r="AU194" s="679"/>
      <c r="AV194" s="679"/>
      <c r="AW194" s="679"/>
      <c r="AX194" s="679"/>
      <c r="AY194" s="679"/>
      <c r="BC194" s="717" t="s">
        <v>1630</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13" t="s">
        <v>577</v>
      </c>
      <c r="U195" s="2013"/>
      <c r="V195" s="12"/>
      <c r="W195" s="25" t="s">
        <v>722</v>
      </c>
      <c r="X195" s="25"/>
      <c r="Y195" s="25"/>
      <c r="Z195" s="25"/>
      <c r="AA195" s="25"/>
      <c r="AB195" s="25"/>
      <c r="AC195" s="25"/>
      <c r="AD195" s="25"/>
      <c r="AE195" s="25"/>
      <c r="AF195" s="25"/>
      <c r="AG195" s="25"/>
      <c r="AH195" s="1999">
        <v>9</v>
      </c>
      <c r="AI195" s="1999"/>
      <c r="AJ195" s="3"/>
      <c r="AK195" s="3"/>
      <c r="AL195" s="3"/>
      <c r="AM195" s="679"/>
      <c r="AN195" s="679"/>
      <c r="AO195" s="679"/>
      <c r="AP195" s="679"/>
      <c r="AQ195" s="679"/>
      <c r="AR195" s="679"/>
      <c r="AS195" s="679"/>
      <c r="AT195" s="679"/>
      <c r="AU195" s="679"/>
      <c r="AV195" s="679"/>
      <c r="AW195" s="679"/>
      <c r="AX195" s="679"/>
      <c r="AY195" s="679"/>
      <c r="BC195" s="717" t="s">
        <v>2314</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13" t="s">
        <v>705</v>
      </c>
      <c r="U196" s="2013"/>
      <c r="W196" s="25" t="s">
        <v>723</v>
      </c>
      <c r="X196" s="25"/>
      <c r="Y196" s="25"/>
      <c r="Z196" s="25"/>
      <c r="AA196" s="25"/>
      <c r="AB196" s="25"/>
      <c r="AC196" s="25"/>
      <c r="AD196" s="25"/>
      <c r="AE196" s="25"/>
      <c r="AF196" s="25"/>
      <c r="AG196" s="25"/>
      <c r="AH196" s="1999">
        <v>6</v>
      </c>
      <c r="AI196" s="1999"/>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1960</v>
      </c>
      <c r="E197" s="25"/>
      <c r="F197" s="25"/>
      <c r="G197" s="25"/>
      <c r="H197" s="25"/>
      <c r="I197" s="25"/>
      <c r="J197" s="25"/>
      <c r="K197" s="25"/>
      <c r="L197" s="25"/>
      <c r="M197" s="25"/>
      <c r="N197" s="25"/>
      <c r="O197" s="25"/>
      <c r="P197" s="25"/>
      <c r="Q197" s="25"/>
      <c r="R197" s="25"/>
      <c r="S197" s="717"/>
      <c r="T197" s="2013"/>
      <c r="U197" s="201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1999" t="s">
        <v>705</v>
      </c>
      <c r="Z198" s="199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2000" t="s">
        <v>402</v>
      </c>
      <c r="E203" s="2000"/>
      <c r="F203" s="2000"/>
      <c r="G203" s="2000"/>
      <c r="H203" s="2000"/>
      <c r="I203" s="2000"/>
      <c r="J203" s="2000"/>
      <c r="K203" s="2000"/>
      <c r="L203" s="2000"/>
      <c r="M203" s="2000"/>
      <c r="P203" s="2179">
        <f>M26</f>
        <v>3271511</v>
      </c>
      <c r="Q203" s="2174"/>
      <c r="R203" s="2174"/>
      <c r="S203" s="2174"/>
      <c r="T203" s="2174"/>
      <c r="U203" s="2174"/>
      <c r="V203" s="25"/>
      <c r="W203" s="25"/>
      <c r="X203" s="25"/>
      <c r="Y203" s="25"/>
      <c r="Z203" s="2172" t="s">
        <v>2506</v>
      </c>
      <c r="AA203" s="2172"/>
      <c r="AB203" s="2172"/>
      <c r="AC203" s="2172"/>
      <c r="AD203" s="2172"/>
      <c r="AE203" s="2172"/>
      <c r="AF203" s="217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77" t="s">
        <v>1473</v>
      </c>
      <c r="E204" s="2000"/>
      <c r="F204" s="2000"/>
      <c r="G204" s="2000"/>
      <c r="H204" s="2000"/>
      <c r="I204" s="2000"/>
      <c r="J204" s="2000"/>
      <c r="K204" s="2000"/>
      <c r="L204" s="2000"/>
      <c r="M204" s="2000"/>
      <c r="P204" s="2174">
        <f>M27</f>
        <v>2670273</v>
      </c>
      <c r="Q204" s="2174"/>
      <c r="R204" s="2174"/>
      <c r="S204" s="2174"/>
      <c r="T204" s="2174"/>
      <c r="U204" s="2174"/>
      <c r="V204" s="47"/>
      <c r="W204" s="58" t="s">
        <v>2150</v>
      </c>
      <c r="Z204" s="2172"/>
      <c r="AA204" s="2172"/>
      <c r="AB204" s="2172"/>
      <c r="AC204" s="2172"/>
      <c r="AD204" s="2172"/>
      <c r="AE204" s="2172"/>
      <c r="AF204" s="2172"/>
      <c r="AG204" s="25" t="s">
        <v>1474</v>
      </c>
      <c r="AH204" s="25"/>
      <c r="AI204" s="25"/>
      <c r="AJ204" s="25"/>
      <c r="AK204" s="25"/>
      <c r="AL204" s="25"/>
      <c r="AM204" s="25"/>
      <c r="AN204" s="25"/>
      <c r="AO204" s="25"/>
      <c r="AP204" s="1999" t="s">
        <v>705</v>
      </c>
      <c r="AQ204" s="1999"/>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3"/>
      <c r="AA205" s="2173"/>
      <c r="AB205" s="2173"/>
      <c r="AC205" s="2173"/>
      <c r="AD205" s="2173"/>
      <c r="AE205" s="2173"/>
      <c r="AF205" s="2173"/>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2.75">
      <c r="A207" s="25"/>
      <c r="C207" s="45"/>
      <c r="D207" s="2153" t="s">
        <v>2507</v>
      </c>
      <c r="E207" s="2153"/>
      <c r="F207" s="2153"/>
      <c r="G207" s="2153"/>
      <c r="H207" s="2153"/>
      <c r="I207" s="2153"/>
      <c r="J207" s="2153"/>
      <c r="K207" s="2153"/>
      <c r="L207" s="2153"/>
      <c r="M207" s="2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53" t="s">
        <v>1151</v>
      </c>
      <c r="E210" s="2153"/>
      <c r="F210" s="2153"/>
      <c r="G210" s="2153"/>
      <c r="H210" s="2153"/>
      <c r="I210" s="2153"/>
      <c r="J210" s="2153"/>
      <c r="K210" s="2153"/>
      <c r="L210" s="2153"/>
      <c r="M210" s="215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1459</v>
      </c>
      <c r="E211" s="717"/>
      <c r="F211" s="717"/>
      <c r="G211" s="717"/>
      <c r="H211" s="717"/>
      <c r="I211" s="717"/>
      <c r="J211" s="717"/>
      <c r="K211" s="717"/>
      <c r="L211" s="717"/>
      <c r="M211" s="717"/>
      <c r="N211" s="717"/>
      <c r="O211" s="717"/>
      <c r="P211" s="717"/>
      <c r="Q211" s="717"/>
      <c r="R211" s="717"/>
      <c r="S211" s="717"/>
      <c r="T211" s="717"/>
      <c r="U211" s="717"/>
      <c r="V211" s="717"/>
      <c r="W211" s="717"/>
      <c r="X211" s="717"/>
      <c r="Y211" s="1999"/>
      <c r="Z211" s="199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1931</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59" t="s">
        <v>625</v>
      </c>
      <c r="E213" s="2059"/>
      <c r="F213" s="2059"/>
      <c r="G213" s="2059"/>
      <c r="H213" s="2059"/>
      <c r="I213" s="2059"/>
      <c r="J213" s="2059"/>
      <c r="K213" s="2059"/>
      <c r="L213" s="2059"/>
      <c r="M213" s="2059"/>
      <c r="N213" s="2059"/>
      <c r="O213" s="2059"/>
      <c r="P213" s="2059"/>
      <c r="Q213" s="2059"/>
      <c r="R213" s="2059"/>
      <c r="S213" s="2059"/>
      <c r="T213" s="2059"/>
      <c r="U213" s="2059"/>
      <c r="V213" s="2059"/>
      <c r="W213" s="2059"/>
      <c r="X213" s="2059"/>
      <c r="Y213" s="2059"/>
      <c r="Z213" s="2059"/>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1961</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8"/>
      <c r="AC214" s="2058"/>
      <c r="AD214" s="2058"/>
      <c r="AE214" s="2058"/>
      <c r="AF214" s="2058"/>
      <c r="AG214" s="2058"/>
      <c r="AH214" s="2058"/>
      <c r="AI214" s="2058"/>
      <c r="AJ214" s="2058"/>
      <c r="AK214" s="2058"/>
      <c r="AL214" s="2058"/>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1959</v>
      </c>
      <c r="Z215" s="69"/>
      <c r="AB215" s="2058"/>
      <c r="AC215" s="2058"/>
      <c r="AD215" s="2058"/>
      <c r="AE215" s="2058"/>
      <c r="AF215" s="2058"/>
      <c r="AG215" s="2058"/>
      <c r="AH215" s="2058"/>
      <c r="AI215" s="2058"/>
      <c r="AJ215" s="2058"/>
      <c r="AK215" s="2058"/>
      <c r="AL215" s="2058"/>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53" t="s">
        <v>1179</v>
      </c>
      <c r="E219" s="2153"/>
      <c r="F219" s="2153"/>
      <c r="G219" s="2153"/>
      <c r="H219" s="2153"/>
      <c r="I219" s="2153"/>
      <c r="J219" s="2153"/>
      <c r="K219" s="2153"/>
      <c r="L219" s="2153"/>
      <c r="M219" s="2153"/>
      <c r="N219" s="2153"/>
      <c r="O219" s="2153"/>
      <c r="P219" s="2153"/>
      <c r="Q219" s="2153"/>
      <c r="R219" s="2153"/>
      <c r="S219" s="2153"/>
      <c r="T219" s="2153"/>
      <c r="U219" s="2153"/>
      <c r="V219" s="2153"/>
      <c r="W219" s="2153"/>
      <c r="X219" s="2153"/>
      <c r="Y219" s="2153"/>
      <c r="Z219" s="215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52" t="s">
        <v>572</v>
      </c>
      <c r="B221" s="2052"/>
      <c r="C221" s="2052"/>
      <c r="D221" s="2052"/>
      <c r="E221" s="2052"/>
      <c r="F221" s="2052"/>
      <c r="G221" s="2052"/>
      <c r="H221" s="2052"/>
      <c r="I221" s="2052"/>
      <c r="J221" s="2052"/>
      <c r="K221" s="2052"/>
      <c r="L221" s="2052"/>
      <c r="M221" s="2052"/>
      <c r="N221" s="2052"/>
      <c r="O221" s="2052"/>
      <c r="P221" s="2052"/>
      <c r="Q221" s="2052"/>
      <c r="R221" s="2052"/>
      <c r="S221" s="2052"/>
      <c r="T221" s="2052"/>
      <c r="U221" s="2052"/>
      <c r="V221" s="2052"/>
      <c r="W221" s="2052"/>
      <c r="X221" s="2052"/>
      <c r="Y221" s="2052"/>
      <c r="Z221" s="2052"/>
      <c r="AA221" s="2052"/>
      <c r="AB221" s="2052"/>
      <c r="AC221" s="2052"/>
      <c r="AD221" s="2052"/>
      <c r="AE221" s="2052"/>
      <c r="AF221" s="2052"/>
      <c r="AG221" s="2052"/>
      <c r="AH221" s="2052"/>
      <c r="AI221" s="2052"/>
      <c r="AJ221" s="2052"/>
      <c r="AK221" s="2052"/>
      <c r="AL221" s="2052"/>
      <c r="AM221" s="144"/>
      <c r="AN221" s="144"/>
      <c r="AO221" s="144"/>
      <c r="AP221" s="144"/>
      <c r="AQ221" s="144"/>
      <c r="AR221" s="144"/>
      <c r="AS221" s="144"/>
      <c r="AT221" s="144"/>
      <c r="AU221" s="144"/>
      <c r="AV221" s="144"/>
      <c r="AW221" s="144"/>
      <c r="AX221" s="144"/>
      <c r="AY221" s="144"/>
      <c r="BA221" s="58"/>
    </row>
    <row r="222" spans="1:96" ht="13.5" thickBot="1">
      <c r="A222" s="2053"/>
      <c r="B222" s="2053"/>
      <c r="C222" s="2053"/>
      <c r="D222" s="2053"/>
      <c r="E222" s="2053"/>
      <c r="F222" s="2053"/>
      <c r="G222" s="2053"/>
      <c r="H222" s="2053"/>
      <c r="I222" s="2053"/>
      <c r="J222" s="2053"/>
      <c r="K222" s="2053"/>
      <c r="L222" s="2053"/>
      <c r="M222" s="2053"/>
      <c r="N222" s="2053"/>
      <c r="O222" s="2053"/>
      <c r="P222" s="2053"/>
      <c r="Q222" s="2053"/>
      <c r="R222" s="2053"/>
      <c r="S222" s="2053"/>
      <c r="T222" s="2053"/>
      <c r="U222" s="2053"/>
      <c r="V222" s="2053"/>
      <c r="W222" s="2053"/>
      <c r="X222" s="2053"/>
      <c r="Y222" s="2053"/>
      <c r="Z222" s="2053"/>
      <c r="AA222" s="2053"/>
      <c r="AB222" s="2053"/>
      <c r="AC222" s="2053"/>
      <c r="AD222" s="2053"/>
      <c r="AE222" s="2053"/>
      <c r="AF222" s="2053"/>
      <c r="AG222" s="2053"/>
      <c r="AH222" s="2053"/>
      <c r="AI222" s="2053"/>
      <c r="AJ222" s="2053"/>
      <c r="AK222" s="2053"/>
      <c r="AL222" s="205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625</v>
      </c>
      <c r="AJ225" s="199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577</v>
      </c>
      <c r="AJ226" s="199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577</v>
      </c>
      <c r="AJ227" s="199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625</v>
      </c>
      <c r="AJ228" s="199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84" t="str">
        <f>H16</f>
        <v>Power Inn Sacramento, L.P.</v>
      </c>
      <c r="N231" s="2184"/>
      <c r="O231" s="2184"/>
      <c r="P231" s="2184"/>
      <c r="Q231" s="2184"/>
      <c r="R231" s="2184"/>
      <c r="S231" s="2184"/>
      <c r="T231" s="2184"/>
      <c r="U231" s="2184"/>
      <c r="V231" s="2184"/>
      <c r="W231" s="2184"/>
      <c r="X231" s="2184"/>
      <c r="Y231" s="2184"/>
      <c r="Z231" s="2184"/>
      <c r="AA231" s="2184"/>
      <c r="AB231" s="2184"/>
      <c r="AC231" s="2184"/>
      <c r="AD231" s="2184"/>
      <c r="AE231" s="2184"/>
      <c r="AF231" s="2184"/>
      <c r="AG231" s="2184"/>
      <c r="AH231" s="2184"/>
      <c r="AI231" s="2184"/>
      <c r="AJ231" s="2184"/>
      <c r="AK231" s="2184"/>
      <c r="BA231" s="58"/>
      <c r="BB231" s="384"/>
      <c r="BG231" s="387"/>
      <c r="BQ231" s="61"/>
    </row>
    <row r="232" spans="1:69" ht="12.75">
      <c r="D232" s="57" t="s">
        <v>90</v>
      </c>
      <c r="E232" s="57"/>
      <c r="F232" s="57"/>
      <c r="G232" s="57"/>
      <c r="H232" s="57"/>
      <c r="I232" s="57"/>
      <c r="J232" s="57"/>
      <c r="K232" s="7"/>
      <c r="M232" s="1974" t="s">
        <v>2508</v>
      </c>
      <c r="N232" s="2153"/>
      <c r="O232" s="2153"/>
      <c r="P232" s="2153"/>
      <c r="Q232" s="2153"/>
      <c r="R232" s="2153"/>
      <c r="S232" s="2153"/>
      <c r="T232" s="2153"/>
      <c r="U232" s="2153"/>
      <c r="V232" s="2153"/>
      <c r="W232" s="2153"/>
      <c r="X232" s="2153"/>
      <c r="Y232" s="2153"/>
      <c r="Z232" s="2153"/>
      <c r="AA232" s="2153"/>
      <c r="AB232" s="2153"/>
      <c r="AC232" s="2153"/>
      <c r="AD232" s="2153"/>
      <c r="AE232" s="2153"/>
      <c r="AZ232" s="7"/>
      <c r="BA232" s="58"/>
      <c r="BB232" s="334" t="s">
        <v>570</v>
      </c>
      <c r="BG232" s="389">
        <f>IF(AND(AND($M$248="nonprofit",$M$256="nonprofit",$M$264="for profit")),2,0)</f>
        <v>0</v>
      </c>
      <c r="BQ232" s="61"/>
    </row>
    <row r="233" spans="1:69" ht="12.75">
      <c r="D233" s="57" t="s">
        <v>614</v>
      </c>
      <c r="E233" s="57"/>
      <c r="M233" s="1974" t="s">
        <v>71</v>
      </c>
      <c r="N233" s="2153"/>
      <c r="O233" s="2153"/>
      <c r="P233" s="2153"/>
      <c r="Q233" s="2153"/>
      <c r="R233" s="2153"/>
      <c r="S233" s="2153"/>
      <c r="T233" s="2153"/>
      <c r="V233" s="59" t="s">
        <v>91</v>
      </c>
      <c r="W233" s="2001" t="s">
        <v>2509</v>
      </c>
      <c r="X233" s="1976"/>
      <c r="Y233" s="57" t="s">
        <v>617</v>
      </c>
      <c r="AC233" s="2153">
        <v>95811</v>
      </c>
      <c r="AD233" s="2153"/>
      <c r="AE233" s="2153"/>
      <c r="BB233" s="334" t="s">
        <v>570</v>
      </c>
      <c r="BG233" s="389">
        <f>IF(AND(AND($M$248="nonprofit",$M$256="for profit",$M$264="nonprofit")),2,0)</f>
        <v>0</v>
      </c>
    </row>
    <row r="234" spans="1:69" ht="12.75">
      <c r="D234" s="60" t="s">
        <v>92</v>
      </c>
      <c r="E234" s="7"/>
      <c r="F234" s="7"/>
      <c r="G234" s="7"/>
      <c r="H234" s="7"/>
      <c r="I234" s="7"/>
      <c r="J234" s="7"/>
      <c r="K234" s="29"/>
      <c r="M234" s="1974" t="s">
        <v>2495</v>
      </c>
      <c r="N234" s="2153"/>
      <c r="O234" s="2153"/>
      <c r="P234" s="2153"/>
      <c r="Q234" s="2153"/>
      <c r="R234" s="2153"/>
      <c r="S234" s="2153"/>
      <c r="T234" s="2153"/>
      <c r="U234" s="2153"/>
      <c r="V234" s="2153"/>
      <c r="W234" s="2153"/>
      <c r="X234" s="2153"/>
      <c r="Y234" s="2153"/>
      <c r="Z234" s="2153"/>
      <c r="AA234" s="2153"/>
      <c r="AB234" s="2153"/>
      <c r="AC234" s="2153"/>
      <c r="AD234" s="2153"/>
      <c r="AE234" s="2153"/>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1966" t="s">
        <v>2510</v>
      </c>
      <c r="N235" s="1967"/>
      <c r="O235" s="1967"/>
      <c r="P235" s="1967"/>
      <c r="Q235" s="1967"/>
      <c r="R235" s="1967"/>
      <c r="S235" s="7" t="s">
        <v>211</v>
      </c>
      <c r="T235" s="7"/>
      <c r="U235" s="1976"/>
      <c r="V235" s="1976"/>
      <c r="W235" s="1976"/>
      <c r="X235" s="7" t="s">
        <v>94</v>
      </c>
      <c r="Z235" s="1967"/>
      <c r="AA235" s="1967"/>
      <c r="AB235" s="1967"/>
      <c r="AC235" s="1967"/>
      <c r="AD235" s="1967"/>
      <c r="AE235" s="1967"/>
      <c r="BB235" s="385"/>
      <c r="BG235" s="386"/>
    </row>
    <row r="236" spans="1:69" ht="12.75">
      <c r="D236" s="60" t="s">
        <v>95</v>
      </c>
      <c r="E236" s="7"/>
      <c r="F236" s="7"/>
      <c r="M236" s="2156" t="s">
        <v>2511</v>
      </c>
      <c r="N236" s="2156"/>
      <c r="O236" s="2156"/>
      <c r="P236" s="2156"/>
      <c r="Q236" s="2156"/>
      <c r="R236" s="2156"/>
      <c r="S236" s="2156"/>
      <c r="T236" s="2156"/>
      <c r="U236" s="2156"/>
      <c r="V236" s="2156"/>
      <c r="W236" s="2156"/>
      <c r="X236" s="2156"/>
      <c r="Y236" s="2156"/>
      <c r="Z236" s="2156"/>
      <c r="AA236" s="2156"/>
      <c r="AB236" s="2156"/>
      <c r="AC236" s="2156"/>
      <c r="AD236" s="2156"/>
      <c r="AE236" s="21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2" t="s">
        <v>560</v>
      </c>
      <c r="N237" s="2002"/>
      <c r="O237" s="2002"/>
      <c r="P237" s="2002"/>
      <c r="Q237" s="2002"/>
      <c r="R237" s="2002"/>
      <c r="S237" s="2002"/>
      <c r="T237" s="2002"/>
      <c r="U237" s="387" t="s">
        <v>974</v>
      </c>
      <c r="V237" s="325"/>
      <c r="W237" s="325"/>
      <c r="X237" s="325"/>
      <c r="Y237" s="325"/>
      <c r="Z237" s="325"/>
      <c r="AA237" s="2168" t="s">
        <v>2512</v>
      </c>
      <c r="AB237" s="2169"/>
      <c r="AC237" s="2169"/>
      <c r="AD237" s="2169"/>
      <c r="AE237" s="2169"/>
      <c r="AF237" s="2169"/>
      <c r="AG237" s="2169"/>
      <c r="AH237" s="2169"/>
      <c r="AI237" s="2169"/>
      <c r="AJ237" s="2169"/>
      <c r="AK237" s="216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75"/>
      <c r="N238" s="1975"/>
      <c r="O238" s="1975"/>
      <c r="P238" s="1975"/>
      <c r="Q238" s="1975"/>
      <c r="R238" s="1975"/>
      <c r="S238" s="1975"/>
      <c r="T238" s="1975"/>
      <c r="U238" s="1975"/>
      <c r="V238" s="1975"/>
      <c r="W238" s="1975"/>
      <c r="X238" s="1975"/>
      <c r="Y238" s="1975"/>
      <c r="Z238" s="1975"/>
      <c r="AA238" s="1975"/>
      <c r="AB238" s="1975"/>
      <c r="AC238" s="1975"/>
      <c r="AD238" s="1975"/>
      <c r="AE238" s="19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66" t="s">
        <v>2513</v>
      </c>
      <c r="N242" s="2167"/>
      <c r="O242" s="2167"/>
      <c r="P242" s="2167"/>
      <c r="Q242" s="2167"/>
      <c r="R242" s="2167"/>
      <c r="S242" s="2167"/>
      <c r="T242" s="2167"/>
      <c r="U242" s="2167"/>
      <c r="V242" s="2167"/>
      <c r="W242" s="2167"/>
      <c r="X242" s="2167"/>
      <c r="Y242" s="2167"/>
      <c r="Z242" s="2167"/>
      <c r="AA242" s="2167"/>
      <c r="AB242" s="2167"/>
      <c r="AC242" s="2167"/>
      <c r="AD242" s="2167"/>
      <c r="AE242" s="2167"/>
      <c r="AF242" s="2167" t="s">
        <v>2514</v>
      </c>
      <c r="AG242" s="2167"/>
      <c r="AH242" s="2167"/>
      <c r="AI242" s="2167"/>
      <c r="AJ242" s="2167"/>
      <c r="AK242" s="216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74" t="s">
        <v>2508</v>
      </c>
      <c r="N243" s="2153"/>
      <c r="O243" s="2153"/>
      <c r="P243" s="2153"/>
      <c r="Q243" s="2153"/>
      <c r="R243" s="2153"/>
      <c r="S243" s="2153"/>
      <c r="T243" s="2153"/>
      <c r="U243" s="2153"/>
      <c r="V243" s="2153"/>
      <c r="W243" s="2153"/>
      <c r="X243" s="2153"/>
      <c r="Y243" s="2153"/>
      <c r="Z243" s="2153"/>
      <c r="AA243" s="2153"/>
      <c r="AB243" s="2153"/>
      <c r="AC243" s="2153"/>
      <c r="AD243" s="2153"/>
      <c r="AE243" s="2153"/>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1974" t="s">
        <v>71</v>
      </c>
      <c r="N244" s="2153"/>
      <c r="O244" s="2153"/>
      <c r="P244" s="2153"/>
      <c r="Q244" s="2153"/>
      <c r="R244" s="2153"/>
      <c r="S244" s="2153"/>
      <c r="T244" s="2153"/>
      <c r="V244" s="59" t="s">
        <v>91</v>
      </c>
      <c r="W244" s="2001" t="s">
        <v>2509</v>
      </c>
      <c r="X244" s="1976"/>
      <c r="Y244" s="57" t="s">
        <v>617</v>
      </c>
      <c r="AC244" s="2153">
        <v>95811</v>
      </c>
      <c r="AD244" s="2153"/>
      <c r="AE244" s="2153"/>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1974" t="s">
        <v>2495</v>
      </c>
      <c r="N245" s="2153"/>
      <c r="O245" s="2153"/>
      <c r="P245" s="2153"/>
      <c r="Q245" s="2153"/>
      <c r="R245" s="2153"/>
      <c r="S245" s="2153"/>
      <c r="T245" s="2153"/>
      <c r="U245" s="2153"/>
      <c r="V245" s="2153"/>
      <c r="W245" s="2153"/>
      <c r="X245" s="2153"/>
      <c r="Y245" s="2153"/>
      <c r="Z245" s="2153"/>
      <c r="AA245" s="2153"/>
      <c r="AB245" s="2153"/>
      <c r="AC245" s="2153"/>
      <c r="AD245" s="2153"/>
      <c r="AE245" s="2153"/>
      <c r="AH245" s="2073">
        <v>5.0000000000000001E-3</v>
      </c>
      <c r="AI245" s="2073"/>
      <c r="AJ245" s="2073"/>
      <c r="AK245" s="2073"/>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1966" t="s">
        <v>2510</v>
      </c>
      <c r="N246" s="1967"/>
      <c r="O246" s="1967"/>
      <c r="P246" s="1967"/>
      <c r="Q246" s="1967"/>
      <c r="R246" s="1967"/>
      <c r="S246" s="7" t="s">
        <v>211</v>
      </c>
      <c r="T246" s="7"/>
      <c r="U246" s="1976"/>
      <c r="V246" s="1976"/>
      <c r="W246" s="1976"/>
      <c r="X246" s="7" t="s">
        <v>94</v>
      </c>
      <c r="Z246" s="1967"/>
      <c r="AA246" s="1967"/>
      <c r="AB246" s="1967"/>
      <c r="AC246" s="1967"/>
      <c r="AD246" s="1967"/>
      <c r="AE246" s="1967"/>
      <c r="BB246" s="7" t="s">
        <v>177</v>
      </c>
      <c r="BG246" s="12">
        <v>3</v>
      </c>
      <c r="BH246" s="12" t="s">
        <v>568</v>
      </c>
      <c r="BN246" s="390"/>
      <c r="BO246" s="39"/>
    </row>
    <row r="247" spans="1:72" ht="12.75">
      <c r="A247" s="29"/>
      <c r="B247" s="7"/>
      <c r="C247" s="7"/>
      <c r="D247" s="60" t="s">
        <v>95</v>
      </c>
      <c r="E247" s="7"/>
      <c r="F247" s="7"/>
      <c r="M247" s="2156" t="s">
        <v>2511</v>
      </c>
      <c r="N247" s="2156"/>
      <c r="O247" s="2156"/>
      <c r="P247" s="2156"/>
      <c r="Q247" s="2156"/>
      <c r="R247" s="2156"/>
      <c r="S247" s="2156"/>
      <c r="T247" s="2156"/>
      <c r="U247" s="2156"/>
      <c r="V247" s="2156"/>
      <c r="W247" s="2156"/>
      <c r="X247" s="2156"/>
      <c r="Y247" s="2156"/>
      <c r="Z247" s="2156"/>
      <c r="AA247" s="2156"/>
      <c r="AB247" s="2156"/>
      <c r="AC247" s="2156"/>
      <c r="AD247" s="2156"/>
      <c r="AE247" s="21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2" t="s">
        <v>568</v>
      </c>
      <c r="N248" s="2002"/>
      <c r="O248" s="2002"/>
      <c r="P248" s="2002"/>
      <c r="Q248" s="2002"/>
      <c r="R248" s="2002"/>
      <c r="S248" s="2002"/>
      <c r="T248" s="2002"/>
      <c r="U248" s="387" t="s">
        <v>974</v>
      </c>
      <c r="V248" s="325"/>
      <c r="W248" s="325"/>
      <c r="X248" s="325"/>
      <c r="Y248" s="325"/>
      <c r="Z248" s="325"/>
      <c r="AA248" s="2168" t="s">
        <v>2515</v>
      </c>
      <c r="AB248" s="2169"/>
      <c r="AC248" s="2169"/>
      <c r="AD248" s="2169"/>
      <c r="AE248" s="2169"/>
      <c r="AF248" s="2169"/>
      <c r="AG248" s="2169"/>
      <c r="AH248" s="2169"/>
      <c r="AI248" s="2169"/>
      <c r="AJ248" s="2169"/>
      <c r="AK248" s="216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66" t="s">
        <v>2516</v>
      </c>
      <c r="N250" s="2167"/>
      <c r="O250" s="2167"/>
      <c r="P250" s="2167"/>
      <c r="Q250" s="2167"/>
      <c r="R250" s="2167"/>
      <c r="S250" s="2167"/>
      <c r="T250" s="2167"/>
      <c r="U250" s="2167"/>
      <c r="V250" s="2167"/>
      <c r="W250" s="2167"/>
      <c r="X250" s="2167"/>
      <c r="Y250" s="2167"/>
      <c r="Z250" s="2167"/>
      <c r="AA250" s="2167"/>
      <c r="AB250" s="2167"/>
      <c r="AC250" s="2167"/>
      <c r="AD250" s="2167"/>
      <c r="AE250" s="2167"/>
      <c r="AF250" s="2167" t="s">
        <v>2517</v>
      </c>
      <c r="AG250" s="2167"/>
      <c r="AH250" s="2167"/>
      <c r="AI250" s="2167"/>
      <c r="AJ250" s="2167"/>
      <c r="AK250" s="2167"/>
      <c r="BN250" s="61"/>
    </row>
    <row r="251" spans="1:72" ht="12.75">
      <c r="A251" s="29"/>
      <c r="B251" s="7"/>
      <c r="C251" s="7"/>
      <c r="D251" s="57" t="s">
        <v>90</v>
      </c>
      <c r="E251" s="57"/>
      <c r="F251" s="57"/>
      <c r="G251" s="57"/>
      <c r="H251" s="57"/>
      <c r="I251" s="57"/>
      <c r="J251" s="57"/>
      <c r="K251" s="57"/>
      <c r="L251" s="7"/>
      <c r="M251" s="1974" t="s">
        <v>2518</v>
      </c>
      <c r="N251" s="2153"/>
      <c r="O251" s="2153"/>
      <c r="P251" s="2153"/>
      <c r="Q251" s="2153"/>
      <c r="R251" s="2153"/>
      <c r="S251" s="2153"/>
      <c r="T251" s="2153"/>
      <c r="U251" s="2153"/>
      <c r="V251" s="2153"/>
      <c r="W251" s="2153"/>
      <c r="X251" s="2153"/>
      <c r="Y251" s="2153"/>
      <c r="Z251" s="2153"/>
      <c r="AA251" s="2153"/>
      <c r="AB251" s="2153"/>
      <c r="AC251" s="2153"/>
      <c r="AD251" s="2153"/>
      <c r="AE251" s="2153"/>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1974" t="s">
        <v>71</v>
      </c>
      <c r="N252" s="2153"/>
      <c r="O252" s="2153"/>
      <c r="P252" s="2153"/>
      <c r="Q252" s="2153"/>
      <c r="R252" s="2153"/>
      <c r="S252" s="2153"/>
      <c r="T252" s="2153"/>
      <c r="V252" s="59" t="s">
        <v>91</v>
      </c>
      <c r="W252" s="2001" t="s">
        <v>2509</v>
      </c>
      <c r="X252" s="1976"/>
      <c r="Y252" s="57" t="s">
        <v>617</v>
      </c>
      <c r="AC252" s="2153">
        <v>95816</v>
      </c>
      <c r="AD252" s="2153"/>
      <c r="AE252" s="2153"/>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1974" t="s">
        <v>2519</v>
      </c>
      <c r="N253" s="2153"/>
      <c r="O253" s="2153"/>
      <c r="P253" s="2153"/>
      <c r="Q253" s="2153"/>
      <c r="R253" s="2153"/>
      <c r="S253" s="2153"/>
      <c r="T253" s="2153"/>
      <c r="U253" s="2153"/>
      <c r="V253" s="2153"/>
      <c r="W253" s="2153"/>
      <c r="X253" s="2153"/>
      <c r="Y253" s="2153"/>
      <c r="Z253" s="2153"/>
      <c r="AA253" s="2153"/>
      <c r="AB253" s="2153"/>
      <c r="AC253" s="2153"/>
      <c r="AD253" s="2153"/>
      <c r="AE253" s="2153"/>
      <c r="AF253" s="717"/>
      <c r="AG253" s="717"/>
      <c r="AH253" s="2073">
        <v>5.0000000000000001E-3</v>
      </c>
      <c r="AI253" s="2073"/>
      <c r="AJ253" s="2073"/>
      <c r="AK253" s="207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1966" t="s">
        <v>2520</v>
      </c>
      <c r="N254" s="1967"/>
      <c r="O254" s="1967"/>
      <c r="P254" s="1967"/>
      <c r="Q254" s="1967"/>
      <c r="R254" s="1967"/>
      <c r="S254" s="7" t="s">
        <v>211</v>
      </c>
      <c r="T254" s="7"/>
      <c r="U254" s="1976"/>
      <c r="V254" s="1976"/>
      <c r="W254" s="1976"/>
      <c r="X254" s="7" t="s">
        <v>94</v>
      </c>
      <c r="Z254" s="1967"/>
      <c r="AA254" s="1967"/>
      <c r="AB254" s="1967"/>
      <c r="AC254" s="1967"/>
      <c r="AD254" s="1967"/>
      <c r="AE254" s="1967"/>
    </row>
    <row r="255" spans="1:72" ht="12.75">
      <c r="A255" s="29"/>
      <c r="B255" s="7"/>
      <c r="C255" s="7"/>
      <c r="D255" s="60" t="s">
        <v>95</v>
      </c>
      <c r="E255" s="7"/>
      <c r="F255" s="7"/>
      <c r="M255" s="2156" t="s">
        <v>2521</v>
      </c>
      <c r="N255" s="2156"/>
      <c r="O255" s="2156"/>
      <c r="P255" s="2156"/>
      <c r="Q255" s="2156"/>
      <c r="R255" s="2156"/>
      <c r="S255" s="2156"/>
      <c r="T255" s="2156"/>
      <c r="U255" s="2156"/>
      <c r="V255" s="2156"/>
      <c r="W255" s="2156"/>
      <c r="X255" s="2156"/>
      <c r="Y255" s="2156"/>
      <c r="Z255" s="2156"/>
      <c r="AA255" s="2156"/>
      <c r="AB255" s="2156"/>
      <c r="AC255" s="2156"/>
      <c r="AD255" s="2156"/>
      <c r="AE255" s="21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2" t="s">
        <v>566</v>
      </c>
      <c r="N256" s="2002"/>
      <c r="O256" s="2002"/>
      <c r="P256" s="2002"/>
      <c r="Q256" s="2002"/>
      <c r="R256" s="2002"/>
      <c r="S256" s="2002"/>
      <c r="T256" s="2002"/>
      <c r="U256" s="387" t="s">
        <v>974</v>
      </c>
      <c r="V256" s="325"/>
      <c r="W256" s="325"/>
      <c r="X256" s="325"/>
      <c r="Y256" s="325"/>
      <c r="Z256" s="325"/>
      <c r="AA256" s="2168" t="s">
        <v>2522</v>
      </c>
      <c r="AB256" s="2169"/>
      <c r="AC256" s="2169"/>
      <c r="AD256" s="2169"/>
      <c r="AE256" s="2169"/>
      <c r="AF256" s="2169"/>
      <c r="AG256" s="2169"/>
      <c r="AH256" s="2169"/>
      <c r="AI256" s="2169"/>
      <c r="AJ256" s="2169"/>
      <c r="AK256" s="216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67"/>
      <c r="N258" s="2167"/>
      <c r="O258" s="2167"/>
      <c r="P258" s="2167"/>
      <c r="Q258" s="2167"/>
      <c r="R258" s="2167"/>
      <c r="S258" s="2167"/>
      <c r="T258" s="2167"/>
      <c r="U258" s="2167"/>
      <c r="V258" s="2167"/>
      <c r="W258" s="2167"/>
      <c r="X258" s="2167"/>
      <c r="Y258" s="2167"/>
      <c r="Z258" s="2167"/>
      <c r="AA258" s="2167"/>
      <c r="AB258" s="2167"/>
      <c r="AC258" s="2167"/>
      <c r="AD258" s="2167"/>
      <c r="AE258" s="2167"/>
      <c r="AF258" s="2167" t="s">
        <v>315</v>
      </c>
      <c r="AG258" s="2167"/>
      <c r="AH258" s="2167"/>
      <c r="AI258" s="2167"/>
      <c r="AJ258" s="2167"/>
      <c r="AK258" s="216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3"/>
      <c r="N259" s="2153"/>
      <c r="O259" s="2153"/>
      <c r="P259" s="2153"/>
      <c r="Q259" s="2153"/>
      <c r="R259" s="2153"/>
      <c r="S259" s="2153"/>
      <c r="T259" s="2153"/>
      <c r="U259" s="2153"/>
      <c r="V259" s="2153"/>
      <c r="W259" s="2153"/>
      <c r="X259" s="2153"/>
      <c r="Y259" s="2153"/>
      <c r="Z259" s="2153"/>
      <c r="AA259" s="2153"/>
      <c r="AB259" s="2153"/>
      <c r="AC259" s="2153"/>
      <c r="AD259" s="2153"/>
      <c r="AE259" s="2153"/>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3"/>
      <c r="N260" s="2153"/>
      <c r="O260" s="2153"/>
      <c r="P260" s="2153"/>
      <c r="Q260" s="2153"/>
      <c r="R260" s="2153"/>
      <c r="S260" s="2153"/>
      <c r="T260" s="2153"/>
      <c r="V260" s="59" t="s">
        <v>91</v>
      </c>
      <c r="W260" s="1976"/>
      <c r="X260" s="1976"/>
      <c r="Y260" s="57" t="s">
        <v>617</v>
      </c>
      <c r="AC260" s="2153"/>
      <c r="AD260" s="2153"/>
      <c r="AE260" s="2153"/>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53"/>
      <c r="N261" s="2153"/>
      <c r="O261" s="2153"/>
      <c r="P261" s="2153"/>
      <c r="Q261" s="2153"/>
      <c r="R261" s="2153"/>
      <c r="S261" s="2153"/>
      <c r="T261" s="2153"/>
      <c r="U261" s="2153"/>
      <c r="V261" s="2153"/>
      <c r="W261" s="2153"/>
      <c r="X261" s="2153"/>
      <c r="Y261" s="2153"/>
      <c r="Z261" s="2153"/>
      <c r="AA261" s="2153"/>
      <c r="AB261" s="2153"/>
      <c r="AC261" s="2153"/>
      <c r="AD261" s="2153"/>
      <c r="AE261" s="2153"/>
      <c r="AF261" s="717"/>
      <c r="AG261" s="717"/>
      <c r="AH261" s="2073"/>
      <c r="AI261" s="2073"/>
      <c r="AJ261" s="2073"/>
      <c r="AK261" s="207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1967"/>
      <c r="N262" s="1967"/>
      <c r="O262" s="1967"/>
      <c r="P262" s="1967"/>
      <c r="Q262" s="1967"/>
      <c r="R262" s="1967"/>
      <c r="S262" s="7" t="s">
        <v>211</v>
      </c>
      <c r="T262" s="7"/>
      <c r="U262" s="1976"/>
      <c r="V262" s="1976"/>
      <c r="W262" s="1976"/>
      <c r="X262" s="7" t="s">
        <v>94</v>
      </c>
      <c r="Z262" s="1967"/>
      <c r="AA262" s="1967"/>
      <c r="AB262" s="1967"/>
      <c r="AC262" s="1967"/>
      <c r="AD262" s="1967"/>
      <c r="AE262" s="19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56"/>
      <c r="N263" s="2156"/>
      <c r="O263" s="2156"/>
      <c r="P263" s="2156"/>
      <c r="Q263" s="2156"/>
      <c r="R263" s="2156"/>
      <c r="S263" s="2156"/>
      <c r="T263" s="2156"/>
      <c r="U263" s="2156"/>
      <c r="V263" s="2156"/>
      <c r="W263" s="2156"/>
      <c r="X263" s="2156"/>
      <c r="Y263" s="2156"/>
      <c r="Z263" s="2156"/>
      <c r="AA263" s="2171"/>
      <c r="AB263" s="2171"/>
      <c r="AC263" s="2171"/>
      <c r="AD263" s="2171"/>
      <c r="AE263" s="217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2" t="s">
        <v>315</v>
      </c>
      <c r="N264" s="2002"/>
      <c r="O264" s="2002"/>
      <c r="P264" s="2002"/>
      <c r="Q264" s="2002"/>
      <c r="R264" s="2002"/>
      <c r="S264" s="2002"/>
      <c r="T264" s="2002"/>
      <c r="U264" s="387" t="s">
        <v>974</v>
      </c>
      <c r="V264" s="325"/>
      <c r="W264" s="325"/>
      <c r="X264" s="325"/>
      <c r="Y264" s="325"/>
      <c r="Z264" s="325"/>
      <c r="AA264" s="2182"/>
      <c r="AB264" s="2182"/>
      <c r="AC264" s="2182"/>
      <c r="AD264" s="2182"/>
      <c r="AE264" s="2182"/>
      <c r="AF264" s="2182"/>
      <c r="AG264" s="2182"/>
      <c r="AH264" s="2182"/>
      <c r="AI264" s="2182"/>
      <c r="AJ264" s="2182"/>
      <c r="AK264" s="218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196" t="str">
        <f>BO245</f>
        <v>Joint Venture</v>
      </c>
      <c r="U266" s="2196"/>
      <c r="V266" s="2196"/>
      <c r="W266" s="2196"/>
      <c r="X266" s="2196"/>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53" t="s">
        <v>285</v>
      </c>
      <c r="E269" s="2153"/>
      <c r="F269" s="2153"/>
      <c r="G269" s="2153"/>
      <c r="H269" s="2153"/>
      <c r="J269" s="12" t="s">
        <v>284</v>
      </c>
      <c r="X269" s="2170"/>
      <c r="Y269" s="2170"/>
      <c r="Z269" s="2170"/>
      <c r="AA269" s="2170"/>
      <c r="AB269" s="2170"/>
      <c r="AC269" s="2170"/>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66" t="s">
        <v>2515</v>
      </c>
      <c r="M273" s="2167"/>
      <c r="N273" s="2167"/>
      <c r="O273" s="2167"/>
      <c r="P273" s="2167"/>
      <c r="Q273" s="2167"/>
      <c r="R273" s="2167"/>
      <c r="S273" s="2167"/>
      <c r="T273" s="2167"/>
      <c r="U273" s="2167"/>
      <c r="V273" s="2167"/>
      <c r="W273" s="2167"/>
      <c r="X273" s="2167"/>
      <c r="Y273" s="2167"/>
      <c r="Z273" s="2167"/>
      <c r="AA273" s="2167"/>
      <c r="AB273" s="2167"/>
      <c r="AC273" s="2167"/>
      <c r="AD273" s="2167"/>
      <c r="AE273" s="2167"/>
      <c r="AF273" s="2167"/>
      <c r="AG273" s="2167"/>
      <c r="AH273" s="2167"/>
      <c r="AI273" s="2167"/>
      <c r="AJ273" s="216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74" t="s">
        <v>2508</v>
      </c>
      <c r="M274" s="2153"/>
      <c r="N274" s="2153"/>
      <c r="O274" s="2153"/>
      <c r="P274" s="2153"/>
      <c r="Q274" s="2153"/>
      <c r="R274" s="2153"/>
      <c r="S274" s="2153"/>
      <c r="T274" s="2153"/>
      <c r="U274" s="2153"/>
      <c r="V274" s="2153"/>
      <c r="W274" s="2153"/>
      <c r="X274" s="2153"/>
      <c r="Y274" s="2153"/>
      <c r="Z274" s="2153"/>
      <c r="AA274" s="2153"/>
      <c r="AB274" s="2153"/>
      <c r="AC274" s="2153"/>
      <c r="AD274" s="2153"/>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74" t="s">
        <v>71</v>
      </c>
      <c r="M275" s="2153"/>
      <c r="N275" s="2153"/>
      <c r="O275" s="2153"/>
      <c r="P275" s="2153"/>
      <c r="Q275" s="2153"/>
      <c r="R275" s="2153"/>
      <c r="S275" s="2153"/>
      <c r="U275" s="59" t="s">
        <v>91</v>
      </c>
      <c r="V275" s="2001" t="s">
        <v>2509</v>
      </c>
      <c r="W275" s="1976"/>
      <c r="X275" s="57" t="s">
        <v>617</v>
      </c>
      <c r="AB275" s="2153">
        <v>95811</v>
      </c>
      <c r="AC275" s="2153"/>
      <c r="AD275" s="215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74" t="s">
        <v>2495</v>
      </c>
      <c r="M276" s="2153"/>
      <c r="N276" s="2153"/>
      <c r="O276" s="2153"/>
      <c r="P276" s="2153"/>
      <c r="Q276" s="2153"/>
      <c r="R276" s="2153"/>
      <c r="S276" s="2153"/>
      <c r="T276" s="2153"/>
      <c r="U276" s="2153"/>
      <c r="V276" s="2153"/>
      <c r="W276" s="2153"/>
      <c r="X276" s="2153"/>
      <c r="Y276" s="2153"/>
      <c r="Z276" s="2153"/>
      <c r="AA276" s="2153"/>
      <c r="AB276" s="2153"/>
      <c r="AC276" s="2153"/>
      <c r="AD276" s="215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1966" t="s">
        <v>2510</v>
      </c>
      <c r="M277" s="1967"/>
      <c r="N277" s="1967"/>
      <c r="O277" s="1967"/>
      <c r="P277" s="1967"/>
      <c r="Q277" s="1967"/>
      <c r="R277" s="7" t="s">
        <v>211</v>
      </c>
      <c r="S277" s="7"/>
      <c r="T277" s="1976"/>
      <c r="U277" s="1976"/>
      <c r="V277" s="1976"/>
      <c r="W277" s="7" t="s">
        <v>94</v>
      </c>
      <c r="Y277" s="1967"/>
      <c r="Z277" s="1967"/>
      <c r="AA277" s="1967"/>
      <c r="AB277" s="1967"/>
      <c r="AC277" s="1967"/>
      <c r="AD277" s="1967"/>
      <c r="BN277" s="61"/>
    </row>
    <row r="278" spans="1:66" ht="12.75">
      <c r="D278" s="60" t="s">
        <v>95</v>
      </c>
      <c r="E278" s="7"/>
      <c r="F278" s="7"/>
      <c r="L278" s="2156" t="s">
        <v>2511</v>
      </c>
      <c r="M278" s="2156"/>
      <c r="N278" s="2156"/>
      <c r="O278" s="2156"/>
      <c r="P278" s="2156"/>
      <c r="Q278" s="2156"/>
      <c r="R278" s="2156"/>
      <c r="S278" s="2156"/>
      <c r="T278" s="2156"/>
      <c r="U278" s="2156"/>
      <c r="V278" s="2156"/>
      <c r="W278" s="2156"/>
      <c r="X278" s="2156"/>
      <c r="Y278" s="2156"/>
      <c r="Z278" s="2156"/>
      <c r="AA278" s="2156"/>
      <c r="AB278" s="2156"/>
      <c r="AC278" s="2156"/>
      <c r="AD278" s="2156"/>
      <c r="AF278" s="7"/>
      <c r="AG278" s="7"/>
      <c r="AH278" s="7"/>
      <c r="AI278" s="7"/>
      <c r="AJ278" s="7"/>
      <c r="BN278" s="61"/>
    </row>
    <row r="279" spans="1:66" ht="12.75">
      <c r="D279" s="58" t="s">
        <v>657</v>
      </c>
      <c r="E279" s="58"/>
      <c r="F279" s="58"/>
      <c r="G279" s="58"/>
      <c r="H279" s="58"/>
      <c r="I279" s="58"/>
      <c r="L279" s="2001" t="s">
        <v>2523</v>
      </c>
      <c r="M279" s="2001"/>
      <c r="N279" s="2001"/>
      <c r="O279" s="2001"/>
      <c r="P279" s="2001"/>
      <c r="Q279" s="2001"/>
      <c r="R279" s="2001"/>
      <c r="S279" s="2001"/>
      <c r="T279" s="2001"/>
      <c r="U279" s="2001"/>
      <c r="V279" s="2001"/>
      <c r="W279" s="2001"/>
      <c r="X279" s="2001"/>
      <c r="Y279" s="2001"/>
      <c r="Z279" s="2001"/>
      <c r="AA279" s="2001"/>
      <c r="AB279" s="2001"/>
      <c r="AC279" s="2001"/>
      <c r="AD279" s="200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2" t="s">
        <v>573</v>
      </c>
      <c r="B281" s="2052"/>
      <c r="C281" s="2052"/>
      <c r="D281" s="2052"/>
      <c r="E281" s="2052"/>
      <c r="F281" s="2052"/>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2"/>
      <c r="AE281" s="2052"/>
      <c r="AF281" s="2052"/>
      <c r="AG281" s="2052"/>
      <c r="AH281" s="2052"/>
      <c r="AI281" s="2052"/>
      <c r="AJ281" s="2052"/>
      <c r="AK281" s="2052"/>
      <c r="AL281" s="2052"/>
      <c r="AM281" s="144"/>
      <c r="AN281" s="144"/>
      <c r="AO281" s="144"/>
      <c r="AP281" s="144"/>
      <c r="AQ281" s="144"/>
      <c r="AR281" s="144"/>
      <c r="AS281" s="144"/>
      <c r="AT281" s="144"/>
      <c r="AU281" s="144"/>
      <c r="AV281" s="144"/>
      <c r="AW281" s="144"/>
      <c r="AX281" s="144"/>
      <c r="AY281" s="144"/>
      <c r="BN281" s="61"/>
    </row>
    <row r="282" spans="1:66" ht="13.5" thickBot="1">
      <c r="A282" s="2053"/>
      <c r="B282" s="2053"/>
      <c r="C282" s="2053"/>
      <c r="D282" s="2053"/>
      <c r="E282" s="2053"/>
      <c r="F282" s="2053"/>
      <c r="G282" s="2053"/>
      <c r="H282" s="2053"/>
      <c r="I282" s="2053"/>
      <c r="J282" s="2053"/>
      <c r="K282" s="2053"/>
      <c r="L282" s="2053"/>
      <c r="M282" s="2053"/>
      <c r="N282" s="2053"/>
      <c r="O282" s="2053"/>
      <c r="P282" s="2053"/>
      <c r="Q282" s="2053"/>
      <c r="R282" s="2053"/>
      <c r="S282" s="2053"/>
      <c r="T282" s="2053"/>
      <c r="U282" s="2053"/>
      <c r="V282" s="2053"/>
      <c r="W282" s="2053"/>
      <c r="X282" s="2053"/>
      <c r="Y282" s="2053"/>
      <c r="Z282" s="2053"/>
      <c r="AA282" s="2053"/>
      <c r="AB282" s="2053"/>
      <c r="AC282" s="2053"/>
      <c r="AD282" s="2053"/>
      <c r="AE282" s="2053"/>
      <c r="AF282" s="2053"/>
      <c r="AG282" s="2053"/>
      <c r="AH282" s="2053"/>
      <c r="AI282" s="2053"/>
      <c r="AJ282" s="2053"/>
      <c r="AK282" s="2053"/>
      <c r="AL282" s="205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74" t="s">
        <v>2515</v>
      </c>
      <c r="I286" s="1975"/>
      <c r="J286" s="1975"/>
      <c r="K286" s="1975"/>
      <c r="L286" s="1975"/>
      <c r="M286" s="1975"/>
      <c r="N286" s="1975"/>
      <c r="O286" s="1975"/>
      <c r="P286" s="1975"/>
      <c r="Q286" s="1975"/>
      <c r="R286" s="1975"/>
      <c r="T286" s="58" t="s">
        <v>599</v>
      </c>
      <c r="V286" s="58"/>
      <c r="W286" s="58"/>
      <c r="X286" s="58"/>
      <c r="Y286" s="58"/>
      <c r="AA286" s="1974" t="s">
        <v>2525</v>
      </c>
      <c r="AB286" s="1975"/>
      <c r="AC286" s="1975"/>
      <c r="AD286" s="1975"/>
      <c r="AE286" s="1975"/>
      <c r="AF286" s="1975"/>
      <c r="AG286" s="1975"/>
      <c r="AH286" s="1975"/>
      <c r="AI286" s="1975"/>
      <c r="AJ286" s="1975"/>
      <c r="AK286" s="1975"/>
      <c r="BN286" s="61"/>
    </row>
    <row r="287" spans="1:66" ht="12.75">
      <c r="B287" s="58" t="s">
        <v>503</v>
      </c>
      <c r="C287" s="58"/>
      <c r="D287" s="58"/>
      <c r="E287" s="58"/>
      <c r="F287" s="58"/>
      <c r="H287" s="2001" t="s">
        <v>2508</v>
      </c>
      <c r="I287" s="2002"/>
      <c r="J287" s="2002"/>
      <c r="K287" s="2002"/>
      <c r="L287" s="2002"/>
      <c r="M287" s="2002"/>
      <c r="N287" s="2002"/>
      <c r="O287" s="2002"/>
      <c r="P287" s="2002"/>
      <c r="Q287" s="2002"/>
      <c r="R287" s="2002"/>
      <c r="T287" s="58" t="s">
        <v>503</v>
      </c>
      <c r="V287" s="58"/>
      <c r="W287" s="58"/>
      <c r="X287" s="58"/>
      <c r="Y287" s="58"/>
      <c r="AA287" s="2001" t="s">
        <v>2526</v>
      </c>
      <c r="AB287" s="2002"/>
      <c r="AC287" s="2002"/>
      <c r="AD287" s="2002"/>
      <c r="AE287" s="2002"/>
      <c r="AF287" s="2002"/>
      <c r="AG287" s="2002"/>
      <c r="AH287" s="2002"/>
      <c r="AI287" s="2002"/>
      <c r="AJ287" s="2002"/>
      <c r="AK287" s="2002"/>
      <c r="BN287" s="61"/>
    </row>
    <row r="288" spans="1:66" ht="12.75">
      <c r="B288" s="58" t="s">
        <v>504</v>
      </c>
      <c r="C288" s="58"/>
      <c r="D288" s="58"/>
      <c r="E288" s="58"/>
      <c r="F288" s="58"/>
      <c r="H288" s="2001" t="s">
        <v>2524</v>
      </c>
      <c r="I288" s="2002"/>
      <c r="J288" s="2002"/>
      <c r="K288" s="2002"/>
      <c r="L288" s="2002"/>
      <c r="M288" s="2002"/>
      <c r="N288" s="2002"/>
      <c r="O288" s="2002"/>
      <c r="P288" s="2002"/>
      <c r="Q288" s="2002"/>
      <c r="R288" s="2002"/>
      <c r="T288" s="58" t="s">
        <v>79</v>
      </c>
      <c r="V288" s="58"/>
      <c r="W288" s="58"/>
      <c r="X288" s="58"/>
      <c r="Y288" s="58"/>
      <c r="AA288" s="2001" t="s">
        <v>2527</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1" t="s">
        <v>2495</v>
      </c>
      <c r="I289" s="2002"/>
      <c r="J289" s="2002"/>
      <c r="K289" s="2002"/>
      <c r="L289" s="2002"/>
      <c r="M289" s="2002"/>
      <c r="N289" s="2002"/>
      <c r="O289" s="2002"/>
      <c r="P289" s="2002"/>
      <c r="Q289" s="2002"/>
      <c r="R289" s="2002"/>
      <c r="T289" s="58" t="s">
        <v>92</v>
      </c>
      <c r="V289" s="58"/>
      <c r="W289" s="58"/>
      <c r="X289" s="58"/>
      <c r="Y289" s="58"/>
      <c r="AA289" s="2001" t="s">
        <v>2528</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1" t="s">
        <v>2510</v>
      </c>
      <c r="I290" s="2152"/>
      <c r="J290" s="2152"/>
      <c r="K290" s="2152"/>
      <c r="L290" s="2152"/>
      <c r="M290" s="2152"/>
      <c r="N290" s="7" t="s">
        <v>211</v>
      </c>
      <c r="O290" s="7"/>
      <c r="P290" s="2153"/>
      <c r="Q290" s="2153"/>
      <c r="R290" s="2153"/>
      <c r="S290" s="58"/>
      <c r="T290" s="58" t="s">
        <v>93</v>
      </c>
      <c r="V290" s="58"/>
      <c r="W290" s="58"/>
      <c r="X290" s="58"/>
      <c r="Y290" s="58"/>
      <c r="AA290" s="2151" t="s">
        <v>2529</v>
      </c>
      <c r="AB290" s="2152"/>
      <c r="AC290" s="2152"/>
      <c r="AD290" s="2152"/>
      <c r="AE290" s="2152"/>
      <c r="AF290" s="2152"/>
      <c r="AG290" s="7" t="s">
        <v>211</v>
      </c>
      <c r="AH290" s="7"/>
      <c r="AI290" s="2153"/>
      <c r="AJ290" s="2153"/>
      <c r="AK290" s="2153"/>
      <c r="BN290" s="61"/>
    </row>
    <row r="291" spans="2:66" ht="12.75" customHeight="1">
      <c r="B291" s="58" t="s">
        <v>94</v>
      </c>
      <c r="C291" s="58"/>
      <c r="D291" s="58"/>
      <c r="E291" s="58"/>
      <c r="F291" s="58"/>
      <c r="G291" s="58"/>
      <c r="H291" s="1967"/>
      <c r="I291" s="1967"/>
      <c r="J291" s="1967"/>
      <c r="K291" s="1967"/>
      <c r="L291" s="1967"/>
      <c r="M291" s="1967"/>
      <c r="N291" s="60"/>
      <c r="O291" s="60"/>
      <c r="P291" s="62"/>
      <c r="Q291" s="62"/>
      <c r="R291" s="62"/>
      <c r="S291" s="58"/>
      <c r="T291" s="58" t="s">
        <v>94</v>
      </c>
      <c r="V291" s="58"/>
      <c r="W291" s="58"/>
      <c r="X291" s="58"/>
      <c r="Y291" s="58"/>
      <c r="AA291" s="1967"/>
      <c r="AB291" s="1967"/>
      <c r="AC291" s="1967"/>
      <c r="AD291" s="1967"/>
      <c r="AE291" s="1967"/>
      <c r="AF291" s="1967"/>
      <c r="AG291" s="60"/>
      <c r="AH291" s="60"/>
      <c r="AI291" s="62"/>
      <c r="AJ291" s="62"/>
      <c r="AK291" s="62"/>
      <c r="BN291" s="61"/>
    </row>
    <row r="292" spans="2:66" ht="12.75" customHeight="1">
      <c r="B292" s="58" t="s">
        <v>80</v>
      </c>
      <c r="C292" s="58"/>
      <c r="D292" s="58"/>
      <c r="E292" s="58"/>
      <c r="F292" s="58"/>
      <c r="G292" s="58"/>
      <c r="H292" s="2001" t="s">
        <v>2511</v>
      </c>
      <c r="I292" s="2002"/>
      <c r="J292" s="2002"/>
      <c r="K292" s="2002"/>
      <c r="L292" s="2002"/>
      <c r="M292" s="2002"/>
      <c r="N292" s="1975"/>
      <c r="O292" s="1975"/>
      <c r="P292" s="1975"/>
      <c r="Q292" s="1975"/>
      <c r="R292" s="1975"/>
      <c r="S292" s="58"/>
      <c r="T292" s="58" t="s">
        <v>80</v>
      </c>
      <c r="V292" s="58"/>
      <c r="W292" s="58"/>
      <c r="X292" s="58"/>
      <c r="Y292" s="58"/>
      <c r="AA292" s="2001" t="s">
        <v>2530</v>
      </c>
      <c r="AB292" s="2002"/>
      <c r="AC292" s="2002"/>
      <c r="AD292" s="2002"/>
      <c r="AE292" s="2002"/>
      <c r="AF292" s="2002"/>
      <c r="AG292" s="1975"/>
      <c r="AH292" s="1975"/>
      <c r="AI292" s="1975"/>
      <c r="AJ292" s="1975"/>
      <c r="AK292" s="197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1974" t="s">
        <v>2545</v>
      </c>
      <c r="I294" s="1975"/>
      <c r="J294" s="1975"/>
      <c r="K294" s="1975"/>
      <c r="L294" s="1975"/>
      <c r="M294" s="1975"/>
      <c r="N294" s="1975"/>
      <c r="O294" s="1975"/>
      <c r="P294" s="1975"/>
      <c r="Q294" s="1975"/>
      <c r="R294" s="1975"/>
      <c r="T294" s="58" t="s">
        <v>373</v>
      </c>
      <c r="V294" s="58"/>
      <c r="W294" s="58"/>
      <c r="X294" s="58"/>
      <c r="Y294" s="58"/>
      <c r="AA294" s="1974" t="s">
        <v>2531</v>
      </c>
      <c r="AB294" s="1975"/>
      <c r="AC294" s="1975"/>
      <c r="AD294" s="1975"/>
      <c r="AE294" s="1975"/>
      <c r="AF294" s="1975"/>
      <c r="AG294" s="1975"/>
      <c r="AH294" s="1975"/>
      <c r="AI294" s="1975"/>
      <c r="AJ294" s="1975"/>
      <c r="AK294" s="1975"/>
      <c r="BN294" s="61"/>
    </row>
    <row r="295" spans="2:66" ht="12.75">
      <c r="B295" s="58" t="s">
        <v>503</v>
      </c>
      <c r="C295" s="58"/>
      <c r="D295" s="58"/>
      <c r="E295" s="58"/>
      <c r="F295" s="58"/>
      <c r="H295" s="2001" t="s">
        <v>2549</v>
      </c>
      <c r="I295" s="2002"/>
      <c r="J295" s="2002"/>
      <c r="K295" s="2002"/>
      <c r="L295" s="2002"/>
      <c r="M295" s="2002"/>
      <c r="N295" s="2002"/>
      <c r="O295" s="2002"/>
      <c r="P295" s="2002"/>
      <c r="Q295" s="2002"/>
      <c r="R295" s="2002"/>
      <c r="T295" s="58" t="s">
        <v>503</v>
      </c>
      <c r="V295" s="58"/>
      <c r="W295" s="58"/>
      <c r="X295" s="58"/>
      <c r="Y295" s="58"/>
      <c r="AA295" s="2001" t="s">
        <v>2532</v>
      </c>
      <c r="AB295" s="2002"/>
      <c r="AC295" s="2002"/>
      <c r="AD295" s="2002"/>
      <c r="AE295" s="2002"/>
      <c r="AF295" s="2002"/>
      <c r="AG295" s="2002"/>
      <c r="AH295" s="2002"/>
      <c r="AI295" s="2002"/>
      <c r="AJ295" s="2002"/>
      <c r="AK295" s="2002"/>
      <c r="BN295" s="61"/>
    </row>
    <row r="296" spans="2:66" ht="12.75">
      <c r="B296" s="58" t="s">
        <v>504</v>
      </c>
      <c r="C296" s="58"/>
      <c r="D296" s="58"/>
      <c r="E296" s="58"/>
      <c r="F296" s="58"/>
      <c r="H296" s="2001" t="s">
        <v>2548</v>
      </c>
      <c r="I296" s="2002"/>
      <c r="J296" s="2002"/>
      <c r="K296" s="2002"/>
      <c r="L296" s="2002"/>
      <c r="M296" s="2002"/>
      <c r="N296" s="2002"/>
      <c r="O296" s="2002"/>
      <c r="P296" s="2002"/>
      <c r="Q296" s="2002"/>
      <c r="R296" s="2002"/>
      <c r="T296" s="58" t="s">
        <v>79</v>
      </c>
      <c r="V296" s="58"/>
      <c r="W296" s="58"/>
      <c r="X296" s="58"/>
      <c r="Y296" s="58"/>
      <c r="AA296" s="2001" t="s">
        <v>2533</v>
      </c>
      <c r="AB296" s="2002"/>
      <c r="AC296" s="2002"/>
      <c r="AD296" s="2002"/>
      <c r="AE296" s="2002"/>
      <c r="AF296" s="2002"/>
      <c r="AG296" s="2002"/>
      <c r="AH296" s="2002"/>
      <c r="AI296" s="2002"/>
      <c r="AJ296" s="2002"/>
      <c r="AK296" s="2002"/>
      <c r="BN296" s="61"/>
    </row>
    <row r="297" spans="2:66" ht="12.75">
      <c r="B297" s="58" t="s">
        <v>92</v>
      </c>
      <c r="C297" s="58"/>
      <c r="D297" s="58"/>
      <c r="E297" s="58"/>
      <c r="F297" s="58"/>
      <c r="H297" s="2001" t="s">
        <v>2550</v>
      </c>
      <c r="I297" s="2002"/>
      <c r="J297" s="2002"/>
      <c r="K297" s="2002"/>
      <c r="L297" s="2002"/>
      <c r="M297" s="2002"/>
      <c r="N297" s="2002"/>
      <c r="O297" s="2002"/>
      <c r="P297" s="2002"/>
      <c r="Q297" s="2002"/>
      <c r="R297" s="2002"/>
      <c r="T297" s="58" t="s">
        <v>92</v>
      </c>
      <c r="V297" s="58"/>
      <c r="W297" s="58"/>
      <c r="X297" s="58"/>
      <c r="Y297" s="58"/>
      <c r="AA297" s="2001" t="s">
        <v>2534</v>
      </c>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1" t="s">
        <v>2547</v>
      </c>
      <c r="I298" s="2152"/>
      <c r="J298" s="2152"/>
      <c r="K298" s="2152"/>
      <c r="L298" s="2152"/>
      <c r="M298" s="2152"/>
      <c r="N298" s="7" t="s">
        <v>211</v>
      </c>
      <c r="O298" s="7"/>
      <c r="P298" s="2153"/>
      <c r="Q298" s="2153"/>
      <c r="R298" s="2153"/>
      <c r="S298" s="58"/>
      <c r="T298" s="58" t="s">
        <v>93</v>
      </c>
      <c r="V298" s="58"/>
      <c r="W298" s="58"/>
      <c r="X298" s="58"/>
      <c r="Y298" s="58"/>
      <c r="AA298" s="2151" t="s">
        <v>2535</v>
      </c>
      <c r="AB298" s="2152"/>
      <c r="AC298" s="2152"/>
      <c r="AD298" s="2152"/>
      <c r="AE298" s="2152"/>
      <c r="AF298" s="2152"/>
      <c r="AG298" s="7" t="s">
        <v>211</v>
      </c>
      <c r="AH298" s="7"/>
      <c r="AI298" s="2153"/>
      <c r="AJ298" s="2153"/>
      <c r="AK298" s="2153"/>
      <c r="BN298" s="61"/>
    </row>
    <row r="299" spans="2:66" ht="12.75" customHeight="1">
      <c r="B299" s="58" t="s">
        <v>94</v>
      </c>
      <c r="C299" s="58"/>
      <c r="D299" s="58"/>
      <c r="E299" s="58"/>
      <c r="F299" s="58"/>
      <c r="G299" s="58"/>
      <c r="H299" s="1967"/>
      <c r="I299" s="1967"/>
      <c r="J299" s="1967"/>
      <c r="K299" s="1967"/>
      <c r="L299" s="1967"/>
      <c r="M299" s="1967"/>
      <c r="N299" s="60"/>
      <c r="O299" s="60"/>
      <c r="P299" s="62"/>
      <c r="Q299" s="62"/>
      <c r="R299" s="62"/>
      <c r="S299" s="58"/>
      <c r="T299" s="58" t="s">
        <v>94</v>
      </c>
      <c r="V299" s="58"/>
      <c r="W299" s="58"/>
      <c r="X299" s="58"/>
      <c r="Y299" s="58"/>
      <c r="AA299" s="1967"/>
      <c r="AB299" s="1967"/>
      <c r="AC299" s="1967"/>
      <c r="AD299" s="1967"/>
      <c r="AE299" s="1967"/>
      <c r="AF299" s="1967"/>
      <c r="AG299" s="60"/>
      <c r="AH299" s="60"/>
      <c r="AI299" s="62"/>
      <c r="AJ299" s="62"/>
      <c r="AK299" s="62"/>
      <c r="BN299" s="61"/>
    </row>
    <row r="300" spans="2:66" ht="12.75" customHeight="1">
      <c r="B300" s="58" t="s">
        <v>80</v>
      </c>
      <c r="C300" s="58"/>
      <c r="D300" s="58"/>
      <c r="E300" s="58"/>
      <c r="F300" s="58"/>
      <c r="G300" s="58"/>
      <c r="H300" s="2001" t="s">
        <v>2546</v>
      </c>
      <c r="I300" s="2002"/>
      <c r="J300" s="2002"/>
      <c r="K300" s="2002"/>
      <c r="L300" s="2002"/>
      <c r="M300" s="2002"/>
      <c r="N300" s="1975"/>
      <c r="O300" s="1975"/>
      <c r="P300" s="1975"/>
      <c r="Q300" s="1975"/>
      <c r="R300" s="1975"/>
      <c r="S300" s="58"/>
      <c r="T300" s="58" t="s">
        <v>80</v>
      </c>
      <c r="V300" s="58"/>
      <c r="W300" s="58"/>
      <c r="X300" s="58"/>
      <c r="Y300" s="58"/>
      <c r="AA300" s="2001" t="s">
        <v>2536</v>
      </c>
      <c r="AB300" s="2002"/>
      <c r="AC300" s="2002"/>
      <c r="AD300" s="2002"/>
      <c r="AE300" s="2002"/>
      <c r="AF300" s="2002"/>
      <c r="AG300" s="1975"/>
      <c r="AH300" s="1975"/>
      <c r="AI300" s="1975"/>
      <c r="AJ300" s="1975"/>
      <c r="AK300" s="1975"/>
      <c r="BN300" s="61"/>
    </row>
    <row r="301" spans="2:66" ht="12.75" customHeight="1">
      <c r="BN301" s="61"/>
    </row>
    <row r="302" spans="2:66" ht="12.75" customHeight="1">
      <c r="B302" s="58" t="s">
        <v>81</v>
      </c>
      <c r="C302" s="58"/>
      <c r="D302" s="58"/>
      <c r="E302" s="58"/>
      <c r="F302" s="58"/>
      <c r="H302" s="1974" t="s">
        <v>2537</v>
      </c>
      <c r="I302" s="1975"/>
      <c r="J302" s="1975"/>
      <c r="K302" s="1975"/>
      <c r="L302" s="1975"/>
      <c r="M302" s="1975"/>
      <c r="N302" s="1975"/>
      <c r="O302" s="1975"/>
      <c r="P302" s="1975"/>
      <c r="Q302" s="1975"/>
      <c r="R302" s="1975"/>
      <c r="T302" s="7" t="s">
        <v>942</v>
      </c>
      <c r="V302" s="58"/>
      <c r="W302" s="58"/>
      <c r="X302" s="58"/>
      <c r="Y302" s="58"/>
      <c r="AA302" s="1974" t="s">
        <v>2539</v>
      </c>
      <c r="AB302" s="1975"/>
      <c r="AC302" s="1975"/>
      <c r="AD302" s="1975"/>
      <c r="AE302" s="1975"/>
      <c r="AF302" s="1975"/>
      <c r="AG302" s="1975"/>
      <c r="AH302" s="1975"/>
      <c r="AI302" s="1975"/>
      <c r="AJ302" s="1975"/>
      <c r="AK302" s="1975"/>
      <c r="BN302" s="61"/>
    </row>
    <row r="303" spans="2:66" ht="12.75">
      <c r="B303" s="58" t="s">
        <v>503</v>
      </c>
      <c r="C303" s="58"/>
      <c r="D303" s="58"/>
      <c r="E303" s="58"/>
      <c r="F303" s="58"/>
      <c r="H303" s="2001" t="s">
        <v>2538</v>
      </c>
      <c r="I303" s="2002"/>
      <c r="J303" s="2002"/>
      <c r="K303" s="2002"/>
      <c r="L303" s="2002"/>
      <c r="M303" s="2002"/>
      <c r="N303" s="2002"/>
      <c r="O303" s="2002"/>
      <c r="P303" s="2002"/>
      <c r="Q303" s="2002"/>
      <c r="R303" s="2002"/>
      <c r="T303" s="58" t="s">
        <v>503</v>
      </c>
      <c r="V303" s="58"/>
      <c r="W303" s="58"/>
      <c r="X303" s="58"/>
      <c r="Y303" s="58"/>
      <c r="AA303" s="2001" t="s">
        <v>2540</v>
      </c>
      <c r="AB303" s="2002"/>
      <c r="AC303" s="2002"/>
      <c r="AD303" s="2002"/>
      <c r="AE303" s="2002"/>
      <c r="AF303" s="2002"/>
      <c r="AG303" s="2002"/>
      <c r="AH303" s="2002"/>
      <c r="AI303" s="2002"/>
      <c r="AJ303" s="2002"/>
      <c r="AK303" s="2002"/>
      <c r="BN303" s="61"/>
    </row>
    <row r="304" spans="2:66" ht="12.75">
      <c r="B304" s="58" t="s">
        <v>504</v>
      </c>
      <c r="C304" s="58"/>
      <c r="D304" s="58"/>
      <c r="E304" s="58"/>
      <c r="F304" s="58"/>
      <c r="H304" s="2001" t="s">
        <v>2533</v>
      </c>
      <c r="I304" s="2002"/>
      <c r="J304" s="2002"/>
      <c r="K304" s="2002"/>
      <c r="L304" s="2002"/>
      <c r="M304" s="2002"/>
      <c r="N304" s="2002"/>
      <c r="O304" s="2002"/>
      <c r="P304" s="2002"/>
      <c r="Q304" s="2002"/>
      <c r="R304" s="2002"/>
      <c r="T304" s="58" t="s">
        <v>79</v>
      </c>
      <c r="V304" s="58"/>
      <c r="W304" s="58"/>
      <c r="X304" s="58"/>
      <c r="Y304" s="58"/>
      <c r="AA304" s="2001" t="s">
        <v>2541</v>
      </c>
      <c r="AB304" s="2002"/>
      <c r="AC304" s="2002"/>
      <c r="AD304" s="2002"/>
      <c r="AE304" s="2002"/>
      <c r="AF304" s="2002"/>
      <c r="AG304" s="2002"/>
      <c r="AH304" s="2002"/>
      <c r="AI304" s="2002"/>
      <c r="AJ304" s="2002"/>
      <c r="AK304" s="2002"/>
      <c r="BN304" s="61"/>
    </row>
    <row r="305" spans="2:66" ht="12.75">
      <c r="B305" s="58" t="s">
        <v>92</v>
      </c>
      <c r="C305" s="58"/>
      <c r="D305" s="58"/>
      <c r="E305" s="58"/>
      <c r="F305" s="58"/>
      <c r="H305" s="2002"/>
      <c r="I305" s="2002"/>
      <c r="J305" s="2002"/>
      <c r="K305" s="2002"/>
      <c r="L305" s="2002"/>
      <c r="M305" s="2002"/>
      <c r="N305" s="2002"/>
      <c r="O305" s="2002"/>
      <c r="P305" s="2002"/>
      <c r="Q305" s="2002"/>
      <c r="R305" s="2002"/>
      <c r="T305" s="58" t="s">
        <v>92</v>
      </c>
      <c r="V305" s="58"/>
      <c r="W305" s="58"/>
      <c r="X305" s="58"/>
      <c r="Y305" s="58"/>
      <c r="AA305" s="2001" t="s">
        <v>2542</v>
      </c>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2"/>
      <c r="I306" s="2152"/>
      <c r="J306" s="2152"/>
      <c r="K306" s="2152"/>
      <c r="L306" s="2152"/>
      <c r="M306" s="2152"/>
      <c r="N306" s="7" t="s">
        <v>211</v>
      </c>
      <c r="O306" s="7"/>
      <c r="P306" s="2153"/>
      <c r="Q306" s="2153"/>
      <c r="R306" s="2153"/>
      <c r="S306" s="58"/>
      <c r="T306" s="58" t="s">
        <v>93</v>
      </c>
      <c r="V306" s="58"/>
      <c r="W306" s="58"/>
      <c r="X306" s="58"/>
      <c r="Y306" s="58"/>
      <c r="AA306" s="2151" t="s">
        <v>2543</v>
      </c>
      <c r="AB306" s="2152"/>
      <c r="AC306" s="2152"/>
      <c r="AD306" s="2152"/>
      <c r="AE306" s="2152"/>
      <c r="AF306" s="2152"/>
      <c r="AG306" s="7" t="s">
        <v>211</v>
      </c>
      <c r="AH306" s="7"/>
      <c r="AI306" s="2153"/>
      <c r="AJ306" s="2153"/>
      <c r="AK306" s="2153"/>
      <c r="BN306" s="61"/>
    </row>
    <row r="307" spans="2:66" ht="12.75">
      <c r="B307" s="58" t="s">
        <v>94</v>
      </c>
      <c r="C307" s="58"/>
      <c r="D307" s="58"/>
      <c r="E307" s="58"/>
      <c r="F307" s="58"/>
      <c r="G307" s="58"/>
      <c r="H307" s="1967"/>
      <c r="I307" s="1967"/>
      <c r="J307" s="1967"/>
      <c r="K307" s="1967"/>
      <c r="L307" s="1967"/>
      <c r="M307" s="1967"/>
      <c r="N307" s="60"/>
      <c r="O307" s="60"/>
      <c r="P307" s="62"/>
      <c r="Q307" s="62"/>
      <c r="R307" s="62"/>
      <c r="S307" s="58"/>
      <c r="T307" s="58" t="s">
        <v>94</v>
      </c>
      <c r="V307" s="58"/>
      <c r="W307" s="58"/>
      <c r="X307" s="58"/>
      <c r="Y307" s="58"/>
      <c r="AA307" s="1967"/>
      <c r="AB307" s="1967"/>
      <c r="AC307" s="1967"/>
      <c r="AD307" s="1967"/>
      <c r="AE307" s="1967"/>
      <c r="AF307" s="1967"/>
      <c r="AG307" s="60"/>
      <c r="AH307" s="60"/>
      <c r="AI307" s="62"/>
      <c r="AJ307" s="62"/>
      <c r="AK307" s="62"/>
      <c r="BN307" s="61"/>
    </row>
    <row r="308" spans="2:66" ht="12.75">
      <c r="B308" s="58" t="s">
        <v>80</v>
      </c>
      <c r="C308" s="58"/>
      <c r="D308" s="58"/>
      <c r="E308" s="58"/>
      <c r="F308" s="58"/>
      <c r="G308" s="58"/>
      <c r="H308" s="2002"/>
      <c r="I308" s="2002"/>
      <c r="J308" s="2002"/>
      <c r="K308" s="2002"/>
      <c r="L308" s="2002"/>
      <c r="M308" s="2002"/>
      <c r="N308" s="1975"/>
      <c r="O308" s="1975"/>
      <c r="P308" s="1975"/>
      <c r="Q308" s="1975"/>
      <c r="R308" s="1975"/>
      <c r="S308" s="58"/>
      <c r="T308" s="58" t="s">
        <v>80</v>
      </c>
      <c r="V308" s="58"/>
      <c r="W308" s="58"/>
      <c r="X308" s="58"/>
      <c r="Y308" s="58"/>
      <c r="AA308" s="2001" t="s">
        <v>2544</v>
      </c>
      <c r="AB308" s="2002"/>
      <c r="AC308" s="2002"/>
      <c r="AD308" s="2002"/>
      <c r="AE308" s="2002"/>
      <c r="AF308" s="2002"/>
      <c r="AG308" s="1975"/>
      <c r="AH308" s="1975"/>
      <c r="AI308" s="1975"/>
      <c r="AJ308" s="1975"/>
      <c r="AK308" s="197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74" t="s">
        <v>2537</v>
      </c>
      <c r="I310" s="1975"/>
      <c r="J310" s="1975"/>
      <c r="K310" s="1975"/>
      <c r="L310" s="1975"/>
      <c r="M310" s="1975"/>
      <c r="N310" s="1975"/>
      <c r="O310" s="1975"/>
      <c r="P310" s="1975"/>
      <c r="Q310" s="1975"/>
      <c r="R310" s="1975"/>
      <c r="S310" s="58"/>
      <c r="T310" s="58" t="s">
        <v>374</v>
      </c>
      <c r="V310" s="58"/>
      <c r="W310" s="58"/>
      <c r="X310" s="58"/>
      <c r="Y310" s="58"/>
      <c r="AA310" s="1974" t="s">
        <v>2551</v>
      </c>
      <c r="AB310" s="1975"/>
      <c r="AC310" s="1975"/>
      <c r="AD310" s="1975"/>
      <c r="AE310" s="1975"/>
      <c r="AF310" s="1975"/>
      <c r="AG310" s="1975"/>
      <c r="AH310" s="1975"/>
      <c r="AI310" s="1975"/>
      <c r="AJ310" s="1975"/>
      <c r="AK310" s="1975"/>
      <c r="BN310" s="61"/>
    </row>
    <row r="311" spans="2:66" ht="12.75">
      <c r="B311" s="58" t="s">
        <v>503</v>
      </c>
      <c r="C311" s="58"/>
      <c r="D311" s="58"/>
      <c r="E311" s="58"/>
      <c r="F311" s="58"/>
      <c r="H311" s="2001" t="s">
        <v>2538</v>
      </c>
      <c r="I311" s="2002"/>
      <c r="J311" s="2002"/>
      <c r="K311" s="2002"/>
      <c r="L311" s="2002"/>
      <c r="M311" s="2002"/>
      <c r="N311" s="2002"/>
      <c r="O311" s="2002"/>
      <c r="P311" s="2002"/>
      <c r="Q311" s="2002"/>
      <c r="R311" s="2002"/>
      <c r="S311" s="58"/>
      <c r="T311" s="58" t="s">
        <v>503</v>
      </c>
      <c r="V311" s="58"/>
      <c r="W311" s="58"/>
      <c r="X311" s="58"/>
      <c r="Y311" s="58"/>
      <c r="AA311" s="2001" t="s">
        <v>2553</v>
      </c>
      <c r="AB311" s="2002"/>
      <c r="AC311" s="2002"/>
      <c r="AD311" s="2002"/>
      <c r="AE311" s="2002"/>
      <c r="AF311" s="2002"/>
      <c r="AG311" s="2002"/>
      <c r="AH311" s="2002"/>
      <c r="AI311" s="2002"/>
      <c r="AJ311" s="2002"/>
      <c r="AK311" s="2002"/>
      <c r="BN311" s="61"/>
    </row>
    <row r="312" spans="2:66" ht="12.75" customHeight="1">
      <c r="B312" s="58" t="s">
        <v>504</v>
      </c>
      <c r="C312" s="58"/>
      <c r="D312" s="58"/>
      <c r="E312" s="58"/>
      <c r="F312" s="58"/>
      <c r="H312" s="2001" t="s">
        <v>2533</v>
      </c>
      <c r="I312" s="2002"/>
      <c r="J312" s="2002"/>
      <c r="K312" s="2002"/>
      <c r="L312" s="2002"/>
      <c r="M312" s="2002"/>
      <c r="N312" s="2002"/>
      <c r="O312" s="2002"/>
      <c r="P312" s="2002"/>
      <c r="Q312" s="2002"/>
      <c r="R312" s="2002"/>
      <c r="S312" s="58"/>
      <c r="T312" s="58" t="s">
        <v>79</v>
      </c>
      <c r="V312" s="58"/>
      <c r="W312" s="58"/>
      <c r="X312" s="58"/>
      <c r="Y312" s="58"/>
      <c r="AA312" s="2001" t="s">
        <v>2554</v>
      </c>
      <c r="AB312" s="2002"/>
      <c r="AC312" s="2002"/>
      <c r="AD312" s="2002"/>
      <c r="AE312" s="2002"/>
      <c r="AF312" s="2002"/>
      <c r="AG312" s="2002"/>
      <c r="AH312" s="2002"/>
      <c r="AI312" s="2002"/>
      <c r="AJ312" s="2002"/>
      <c r="AK312" s="2002"/>
      <c r="BN312" s="61"/>
    </row>
    <row r="313" spans="2:66" ht="12.75">
      <c r="B313" s="58" t="s">
        <v>92</v>
      </c>
      <c r="C313" s="58"/>
      <c r="D313" s="58"/>
      <c r="E313" s="58"/>
      <c r="F313" s="58"/>
      <c r="H313" s="2002"/>
      <c r="I313" s="2002"/>
      <c r="J313" s="2002"/>
      <c r="K313" s="2002"/>
      <c r="L313" s="2002"/>
      <c r="M313" s="2002"/>
      <c r="N313" s="2002"/>
      <c r="O313" s="2002"/>
      <c r="P313" s="2002"/>
      <c r="Q313" s="2002"/>
      <c r="R313" s="2002"/>
      <c r="S313" s="58"/>
      <c r="T313" s="58" t="s">
        <v>92</v>
      </c>
      <c r="V313" s="58"/>
      <c r="W313" s="58"/>
      <c r="X313" s="58"/>
      <c r="Y313" s="58"/>
      <c r="AA313" s="2001" t="s">
        <v>2552</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2"/>
      <c r="I314" s="2152"/>
      <c r="J314" s="2152"/>
      <c r="K314" s="2152"/>
      <c r="L314" s="2152"/>
      <c r="M314" s="2152"/>
      <c r="N314" s="7" t="s">
        <v>211</v>
      </c>
      <c r="O314" s="7"/>
      <c r="P314" s="2153"/>
      <c r="Q314" s="2153"/>
      <c r="R314" s="2153"/>
      <c r="S314" s="58"/>
      <c r="T314" s="58" t="s">
        <v>93</v>
      </c>
      <c r="V314" s="58"/>
      <c r="W314" s="58"/>
      <c r="X314" s="58"/>
      <c r="Y314" s="58"/>
      <c r="AA314" s="2151" t="s">
        <v>2555</v>
      </c>
      <c r="AB314" s="2152"/>
      <c r="AC314" s="2152"/>
      <c r="AD314" s="2152"/>
      <c r="AE314" s="2152"/>
      <c r="AF314" s="2152"/>
      <c r="AG314" s="7" t="s">
        <v>211</v>
      </c>
      <c r="AH314" s="7"/>
      <c r="AI314" s="2153"/>
      <c r="AJ314" s="2153"/>
      <c r="AK314" s="2153"/>
      <c r="BN314" s="61"/>
    </row>
    <row r="315" spans="2:66" ht="12.75">
      <c r="B315" s="58" t="s">
        <v>94</v>
      </c>
      <c r="C315" s="58"/>
      <c r="D315" s="58"/>
      <c r="E315" s="58"/>
      <c r="F315" s="58"/>
      <c r="G315" s="58"/>
      <c r="H315" s="1967"/>
      <c r="I315" s="1967"/>
      <c r="J315" s="1967"/>
      <c r="K315" s="1967"/>
      <c r="L315" s="1967"/>
      <c r="M315" s="1967"/>
      <c r="N315" s="60"/>
      <c r="O315" s="60"/>
      <c r="P315" s="62"/>
      <c r="Q315" s="62"/>
      <c r="R315" s="62"/>
      <c r="S315" s="58"/>
      <c r="T315" s="58" t="s">
        <v>94</v>
      </c>
      <c r="V315" s="58"/>
      <c r="W315" s="58"/>
      <c r="X315" s="58"/>
      <c r="Y315" s="58"/>
      <c r="AA315" s="1967"/>
      <c r="AB315" s="1967"/>
      <c r="AC315" s="1967"/>
      <c r="AD315" s="1967"/>
      <c r="AE315" s="1967"/>
      <c r="AF315" s="1967"/>
      <c r="AG315" s="60"/>
      <c r="AH315" s="60"/>
      <c r="AI315" s="62"/>
      <c r="AJ315" s="62"/>
      <c r="AK315" s="62"/>
      <c r="BN315" s="61"/>
    </row>
    <row r="316" spans="2:66" ht="12.75">
      <c r="B316" s="58" t="s">
        <v>80</v>
      </c>
      <c r="C316" s="58"/>
      <c r="D316" s="58"/>
      <c r="E316" s="58"/>
      <c r="F316" s="58"/>
      <c r="G316" s="58"/>
      <c r="H316" s="2002"/>
      <c r="I316" s="2002"/>
      <c r="J316" s="2002"/>
      <c r="K316" s="2002"/>
      <c r="L316" s="2002"/>
      <c r="M316" s="2002"/>
      <c r="N316" s="1975"/>
      <c r="O316" s="1975"/>
      <c r="P316" s="1975"/>
      <c r="Q316" s="1975"/>
      <c r="R316" s="1975"/>
      <c r="S316" s="58"/>
      <c r="T316" s="58" t="s">
        <v>80</v>
      </c>
      <c r="V316" s="58"/>
      <c r="W316" s="58"/>
      <c r="X316" s="58"/>
      <c r="Y316" s="58"/>
      <c r="AA316" s="2001" t="s">
        <v>2556</v>
      </c>
      <c r="AB316" s="2002"/>
      <c r="AC316" s="2002"/>
      <c r="AD316" s="2002"/>
      <c r="AE316" s="2002"/>
      <c r="AF316" s="2002"/>
      <c r="AG316" s="1975"/>
      <c r="AH316" s="1975"/>
      <c r="AI316" s="1975"/>
      <c r="AJ316" s="1975"/>
      <c r="AK316" s="1975"/>
      <c r="BN316" s="61"/>
    </row>
    <row r="317" spans="2:66" ht="12.75">
      <c r="BN317" s="61"/>
    </row>
    <row r="318" spans="2:66" ht="12.75">
      <c r="B318" s="7" t="s">
        <v>976</v>
      </c>
      <c r="C318" s="58"/>
      <c r="D318" s="58"/>
      <c r="E318" s="58"/>
      <c r="F318" s="58"/>
      <c r="H318" s="1974" t="s">
        <v>625</v>
      </c>
      <c r="I318" s="1975"/>
      <c r="J318" s="1975"/>
      <c r="K318" s="1975"/>
      <c r="L318" s="1975"/>
      <c r="M318" s="1975"/>
      <c r="N318" s="1975"/>
      <c r="O318" s="1975"/>
      <c r="P318" s="1975"/>
      <c r="Q318" s="1975"/>
      <c r="R318" s="1975"/>
      <c r="T318" s="58" t="s">
        <v>375</v>
      </c>
      <c r="V318" s="58"/>
      <c r="W318" s="58"/>
      <c r="X318" s="58"/>
      <c r="Y318" s="58"/>
      <c r="AA318" s="1974" t="s">
        <v>2557</v>
      </c>
      <c r="AB318" s="1975"/>
      <c r="AC318" s="1975"/>
      <c r="AD318" s="1975"/>
      <c r="AE318" s="1975"/>
      <c r="AF318" s="1975"/>
      <c r="AG318" s="1975"/>
      <c r="AH318" s="1975"/>
      <c r="AI318" s="1975"/>
      <c r="AJ318" s="1975"/>
      <c r="AK318" s="1975"/>
      <c r="BN318" s="61"/>
    </row>
    <row r="319" spans="2:66" ht="12.75">
      <c r="B319" s="58" t="s">
        <v>503</v>
      </c>
      <c r="C319" s="58"/>
      <c r="D319" s="58"/>
      <c r="E319" s="58"/>
      <c r="F319" s="58"/>
      <c r="H319" s="2002"/>
      <c r="I319" s="2002"/>
      <c r="J319" s="2002"/>
      <c r="K319" s="2002"/>
      <c r="L319" s="2002"/>
      <c r="M319" s="2002"/>
      <c r="N319" s="2002"/>
      <c r="O319" s="2002"/>
      <c r="P319" s="2002"/>
      <c r="Q319" s="2002"/>
      <c r="R319" s="2002"/>
      <c r="T319" s="58" t="s">
        <v>503</v>
      </c>
      <c r="V319" s="58"/>
      <c r="W319" s="58"/>
      <c r="X319" s="58"/>
      <c r="Y319" s="58"/>
      <c r="AA319" s="2001" t="s">
        <v>2558</v>
      </c>
      <c r="AB319" s="2002"/>
      <c r="AC319" s="2002"/>
      <c r="AD319" s="2002"/>
      <c r="AE319" s="2002"/>
      <c r="AF319" s="2002"/>
      <c r="AG319" s="2002"/>
      <c r="AH319" s="2002"/>
      <c r="AI319" s="2002"/>
      <c r="AJ319" s="2002"/>
      <c r="AK319" s="2002"/>
      <c r="BN319" s="61"/>
    </row>
    <row r="320" spans="2:66" ht="12.75">
      <c r="B320" s="58" t="s">
        <v>504</v>
      </c>
      <c r="C320" s="58"/>
      <c r="D320" s="58"/>
      <c r="E320" s="58"/>
      <c r="F320" s="58"/>
      <c r="H320" s="2002"/>
      <c r="I320" s="2002"/>
      <c r="J320" s="2002"/>
      <c r="K320" s="2002"/>
      <c r="L320" s="2002"/>
      <c r="M320" s="2002"/>
      <c r="N320" s="2002"/>
      <c r="O320" s="2002"/>
      <c r="P320" s="2002"/>
      <c r="Q320" s="2002"/>
      <c r="R320" s="2002"/>
      <c r="T320" s="58" t="s">
        <v>79</v>
      </c>
      <c r="V320" s="58"/>
      <c r="W320" s="58"/>
      <c r="X320" s="58"/>
      <c r="Y320" s="58"/>
      <c r="AA320" s="2001" t="s">
        <v>2524</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c r="I321" s="2002"/>
      <c r="J321" s="2002"/>
      <c r="K321" s="2002"/>
      <c r="L321" s="2002"/>
      <c r="M321" s="2002"/>
      <c r="N321" s="2002"/>
      <c r="O321" s="2002"/>
      <c r="P321" s="2002"/>
      <c r="Q321" s="2002"/>
      <c r="R321" s="2002"/>
      <c r="T321" s="58" t="s">
        <v>92</v>
      </c>
      <c r="V321" s="58"/>
      <c r="W321" s="58"/>
      <c r="X321" s="58"/>
      <c r="Y321" s="58"/>
      <c r="AA321" s="2001" t="s">
        <v>2559</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2"/>
      <c r="I322" s="2152"/>
      <c r="J322" s="2152"/>
      <c r="K322" s="2152"/>
      <c r="L322" s="2152"/>
      <c r="M322" s="2152"/>
      <c r="N322" s="7" t="s">
        <v>211</v>
      </c>
      <c r="O322" s="7"/>
      <c r="P322" s="2153"/>
      <c r="Q322" s="2153"/>
      <c r="R322" s="2153"/>
      <c r="S322" s="58"/>
      <c r="T322" s="58" t="s">
        <v>93</v>
      </c>
      <c r="V322" s="58"/>
      <c r="W322" s="58"/>
      <c r="X322" s="58"/>
      <c r="Y322" s="58"/>
      <c r="AA322" s="2151" t="s">
        <v>2560</v>
      </c>
      <c r="AB322" s="2152"/>
      <c r="AC322" s="2152"/>
      <c r="AD322" s="2152"/>
      <c r="AE322" s="2152"/>
      <c r="AF322" s="2152"/>
      <c r="AG322" s="7" t="s">
        <v>211</v>
      </c>
      <c r="AH322" s="7"/>
      <c r="AI322" s="2153"/>
      <c r="AJ322" s="2153"/>
      <c r="AK322" s="2153"/>
      <c r="AL322" s="39"/>
      <c r="BN322" s="61"/>
    </row>
    <row r="323" spans="1:66" ht="12.75" customHeight="1">
      <c r="A323" s="39"/>
      <c r="B323" s="58" t="s">
        <v>94</v>
      </c>
      <c r="C323" s="58"/>
      <c r="D323" s="58"/>
      <c r="E323" s="58"/>
      <c r="F323" s="58"/>
      <c r="G323" s="58"/>
      <c r="H323" s="1967"/>
      <c r="I323" s="1967"/>
      <c r="J323" s="1967"/>
      <c r="K323" s="1967"/>
      <c r="L323" s="1967"/>
      <c r="M323" s="1967"/>
      <c r="N323" s="60"/>
      <c r="O323" s="60"/>
      <c r="P323" s="62"/>
      <c r="Q323" s="62"/>
      <c r="R323" s="62"/>
      <c r="S323" s="58"/>
      <c r="T323" s="58" t="s">
        <v>94</v>
      </c>
      <c r="V323" s="58"/>
      <c r="W323" s="58"/>
      <c r="X323" s="58"/>
      <c r="Y323" s="58"/>
      <c r="AA323" s="1967"/>
      <c r="AB323" s="1967"/>
      <c r="AC323" s="1967"/>
      <c r="AD323" s="1967"/>
      <c r="AE323" s="1967"/>
      <c r="AF323" s="1967"/>
      <c r="AG323" s="60"/>
      <c r="AH323" s="60"/>
      <c r="AI323" s="62"/>
      <c r="AJ323" s="62"/>
      <c r="AK323" s="62"/>
      <c r="AL323" s="39"/>
    </row>
    <row r="324" spans="1:66" ht="12.75">
      <c r="A324" s="39"/>
      <c r="B324" s="58" t="s">
        <v>80</v>
      </c>
      <c r="C324" s="58"/>
      <c r="D324" s="58"/>
      <c r="E324" s="58"/>
      <c r="F324" s="58"/>
      <c r="G324" s="58"/>
      <c r="H324" s="2002"/>
      <c r="I324" s="2002"/>
      <c r="J324" s="2002"/>
      <c r="K324" s="2002"/>
      <c r="L324" s="2002"/>
      <c r="M324" s="2002"/>
      <c r="N324" s="1975"/>
      <c r="O324" s="1975"/>
      <c r="P324" s="1975"/>
      <c r="Q324" s="1975"/>
      <c r="R324" s="1975"/>
      <c r="S324" s="58"/>
      <c r="T324" s="58" t="s">
        <v>80</v>
      </c>
      <c r="V324" s="58"/>
      <c r="W324" s="58"/>
      <c r="X324" s="58"/>
      <c r="Y324" s="58"/>
      <c r="AA324" s="2001" t="s">
        <v>2561</v>
      </c>
      <c r="AB324" s="2002"/>
      <c r="AC324" s="2002"/>
      <c r="AD324" s="2002"/>
      <c r="AE324" s="2002"/>
      <c r="AF324" s="2002"/>
      <c r="AG324" s="1975"/>
      <c r="AH324" s="1975"/>
      <c r="AI324" s="1975"/>
      <c r="AJ324" s="1975"/>
      <c r="AK324" s="197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974" t="s">
        <v>625</v>
      </c>
      <c r="I326" s="1975"/>
      <c r="J326" s="1975"/>
      <c r="K326" s="1975"/>
      <c r="L326" s="1975"/>
      <c r="M326" s="1975"/>
      <c r="N326" s="1975"/>
      <c r="O326" s="1975"/>
      <c r="P326" s="1975"/>
      <c r="Q326" s="1975"/>
      <c r="R326" s="1975"/>
      <c r="T326" s="58" t="s">
        <v>377</v>
      </c>
      <c r="V326" s="58"/>
      <c r="W326" s="58"/>
      <c r="X326" s="58"/>
      <c r="Y326" s="58"/>
      <c r="AA326" s="1974" t="s">
        <v>625</v>
      </c>
      <c r="AB326" s="1975"/>
      <c r="AC326" s="1975"/>
      <c r="AD326" s="1975"/>
      <c r="AE326" s="1975"/>
      <c r="AF326" s="1975"/>
      <c r="AG326" s="1975"/>
      <c r="AH326" s="1975"/>
      <c r="AI326" s="1975"/>
      <c r="AJ326" s="1975"/>
      <c r="AK326" s="1975"/>
      <c r="AL326" s="39"/>
    </row>
    <row r="327" spans="1:66" ht="12.75">
      <c r="A327" s="39"/>
      <c r="B327" s="58" t="s">
        <v>503</v>
      </c>
      <c r="C327" s="58"/>
      <c r="D327" s="58"/>
      <c r="E327" s="58"/>
      <c r="F327" s="58"/>
      <c r="H327" s="2002"/>
      <c r="I327" s="2002"/>
      <c r="J327" s="2002"/>
      <c r="K327" s="2002"/>
      <c r="L327" s="2002"/>
      <c r="M327" s="2002"/>
      <c r="N327" s="2002"/>
      <c r="O327" s="2002"/>
      <c r="P327" s="2002"/>
      <c r="Q327" s="2002"/>
      <c r="R327" s="2002"/>
      <c r="T327" s="58" t="s">
        <v>503</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504</v>
      </c>
      <c r="C328" s="58"/>
      <c r="D328" s="58"/>
      <c r="E328" s="58"/>
      <c r="F328" s="58"/>
      <c r="H328" s="2002"/>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2"/>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2"/>
      <c r="I330" s="2152"/>
      <c r="J330" s="2152"/>
      <c r="K330" s="2152"/>
      <c r="L330" s="2152"/>
      <c r="M330" s="2152"/>
      <c r="N330" s="7" t="s">
        <v>211</v>
      </c>
      <c r="O330" s="7"/>
      <c r="P330" s="2153"/>
      <c r="Q330" s="2153"/>
      <c r="R330" s="2153"/>
      <c r="S330" s="58"/>
      <c r="T330" s="58" t="s">
        <v>93</v>
      </c>
      <c r="V330" s="58"/>
      <c r="W330" s="58"/>
      <c r="X330" s="58"/>
      <c r="Y330" s="58"/>
      <c r="AA330" s="2152"/>
      <c r="AB330" s="2152"/>
      <c r="AC330" s="2152"/>
      <c r="AD330" s="2152"/>
      <c r="AE330" s="2152"/>
      <c r="AF330" s="2152"/>
      <c r="AG330" s="7" t="s">
        <v>211</v>
      </c>
      <c r="AH330" s="7"/>
      <c r="AI330" s="2153"/>
      <c r="AJ330" s="2153"/>
      <c r="AK330" s="2153"/>
      <c r="AL330" s="39"/>
    </row>
    <row r="331" spans="1:66" ht="12.75">
      <c r="A331" s="39"/>
      <c r="B331" s="58" t="s">
        <v>94</v>
      </c>
      <c r="C331" s="58"/>
      <c r="D331" s="58"/>
      <c r="E331" s="58"/>
      <c r="F331" s="58"/>
      <c r="G331" s="58"/>
      <c r="H331" s="1967"/>
      <c r="I331" s="1967"/>
      <c r="J331" s="1967"/>
      <c r="K331" s="1967"/>
      <c r="L331" s="1967"/>
      <c r="M331" s="1967"/>
      <c r="N331" s="60"/>
      <c r="O331" s="60"/>
      <c r="P331" s="62"/>
      <c r="Q331" s="62"/>
      <c r="R331" s="62"/>
      <c r="S331" s="58"/>
      <c r="T331" s="58" t="s">
        <v>94</v>
      </c>
      <c r="V331" s="58"/>
      <c r="W331" s="58"/>
      <c r="X331" s="58"/>
      <c r="Y331" s="58"/>
      <c r="AA331" s="1967"/>
      <c r="AB331" s="1967"/>
      <c r="AC331" s="1967"/>
      <c r="AD331" s="1967"/>
      <c r="AE331" s="1967"/>
      <c r="AF331" s="1967"/>
      <c r="AG331" s="60"/>
      <c r="AH331" s="60"/>
      <c r="AI331" s="62"/>
      <c r="AJ331" s="62"/>
      <c r="AK331" s="62"/>
      <c r="AL331" s="39"/>
    </row>
    <row r="332" spans="1:66" ht="12.75">
      <c r="A332" s="39"/>
      <c r="B332" s="58" t="s">
        <v>80</v>
      </c>
      <c r="C332" s="58"/>
      <c r="D332" s="58"/>
      <c r="E332" s="58"/>
      <c r="F332" s="58"/>
      <c r="G332" s="58"/>
      <c r="H332" s="2002"/>
      <c r="I332" s="2002"/>
      <c r="J332" s="2002"/>
      <c r="K332" s="2002"/>
      <c r="L332" s="2002"/>
      <c r="M332" s="2002"/>
      <c r="N332" s="1975"/>
      <c r="O332" s="1975"/>
      <c r="P332" s="1975"/>
      <c r="Q332" s="1975"/>
      <c r="R332" s="1975"/>
      <c r="S332" s="58"/>
      <c r="T332" s="58" t="s">
        <v>80</v>
      </c>
      <c r="V332" s="58"/>
      <c r="W332" s="58"/>
      <c r="X332" s="58"/>
      <c r="Y332" s="58"/>
      <c r="AA332" s="2002"/>
      <c r="AB332" s="2002"/>
      <c r="AC332" s="2002"/>
      <c r="AD332" s="2002"/>
      <c r="AE332" s="2002"/>
      <c r="AF332" s="2002"/>
      <c r="AG332" s="1975"/>
      <c r="AH332" s="1975"/>
      <c r="AI332" s="1975"/>
      <c r="AJ332" s="1975"/>
      <c r="AK332" s="19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1974" t="s">
        <v>2562</v>
      </c>
      <c r="I334" s="1975"/>
      <c r="J334" s="1975"/>
      <c r="K334" s="1975"/>
      <c r="L334" s="1975"/>
      <c r="M334" s="1975"/>
      <c r="N334" s="1975"/>
      <c r="O334" s="1975"/>
      <c r="P334" s="1975"/>
      <c r="Q334" s="1975"/>
      <c r="R334" s="1975"/>
      <c r="T334" s="405" t="s">
        <v>951</v>
      </c>
      <c r="V334" s="58"/>
      <c r="W334" s="58"/>
      <c r="X334" s="58"/>
      <c r="Y334" s="58"/>
      <c r="AA334" s="1974" t="s">
        <v>2568</v>
      </c>
      <c r="AB334" s="1975"/>
      <c r="AC334" s="1975"/>
      <c r="AD334" s="1975"/>
      <c r="AE334" s="1975"/>
      <c r="AF334" s="1975"/>
      <c r="AG334" s="1975"/>
      <c r="AH334" s="1975"/>
      <c r="AI334" s="1975"/>
      <c r="AJ334" s="1975"/>
      <c r="AK334" s="1975"/>
      <c r="AL334" s="39"/>
    </row>
    <row r="335" spans="1:66" ht="12.75" customHeight="1">
      <c r="B335" s="58" t="s">
        <v>503</v>
      </c>
      <c r="C335" s="240"/>
      <c r="D335" s="240"/>
      <c r="E335" s="240"/>
      <c r="F335" s="240"/>
      <c r="G335" s="3"/>
      <c r="H335" s="2001" t="s">
        <v>2563</v>
      </c>
      <c r="I335" s="2002"/>
      <c r="J335" s="2002"/>
      <c r="K335" s="2002"/>
      <c r="L335" s="2002"/>
      <c r="M335" s="2002"/>
      <c r="N335" s="2002"/>
      <c r="O335" s="2002"/>
      <c r="P335" s="2002"/>
      <c r="Q335" s="2002"/>
      <c r="R335" s="2002"/>
      <c r="T335" s="58" t="s">
        <v>503</v>
      </c>
      <c r="V335" s="58"/>
      <c r="W335" s="58"/>
      <c r="X335" s="58"/>
      <c r="Y335" s="58"/>
      <c r="AA335" s="2001" t="s">
        <v>2508</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1" t="s">
        <v>2564</v>
      </c>
      <c r="I336" s="2002"/>
      <c r="J336" s="2002"/>
      <c r="K336" s="2002"/>
      <c r="L336" s="2002"/>
      <c r="M336" s="2002"/>
      <c r="N336" s="2002"/>
      <c r="O336" s="2002"/>
      <c r="P336" s="2002"/>
      <c r="Q336" s="2002"/>
      <c r="R336" s="2002"/>
      <c r="T336" s="58" t="s">
        <v>79</v>
      </c>
      <c r="V336" s="58"/>
      <c r="W336" s="58"/>
      <c r="X336" s="58"/>
      <c r="Y336" s="58"/>
      <c r="AA336" s="2001" t="s">
        <v>2524</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1" t="s">
        <v>2565</v>
      </c>
      <c r="I337" s="2002"/>
      <c r="J337" s="2002"/>
      <c r="K337" s="2002"/>
      <c r="L337" s="2002"/>
      <c r="M337" s="2002"/>
      <c r="N337" s="2002"/>
      <c r="O337" s="2002"/>
      <c r="P337" s="2002"/>
      <c r="Q337" s="2002"/>
      <c r="R337" s="2002"/>
      <c r="T337" s="58" t="s">
        <v>92</v>
      </c>
      <c r="V337" s="58"/>
      <c r="W337" s="58"/>
      <c r="X337" s="58"/>
      <c r="Y337" s="58"/>
      <c r="AA337" s="2001" t="s">
        <v>2569</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1" t="s">
        <v>2566</v>
      </c>
      <c r="I338" s="2152"/>
      <c r="J338" s="2152"/>
      <c r="K338" s="2152"/>
      <c r="L338" s="2152"/>
      <c r="M338" s="2152"/>
      <c r="N338" s="7" t="s">
        <v>211</v>
      </c>
      <c r="O338" s="7"/>
      <c r="P338" s="2153"/>
      <c r="Q338" s="2153"/>
      <c r="R338" s="2153"/>
      <c r="S338" s="58"/>
      <c r="T338" s="58" t="s">
        <v>93</v>
      </c>
      <c r="V338" s="58"/>
      <c r="W338" s="58"/>
      <c r="X338" s="58"/>
      <c r="Y338" s="58"/>
      <c r="AA338" s="2151" t="s">
        <v>2570</v>
      </c>
      <c r="AB338" s="2152"/>
      <c r="AC338" s="2152"/>
      <c r="AD338" s="2152"/>
      <c r="AE338" s="2152"/>
      <c r="AF338" s="2152"/>
      <c r="AG338" s="7" t="s">
        <v>211</v>
      </c>
      <c r="AH338" s="7"/>
      <c r="AI338" s="2153"/>
      <c r="AJ338" s="2153"/>
      <c r="AK338" s="2153"/>
      <c r="AL338" s="39"/>
    </row>
    <row r="339" spans="1:66" ht="12.75">
      <c r="A339" s="39"/>
      <c r="B339" s="58" t="s">
        <v>94</v>
      </c>
      <c r="C339" s="240"/>
      <c r="D339" s="240"/>
      <c r="E339" s="240"/>
      <c r="F339" s="240"/>
      <c r="G339" s="240"/>
      <c r="H339" s="1967"/>
      <c r="I339" s="1967"/>
      <c r="J339" s="1967"/>
      <c r="K339" s="1967"/>
      <c r="L339" s="1967"/>
      <c r="M339" s="1967"/>
      <c r="N339" s="60"/>
      <c r="O339" s="60"/>
      <c r="P339" s="62"/>
      <c r="Q339" s="62"/>
      <c r="R339" s="62"/>
      <c r="S339" s="58"/>
      <c r="T339" s="58" t="s">
        <v>94</v>
      </c>
      <c r="V339" s="58"/>
      <c r="W339" s="58"/>
      <c r="X339" s="58"/>
      <c r="Y339" s="58"/>
      <c r="AA339" s="1967"/>
      <c r="AB339" s="1967"/>
      <c r="AC339" s="1967"/>
      <c r="AD339" s="1967"/>
      <c r="AE339" s="1967"/>
      <c r="AF339" s="1967"/>
      <c r="AG339" s="60"/>
      <c r="AH339" s="60"/>
      <c r="AI339" s="62"/>
      <c r="AJ339" s="62"/>
      <c r="AK339" s="62"/>
      <c r="AL339" s="39"/>
    </row>
    <row r="340" spans="1:66" ht="12.75">
      <c r="A340" s="39"/>
      <c r="B340" s="58" t="s">
        <v>80</v>
      </c>
      <c r="C340" s="237"/>
      <c r="D340" s="237"/>
      <c r="E340" s="237"/>
      <c r="F340" s="237"/>
      <c r="G340" s="237"/>
      <c r="H340" s="2001" t="s">
        <v>2567</v>
      </c>
      <c r="I340" s="2002"/>
      <c r="J340" s="2002"/>
      <c r="K340" s="2002"/>
      <c r="L340" s="2002"/>
      <c r="M340" s="2002"/>
      <c r="N340" s="1975"/>
      <c r="O340" s="1975"/>
      <c r="P340" s="1975"/>
      <c r="Q340" s="1975"/>
      <c r="R340" s="1975"/>
      <c r="S340" s="58"/>
      <c r="T340" s="58" t="s">
        <v>80</v>
      </c>
      <c r="V340" s="58"/>
      <c r="W340" s="58"/>
      <c r="X340" s="58"/>
      <c r="Y340" s="58"/>
      <c r="AA340" s="2001" t="s">
        <v>2571</v>
      </c>
      <c r="AB340" s="2002"/>
      <c r="AC340" s="2002"/>
      <c r="AD340" s="2002"/>
      <c r="AE340" s="2002"/>
      <c r="AF340" s="2002"/>
      <c r="AG340" s="1975"/>
      <c r="AH340" s="1975"/>
      <c r="AI340" s="1975"/>
      <c r="AJ340" s="1975"/>
      <c r="AK340" s="19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75" t="s">
        <v>625</v>
      </c>
      <c r="Q342" s="1975"/>
      <c r="R342" s="1975"/>
      <c r="S342" s="1975"/>
      <c r="T342" s="1975"/>
      <c r="U342" s="1975"/>
      <c r="V342" s="1975"/>
      <c r="W342" s="1975"/>
      <c r="X342" s="1975"/>
      <c r="Y342" s="1975"/>
      <c r="Z342" s="1975"/>
      <c r="AA342" s="1975"/>
      <c r="AB342" s="1975"/>
      <c r="AC342" s="1975"/>
      <c r="AD342" s="1975"/>
      <c r="AE342" s="1975"/>
      <c r="AF342" s="88"/>
      <c r="AG342" s="88"/>
      <c r="AH342" s="88"/>
      <c r="AI342" s="88"/>
      <c r="AJ342" s="88"/>
      <c r="AK342" s="88"/>
      <c r="AL342" s="39"/>
      <c r="BN342" s="12" t="s">
        <v>625</v>
      </c>
    </row>
    <row r="343" spans="1:66" ht="12.75">
      <c r="A343" s="3"/>
      <c r="B343" s="60"/>
      <c r="C343" s="60"/>
      <c r="D343" s="60"/>
      <c r="E343" s="60"/>
      <c r="F343" s="60"/>
      <c r="G343" s="3"/>
      <c r="H343" s="88"/>
      <c r="I343" s="7" t="s">
        <v>503</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705</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577</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5"/>
      <c r="I346" s="7" t="s">
        <v>93</v>
      </c>
      <c r="P346" s="1967"/>
      <c r="Q346" s="1967"/>
      <c r="R346" s="1967"/>
      <c r="S346" s="1967"/>
      <c r="T346" s="1967"/>
      <c r="U346" s="1967"/>
      <c r="V346" s="1967"/>
      <c r="W346" s="1967"/>
      <c r="X346" s="1967"/>
      <c r="Y346" s="1967"/>
      <c r="Z346" s="1967"/>
      <c r="AA346" s="7" t="s">
        <v>211</v>
      </c>
      <c r="AB346" s="7"/>
      <c r="AC346" s="1976"/>
      <c r="AD346" s="1976"/>
      <c r="AE346" s="1976"/>
      <c r="AF346" s="465"/>
      <c r="AG346" s="60"/>
      <c r="AH346" s="60"/>
      <c r="AI346" s="406"/>
      <c r="AJ346" s="406"/>
      <c r="AK346" s="406"/>
      <c r="AL346" s="39"/>
    </row>
    <row r="347" spans="1:66" ht="12.75" customHeight="1">
      <c r="A347" s="3"/>
      <c r="B347" s="60"/>
      <c r="C347" s="60"/>
      <c r="D347" s="60"/>
      <c r="E347" s="60"/>
      <c r="F347" s="60"/>
      <c r="G347" s="60"/>
      <c r="H347" s="465"/>
      <c r="I347" s="7" t="s">
        <v>94</v>
      </c>
      <c r="P347" s="1967"/>
      <c r="Q347" s="1967"/>
      <c r="R347" s="1967"/>
      <c r="S347" s="1967"/>
      <c r="T347" s="1967"/>
      <c r="U347" s="1967"/>
      <c r="V347" s="1967"/>
      <c r="W347" s="1967"/>
      <c r="X347" s="1967"/>
      <c r="Y347" s="1967"/>
      <c r="Z347" s="1967"/>
      <c r="AF347" s="465"/>
      <c r="AG347" s="60"/>
      <c r="AH347" s="60"/>
      <c r="AI347" s="62"/>
      <c r="AJ347" s="62"/>
      <c r="AK347" s="62"/>
      <c r="AL347" s="39"/>
    </row>
    <row r="348" spans="1:66" ht="12.75">
      <c r="A348" s="3"/>
      <c r="B348" s="60"/>
      <c r="C348" s="406"/>
      <c r="D348" s="406"/>
      <c r="E348" s="406"/>
      <c r="F348" s="406"/>
      <c r="G348" s="406"/>
      <c r="H348" s="88"/>
      <c r="I348" s="7" t="s">
        <v>80</v>
      </c>
      <c r="P348" s="1975"/>
      <c r="Q348" s="1975"/>
      <c r="R348" s="1975"/>
      <c r="S348" s="1975"/>
      <c r="T348" s="1975"/>
      <c r="U348" s="1975"/>
      <c r="V348" s="1975"/>
      <c r="W348" s="1975"/>
      <c r="X348" s="1975"/>
      <c r="Y348" s="1975"/>
      <c r="Z348" s="1975"/>
      <c r="AA348" s="1975"/>
      <c r="AB348" s="1975"/>
      <c r="AC348" s="1975"/>
      <c r="AD348" s="1975"/>
      <c r="AE348" s="19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2" t="s">
        <v>574</v>
      </c>
      <c r="B350" s="2052"/>
      <c r="C350" s="2052"/>
      <c r="D350" s="2052"/>
      <c r="E350" s="2052"/>
      <c r="F350" s="2052"/>
      <c r="G350" s="2052"/>
      <c r="H350" s="2052"/>
      <c r="I350" s="2052"/>
      <c r="J350" s="2052"/>
      <c r="K350" s="2052"/>
      <c r="L350" s="2052"/>
      <c r="M350" s="2052"/>
      <c r="N350" s="2052"/>
      <c r="O350" s="2052"/>
      <c r="P350" s="2052"/>
      <c r="Q350" s="2052"/>
      <c r="R350" s="2052"/>
      <c r="S350" s="2052"/>
      <c r="T350" s="2052"/>
      <c r="U350" s="2052"/>
      <c r="V350" s="2052"/>
      <c r="W350" s="2052"/>
      <c r="X350" s="2052"/>
      <c r="Y350" s="2052"/>
      <c r="Z350" s="2052"/>
      <c r="AA350" s="2052"/>
      <c r="AB350" s="2052"/>
      <c r="AC350" s="2052"/>
      <c r="AD350" s="2052"/>
      <c r="AE350" s="2052"/>
      <c r="AF350" s="2052"/>
      <c r="AG350" s="2052"/>
      <c r="AH350" s="2052"/>
      <c r="AI350" s="2052"/>
      <c r="AJ350" s="2052"/>
      <c r="AK350" s="2052"/>
      <c r="AL350" s="2052"/>
      <c r="AM350" s="144"/>
      <c r="AN350" s="144"/>
      <c r="AO350" s="144"/>
      <c r="AP350" s="144"/>
      <c r="AQ350" s="144"/>
      <c r="AR350" s="144"/>
      <c r="AS350" s="144"/>
      <c r="AT350" s="144"/>
      <c r="AU350" s="144"/>
      <c r="AV350" s="144"/>
      <c r="AW350" s="144"/>
      <c r="AX350" s="144"/>
      <c r="AY350" s="144"/>
    </row>
    <row r="351" spans="1:66" ht="13.5" thickBot="1">
      <c r="A351" s="2053"/>
      <c r="B351" s="2053"/>
      <c r="C351" s="2053"/>
      <c r="D351" s="2053"/>
      <c r="E351" s="2053"/>
      <c r="F351" s="2053"/>
      <c r="G351" s="2053"/>
      <c r="H351" s="2053"/>
      <c r="I351" s="2053"/>
      <c r="J351" s="2053"/>
      <c r="K351" s="2053"/>
      <c r="L351" s="2053"/>
      <c r="M351" s="2053"/>
      <c r="N351" s="2053"/>
      <c r="O351" s="2053"/>
      <c r="P351" s="2053"/>
      <c r="Q351" s="2053"/>
      <c r="R351" s="2053"/>
      <c r="S351" s="2053"/>
      <c r="T351" s="2053"/>
      <c r="U351" s="2053"/>
      <c r="V351" s="2053"/>
      <c r="W351" s="2053"/>
      <c r="X351" s="2053"/>
      <c r="Y351" s="2053"/>
      <c r="Z351" s="2053"/>
      <c r="AA351" s="2053"/>
      <c r="AB351" s="2053"/>
      <c r="AC351" s="2053"/>
      <c r="AD351" s="2053"/>
      <c r="AE351" s="2053"/>
      <c r="AF351" s="2053"/>
      <c r="AG351" s="2053"/>
      <c r="AH351" s="2053"/>
      <c r="AI351" s="2053"/>
      <c r="AJ351" s="2053"/>
      <c r="AK351" s="2053"/>
      <c r="AL351" s="205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9" t="s">
        <v>577</v>
      </c>
      <c r="N354" s="1999"/>
      <c r="P354" s="12" t="s">
        <v>1958</v>
      </c>
      <c r="AJ354" s="1999" t="s">
        <v>705</v>
      </c>
      <c r="AK354" s="1999"/>
    </row>
    <row r="355" spans="1:37" ht="12.75" customHeight="1">
      <c r="D355" s="58" t="s">
        <v>1947</v>
      </c>
      <c r="M355" s="1999" t="s">
        <v>625</v>
      </c>
      <c r="N355" s="1999"/>
      <c r="P355" s="58" t="s">
        <v>2149</v>
      </c>
      <c r="AJ355" s="2102"/>
      <c r="AK355" s="2102"/>
    </row>
    <row r="356" spans="1:37" ht="12.75" customHeight="1">
      <c r="D356" s="12" t="s">
        <v>744</v>
      </c>
      <c r="M356" s="1999" t="s">
        <v>625</v>
      </c>
      <c r="N356" s="1999"/>
      <c r="P356" s="717" t="s">
        <v>1957</v>
      </c>
      <c r="AJ356" s="1999" t="s">
        <v>705</v>
      </c>
      <c r="AK356" s="1999"/>
    </row>
    <row r="357" spans="1:37" ht="12.75" customHeight="1">
      <c r="D357" s="12" t="s">
        <v>745</v>
      </c>
      <c r="M357" s="1999" t="s">
        <v>625</v>
      </c>
      <c r="N357" s="199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9" t="s">
        <v>625</v>
      </c>
      <c r="O362" s="1999"/>
      <c r="P362" s="69"/>
      <c r="Q362" s="69"/>
      <c r="R362" s="69"/>
      <c r="S362" s="69"/>
      <c r="T362" s="69"/>
      <c r="U362" s="69"/>
      <c r="V362" s="69"/>
      <c r="W362" s="69"/>
      <c r="X362" s="69"/>
      <c r="Y362" s="70"/>
      <c r="Z362" s="70"/>
      <c r="AC362" s="69"/>
      <c r="AD362" s="69"/>
      <c r="AE362" s="69"/>
    </row>
    <row r="363" spans="1:37" ht="12.75" customHeight="1">
      <c r="E363" s="12" t="s">
        <v>380</v>
      </c>
      <c r="Y363" s="1999" t="s">
        <v>625</v>
      </c>
      <c r="Z363" s="1999"/>
    </row>
    <row r="364" spans="1:37" ht="12.75" customHeight="1">
      <c r="D364" s="7" t="s">
        <v>1058</v>
      </c>
      <c r="Q364" s="1975" t="s">
        <v>625</v>
      </c>
      <c r="R364" s="1975"/>
      <c r="S364" s="1975"/>
      <c r="T364" s="1975"/>
      <c r="U364" s="1975"/>
      <c r="V364" s="1975"/>
      <c r="W364" s="1975"/>
      <c r="X364" s="1975"/>
      <c r="Y364" s="1975"/>
      <c r="Z364" s="1975"/>
      <c r="AA364" s="1975"/>
      <c r="AB364" s="1975"/>
      <c r="AC364" s="1975"/>
      <c r="AD364" s="1975"/>
      <c r="AE364" s="1975"/>
      <c r="AF364" s="1975"/>
      <c r="AG364" s="19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9" t="s">
        <v>625</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33" t="s">
        <v>746</v>
      </c>
      <c r="F367" s="2333"/>
      <c r="G367" s="2333"/>
      <c r="H367" s="2333"/>
      <c r="I367" s="2333"/>
      <c r="J367" s="2333"/>
      <c r="K367" s="2333"/>
      <c r="L367" s="2333"/>
      <c r="M367" s="2333"/>
      <c r="N367" s="2333"/>
      <c r="O367" s="2333"/>
      <c r="P367" s="2333"/>
      <c r="Q367" s="2333"/>
      <c r="R367" s="2333"/>
      <c r="S367" s="2333"/>
      <c r="T367" s="2333"/>
      <c r="U367" s="2333"/>
      <c r="V367" s="2333"/>
      <c r="W367" s="2333"/>
      <c r="X367" s="2333"/>
      <c r="Y367" s="2333"/>
      <c r="Z367" s="2333"/>
      <c r="AA367" s="2333"/>
      <c r="AB367" s="2333"/>
      <c r="AC367" s="2333"/>
      <c r="AD367" s="2333"/>
      <c r="AE367" s="2333"/>
      <c r="AF367" s="2333"/>
      <c r="AG367" s="2333"/>
      <c r="AH367" s="2333"/>
    </row>
    <row r="368" spans="1:37" ht="12.75" customHeight="1">
      <c r="E368" s="2333"/>
      <c r="F368" s="2333"/>
      <c r="G368" s="2333"/>
      <c r="H368" s="2333"/>
      <c r="I368" s="2333"/>
      <c r="J368" s="2333"/>
      <c r="K368" s="2333"/>
      <c r="L368" s="2333"/>
      <c r="M368" s="2333"/>
      <c r="N368" s="2333"/>
      <c r="O368" s="2333"/>
      <c r="P368" s="2333"/>
      <c r="Q368" s="2333"/>
      <c r="R368" s="2333"/>
      <c r="S368" s="2333"/>
      <c r="T368" s="2333"/>
      <c r="U368" s="2333"/>
      <c r="V368" s="2333"/>
      <c r="W368" s="2333"/>
      <c r="X368" s="2333"/>
      <c r="Y368" s="2333"/>
      <c r="Z368" s="2333"/>
      <c r="AA368" s="2333"/>
      <c r="AB368" s="2333"/>
      <c r="AC368" s="2333"/>
      <c r="AD368" s="2333"/>
      <c r="AE368" s="2333"/>
      <c r="AF368" s="2333"/>
      <c r="AG368" s="2333"/>
      <c r="AH368" s="2333"/>
    </row>
    <row r="369" spans="1:36" ht="12.75" customHeight="1">
      <c r="E369" s="7" t="s">
        <v>478</v>
      </c>
      <c r="F369" s="7"/>
      <c r="G369" s="7"/>
      <c r="H369" s="7"/>
      <c r="I369" s="7"/>
      <c r="J369" s="7"/>
      <c r="K369" s="7"/>
      <c r="L369" s="7"/>
      <c r="N369" s="2016"/>
      <c r="O369" s="2016"/>
      <c r="P369" s="2016"/>
      <c r="Q369" s="2016"/>
      <c r="R369" s="7"/>
      <c r="U369" s="7" t="s">
        <v>479</v>
      </c>
      <c r="V369" s="7"/>
      <c r="W369" s="7"/>
      <c r="X369" s="7"/>
      <c r="Y369" s="7"/>
      <c r="Z369" s="7"/>
      <c r="AA369" s="7"/>
      <c r="AB369" s="7"/>
      <c r="AC369" s="2016"/>
      <c r="AD369" s="2016"/>
      <c r="AE369" s="2016"/>
      <c r="AF369" s="2016"/>
    </row>
    <row r="370" spans="1:36" ht="12.75" customHeight="1">
      <c r="E370" s="7" t="s">
        <v>480</v>
      </c>
      <c r="F370" s="7"/>
      <c r="G370" s="7"/>
      <c r="H370" s="7"/>
      <c r="I370" s="7"/>
      <c r="J370" s="7"/>
      <c r="K370" s="7"/>
      <c r="L370" s="7"/>
      <c r="N370" s="2016"/>
      <c r="O370" s="2016"/>
      <c r="P370" s="2016"/>
      <c r="Q370" s="2016"/>
      <c r="R370" s="7"/>
      <c r="U370" s="7" t="s">
        <v>0</v>
      </c>
      <c r="V370" s="7"/>
      <c r="W370" s="7"/>
      <c r="X370" s="7"/>
      <c r="Y370" s="7"/>
      <c r="Z370" s="7"/>
      <c r="AA370" s="7"/>
      <c r="AB370" s="7"/>
      <c r="AC370" s="2016"/>
      <c r="AD370" s="2016"/>
      <c r="AE370" s="2016"/>
      <c r="AF370" s="2016"/>
    </row>
    <row r="371" spans="1:36" ht="12.75" customHeight="1">
      <c r="E371" s="7" t="s">
        <v>1</v>
      </c>
      <c r="F371" s="7"/>
      <c r="G371" s="7"/>
      <c r="H371" s="7"/>
      <c r="I371" s="7"/>
      <c r="J371" s="7"/>
      <c r="K371" s="7"/>
      <c r="L371" s="7"/>
      <c r="N371" s="2016"/>
      <c r="O371" s="2016"/>
      <c r="P371" s="2016"/>
      <c r="Q371" s="2016"/>
      <c r="R371" s="7"/>
      <c r="V371" s="7"/>
      <c r="W371" s="7"/>
      <c r="X371" s="7"/>
      <c r="Y371" s="7"/>
      <c r="Z371" s="7"/>
      <c r="AA371" s="7"/>
      <c r="AB371" s="7"/>
    </row>
    <row r="372" spans="1:36" ht="12.75" customHeight="1">
      <c r="E372" s="7" t="s">
        <v>2</v>
      </c>
      <c r="F372" s="7"/>
      <c r="G372" s="7"/>
      <c r="H372" s="7"/>
      <c r="I372" s="7"/>
      <c r="J372" s="7"/>
      <c r="K372" s="7"/>
      <c r="L372" s="7"/>
      <c r="N372" s="2033"/>
      <c r="O372" s="2033"/>
      <c r="P372" s="2033"/>
      <c r="Q372" s="2033"/>
      <c r="R372" s="2033"/>
      <c r="S372" s="2033"/>
      <c r="T372" s="2033"/>
      <c r="U372" s="2033"/>
      <c r="V372" s="2033"/>
      <c r="W372" s="2033"/>
      <c r="X372" s="2033"/>
      <c r="Y372" s="2033"/>
      <c r="Z372" s="2033"/>
      <c r="AA372" s="2033"/>
      <c r="AB372" s="2033"/>
      <c r="AC372" s="2033"/>
      <c r="AD372" s="2033"/>
      <c r="AE372" s="2033"/>
      <c r="AF372" s="2033"/>
    </row>
    <row r="373" spans="1:36" ht="12.75" customHeight="1">
      <c r="E373" s="7"/>
      <c r="F373" s="7"/>
      <c r="G373" s="7"/>
      <c r="H373" s="7"/>
      <c r="I373" s="7"/>
      <c r="J373" s="7"/>
      <c r="K373" s="7"/>
      <c r="L373" s="7"/>
      <c r="N373" s="2034"/>
      <c r="O373" s="2034"/>
      <c r="P373" s="2034"/>
      <c r="Q373" s="2034"/>
      <c r="R373" s="2034"/>
      <c r="S373" s="2034"/>
      <c r="T373" s="2034"/>
      <c r="U373" s="2034"/>
      <c r="V373" s="2034"/>
      <c r="W373" s="2034"/>
      <c r="X373" s="2034"/>
      <c r="Y373" s="2034"/>
      <c r="Z373" s="2034"/>
      <c r="AA373" s="2034"/>
      <c r="AB373" s="2034"/>
      <c r="AC373" s="2034"/>
      <c r="AD373" s="2034"/>
      <c r="AE373" s="2034"/>
      <c r="AF373" s="2034"/>
    </row>
    <row r="374" spans="1:36" ht="12.75" customHeight="1">
      <c r="C374" s="911"/>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54"/>
      <c r="T376" s="2054"/>
      <c r="U376" s="4" t="s">
        <v>314</v>
      </c>
      <c r="V376" s="2054"/>
      <c r="W376" s="2054"/>
      <c r="Y376" s="25" t="s">
        <v>312</v>
      </c>
      <c r="AA376" s="25"/>
      <c r="AB376" s="25" t="s">
        <v>313</v>
      </c>
      <c r="AD376" s="2054"/>
      <c r="AE376" s="2054"/>
      <c r="AF376" s="4" t="s">
        <v>314</v>
      </c>
      <c r="AG376" s="2054"/>
      <c r="AH376" s="2054"/>
    </row>
    <row r="377" spans="1:36" ht="12.75" customHeight="1">
      <c r="E377" s="7" t="s">
        <v>1086</v>
      </c>
      <c r="F377" s="7"/>
      <c r="G377" s="7"/>
      <c r="H377" s="7"/>
      <c r="I377" s="7"/>
      <c r="J377" s="7"/>
      <c r="K377" s="7"/>
      <c r="L377" s="7"/>
      <c r="N377" s="2054"/>
      <c r="O377" s="2054"/>
      <c r="P377" s="2054"/>
    </row>
    <row r="378" spans="1:36" ht="12.75" customHeight="1">
      <c r="E378" s="382" t="s">
        <v>1087</v>
      </c>
      <c r="F378" s="7"/>
      <c r="G378" s="7"/>
      <c r="H378" s="7"/>
      <c r="I378" s="7"/>
      <c r="J378" s="7"/>
      <c r="K378" s="7"/>
      <c r="L378" s="7"/>
      <c r="AG378" s="2195" t="s">
        <v>625</v>
      </c>
      <c r="AH378" s="2195"/>
    </row>
    <row r="379" spans="1:36" ht="12.75" customHeight="1">
      <c r="E379" s="7"/>
      <c r="F379" s="7"/>
      <c r="G379" s="7" t="s">
        <v>1108</v>
      </c>
      <c r="H379" s="7"/>
      <c r="I379" s="7"/>
      <c r="J379" s="7"/>
      <c r="K379" s="7"/>
      <c r="L379" s="7"/>
      <c r="AG379" s="2195" t="s">
        <v>625</v>
      </c>
      <c r="AH379" s="2195"/>
    </row>
    <row r="380" spans="1:36" ht="12.75" customHeight="1">
      <c r="E380" s="7"/>
      <c r="F380" s="7"/>
      <c r="G380" s="507" t="s">
        <v>1088</v>
      </c>
      <c r="H380" s="7"/>
      <c r="I380" s="7"/>
      <c r="J380" s="7"/>
      <c r="K380" s="7"/>
      <c r="L380" s="7"/>
      <c r="V380" s="1999" t="s">
        <v>625</v>
      </c>
      <c r="W380" s="1999"/>
      <c r="Y380" s="35" t="s">
        <v>1060</v>
      </c>
    </row>
    <row r="381" spans="1:36" ht="12.75" customHeight="1">
      <c r="E381" s="7" t="s">
        <v>1061</v>
      </c>
      <c r="F381" s="7"/>
      <c r="G381" s="7"/>
      <c r="H381" s="7"/>
      <c r="I381" s="7"/>
      <c r="J381" s="7"/>
      <c r="K381" s="7"/>
      <c r="L381" s="7"/>
      <c r="V381" s="1999" t="s">
        <v>625</v>
      </c>
      <c r="W381" s="1999"/>
      <c r="Y381" s="7" t="s">
        <v>1062</v>
      </c>
    </row>
    <row r="382" spans="1:36" ht="12.75" customHeight="1"/>
    <row r="383" spans="1:36" ht="12.75" customHeight="1">
      <c r="A383" s="50" t="s">
        <v>82</v>
      </c>
      <c r="B383" s="50"/>
    </row>
    <row r="384" spans="1:36" ht="12.75" customHeight="1">
      <c r="D384" s="12" t="s">
        <v>448</v>
      </c>
      <c r="J384" s="1974" t="s">
        <v>2572</v>
      </c>
      <c r="K384" s="1975"/>
      <c r="L384" s="1975"/>
      <c r="M384" s="1975"/>
      <c r="N384" s="1975"/>
      <c r="O384" s="1975"/>
      <c r="P384" s="1975"/>
      <c r="Q384" s="1975"/>
      <c r="R384" s="1975"/>
      <c r="S384" s="1975"/>
      <c r="T384" s="1975"/>
      <c r="U384" s="1975"/>
      <c r="V384" s="14" t="s">
        <v>88</v>
      </c>
      <c r="W384" s="14"/>
      <c r="X384" s="14"/>
      <c r="Y384" s="14"/>
      <c r="Z384" s="14"/>
      <c r="AA384" s="14"/>
      <c r="AB384" s="14"/>
      <c r="AC384" s="1975"/>
      <c r="AD384" s="1975"/>
      <c r="AE384" s="1975"/>
      <c r="AF384" s="1975"/>
      <c r="AG384" s="1975"/>
      <c r="AH384" s="1975"/>
      <c r="AI384" s="1975"/>
      <c r="AJ384" s="1975"/>
    </row>
    <row r="385" spans="1:96" ht="12.75" customHeight="1">
      <c r="A385" s="717"/>
      <c r="B385" s="717"/>
      <c r="C385" s="717"/>
      <c r="D385" s="58" t="s">
        <v>1378</v>
      </c>
      <c r="E385" s="717"/>
      <c r="F385" s="717"/>
      <c r="G385" s="717"/>
      <c r="H385" s="717"/>
      <c r="I385" s="717"/>
      <c r="J385" s="2001" t="s">
        <v>2573</v>
      </c>
      <c r="K385" s="2002"/>
      <c r="L385" s="2002"/>
      <c r="M385" s="2002"/>
      <c r="N385" s="2002"/>
      <c r="O385" s="2002"/>
      <c r="P385" s="2002"/>
      <c r="Q385" s="2002"/>
      <c r="R385" s="2002"/>
      <c r="S385" s="2002"/>
      <c r="T385" s="2002"/>
      <c r="U385" s="2002"/>
      <c r="V385" s="58" t="s">
        <v>1378</v>
      </c>
      <c r="W385" s="14"/>
      <c r="X385" s="14"/>
      <c r="Y385" s="14"/>
      <c r="Z385" s="14"/>
      <c r="AA385" s="14"/>
      <c r="AB385" s="14"/>
      <c r="AC385" s="1974" t="s">
        <v>2575</v>
      </c>
      <c r="AD385" s="1975"/>
      <c r="AE385" s="1975"/>
      <c r="AF385" s="1975"/>
      <c r="AG385" s="1975"/>
      <c r="AH385" s="1975"/>
      <c r="AI385" s="1975"/>
      <c r="AJ385" s="1975"/>
      <c r="AK385" s="717"/>
      <c r="AL385" s="717"/>
    </row>
    <row r="386" spans="1:96" ht="12.75" customHeight="1">
      <c r="A386" s="717"/>
      <c r="B386" s="717"/>
      <c r="C386" s="717"/>
      <c r="D386" s="58" t="s">
        <v>463</v>
      </c>
      <c r="E386" s="717"/>
      <c r="F386" s="717"/>
      <c r="G386" s="717"/>
      <c r="H386" s="717"/>
      <c r="I386" s="717"/>
      <c r="J386" s="2001" t="s">
        <v>2574</v>
      </c>
      <c r="K386" s="2002"/>
      <c r="L386" s="2002"/>
      <c r="M386" s="2002"/>
      <c r="N386" s="2002"/>
      <c r="O386" s="2002"/>
      <c r="P386" s="2002"/>
      <c r="Q386" s="2002"/>
      <c r="R386" s="2002"/>
      <c r="S386" s="2002"/>
      <c r="T386" s="2002"/>
      <c r="U386" s="2002"/>
      <c r="V386" s="58" t="s">
        <v>463</v>
      </c>
      <c r="W386" s="14"/>
      <c r="X386" s="14"/>
      <c r="Y386" s="14"/>
      <c r="Z386" s="14"/>
      <c r="AA386" s="14"/>
      <c r="AB386" s="14"/>
      <c r="AC386" s="1974" t="s">
        <v>2576</v>
      </c>
      <c r="AD386" s="1975"/>
      <c r="AE386" s="1975"/>
      <c r="AF386" s="1975"/>
      <c r="AG386" s="1975"/>
      <c r="AH386" s="1975"/>
      <c r="AI386" s="1975"/>
      <c r="AJ386" s="1975"/>
      <c r="AK386" s="717"/>
      <c r="AL386" s="717"/>
    </row>
    <row r="387" spans="1:96" ht="12.75" customHeight="1">
      <c r="A387" s="717"/>
      <c r="B387" s="717"/>
      <c r="C387" s="717"/>
      <c r="D387" s="479" t="s">
        <v>1374</v>
      </c>
      <c r="E387" s="717"/>
      <c r="F387" s="717"/>
      <c r="G387" s="717"/>
      <c r="H387" s="717"/>
      <c r="I387" s="88"/>
      <c r="J387" s="2030" t="s">
        <v>2577</v>
      </c>
      <c r="K387" s="2013"/>
      <c r="L387" s="2013"/>
      <c r="M387" s="2013"/>
      <c r="N387" s="2013"/>
      <c r="O387" s="2013"/>
      <c r="P387" s="2013"/>
      <c r="Q387" s="2013"/>
      <c r="R387" s="2013"/>
      <c r="S387" s="2013"/>
      <c r="T387" s="2013"/>
      <c r="U387" s="2013"/>
      <c r="V387" s="1974" t="s">
        <v>2578</v>
      </c>
      <c r="W387" s="1975"/>
      <c r="X387" s="1975"/>
      <c r="Y387" s="1975"/>
      <c r="Z387" s="1975"/>
      <c r="AA387" s="1975"/>
      <c r="AB387" s="1975"/>
      <c r="AC387" s="1975"/>
      <c r="AD387" s="1975"/>
      <c r="AE387" s="1975"/>
      <c r="AF387" s="1975"/>
      <c r="AG387" s="1975"/>
      <c r="AH387" s="1975"/>
      <c r="AI387" s="1975"/>
      <c r="AJ387" s="1975"/>
      <c r="AK387" s="717"/>
      <c r="AL387" s="717"/>
    </row>
    <row r="388" spans="1:96" ht="12.75" customHeight="1">
      <c r="D388" s="12" t="s">
        <v>4</v>
      </c>
      <c r="Q388" s="2338">
        <v>43944</v>
      </c>
      <c r="R388" s="2338"/>
      <c r="S388" s="2338"/>
      <c r="T388" s="2338"/>
      <c r="U388" s="2338"/>
      <c r="V388" s="12" t="s">
        <v>317</v>
      </c>
      <c r="AI388" s="1999" t="s">
        <v>705</v>
      </c>
      <c r="AJ388" s="1999"/>
    </row>
    <row r="389" spans="1:96" ht="12.75" customHeight="1">
      <c r="D389" s="12" t="s">
        <v>5</v>
      </c>
      <c r="Q389" s="2272">
        <v>45129</v>
      </c>
      <c r="R389" s="2332"/>
      <c r="S389" s="2332"/>
      <c r="T389" s="2332"/>
      <c r="U389" s="2332"/>
      <c r="W389" s="33" t="s">
        <v>78</v>
      </c>
      <c r="AG389" s="2031"/>
      <c r="AH389" s="2031"/>
      <c r="AI389" s="2031"/>
      <c r="AJ389" s="2031"/>
    </row>
    <row r="390" spans="1:96" ht="12.75" customHeight="1">
      <c r="D390" s="12" t="s">
        <v>447</v>
      </c>
      <c r="Q390" s="2339">
        <v>1175000</v>
      </c>
      <c r="R390" s="2339"/>
      <c r="S390" s="2339"/>
      <c r="T390" s="2339"/>
      <c r="U390" s="2339"/>
      <c r="V390" s="58" t="s">
        <v>1377</v>
      </c>
      <c r="AG390" s="2032">
        <v>44896</v>
      </c>
      <c r="AH390" s="2032"/>
      <c r="AI390" s="2032"/>
      <c r="AJ390" s="2032"/>
    </row>
    <row r="391" spans="1:96" ht="12.75" customHeight="1">
      <c r="D391" s="12" t="s">
        <v>93</v>
      </c>
      <c r="I391" s="2152"/>
      <c r="J391" s="2152"/>
      <c r="K391" s="2152"/>
      <c r="L391" s="2152"/>
      <c r="M391" s="2152"/>
      <c r="N391" s="2152"/>
      <c r="Q391" s="57" t="s">
        <v>211</v>
      </c>
      <c r="S391" s="2141"/>
      <c r="T391" s="2141"/>
      <c r="U391" s="2141"/>
      <c r="V391" s="12" t="s">
        <v>77</v>
      </c>
      <c r="AI391" s="1999" t="s">
        <v>705</v>
      </c>
      <c r="AJ391" s="1999"/>
    </row>
    <row r="392" spans="1:96" ht="12.75" customHeight="1">
      <c r="D392" s="12" t="s">
        <v>318</v>
      </c>
      <c r="Q392" s="2017"/>
      <c r="R392" s="2017"/>
      <c r="S392" s="2017"/>
      <c r="T392" s="2017"/>
      <c r="U392" s="2017"/>
      <c r="V392" s="12" t="s">
        <v>319</v>
      </c>
      <c r="AG392" s="2031"/>
      <c r="AH392" s="2031"/>
      <c r="AI392" s="2031"/>
      <c r="AJ392" s="2031"/>
    </row>
    <row r="393" spans="1:96" ht="12.75" customHeight="1">
      <c r="D393" s="12" t="s">
        <v>320</v>
      </c>
      <c r="Q393" s="2165">
        <v>1.06E-2</v>
      </c>
      <c r="R393" s="2165"/>
      <c r="S393" s="2165"/>
      <c r="T393" s="2165"/>
      <c r="U393" s="2165"/>
      <c r="V393" s="717" t="s">
        <v>1354</v>
      </c>
      <c r="AG393" s="2031"/>
      <c r="AH393" s="2031"/>
      <c r="AI393" s="2031"/>
      <c r="AJ393" s="2031"/>
    </row>
    <row r="394" spans="1:96" ht="12.75">
      <c r="D394" s="717" t="s">
        <v>1353</v>
      </c>
      <c r="V394" s="717"/>
      <c r="AG394" s="2031"/>
      <c r="AH394" s="2031"/>
      <c r="AI394" s="2031"/>
      <c r="AJ394" s="203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1976</v>
      </c>
      <c r="AG396" s="746"/>
      <c r="AH396" s="746"/>
      <c r="AI396" s="1999" t="s">
        <v>705</v>
      </c>
      <c r="AJ396" s="1999"/>
      <c r="AM396" s="39"/>
      <c r="AN396" s="39"/>
      <c r="AO396" s="39"/>
      <c r="AP396" s="39"/>
      <c r="AQ396" s="39"/>
      <c r="AR396" s="39"/>
      <c r="AS396" s="39"/>
      <c r="AT396" s="39"/>
      <c r="AU396" s="39"/>
      <c r="AV396" s="39"/>
      <c r="AW396" s="39"/>
      <c r="AX396" s="39"/>
      <c r="AY396" s="39"/>
      <c r="CR396" s="25"/>
    </row>
    <row r="397" spans="1:96" s="717" customFormat="1" ht="12.75">
      <c r="D397" s="58" t="s">
        <v>1978</v>
      </c>
      <c r="T397" s="2072"/>
      <c r="U397" s="2072"/>
      <c r="V397" s="2072"/>
      <c r="W397" s="2072"/>
      <c r="X397" s="2072"/>
      <c r="Y397" s="2072"/>
      <c r="Z397" s="2072"/>
      <c r="AA397" s="2072"/>
      <c r="AB397" s="2072"/>
      <c r="AC397" s="2072"/>
      <c r="AD397" s="2072"/>
      <c r="AE397" s="2072"/>
      <c r="AF397" s="2072"/>
      <c r="AG397" s="2072"/>
      <c r="AH397" s="2072"/>
      <c r="AI397" s="2072"/>
      <c r="AJ397" s="2072"/>
      <c r="AM397" s="39"/>
      <c r="AN397" s="39"/>
      <c r="AO397" s="39"/>
      <c r="AP397" s="39"/>
      <c r="AQ397" s="39"/>
      <c r="AR397" s="39"/>
      <c r="AS397" s="39"/>
      <c r="AT397" s="39"/>
      <c r="AU397" s="39"/>
      <c r="AV397" s="39"/>
      <c r="AW397" s="39"/>
      <c r="AX397" s="39"/>
      <c r="AY397" s="39"/>
      <c r="CR397" s="25"/>
    </row>
    <row r="398" spans="1:96" s="717" customFormat="1" ht="12.75">
      <c r="D398" s="58" t="s">
        <v>1977</v>
      </c>
      <c r="T398" s="2072"/>
      <c r="U398" s="2072"/>
      <c r="V398" s="2072"/>
      <c r="W398" s="2072"/>
      <c r="X398" s="2072"/>
      <c r="Y398" s="2072"/>
      <c r="Z398" s="2072"/>
      <c r="AA398" s="2072"/>
      <c r="AB398" s="2072"/>
      <c r="AC398" s="2072"/>
      <c r="AD398" s="2072"/>
      <c r="AE398" s="2072"/>
      <c r="AF398" s="2072"/>
      <c r="AG398" s="2072"/>
      <c r="AH398" s="2072"/>
      <c r="AI398" s="2072"/>
      <c r="AJ398" s="207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1970</v>
      </c>
      <c r="E400" s="717"/>
      <c r="F400" s="717"/>
      <c r="G400" s="717"/>
      <c r="H400" s="717"/>
      <c r="I400" s="717"/>
      <c r="J400" s="717"/>
      <c r="K400" s="717"/>
      <c r="L400" s="717"/>
      <c r="M400" s="717"/>
      <c r="N400" s="717"/>
      <c r="O400" s="717"/>
      <c r="P400" s="717"/>
      <c r="Q400" s="717"/>
      <c r="R400" s="717"/>
      <c r="S400" s="2072" t="s">
        <v>705</v>
      </c>
      <c r="T400" s="2072"/>
      <c r="U400" s="2072"/>
      <c r="V400" s="479" t="s">
        <v>1971</v>
      </c>
      <c r="W400" s="717"/>
      <c r="X400" s="717"/>
      <c r="Y400" s="717"/>
      <c r="Z400" s="717"/>
      <c r="AA400" s="717"/>
      <c r="AB400" s="39"/>
      <c r="AC400" s="39"/>
      <c r="AD400" s="39"/>
      <c r="AE400" s="39"/>
      <c r="AF400" s="39"/>
      <c r="AG400" s="2140"/>
      <c r="AH400" s="2140"/>
      <c r="AI400" s="2140"/>
      <c r="AJ400" s="2140"/>
      <c r="AK400" s="39"/>
      <c r="AL400" s="717"/>
    </row>
    <row r="401" spans="1:96" s="717" customFormat="1" ht="12.75">
      <c r="D401" s="58" t="s">
        <v>1967</v>
      </c>
      <c r="S401" s="2072" t="s">
        <v>625</v>
      </c>
      <c r="T401" s="2072"/>
      <c r="U401" s="2072"/>
      <c r="V401" s="479" t="s">
        <v>1973</v>
      </c>
      <c r="AB401" s="39"/>
      <c r="AC401" s="39"/>
      <c r="AD401" s="39"/>
      <c r="AE401" s="2116"/>
      <c r="AF401" s="2116"/>
      <c r="AG401" s="2116"/>
      <c r="AH401" s="2116"/>
      <c r="AI401" s="2116"/>
      <c r="AJ401" s="2116"/>
      <c r="AK401" s="39"/>
      <c r="AM401" s="39"/>
      <c r="AN401" s="39"/>
      <c r="AO401" s="39"/>
      <c r="AP401" s="39"/>
      <c r="AQ401" s="39"/>
      <c r="AR401" s="39"/>
      <c r="AS401" s="39"/>
      <c r="AT401" s="39"/>
      <c r="AU401" s="39"/>
      <c r="AV401" s="39"/>
      <c r="AW401" s="39"/>
      <c r="AX401" s="39"/>
      <c r="AY401" s="39"/>
      <c r="CR401" s="25"/>
    </row>
    <row r="402" spans="1:96" s="717" customFormat="1" ht="12.75">
      <c r="D402" s="58" t="s">
        <v>1969</v>
      </c>
      <c r="K402" s="2058"/>
      <c r="L402" s="2058"/>
      <c r="M402" s="2058"/>
      <c r="N402" s="2058"/>
      <c r="O402" s="2058"/>
      <c r="P402" s="2058"/>
      <c r="Q402" s="2058"/>
      <c r="R402" s="2058"/>
      <c r="S402" s="2058"/>
      <c r="T402" s="2058"/>
      <c r="U402" s="2058"/>
      <c r="V402" s="2058"/>
      <c r="W402" s="2058"/>
      <c r="X402" s="2058"/>
      <c r="Y402" s="2058"/>
      <c r="Z402" s="2058"/>
      <c r="AA402" s="2058"/>
      <c r="AB402" s="2058"/>
      <c r="AC402" s="2058"/>
      <c r="AD402" s="2058"/>
      <c r="AE402" s="2058"/>
      <c r="AF402" s="2058"/>
      <c r="AG402" s="2058"/>
      <c r="AH402" s="2058"/>
      <c r="AI402" s="2058"/>
      <c r="AJ402" s="2058"/>
      <c r="AK402" s="39"/>
      <c r="AM402" s="39"/>
      <c r="AN402" s="39"/>
      <c r="AO402" s="39"/>
      <c r="AP402" s="39"/>
      <c r="AQ402" s="39"/>
      <c r="AR402" s="39"/>
      <c r="AS402" s="39"/>
      <c r="AT402" s="39"/>
      <c r="AU402" s="39"/>
      <c r="AV402" s="39"/>
      <c r="AW402" s="39"/>
      <c r="AX402" s="39"/>
      <c r="AY402" s="39"/>
      <c r="CR402" s="25"/>
    </row>
    <row r="403" spans="1:96" s="717" customFormat="1" ht="12.75">
      <c r="D403" s="58" t="s">
        <v>1972</v>
      </c>
      <c r="K403" s="2058"/>
      <c r="L403" s="2058"/>
      <c r="M403" s="2058"/>
      <c r="N403" s="2058"/>
      <c r="O403" s="2058"/>
      <c r="P403" s="2058"/>
      <c r="Q403" s="2058"/>
      <c r="R403" s="2058"/>
      <c r="S403" s="2058"/>
      <c r="T403" s="2058"/>
      <c r="U403" s="2058"/>
      <c r="V403" s="2058"/>
      <c r="W403" s="2058"/>
      <c r="X403" s="2058"/>
      <c r="Y403" s="2058"/>
      <c r="Z403" s="2058"/>
      <c r="AA403" s="2058"/>
      <c r="AB403" s="2058"/>
      <c r="AC403" s="2058"/>
      <c r="AD403" s="2058"/>
      <c r="AE403" s="2058"/>
      <c r="AF403" s="2058"/>
      <c r="AG403" s="2058"/>
      <c r="AH403" s="2058"/>
      <c r="AI403" s="2058"/>
      <c r="AJ403" s="2058"/>
      <c r="AK403" s="39"/>
      <c r="AM403" s="39"/>
      <c r="AN403" s="39"/>
      <c r="AO403" s="39"/>
      <c r="AP403" s="39"/>
      <c r="AQ403" s="39"/>
      <c r="AR403" s="39"/>
      <c r="AS403" s="39"/>
      <c r="AT403" s="39"/>
      <c r="AU403" s="39"/>
      <c r="AV403" s="39"/>
      <c r="AW403" s="39"/>
      <c r="AX403" s="39"/>
      <c r="AY403" s="39"/>
      <c r="CR403" s="25"/>
    </row>
    <row r="404" spans="1:96" s="717" customFormat="1" ht="12.75" customHeight="1">
      <c r="D404" s="181" t="s">
        <v>1975</v>
      </c>
      <c r="E404" s="1469"/>
      <c r="F404" s="1469"/>
      <c r="G404" s="1469"/>
      <c r="H404" s="1469"/>
      <c r="I404" s="1469"/>
      <c r="J404" s="1469"/>
      <c r="K404" s="1469"/>
      <c r="L404" s="1469"/>
      <c r="M404" s="1469"/>
      <c r="N404" s="1469"/>
      <c r="O404" s="1469"/>
      <c r="P404" s="1469"/>
      <c r="Q404" s="1469"/>
      <c r="R404" s="1469"/>
      <c r="S404" s="2118" t="s">
        <v>1380</v>
      </c>
      <c r="T404" s="2118"/>
      <c r="U404" s="2118"/>
      <c r="V404" s="2118"/>
      <c r="W404" s="2118"/>
      <c r="X404" s="2118"/>
      <c r="Y404" s="2118"/>
      <c r="Z404" s="2118"/>
      <c r="AA404" s="2118"/>
      <c r="AB404" s="2118"/>
      <c r="AC404" s="2118"/>
      <c r="AD404" s="2118"/>
      <c r="AE404" s="2118"/>
      <c r="AF404" s="2118"/>
      <c r="AG404" s="2118"/>
      <c r="AH404" s="2118"/>
      <c r="AI404" s="2118"/>
      <c r="AJ404" s="2118"/>
      <c r="AK404" s="39"/>
      <c r="AL404" s="39"/>
      <c r="AM404" s="39"/>
      <c r="AN404" s="39"/>
      <c r="AO404" s="39"/>
      <c r="AP404" s="39"/>
      <c r="AQ404" s="39"/>
      <c r="AR404" s="39"/>
      <c r="AS404" s="39"/>
      <c r="AT404" s="39"/>
      <c r="AU404" s="39"/>
      <c r="AV404" s="39"/>
      <c r="AW404" s="39"/>
      <c r="AX404" s="39"/>
      <c r="AY404" s="39"/>
      <c r="CR404" s="25"/>
    </row>
    <row r="405" spans="1:96" s="717" customFormat="1" ht="12.75">
      <c r="D405" s="2117" t="s">
        <v>1974</v>
      </c>
      <c r="E405" s="2117"/>
      <c r="F405" s="2117"/>
      <c r="G405" s="2117"/>
      <c r="H405" s="2117"/>
      <c r="I405" s="2117"/>
      <c r="J405" s="2117"/>
      <c r="K405" s="2117"/>
      <c r="L405" s="2117"/>
      <c r="M405" s="2117"/>
      <c r="N405" s="2117"/>
      <c r="O405" s="2117"/>
      <c r="P405" s="2117"/>
      <c r="Q405" s="2117"/>
      <c r="R405" s="2117"/>
      <c r="S405" s="2117"/>
      <c r="T405" s="2117"/>
      <c r="U405" s="2117"/>
      <c r="V405" s="2117"/>
      <c r="W405" s="2117"/>
      <c r="X405" s="2117"/>
      <c r="Y405" s="2117"/>
      <c r="Z405" s="2117"/>
      <c r="AA405" s="2117"/>
      <c r="AB405" s="2117"/>
      <c r="AC405" s="2117"/>
      <c r="AD405" s="2117"/>
      <c r="AE405" s="2117"/>
      <c r="AF405" s="2117"/>
      <c r="AG405" s="2117"/>
      <c r="AH405" s="2117"/>
      <c r="AI405" s="2117"/>
      <c r="AJ405" s="2117"/>
      <c r="AK405" s="39"/>
      <c r="AL405" s="39"/>
      <c r="AM405" s="39"/>
      <c r="AN405" s="39"/>
      <c r="AO405" s="39"/>
      <c r="AP405" s="39"/>
      <c r="AQ405" s="39"/>
      <c r="AR405" s="39"/>
      <c r="AS405" s="39"/>
      <c r="AT405" s="39"/>
      <c r="AU405" s="39"/>
      <c r="AV405" s="39"/>
      <c r="AW405" s="39"/>
      <c r="AX405" s="39"/>
      <c r="AY405" s="39"/>
      <c r="CR405" s="25"/>
    </row>
    <row r="406" spans="1:96" s="717" customFormat="1" ht="12.75">
      <c r="D406" s="2117"/>
      <c r="E406" s="2117"/>
      <c r="F406" s="2117"/>
      <c r="G406" s="2117"/>
      <c r="H406" s="2117"/>
      <c r="I406" s="2117"/>
      <c r="J406" s="2117"/>
      <c r="K406" s="2117"/>
      <c r="L406" s="2117"/>
      <c r="M406" s="2117"/>
      <c r="N406" s="2117"/>
      <c r="O406" s="2117"/>
      <c r="P406" s="2117"/>
      <c r="Q406" s="2117"/>
      <c r="R406" s="2117"/>
      <c r="S406" s="2117"/>
      <c r="T406" s="2117"/>
      <c r="U406" s="2117"/>
      <c r="V406" s="2117"/>
      <c r="W406" s="2117"/>
      <c r="X406" s="2117"/>
      <c r="Y406" s="2117"/>
      <c r="Z406" s="2117"/>
      <c r="AA406" s="2117"/>
      <c r="AB406" s="2117"/>
      <c r="AC406" s="2117"/>
      <c r="AD406" s="2117"/>
      <c r="AE406" s="2117"/>
      <c r="AF406" s="2117"/>
      <c r="AG406" s="2117"/>
      <c r="AH406" s="2117"/>
      <c r="AI406" s="2117"/>
      <c r="AJ406" s="2117"/>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74" t="s">
        <v>2579</v>
      </c>
      <c r="J409" s="1974"/>
      <c r="K409" s="1974"/>
      <c r="L409" s="1974"/>
      <c r="M409" s="1974"/>
      <c r="N409" s="1974"/>
      <c r="O409" s="1974"/>
      <c r="P409" s="1974"/>
      <c r="Q409" s="1974"/>
      <c r="R409" s="1974"/>
      <c r="S409" s="1974"/>
      <c r="T409" s="1974"/>
      <c r="U409" s="1974"/>
      <c r="V409" s="1974"/>
      <c r="W409" s="1974"/>
      <c r="X409" s="1974"/>
      <c r="Y409" s="1974"/>
      <c r="Z409" s="1974"/>
      <c r="AA409" s="1974"/>
      <c r="AB409" s="1974"/>
      <c r="AC409" s="1974"/>
      <c r="AD409" s="1974"/>
      <c r="AE409" s="1974"/>
    </row>
    <row r="410" spans="1:96" ht="12.75" customHeight="1">
      <c r="C410" s="25"/>
      <c r="D410" s="25"/>
      <c r="E410" s="12" t="s">
        <v>111</v>
      </c>
      <c r="F410" s="25"/>
      <c r="G410" s="25"/>
      <c r="H410" s="25"/>
      <c r="I410" s="25"/>
      <c r="J410" s="25"/>
      <c r="K410" s="25"/>
      <c r="L410" s="25"/>
      <c r="M410" s="25"/>
      <c r="N410" s="25"/>
      <c r="O410" s="25"/>
      <c r="P410" s="717"/>
      <c r="Q410" s="717"/>
      <c r="R410" s="1999" t="s">
        <v>625</v>
      </c>
      <c r="S410" s="1999"/>
      <c r="T410" s="12" t="s">
        <v>603</v>
      </c>
      <c r="U410" s="717"/>
      <c r="V410" s="717"/>
      <c r="W410" s="717"/>
      <c r="X410" s="717"/>
      <c r="Y410" s="717"/>
      <c r="Z410" s="717"/>
      <c r="AA410" s="717"/>
      <c r="AB410" s="717"/>
      <c r="AC410" s="717"/>
      <c r="AD410" s="2016">
        <v>0</v>
      </c>
      <c r="AE410" s="2016"/>
      <c r="AF410" s="717"/>
    </row>
    <row r="411" spans="1:96" ht="12.75">
      <c r="C411" s="25"/>
      <c r="E411" s="12" t="s">
        <v>112</v>
      </c>
      <c r="F411" s="717"/>
      <c r="G411" s="717"/>
      <c r="H411" s="717"/>
      <c r="I411" s="717"/>
      <c r="J411" s="717"/>
      <c r="K411" s="717"/>
      <c r="L411" s="717"/>
      <c r="M411" s="717"/>
      <c r="N411" s="25"/>
      <c r="O411" s="25"/>
      <c r="P411" s="717"/>
      <c r="Q411" s="717"/>
      <c r="R411" s="1999" t="s">
        <v>577</v>
      </c>
      <c r="S411" s="1999"/>
      <c r="T411" s="12" t="s">
        <v>603</v>
      </c>
      <c r="U411" s="717"/>
      <c r="V411" s="717"/>
      <c r="W411" s="717"/>
      <c r="X411" s="717"/>
      <c r="Y411" s="717"/>
      <c r="Z411" s="717"/>
      <c r="AA411" s="717"/>
      <c r="AB411" s="717"/>
      <c r="AC411" s="717"/>
      <c r="AD411" s="2016">
        <v>3</v>
      </c>
      <c r="AE411" s="2016"/>
      <c r="AF411" s="717"/>
    </row>
    <row r="412" spans="1:96" ht="12.75" customHeight="1">
      <c r="C412" s="25"/>
      <c r="E412" s="12" t="s">
        <v>113</v>
      </c>
      <c r="F412" s="717"/>
      <c r="G412" s="717"/>
      <c r="H412" s="717"/>
      <c r="I412" s="717"/>
      <c r="J412" s="717"/>
      <c r="K412" s="717"/>
      <c r="L412" s="717"/>
      <c r="M412" s="717"/>
      <c r="N412" s="25"/>
      <c r="O412" s="25"/>
      <c r="P412" s="717"/>
      <c r="Q412" s="717"/>
      <c r="R412" s="717"/>
      <c r="S412" s="1999" t="s">
        <v>625</v>
      </c>
      <c r="T412" s="1999"/>
      <c r="U412" s="717"/>
      <c r="V412" s="717"/>
      <c r="W412" s="717"/>
      <c r="X412" s="717"/>
      <c r="Y412" s="717"/>
      <c r="Z412" s="717"/>
      <c r="AA412" s="717"/>
      <c r="AB412" s="717"/>
      <c r="AC412" s="717"/>
      <c r="AD412" s="717"/>
      <c r="AE412" s="717"/>
      <c r="AF412" s="717"/>
    </row>
    <row r="413" spans="1:96" ht="12.75" customHeight="1">
      <c r="E413" s="12" t="s">
        <v>174</v>
      </c>
      <c r="F413" s="717"/>
      <c r="G413" s="717"/>
      <c r="H413" s="2163" t="s">
        <v>2580</v>
      </c>
      <c r="I413" s="2163"/>
      <c r="J413" s="2163"/>
      <c r="K413" s="2163"/>
      <c r="L413" s="2163"/>
      <c r="M413" s="2163"/>
      <c r="N413" s="2163"/>
      <c r="O413" s="2163"/>
      <c r="P413" s="2163"/>
      <c r="Q413" s="2163"/>
      <c r="R413" s="2163"/>
      <c r="S413" s="2163"/>
      <c r="T413" s="2163"/>
      <c r="U413" s="2163"/>
      <c r="V413" s="2163"/>
      <c r="W413" s="2163"/>
      <c r="X413" s="2163"/>
      <c r="Y413" s="2163"/>
      <c r="Z413" s="2163"/>
      <c r="AA413" s="2163"/>
      <c r="AB413" s="2163"/>
      <c r="AC413" s="2163"/>
      <c r="AD413" s="2163"/>
      <c r="AE413" s="2163"/>
      <c r="AF413" s="717"/>
    </row>
    <row r="414" spans="1:96" ht="12.75" customHeight="1">
      <c r="E414" s="25"/>
      <c r="F414" s="717"/>
      <c r="G414" s="717"/>
      <c r="H414" s="2164"/>
      <c r="I414" s="2164"/>
      <c r="J414" s="2164"/>
      <c r="K414" s="2164"/>
      <c r="L414" s="2164"/>
      <c r="M414" s="2164"/>
      <c r="N414" s="2164"/>
      <c r="O414" s="2164"/>
      <c r="P414" s="2164"/>
      <c r="Q414" s="2164"/>
      <c r="R414" s="2164"/>
      <c r="S414" s="2164"/>
      <c r="T414" s="2164"/>
      <c r="U414" s="2164"/>
      <c r="V414" s="2164"/>
      <c r="W414" s="2164"/>
      <c r="X414" s="2164"/>
      <c r="Y414" s="2164"/>
      <c r="Z414" s="2164"/>
      <c r="AA414" s="2164"/>
      <c r="AB414" s="2164"/>
      <c r="AC414" s="2164"/>
      <c r="AD414" s="2164"/>
      <c r="AE414" s="2164"/>
      <c r="AF414" s="717"/>
    </row>
    <row r="415" spans="1:96" ht="12.75" customHeight="1"/>
    <row r="416" spans="1:96" ht="12.75" customHeight="1">
      <c r="A416" s="50" t="s">
        <v>624</v>
      </c>
      <c r="B416" s="50"/>
      <c r="C416" s="50"/>
      <c r="D416" s="50" t="s">
        <v>119</v>
      </c>
      <c r="AF416" s="50" t="s">
        <v>1035</v>
      </c>
    </row>
    <row r="417" spans="1:96" ht="12.75" customHeight="1">
      <c r="E417" s="2054"/>
      <c r="F417" s="2054"/>
      <c r="G417" s="2054"/>
      <c r="H417" s="23" t="s">
        <v>120</v>
      </c>
      <c r="I417" s="2054"/>
      <c r="J417" s="2054"/>
      <c r="K417" s="2054"/>
      <c r="L417" s="12" t="s">
        <v>121</v>
      </c>
      <c r="N417" s="141" t="s">
        <v>609</v>
      </c>
      <c r="P417" s="2212">
        <v>6.96</v>
      </c>
      <c r="Q417" s="2212"/>
      <c r="R417" s="2212"/>
      <c r="S417" s="12" t="s">
        <v>122</v>
      </c>
      <c r="W417" s="2043">
        <f>IF(E417&gt;0,(E417*I417),(P417*43560))</f>
        <v>303177.59999999998</v>
      </c>
      <c r="X417" s="2043"/>
      <c r="Y417" s="2043"/>
      <c r="Z417" s="12" t="s">
        <v>123</v>
      </c>
      <c r="AF417" s="2197">
        <f>IF(P417&gt;0,(AG436/P417),(AG436/(W417/43560)))</f>
        <v>27.873563218390803</v>
      </c>
      <c r="AG417" s="2197"/>
      <c r="AH417" s="2197"/>
      <c r="AM417" s="239"/>
    </row>
    <row r="418" spans="1:96" ht="12.75">
      <c r="E418" s="12" t="s">
        <v>54</v>
      </c>
    </row>
    <row r="419" spans="1:96" ht="12.75" customHeight="1">
      <c r="E419" s="2091"/>
      <c r="F419" s="2091"/>
      <c r="G419" s="2091"/>
      <c r="H419" s="2091"/>
      <c r="I419" s="2091"/>
      <c r="J419" s="2091"/>
      <c r="K419" s="2091"/>
      <c r="L419" s="2091"/>
      <c r="M419" s="2091"/>
      <c r="N419" s="2091"/>
      <c r="O419" s="2091"/>
      <c r="P419" s="2091"/>
      <c r="Q419" s="2091"/>
      <c r="R419" s="2091"/>
      <c r="S419" s="2091"/>
      <c r="T419" s="2091"/>
      <c r="U419" s="2091"/>
      <c r="V419" s="2091"/>
      <c r="W419" s="2091"/>
      <c r="X419" s="2091"/>
      <c r="Y419" s="2091"/>
      <c r="Z419" s="2091"/>
      <c r="AA419" s="2091"/>
      <c r="AB419" s="2091"/>
      <c r="AC419" s="2091"/>
      <c r="AD419" s="2091"/>
      <c r="AE419" s="2091"/>
      <c r="AF419" s="2091"/>
      <c r="AG419" s="2091"/>
      <c r="AH419" s="2091"/>
      <c r="AI419" s="2091"/>
      <c r="AJ419" s="2091"/>
    </row>
    <row r="420" spans="1:96" s="39" customFormat="1" ht="12.75" customHeight="1">
      <c r="E420" s="254" t="s">
        <v>2166</v>
      </c>
      <c r="F420" s="1710"/>
      <c r="G420" s="1710"/>
      <c r="H420" s="1710"/>
      <c r="I420" s="2337">
        <v>5.22</v>
      </c>
      <c r="J420" s="2337"/>
      <c r="K420" s="2337"/>
      <c r="L420" s="1710"/>
      <c r="M420" s="254"/>
      <c r="N420" s="1710"/>
      <c r="O420" s="1710"/>
      <c r="P420" s="2378">
        <f>(CS637+CS645+CS661)/I420</f>
        <v>65.517241379310349</v>
      </c>
      <c r="Q420" s="2378"/>
      <c r="R420" s="2378"/>
      <c r="S420" s="254" t="s">
        <v>2167</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9">
        <v>9</v>
      </c>
      <c r="Q423" s="1999"/>
      <c r="S423" s="12" t="s">
        <v>194</v>
      </c>
      <c r="AE423" s="1999">
        <v>8</v>
      </c>
      <c r="AF423" s="1999"/>
    </row>
    <row r="424" spans="1:96" ht="12.75">
      <c r="E424" s="12" t="s">
        <v>195</v>
      </c>
      <c r="P424" s="1999">
        <v>1</v>
      </c>
      <c r="Q424" s="1999"/>
      <c r="S424" s="12" t="s">
        <v>136</v>
      </c>
      <c r="AE424" s="1999" t="s">
        <v>625</v>
      </c>
      <c r="AF424" s="1999"/>
    </row>
    <row r="425" spans="1:96" ht="12.75">
      <c r="F425" s="67" t="s">
        <v>137</v>
      </c>
    </row>
    <row r="426" spans="1:96" ht="12.75">
      <c r="F426" s="2055"/>
      <c r="G426" s="2055"/>
      <c r="H426" s="2055"/>
      <c r="I426" s="2055"/>
      <c r="J426" s="2055"/>
      <c r="K426" s="2055"/>
      <c r="L426" s="2055"/>
      <c r="M426" s="2055"/>
      <c r="N426" s="2055"/>
      <c r="O426" s="2055"/>
      <c r="P426" s="2055"/>
      <c r="Q426" s="2055"/>
      <c r="R426" s="2055"/>
      <c r="S426" s="2055"/>
      <c r="T426" s="2055"/>
      <c r="U426" s="2055"/>
      <c r="V426" s="2055"/>
      <c r="W426" s="2055"/>
      <c r="X426" s="2055"/>
      <c r="Y426" s="2055"/>
      <c r="Z426" s="2055"/>
      <c r="AA426" s="2055"/>
      <c r="AB426" s="2055"/>
      <c r="AC426" s="2055"/>
      <c r="AD426" s="2055"/>
      <c r="AE426" s="2055"/>
      <c r="AF426" s="2055"/>
      <c r="AG426" s="2055"/>
      <c r="AH426" s="2055"/>
    </row>
    <row r="427" spans="1:96" ht="12.75" customHeight="1">
      <c r="F427" s="2056"/>
      <c r="G427" s="2056"/>
      <c r="H427" s="2056"/>
      <c r="I427" s="2056"/>
      <c r="J427" s="2056"/>
      <c r="K427" s="2056"/>
      <c r="L427" s="2056"/>
      <c r="M427" s="2056"/>
      <c r="N427" s="2056"/>
      <c r="O427" s="2056"/>
      <c r="P427" s="2056"/>
      <c r="Q427" s="2056"/>
      <c r="R427" s="2056"/>
      <c r="S427" s="2056"/>
      <c r="T427" s="2056"/>
      <c r="U427" s="2056"/>
      <c r="V427" s="2056"/>
      <c r="W427" s="2056"/>
      <c r="X427" s="2056"/>
      <c r="Y427" s="2056"/>
      <c r="Z427" s="2056"/>
      <c r="AA427" s="2056"/>
      <c r="AB427" s="2056"/>
      <c r="AC427" s="2056"/>
      <c r="AD427" s="2056"/>
      <c r="AE427" s="2056"/>
      <c r="AF427" s="2056"/>
      <c r="AG427" s="2056"/>
      <c r="AH427" s="2056"/>
    </row>
    <row r="428" spans="1:96" ht="12.75" customHeight="1">
      <c r="E428" s="12" t="s">
        <v>642</v>
      </c>
      <c r="N428" s="39"/>
      <c r="O428" s="39"/>
      <c r="P428" s="235"/>
      <c r="Q428" s="1999" t="s">
        <v>577</v>
      </c>
      <c r="R428" s="199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9" t="s">
        <v>625</v>
      </c>
      <c r="AG429" s="2074"/>
    </row>
    <row r="430" spans="1:96" ht="12.75" customHeight="1">
      <c r="S430" s="25"/>
      <c r="T430" s="25"/>
    </row>
    <row r="431" spans="1:96" ht="12.75" customHeight="1">
      <c r="A431" s="50"/>
      <c r="B431" s="50"/>
      <c r="C431" s="50"/>
      <c r="E431" s="7" t="s">
        <v>316</v>
      </c>
      <c r="Z431" s="1999" t="s">
        <v>577</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9" t="s">
        <v>705</v>
      </c>
      <c r="AA433" s="1999"/>
    </row>
    <row r="434" spans="1:110" ht="12.75" customHeight="1"/>
    <row r="435" spans="1:110" ht="12.75" customHeight="1">
      <c r="A435" s="50" t="s">
        <v>499</v>
      </c>
      <c r="B435" s="50"/>
      <c r="C435" s="50"/>
      <c r="D435" s="50" t="s">
        <v>821</v>
      </c>
      <c r="AF435" s="80"/>
    </row>
    <row r="436" spans="1:110" ht="12.75" customHeight="1">
      <c r="D436" s="2040" t="s">
        <v>46</v>
      </c>
      <c r="E436" s="2038"/>
      <c r="F436" s="2038"/>
      <c r="G436" s="2038"/>
      <c r="H436" s="2038"/>
      <c r="I436" s="2038"/>
      <c r="J436" s="2038"/>
      <c r="K436" s="2038"/>
      <c r="L436" s="2038"/>
      <c r="M436" s="2038"/>
      <c r="N436" s="2038"/>
      <c r="O436" s="2038"/>
      <c r="P436" s="2038"/>
      <c r="Q436" s="2038"/>
      <c r="R436" s="2038"/>
      <c r="S436" s="2038"/>
      <c r="T436" s="2038"/>
      <c r="U436" s="2038"/>
      <c r="V436" s="2038"/>
      <c r="W436" s="2038"/>
      <c r="X436" s="2038"/>
      <c r="Y436" s="2038"/>
      <c r="Z436" s="2038"/>
      <c r="AA436" s="2038"/>
      <c r="AB436" s="2038"/>
      <c r="AC436" s="2038"/>
      <c r="AD436" s="2038"/>
      <c r="AE436" s="2038"/>
      <c r="AF436" s="2039"/>
      <c r="AG436" s="2029">
        <v>194</v>
      </c>
      <c r="AH436" s="2029"/>
      <c r="AI436" s="2029"/>
      <c r="AJ436" s="2029"/>
    </row>
    <row r="437" spans="1:110" ht="12.75" customHeight="1">
      <c r="D437" s="1982" t="s">
        <v>1433</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50"/>
      <c r="AH437" s="2051"/>
      <c r="AI437" s="2051"/>
      <c r="AJ437" s="2051"/>
    </row>
    <row r="438" spans="1:110" ht="12.75" customHeight="1">
      <c r="D438" s="1982" t="s">
        <v>1141</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29">
        <v>192</v>
      </c>
      <c r="AH438" s="2029"/>
      <c r="AI438" s="2029"/>
      <c r="AJ438" s="2029"/>
    </row>
    <row r="439" spans="1:110" ht="12.75" customHeight="1">
      <c r="D439" s="1982" t="s">
        <v>1142</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29">
        <v>192</v>
      </c>
      <c r="AH439" s="2029"/>
      <c r="AI439" s="2029"/>
      <c r="AJ439" s="2029"/>
    </row>
    <row r="440" spans="1:110" ht="12.75" customHeight="1">
      <c r="D440" s="1982" t="s">
        <v>1144</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42">
        <f>IF(ISERROR(AG439/AG438),"",AG439/AG438)</f>
        <v>1</v>
      </c>
      <c r="AH440" s="2042"/>
      <c r="AI440" s="2042"/>
      <c r="AJ440" s="2042"/>
    </row>
    <row r="441" spans="1:110" ht="12.75" customHeight="1">
      <c r="D441" s="1982" t="s">
        <v>1143</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41">
        <v>154768</v>
      </c>
      <c r="AH441" s="2041"/>
      <c r="AI441" s="2041"/>
      <c r="AJ441" s="2041"/>
    </row>
    <row r="442" spans="1:110" ht="12.75" customHeight="1">
      <c r="D442" s="1982" t="s">
        <v>1145</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41">
        <v>154768</v>
      </c>
      <c r="AH442" s="2041"/>
      <c r="AI442" s="2041"/>
      <c r="AJ442" s="2041"/>
    </row>
    <row r="443" spans="1:110" ht="12.75" customHeight="1">
      <c r="D443" s="1982" t="s">
        <v>1146</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42">
        <f>IF(ISERROR(AG442/AG441),"",AG442/AG441)</f>
        <v>1</v>
      </c>
      <c r="AH443" s="2042"/>
      <c r="AI443" s="2042"/>
      <c r="AJ443" s="2042"/>
    </row>
    <row r="444" spans="1:110" ht="12.75" customHeight="1">
      <c r="D444" s="1982" t="s">
        <v>1147</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42">
        <f>MIN(IF(AG440&gt;AG443,AG443,AG440),1)</f>
        <v>1</v>
      </c>
      <c r="AH444" s="2042"/>
      <c r="AI444" s="2042"/>
      <c r="AJ444" s="2042"/>
    </row>
    <row r="445" spans="1:110" ht="12.75" customHeight="1">
      <c r="D445" s="1982" t="s">
        <v>1408</v>
      </c>
      <c r="E445" s="2038"/>
      <c r="F445" s="2038"/>
      <c r="G445" s="2038"/>
      <c r="H445" s="2038"/>
      <c r="I445" s="2038"/>
      <c r="J445" s="2038"/>
      <c r="K445" s="2038"/>
      <c r="L445" s="2038"/>
      <c r="M445" s="2038"/>
      <c r="N445" s="2038"/>
      <c r="O445" s="2038"/>
      <c r="P445" s="2038"/>
      <c r="Q445" s="2038"/>
      <c r="R445" s="2038"/>
      <c r="S445" s="2038"/>
      <c r="T445" s="2038"/>
      <c r="U445" s="2038"/>
      <c r="V445" s="2038"/>
      <c r="W445" s="2038"/>
      <c r="X445" s="2038"/>
      <c r="Y445" s="2038"/>
      <c r="Z445" s="2038"/>
      <c r="AA445" s="2038"/>
      <c r="AB445" s="2038"/>
      <c r="AC445" s="2038"/>
      <c r="AD445" s="2038"/>
      <c r="AE445" s="2038"/>
      <c r="AF445" s="2039"/>
      <c r="AG445" s="2041">
        <v>5699</v>
      </c>
      <c r="AH445" s="2041"/>
      <c r="AI445" s="2041"/>
      <c r="AJ445" s="2041"/>
    </row>
    <row r="446" spans="1:110" ht="12.75" customHeight="1">
      <c r="D446" s="2040" t="s">
        <v>601</v>
      </c>
      <c r="E446" s="2038"/>
      <c r="F446" s="2038"/>
      <c r="G446" s="2038"/>
      <c r="H446" s="2038"/>
      <c r="I446" s="2038"/>
      <c r="J446" s="2038"/>
      <c r="K446" s="2038"/>
      <c r="L446" s="2038"/>
      <c r="M446" s="2038"/>
      <c r="N446" s="2038"/>
      <c r="O446" s="2038"/>
      <c r="P446" s="2038"/>
      <c r="Q446" s="2038"/>
      <c r="R446" s="2038"/>
      <c r="S446" s="2038"/>
      <c r="T446" s="2038"/>
      <c r="U446" s="2038"/>
      <c r="V446" s="2038"/>
      <c r="W446" s="2038"/>
      <c r="X446" s="2038"/>
      <c r="Y446" s="2038"/>
      <c r="Z446" s="2038"/>
      <c r="AA446" s="2038"/>
      <c r="AB446" s="2038"/>
      <c r="AC446" s="2038"/>
      <c r="AD446" s="2038"/>
      <c r="AE446" s="2038"/>
      <c r="AF446" s="2039"/>
      <c r="AG446" s="2041">
        <v>0</v>
      </c>
      <c r="AH446" s="2041"/>
      <c r="AI446" s="2041"/>
      <c r="AJ446" s="20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1982" t="s">
        <v>1409</v>
      </c>
      <c r="E447" s="2038"/>
      <c r="F447" s="2038"/>
      <c r="G447" s="2038"/>
      <c r="H447" s="2038"/>
      <c r="I447" s="2038"/>
      <c r="J447" s="2038"/>
      <c r="K447" s="2038"/>
      <c r="L447" s="2038"/>
      <c r="M447" s="2038"/>
      <c r="N447" s="2038"/>
      <c r="O447" s="2038"/>
      <c r="P447" s="2038"/>
      <c r="Q447" s="2038"/>
      <c r="R447" s="2038"/>
      <c r="S447" s="2038"/>
      <c r="T447" s="2038"/>
      <c r="U447" s="2038"/>
      <c r="V447" s="2038"/>
      <c r="W447" s="2038"/>
      <c r="X447" s="2038"/>
      <c r="Y447" s="2038"/>
      <c r="Z447" s="2038"/>
      <c r="AA447" s="2038"/>
      <c r="AB447" s="2038"/>
      <c r="AC447" s="2038"/>
      <c r="AD447" s="2038"/>
      <c r="AE447" s="2038"/>
      <c r="AF447" s="2039"/>
      <c r="AG447" s="2041">
        <v>8064</v>
      </c>
      <c r="AH447" s="2041"/>
      <c r="AI447" s="2041"/>
      <c r="AJ447" s="20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1148</v>
      </c>
      <c r="E448" s="2038"/>
      <c r="F448" s="2038"/>
      <c r="G448" s="2038"/>
      <c r="H448" s="2038"/>
      <c r="I448" s="2038"/>
      <c r="J448" s="2038"/>
      <c r="K448" s="2038"/>
      <c r="L448" s="2038"/>
      <c r="M448" s="2038"/>
      <c r="N448" s="2038"/>
      <c r="O448" s="2038"/>
      <c r="P448" s="2038"/>
      <c r="Q448" s="2038"/>
      <c r="R448" s="2038"/>
      <c r="S448" s="2038"/>
      <c r="T448" s="2038"/>
      <c r="U448" s="2038"/>
      <c r="V448" s="2038"/>
      <c r="W448" s="2038"/>
      <c r="X448" s="2038"/>
      <c r="Y448" s="2038"/>
      <c r="Z448" s="2038"/>
      <c r="AA448" s="2038"/>
      <c r="AB448" s="2038"/>
      <c r="AC448" s="2038"/>
      <c r="AD448" s="2038"/>
      <c r="AE448" s="2038"/>
      <c r="AF448" s="2039"/>
      <c r="AG448" s="2041">
        <v>0</v>
      </c>
      <c r="AH448" s="2041"/>
      <c r="AI448" s="2041"/>
      <c r="AJ448" s="20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58" t="s">
        <v>1149</v>
      </c>
      <c r="E449" s="2159"/>
      <c r="F449" s="2159"/>
      <c r="G449" s="2159"/>
      <c r="H449" s="2159"/>
      <c r="I449" s="2159"/>
      <c r="J449" s="2159"/>
      <c r="K449" s="2159"/>
      <c r="L449" s="2159"/>
      <c r="M449" s="2159"/>
      <c r="N449" s="2159"/>
      <c r="O449" s="2159"/>
      <c r="P449" s="2159"/>
      <c r="Q449" s="2159"/>
      <c r="R449" s="2159"/>
      <c r="S449" s="2159"/>
      <c r="T449" s="2159"/>
      <c r="U449" s="2159"/>
      <c r="V449" s="2159"/>
      <c r="W449" s="2159"/>
      <c r="X449" s="2159"/>
      <c r="Y449" s="2159"/>
      <c r="Z449" s="2159"/>
      <c r="AA449" s="2159"/>
      <c r="AB449" s="2159"/>
      <c r="AC449" s="2159"/>
      <c r="AD449" s="2159"/>
      <c r="AE449" s="2159"/>
      <c r="AF449" s="2160"/>
      <c r="AG449" s="2070">
        <f>AG441+AG445+AG447+AG448</f>
        <v>168531</v>
      </c>
      <c r="AH449" s="2070"/>
      <c r="AI449" s="2070"/>
      <c r="AJ449" s="207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1" t="s">
        <v>1410</v>
      </c>
      <c r="E450" s="2161"/>
      <c r="F450" s="2161"/>
      <c r="G450" s="2161"/>
      <c r="H450" s="2161"/>
      <c r="I450" s="2161"/>
      <c r="J450" s="2161"/>
      <c r="K450" s="2161"/>
      <c r="L450" s="2161"/>
      <c r="M450" s="2161"/>
      <c r="N450" s="2161"/>
      <c r="O450" s="2161"/>
      <c r="P450" s="2161"/>
      <c r="Q450" s="2161"/>
      <c r="R450" s="2161"/>
      <c r="S450" s="2161"/>
      <c r="T450" s="2161"/>
      <c r="U450" s="2161"/>
      <c r="V450" s="2161"/>
      <c r="W450" s="2161"/>
      <c r="X450" s="2161"/>
      <c r="Y450" s="2161"/>
      <c r="Z450" s="2161"/>
      <c r="AA450" s="2161"/>
      <c r="AB450" s="2161"/>
      <c r="AC450" s="2161"/>
      <c r="AD450" s="2161"/>
      <c r="AE450" s="2161"/>
      <c r="AF450" s="2161"/>
      <c r="AG450" s="2161"/>
      <c r="AH450" s="2161"/>
      <c r="AI450" s="2161"/>
      <c r="AJ450" s="21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2"/>
      <c r="E451" s="2162"/>
      <c r="F451" s="2162"/>
      <c r="G451" s="2162"/>
      <c r="H451" s="2162"/>
      <c r="I451" s="2162"/>
      <c r="J451" s="2162"/>
      <c r="K451" s="2162"/>
      <c r="L451" s="2162"/>
      <c r="M451" s="2162"/>
      <c r="N451" s="2162"/>
      <c r="O451" s="2162"/>
      <c r="P451" s="2162"/>
      <c r="Q451" s="2162"/>
      <c r="R451" s="2162"/>
      <c r="S451" s="2162"/>
      <c r="T451" s="2162"/>
      <c r="U451" s="2162"/>
      <c r="V451" s="2162"/>
      <c r="W451" s="2162"/>
      <c r="X451" s="2162"/>
      <c r="Y451" s="2162"/>
      <c r="Z451" s="2162"/>
      <c r="AA451" s="2162"/>
      <c r="AB451" s="2162"/>
      <c r="AC451" s="2162"/>
      <c r="AD451" s="2162"/>
      <c r="AE451" s="2162"/>
      <c r="AF451" s="2162"/>
      <c r="AG451" s="2162"/>
      <c r="AH451" s="2162"/>
      <c r="AI451" s="2162"/>
      <c r="AJ451" s="21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1">
        <f>'Sources and Uses Budget'!B105/Application!AG436</f>
        <v>349364.86597938143</v>
      </c>
      <c r="AD453" s="2071"/>
      <c r="AE453" s="2071"/>
      <c r="AF453" s="207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1">
        <f>'Sources and Uses Budget'!C105/Application!AG436</f>
        <v>349364.86597938143</v>
      </c>
      <c r="AD454" s="2071"/>
      <c r="AE454" s="2071"/>
      <c r="AF454" s="207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1">
        <f>('Sources and Uses Budget'!$S$107+'Sources and Uses Budget'!$T$107)/Application!AG436</f>
        <v>324297.32989690721</v>
      </c>
      <c r="AD455" s="2071"/>
      <c r="AE455" s="2071"/>
      <c r="AF455" s="207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9" t="s">
        <v>730</v>
      </c>
      <c r="E464" s="2067"/>
      <c r="F464" s="2067"/>
      <c r="G464" s="2067"/>
      <c r="H464" s="2067"/>
      <c r="I464" s="2067"/>
      <c r="J464" s="2067"/>
      <c r="K464" s="2067"/>
      <c r="L464" s="2067"/>
      <c r="M464" s="2067"/>
      <c r="N464" s="2067"/>
      <c r="O464" s="2067"/>
      <c r="P464" s="2067"/>
      <c r="Q464" s="2067"/>
      <c r="R464" s="2067"/>
      <c r="S464" s="2067"/>
      <c r="T464" s="2067"/>
      <c r="U464" s="2067"/>
      <c r="V464" s="2068"/>
      <c r="W464" s="2076" t="s">
        <v>625</v>
      </c>
      <c r="X464" s="2064"/>
      <c r="Y464" s="206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9" t="s">
        <v>731</v>
      </c>
      <c r="E465" s="2067"/>
      <c r="F465" s="2067"/>
      <c r="G465" s="2067"/>
      <c r="H465" s="2067"/>
      <c r="I465" s="2067"/>
      <c r="J465" s="2067"/>
      <c r="K465" s="2067"/>
      <c r="L465" s="2067"/>
      <c r="M465" s="2067"/>
      <c r="N465" s="2067"/>
      <c r="O465" s="2067"/>
      <c r="P465" s="2067"/>
      <c r="Q465" s="2067"/>
      <c r="R465" s="2067"/>
      <c r="S465" s="2067"/>
      <c r="T465" s="2067"/>
      <c r="U465" s="2067"/>
      <c r="V465" s="2068"/>
      <c r="W465" s="2076" t="s">
        <v>625</v>
      </c>
      <c r="X465" s="2064"/>
      <c r="Y465" s="206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9" t="s">
        <v>732</v>
      </c>
      <c r="E466" s="2067"/>
      <c r="F466" s="2067"/>
      <c r="G466" s="2067"/>
      <c r="H466" s="2067"/>
      <c r="I466" s="2067"/>
      <c r="J466" s="2067"/>
      <c r="K466" s="2067"/>
      <c r="L466" s="2067"/>
      <c r="M466" s="2067"/>
      <c r="N466" s="2067"/>
      <c r="O466" s="2067"/>
      <c r="P466" s="2067"/>
      <c r="Q466" s="2067"/>
      <c r="R466" s="2067"/>
      <c r="S466" s="2067"/>
      <c r="T466" s="2067"/>
      <c r="U466" s="2067"/>
      <c r="V466" s="2068"/>
      <c r="W466" s="2076" t="s">
        <v>625</v>
      </c>
      <c r="X466" s="2064"/>
      <c r="Y466" s="206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9" t="s">
        <v>733</v>
      </c>
      <c r="E467" s="2067"/>
      <c r="F467" s="2067"/>
      <c r="G467" s="2067"/>
      <c r="H467" s="2067"/>
      <c r="I467" s="2067"/>
      <c r="J467" s="2067"/>
      <c r="K467" s="2067"/>
      <c r="L467" s="2067"/>
      <c r="M467" s="2067"/>
      <c r="N467" s="2067"/>
      <c r="O467" s="2067"/>
      <c r="P467" s="2067"/>
      <c r="Q467" s="2067"/>
      <c r="R467" s="2067"/>
      <c r="S467" s="2067"/>
      <c r="T467" s="2067"/>
      <c r="U467" s="2067"/>
      <c r="V467" s="2068"/>
      <c r="W467" s="2076" t="s">
        <v>625</v>
      </c>
      <c r="X467" s="2064"/>
      <c r="Y467" s="206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9" t="s">
        <v>945</v>
      </c>
      <c r="E468" s="2067"/>
      <c r="F468" s="2067"/>
      <c r="G468" s="2067"/>
      <c r="H468" s="2067"/>
      <c r="I468" s="2067"/>
      <c r="J468" s="2067"/>
      <c r="K468" s="2067"/>
      <c r="L468" s="2067"/>
      <c r="M468" s="2067"/>
      <c r="N468" s="2067"/>
      <c r="O468" s="2067"/>
      <c r="P468" s="2067"/>
      <c r="Q468" s="2067"/>
      <c r="R468" s="2067"/>
      <c r="S468" s="2067"/>
      <c r="T468" s="2067"/>
      <c r="U468" s="2067"/>
      <c r="V468" s="2068"/>
      <c r="W468" s="2076" t="s">
        <v>625</v>
      </c>
      <c r="X468" s="2064"/>
      <c r="Y468" s="206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9" t="s">
        <v>734</v>
      </c>
      <c r="E469" s="2067"/>
      <c r="F469" s="2067"/>
      <c r="G469" s="2067"/>
      <c r="H469" s="2067"/>
      <c r="I469" s="2067"/>
      <c r="J469" s="2067"/>
      <c r="K469" s="2067"/>
      <c r="L469" s="2067"/>
      <c r="M469" s="2067"/>
      <c r="N469" s="2067"/>
      <c r="O469" s="2067"/>
      <c r="P469" s="2067"/>
      <c r="Q469" s="2067"/>
      <c r="R469" s="2067"/>
      <c r="S469" s="2067"/>
      <c r="T469" s="2067"/>
      <c r="U469" s="2067"/>
      <c r="V469" s="2068"/>
      <c r="W469" s="2076" t="s">
        <v>625</v>
      </c>
      <c r="X469" s="2064"/>
      <c r="Y469" s="206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9" t="s">
        <v>1115</v>
      </c>
      <c r="E470" s="2067"/>
      <c r="F470" s="2067"/>
      <c r="G470" s="2067"/>
      <c r="H470" s="2067"/>
      <c r="I470" s="2067"/>
      <c r="J470" s="2067"/>
      <c r="K470" s="2067"/>
      <c r="L470" s="2067"/>
      <c r="M470" s="2067"/>
      <c r="N470" s="2067"/>
      <c r="O470" s="2067"/>
      <c r="P470" s="2067"/>
      <c r="Q470" s="2067"/>
      <c r="R470" s="2067"/>
      <c r="S470" s="2067"/>
      <c r="T470" s="2067"/>
      <c r="U470" s="2067"/>
      <c r="V470" s="2068"/>
      <c r="W470" s="2076" t="s">
        <v>625</v>
      </c>
      <c r="X470" s="2064"/>
      <c r="Y470" s="206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6" t="s">
        <v>1962</v>
      </c>
      <c r="E471" s="2067"/>
      <c r="F471" s="2067"/>
      <c r="G471" s="2067"/>
      <c r="H471" s="2067"/>
      <c r="I471" s="2067"/>
      <c r="J471" s="2067"/>
      <c r="K471" s="2067"/>
      <c r="L471" s="2067"/>
      <c r="M471" s="2067"/>
      <c r="N471" s="2067"/>
      <c r="O471" s="2067"/>
      <c r="P471" s="2067"/>
      <c r="Q471" s="2067"/>
      <c r="R471" s="2067"/>
      <c r="S471" s="2067"/>
      <c r="T471" s="2067"/>
      <c r="U471" s="2067"/>
      <c r="V471" s="2068"/>
      <c r="W471" s="2063">
        <v>30</v>
      </c>
      <c r="X471" s="2064"/>
      <c r="Y471" s="206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60" t="s">
        <v>2581</v>
      </c>
      <c r="H472" s="2061"/>
      <c r="I472" s="2061"/>
      <c r="J472" s="2061"/>
      <c r="K472" s="2061"/>
      <c r="L472" s="2061"/>
      <c r="M472" s="2061"/>
      <c r="N472" s="2061"/>
      <c r="O472" s="2061"/>
      <c r="P472" s="2061"/>
      <c r="Q472" s="2061"/>
      <c r="R472" s="2061"/>
      <c r="S472" s="2061"/>
      <c r="T472" s="2061"/>
      <c r="U472" s="2061"/>
      <c r="V472" s="2062"/>
      <c r="W472" s="2063">
        <v>20</v>
      </c>
      <c r="X472" s="2064"/>
      <c r="Y472" s="206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2" t="s">
        <v>868</v>
      </c>
      <c r="B478" s="2052"/>
      <c r="C478" s="2052"/>
      <c r="D478" s="2052"/>
      <c r="E478" s="2052"/>
      <c r="F478" s="2052"/>
      <c r="G478" s="2052"/>
      <c r="H478" s="2052"/>
      <c r="I478" s="2052"/>
      <c r="J478" s="2052"/>
      <c r="K478" s="2052"/>
      <c r="L478" s="2052"/>
      <c r="M478" s="2052"/>
      <c r="N478" s="2052"/>
      <c r="O478" s="2052"/>
      <c r="P478" s="2052"/>
      <c r="Q478" s="2052"/>
      <c r="R478" s="2052"/>
      <c r="S478" s="2052"/>
      <c r="T478" s="2052"/>
      <c r="U478" s="2052"/>
      <c r="V478" s="2052"/>
      <c r="W478" s="2052"/>
      <c r="X478" s="2052"/>
      <c r="Y478" s="2052"/>
      <c r="Z478" s="2052"/>
      <c r="AA478" s="2052"/>
      <c r="AB478" s="2052"/>
      <c r="AC478" s="2052"/>
      <c r="AD478" s="2052"/>
      <c r="AE478" s="2052"/>
      <c r="AF478" s="2052"/>
      <c r="AG478" s="2052"/>
      <c r="AH478" s="2052"/>
      <c r="AI478" s="2052"/>
      <c r="AJ478" s="2052"/>
      <c r="AK478" s="2052"/>
      <c r="AL478" s="205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3"/>
      <c r="B479" s="2053"/>
      <c r="C479" s="2053"/>
      <c r="D479" s="2053"/>
      <c r="E479" s="2053"/>
      <c r="F479" s="2053"/>
      <c r="G479" s="2053"/>
      <c r="H479" s="2053"/>
      <c r="I479" s="2053"/>
      <c r="J479" s="2053"/>
      <c r="K479" s="2053"/>
      <c r="L479" s="2053"/>
      <c r="M479" s="2053"/>
      <c r="N479" s="2053"/>
      <c r="O479" s="2053"/>
      <c r="P479" s="2053"/>
      <c r="Q479" s="2053"/>
      <c r="R479" s="2053"/>
      <c r="S479" s="2053"/>
      <c r="T479" s="2053"/>
      <c r="U479" s="2053"/>
      <c r="V479" s="2053"/>
      <c r="W479" s="2053"/>
      <c r="X479" s="2053"/>
      <c r="Y479" s="2053"/>
      <c r="Z479" s="2053"/>
      <c r="AA479" s="2053"/>
      <c r="AB479" s="2053"/>
      <c r="AC479" s="2053"/>
      <c r="AD479" s="2053"/>
      <c r="AE479" s="2053"/>
      <c r="AF479" s="2053"/>
      <c r="AG479" s="2053"/>
      <c r="AH479" s="2053"/>
      <c r="AI479" s="2053"/>
      <c r="AJ479" s="2053"/>
      <c r="AK479" s="2053"/>
      <c r="AL479" s="205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7" t="s">
        <v>869</v>
      </c>
      <c r="U483" s="2078"/>
      <c r="V483" s="2078"/>
      <c r="W483" s="2078"/>
      <c r="X483" s="2078"/>
      <c r="Y483" s="2078"/>
      <c r="Z483" s="2078"/>
      <c r="AA483" s="2078"/>
      <c r="AB483" s="2078"/>
      <c r="AC483" s="2078"/>
      <c r="AD483" s="2078"/>
      <c r="AE483" s="2078"/>
      <c r="AF483" s="2078"/>
      <c r="AG483" s="2078"/>
      <c r="AH483" s="207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4" t="s">
        <v>36</v>
      </c>
      <c r="U484" s="2144"/>
      <c r="V484" s="2144"/>
      <c r="W484" s="2144"/>
      <c r="X484" s="2144"/>
      <c r="Y484" s="2144" t="s">
        <v>37</v>
      </c>
      <c r="Z484" s="2144"/>
      <c r="AA484" s="2144"/>
      <c r="AB484" s="2144"/>
      <c r="AC484" s="2144"/>
      <c r="AD484" s="2144" t="s">
        <v>347</v>
      </c>
      <c r="AE484" s="2144"/>
      <c r="AF484" s="2144"/>
      <c r="AG484" s="2144"/>
      <c r="AH484" s="21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4"/>
      <c r="U485" s="2144"/>
      <c r="V485" s="2144"/>
      <c r="W485" s="2144"/>
      <c r="X485" s="2144"/>
      <c r="Y485" s="2144"/>
      <c r="Z485" s="2144"/>
      <c r="AA485" s="2144"/>
      <c r="AB485" s="2144"/>
      <c r="AC485" s="2144"/>
      <c r="AD485" s="2144"/>
      <c r="AE485" s="2144"/>
      <c r="AF485" s="2144"/>
      <c r="AG485" s="2144"/>
      <c r="AH485" s="21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1" t="s">
        <v>625</v>
      </c>
      <c r="U486" s="1992"/>
      <c r="V486" s="1992"/>
      <c r="W486" s="1992"/>
      <c r="X486" s="1992"/>
      <c r="Y486" s="1991" t="s">
        <v>625</v>
      </c>
      <c r="Z486" s="1992"/>
      <c r="AA486" s="1992"/>
      <c r="AB486" s="1992"/>
      <c r="AC486" s="1992"/>
      <c r="AD486" s="1991" t="s">
        <v>625</v>
      </c>
      <c r="AE486" s="1992"/>
      <c r="AF486" s="1992"/>
      <c r="AG486" s="1992"/>
      <c r="AH486" s="19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1" t="s">
        <v>625</v>
      </c>
      <c r="U487" s="1992"/>
      <c r="V487" s="1992"/>
      <c r="W487" s="1992"/>
      <c r="X487" s="1992"/>
      <c r="Y487" s="1991" t="s">
        <v>625</v>
      </c>
      <c r="Z487" s="1992"/>
      <c r="AA487" s="1992"/>
      <c r="AB487" s="1992"/>
      <c r="AC487" s="1992"/>
      <c r="AD487" s="1991" t="s">
        <v>625</v>
      </c>
      <c r="AE487" s="1992"/>
      <c r="AF487" s="1992"/>
      <c r="AG487" s="1992"/>
      <c r="AH487" s="19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1" t="s">
        <v>625</v>
      </c>
      <c r="U488" s="1992"/>
      <c r="V488" s="1992"/>
      <c r="W488" s="1992"/>
      <c r="X488" s="1992"/>
      <c r="Y488" s="1991" t="s">
        <v>625</v>
      </c>
      <c r="Z488" s="1992"/>
      <c r="AA488" s="1992"/>
      <c r="AB488" s="1992"/>
      <c r="AC488" s="1992"/>
      <c r="AD488" s="1991" t="s">
        <v>625</v>
      </c>
      <c r="AE488" s="1992"/>
      <c r="AF488" s="1992"/>
      <c r="AG488" s="1992"/>
      <c r="AH488" s="19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1" t="s">
        <v>625</v>
      </c>
      <c r="U489" s="1992"/>
      <c r="V489" s="1992"/>
      <c r="W489" s="1992"/>
      <c r="X489" s="1992"/>
      <c r="Y489" s="1991" t="s">
        <v>625</v>
      </c>
      <c r="Z489" s="1992"/>
      <c r="AA489" s="1992"/>
      <c r="AB489" s="1992"/>
      <c r="AC489" s="1992"/>
      <c r="AD489" s="1991" t="s">
        <v>625</v>
      </c>
      <c r="AE489" s="1992"/>
      <c r="AF489" s="1992"/>
      <c r="AG489" s="1992"/>
      <c r="AH489" s="19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1" t="s">
        <v>625</v>
      </c>
      <c r="U490" s="1992"/>
      <c r="V490" s="1992"/>
      <c r="W490" s="1992"/>
      <c r="X490" s="1992"/>
      <c r="Y490" s="1991" t="s">
        <v>625</v>
      </c>
      <c r="Z490" s="1992"/>
      <c r="AA490" s="1992"/>
      <c r="AB490" s="1992"/>
      <c r="AC490" s="1992"/>
      <c r="AD490" s="1991" t="s">
        <v>625</v>
      </c>
      <c r="AE490" s="1992"/>
      <c r="AF490" s="1992"/>
      <c r="AG490" s="1992"/>
      <c r="AH490" s="19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1" t="s">
        <v>625</v>
      </c>
      <c r="U491" s="1992"/>
      <c r="V491" s="1992"/>
      <c r="W491" s="1992"/>
      <c r="X491" s="1992"/>
      <c r="Y491" s="1991" t="s">
        <v>625</v>
      </c>
      <c r="Z491" s="1992"/>
      <c r="AA491" s="1992"/>
      <c r="AB491" s="1992"/>
      <c r="AC491" s="1992"/>
      <c r="AD491" s="1991" t="s">
        <v>625</v>
      </c>
      <c r="AE491" s="1992"/>
      <c r="AF491" s="1992"/>
      <c r="AG491" s="1992"/>
      <c r="AH491" s="19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1">
        <v>44147</v>
      </c>
      <c r="U492" s="1992"/>
      <c r="V492" s="1992"/>
      <c r="W492" s="1992"/>
      <c r="X492" s="1992"/>
      <c r="Y492" s="1991" t="s">
        <v>625</v>
      </c>
      <c r="Z492" s="1992"/>
      <c r="AA492" s="1992"/>
      <c r="AB492" s="1992"/>
      <c r="AC492" s="1992"/>
      <c r="AD492" s="1991">
        <v>44263</v>
      </c>
      <c r="AE492" s="1992"/>
      <c r="AF492" s="1992"/>
      <c r="AG492" s="1992"/>
      <c r="AH492" s="19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1" t="s">
        <v>625</v>
      </c>
      <c r="U493" s="1992"/>
      <c r="V493" s="1992"/>
      <c r="W493" s="1992"/>
      <c r="X493" s="1992"/>
      <c r="Y493" s="1991" t="s">
        <v>625</v>
      </c>
      <c r="Z493" s="1992"/>
      <c r="AA493" s="1992"/>
      <c r="AB493" s="1992"/>
      <c r="AC493" s="1992"/>
      <c r="AD493" s="1991" t="s">
        <v>625</v>
      </c>
      <c r="AE493" s="1992"/>
      <c r="AF493" s="1992"/>
      <c r="AG493" s="1992"/>
      <c r="AH493" s="19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1" t="s">
        <v>625</v>
      </c>
      <c r="U494" s="1992"/>
      <c r="V494" s="1992"/>
      <c r="W494" s="1992"/>
      <c r="X494" s="1992"/>
      <c r="Y494" s="1991" t="s">
        <v>625</v>
      </c>
      <c r="Z494" s="1992"/>
      <c r="AA494" s="1992"/>
      <c r="AB494" s="1992"/>
      <c r="AC494" s="1992"/>
      <c r="AD494" s="1991" t="s">
        <v>625</v>
      </c>
      <c r="AE494" s="1992"/>
      <c r="AF494" s="1992"/>
      <c r="AG494" s="1992"/>
      <c r="AH494" s="19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1" t="s">
        <v>625</v>
      </c>
      <c r="U495" s="1992"/>
      <c r="V495" s="1992"/>
      <c r="W495" s="1992"/>
      <c r="X495" s="1992"/>
      <c r="Y495" s="1991" t="s">
        <v>625</v>
      </c>
      <c r="Z495" s="1992"/>
      <c r="AA495" s="1992"/>
      <c r="AB495" s="1992"/>
      <c r="AC495" s="1992"/>
      <c r="AD495" s="1991" t="s">
        <v>625</v>
      </c>
      <c r="AE495" s="1992"/>
      <c r="AF495" s="1992"/>
      <c r="AG495" s="1992"/>
      <c r="AH495" s="19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9" t="s">
        <v>413</v>
      </c>
      <c r="R497" s="2120"/>
      <c r="S497" s="2120"/>
      <c r="T497" s="2120"/>
      <c r="U497" s="2120"/>
      <c r="V497" s="2120"/>
      <c r="W497" s="2120"/>
      <c r="X497" s="2120"/>
      <c r="Y497" s="2120"/>
      <c r="Z497" s="2120"/>
      <c r="AA497" s="2120"/>
      <c r="AB497" s="2120"/>
      <c r="AC497" s="2120"/>
      <c r="AD497" s="2120"/>
      <c r="AE497" s="2120"/>
      <c r="AF497" s="2120"/>
      <c r="AG497" s="2120"/>
      <c r="AH497" s="2120"/>
      <c r="AI497" s="2120"/>
      <c r="AJ497" s="2120"/>
      <c r="AK497" s="212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25" t="s">
        <v>2582</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8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25" t="s">
        <v>2583</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8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25" t="s">
        <v>2584</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8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45" t="s">
        <v>417</v>
      </c>
      <c r="C501" s="2146"/>
      <c r="D501" s="2146"/>
      <c r="E501" s="2146"/>
      <c r="F501" s="2146"/>
      <c r="G501" s="2146"/>
      <c r="H501" s="2146"/>
      <c r="I501" s="2146"/>
      <c r="J501" s="2146"/>
      <c r="K501" s="2146"/>
      <c r="L501" s="2146"/>
      <c r="M501" s="2146"/>
      <c r="N501" s="2146"/>
      <c r="O501" s="2146"/>
      <c r="P501" s="2147"/>
      <c r="Q501" s="2128" t="s">
        <v>577</v>
      </c>
      <c r="R501" s="2129"/>
      <c r="S501" s="2362" t="s">
        <v>2585</v>
      </c>
      <c r="T501" s="2363"/>
      <c r="U501" s="2363"/>
      <c r="V501" s="2363"/>
      <c r="W501" s="2363"/>
      <c r="X501" s="2363"/>
      <c r="Y501" s="2363"/>
      <c r="Z501" s="2363"/>
      <c r="AA501" s="2363"/>
      <c r="AB501" s="2363"/>
      <c r="AC501" s="2363"/>
      <c r="AD501" s="2363"/>
      <c r="AE501" s="2363"/>
      <c r="AF501" s="2363"/>
      <c r="AG501" s="2363"/>
      <c r="AH501" s="2363"/>
      <c r="AI501" s="2363"/>
      <c r="AJ501" s="2363"/>
      <c r="AK501" s="236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48"/>
      <c r="C502" s="2149"/>
      <c r="D502" s="2149"/>
      <c r="E502" s="2149"/>
      <c r="F502" s="2149"/>
      <c r="G502" s="2149"/>
      <c r="H502" s="2149"/>
      <c r="I502" s="2149"/>
      <c r="J502" s="2149"/>
      <c r="K502" s="2149"/>
      <c r="L502" s="2149"/>
      <c r="M502" s="2149"/>
      <c r="N502" s="2149"/>
      <c r="O502" s="2149"/>
      <c r="P502" s="2150"/>
      <c r="Q502" s="2130"/>
      <c r="R502" s="2131"/>
      <c r="S502" s="2365"/>
      <c r="T502" s="2366"/>
      <c r="U502" s="2366"/>
      <c r="V502" s="2366"/>
      <c r="W502" s="2366"/>
      <c r="X502" s="2366"/>
      <c r="Y502" s="2366"/>
      <c r="Z502" s="2366"/>
      <c r="AA502" s="2366"/>
      <c r="AB502" s="2366"/>
      <c r="AC502" s="2366"/>
      <c r="AD502" s="2366"/>
      <c r="AE502" s="2366"/>
      <c r="AF502" s="2366"/>
      <c r="AG502" s="2366"/>
      <c r="AH502" s="2366"/>
      <c r="AI502" s="2366"/>
      <c r="AJ502" s="2366"/>
      <c r="AK502" s="236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1982</v>
      </c>
      <c r="C503" s="1441"/>
      <c r="D503" s="1441"/>
      <c r="E503" s="1441"/>
      <c r="F503" s="1441"/>
      <c r="G503" s="1441"/>
      <c r="H503" s="1441"/>
      <c r="I503" s="1441"/>
      <c r="J503" s="1441"/>
      <c r="K503" s="1441"/>
      <c r="L503" s="1441"/>
      <c r="M503" s="1441"/>
      <c r="N503" s="1441"/>
      <c r="O503" s="1441"/>
      <c r="P503" s="1441"/>
      <c r="Q503" s="2047" t="s">
        <v>705</v>
      </c>
      <c r="R503" s="2048"/>
      <c r="S503" s="2048"/>
      <c r="T503" s="2048"/>
      <c r="U503" s="2048"/>
      <c r="V503" s="2048"/>
      <c r="W503" s="2048"/>
      <c r="X503" s="2048"/>
      <c r="Y503" s="2048"/>
      <c r="Z503" s="2048"/>
      <c r="AA503" s="2048"/>
      <c r="AB503" s="2048"/>
      <c r="AC503" s="2048"/>
      <c r="AD503" s="2048"/>
      <c r="AE503" s="2048"/>
      <c r="AF503" s="2048"/>
      <c r="AG503" s="2048"/>
      <c r="AH503" s="2048"/>
      <c r="AI503" s="2048"/>
      <c r="AJ503" s="2048"/>
      <c r="AK503" s="204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25" t="s">
        <v>2586</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8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80">
        <v>1.5</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8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1979</v>
      </c>
      <c r="C506" s="77"/>
      <c r="D506" s="77"/>
      <c r="E506" s="77"/>
      <c r="F506" s="77"/>
      <c r="G506" s="77"/>
      <c r="H506" s="77"/>
      <c r="I506" s="77"/>
      <c r="J506" s="77"/>
      <c r="K506" s="77"/>
      <c r="L506" s="77"/>
      <c r="M506" s="77"/>
      <c r="N506" s="77"/>
      <c r="O506" s="77"/>
      <c r="P506" s="77"/>
      <c r="Q506" s="2080">
        <v>318</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8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1980</v>
      </c>
      <c r="C507" s="77"/>
      <c r="D507" s="77"/>
      <c r="E507" s="77"/>
      <c r="F507" s="77"/>
      <c r="G507" s="77"/>
      <c r="H507" s="77"/>
      <c r="I507" s="77"/>
      <c r="J507" s="77"/>
      <c r="K507" s="77"/>
      <c r="L507" s="77"/>
      <c r="M507" s="2101">
        <v>205</v>
      </c>
      <c r="N507" s="2102"/>
      <c r="O507" s="2102"/>
      <c r="P507" s="2103"/>
      <c r="Q507" s="1471" t="s">
        <v>1981</v>
      </c>
      <c r="R507" s="1472"/>
      <c r="S507" s="1472"/>
      <c r="T507" s="1472"/>
      <c r="U507" s="1472"/>
      <c r="V507" s="1472"/>
      <c r="W507" s="1472"/>
      <c r="X507" s="1472"/>
      <c r="Y507" s="1472"/>
      <c r="Z507" s="1472"/>
      <c r="AA507" s="1472"/>
      <c r="AB507" s="1472"/>
      <c r="AC507" s="1472"/>
      <c r="AD507" s="1472"/>
      <c r="AE507" s="1472"/>
      <c r="AF507" s="1472"/>
      <c r="AG507" s="1472"/>
      <c r="AH507" s="2101">
        <v>113</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9" t="s">
        <v>421</v>
      </c>
      <c r="AD511" s="2120"/>
      <c r="AE511" s="2120"/>
      <c r="AF511" s="2120"/>
      <c r="AG511" s="2120"/>
      <c r="AH511" s="2120"/>
      <c r="AI511" s="2120"/>
      <c r="AJ511" s="2120"/>
      <c r="AK511" s="212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7" t="s">
        <v>422</v>
      </c>
      <c r="AD512" s="2078"/>
      <c r="AE512" s="2078"/>
      <c r="AF512" s="2078"/>
      <c r="AG512" s="82" t="s">
        <v>423</v>
      </c>
      <c r="AH512" s="2078" t="s">
        <v>424</v>
      </c>
      <c r="AI512" s="2078"/>
      <c r="AJ512" s="2078"/>
      <c r="AK512" s="207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5" t="s">
        <v>425</v>
      </c>
      <c r="C513" s="1986"/>
      <c r="D513" s="1986"/>
      <c r="E513" s="1986"/>
      <c r="F513" s="1986"/>
      <c r="G513" s="1986"/>
      <c r="H513" s="1987"/>
      <c r="I513" s="72" t="s">
        <v>426</v>
      </c>
      <c r="J513" s="72"/>
      <c r="K513" s="72"/>
      <c r="L513" s="72"/>
      <c r="M513" s="72"/>
      <c r="N513" s="72"/>
      <c r="O513" s="72"/>
      <c r="P513" s="72"/>
      <c r="Q513" s="72"/>
      <c r="R513" s="72"/>
      <c r="S513" s="72"/>
      <c r="T513" s="72"/>
      <c r="U513" s="72"/>
      <c r="V513" s="72"/>
      <c r="W513" s="72"/>
      <c r="X513" s="25"/>
      <c r="Y513" s="25"/>
      <c r="AC513" s="2015" t="s">
        <v>625</v>
      </c>
      <c r="AD513" s="2016"/>
      <c r="AE513" s="2016"/>
      <c r="AF513" s="2016"/>
      <c r="AG513" s="75" t="s">
        <v>423</v>
      </c>
      <c r="AH513" s="2013">
        <v>0</v>
      </c>
      <c r="AI513" s="2013"/>
      <c r="AJ513" s="2013"/>
      <c r="AK513" s="201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8"/>
      <c r="C514" s="1989"/>
      <c r="D514" s="1989"/>
      <c r="E514" s="1989"/>
      <c r="F514" s="1989"/>
      <c r="G514" s="1989"/>
      <c r="H514" s="1990"/>
      <c r="I514" s="80" t="s">
        <v>427</v>
      </c>
      <c r="J514" s="80"/>
      <c r="K514" s="80"/>
      <c r="L514" s="80"/>
      <c r="M514" s="80"/>
      <c r="N514" s="80"/>
      <c r="O514" s="80"/>
      <c r="P514" s="80"/>
      <c r="Q514" s="80"/>
      <c r="R514" s="80"/>
      <c r="S514" s="80"/>
      <c r="T514" s="80"/>
      <c r="U514" s="80"/>
      <c r="V514" s="80"/>
      <c r="W514" s="80"/>
      <c r="X514" s="80"/>
      <c r="Y514" s="80"/>
      <c r="Z514" s="80"/>
      <c r="AA514" s="80"/>
      <c r="AB514" s="80"/>
      <c r="AC514" s="2015">
        <v>12</v>
      </c>
      <c r="AD514" s="2016"/>
      <c r="AE514" s="2016"/>
      <c r="AF514" s="2016"/>
      <c r="AG514" s="65" t="s">
        <v>423</v>
      </c>
      <c r="AH514" s="2013">
        <v>2022</v>
      </c>
      <c r="AI514" s="2013"/>
      <c r="AJ514" s="2013"/>
      <c r="AK514" s="201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5" t="s">
        <v>428</v>
      </c>
      <c r="C515" s="1986"/>
      <c r="D515" s="1986"/>
      <c r="E515" s="1986"/>
      <c r="F515" s="1986"/>
      <c r="G515" s="1986"/>
      <c r="H515" s="1987"/>
      <c r="I515" s="72" t="s">
        <v>429</v>
      </c>
      <c r="J515" s="72"/>
      <c r="K515" s="72"/>
      <c r="L515" s="72"/>
      <c r="M515" s="72"/>
      <c r="N515" s="72"/>
      <c r="O515" s="72"/>
      <c r="P515" s="72"/>
      <c r="Q515" s="72"/>
      <c r="R515" s="72"/>
      <c r="S515" s="72"/>
      <c r="T515" s="72"/>
      <c r="U515" s="72"/>
      <c r="V515" s="72"/>
      <c r="W515" s="72"/>
      <c r="X515" s="25"/>
      <c r="Y515" s="25"/>
      <c r="AC515" s="2015" t="s">
        <v>625</v>
      </c>
      <c r="AD515" s="2016"/>
      <c r="AE515" s="2016"/>
      <c r="AF515" s="2016"/>
      <c r="AG515" s="75" t="s">
        <v>423</v>
      </c>
      <c r="AH515" s="2013"/>
      <c r="AI515" s="2013"/>
      <c r="AJ515" s="2013"/>
      <c r="AK515" s="201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8"/>
      <c r="C516" s="1989"/>
      <c r="D516" s="1989"/>
      <c r="E516" s="1989"/>
      <c r="F516" s="1989"/>
      <c r="G516" s="1989"/>
      <c r="H516" s="1990"/>
      <c r="I516" s="25" t="s">
        <v>430</v>
      </c>
      <c r="J516" s="25"/>
      <c r="K516" s="25"/>
      <c r="L516" s="25"/>
      <c r="M516" s="25"/>
      <c r="N516" s="25"/>
      <c r="O516" s="25"/>
      <c r="P516" s="25"/>
      <c r="Q516" s="25"/>
      <c r="R516" s="25"/>
      <c r="S516" s="25"/>
      <c r="T516" s="25"/>
      <c r="U516" s="25"/>
      <c r="V516" s="25"/>
      <c r="W516" s="25"/>
      <c r="X516" s="25"/>
      <c r="Y516" s="25"/>
      <c r="AC516" s="2015" t="s">
        <v>625</v>
      </c>
      <c r="AD516" s="2016"/>
      <c r="AE516" s="2016"/>
      <c r="AF516" s="2016"/>
      <c r="AG516" s="75" t="s">
        <v>423</v>
      </c>
      <c r="AH516" s="2013"/>
      <c r="AI516" s="2013"/>
      <c r="AJ516" s="2013"/>
      <c r="AK516" s="201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431</v>
      </c>
      <c r="J517" s="25"/>
      <c r="K517" s="25"/>
      <c r="L517" s="25"/>
      <c r="M517" s="25"/>
      <c r="N517" s="25"/>
      <c r="O517" s="25"/>
      <c r="P517" s="25"/>
      <c r="Q517" s="25"/>
      <c r="R517" s="25"/>
      <c r="S517" s="25"/>
      <c r="T517" s="25"/>
      <c r="U517" s="25"/>
      <c r="V517" s="25"/>
      <c r="W517" s="25"/>
      <c r="X517" s="25"/>
      <c r="Y517" s="25"/>
      <c r="AC517" s="2015">
        <v>3</v>
      </c>
      <c r="AD517" s="2016"/>
      <c r="AE517" s="2016"/>
      <c r="AF517" s="2016"/>
      <c r="AG517" s="75" t="s">
        <v>423</v>
      </c>
      <c r="AH517" s="2013">
        <v>2021</v>
      </c>
      <c r="AI517" s="2013"/>
      <c r="AJ517" s="2013"/>
      <c r="AK517" s="201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8"/>
      <c r="C518" s="1989"/>
      <c r="D518" s="1989"/>
      <c r="E518" s="1989"/>
      <c r="F518" s="1989"/>
      <c r="G518" s="1989"/>
      <c r="H518" s="1990"/>
      <c r="I518" s="25" t="s">
        <v>432</v>
      </c>
      <c r="J518" s="25"/>
      <c r="K518" s="25"/>
      <c r="L518" s="25"/>
      <c r="M518" s="25"/>
      <c r="N518" s="25"/>
      <c r="O518" s="25"/>
      <c r="P518" s="25"/>
      <c r="Q518" s="25"/>
      <c r="R518" s="25"/>
      <c r="S518" s="25"/>
      <c r="T518" s="25"/>
      <c r="U518" s="25"/>
      <c r="V518" s="25"/>
      <c r="W518" s="25"/>
      <c r="X518" s="25"/>
      <c r="Y518" s="25"/>
      <c r="AC518" s="2015">
        <v>12</v>
      </c>
      <c r="AD518" s="2016"/>
      <c r="AE518" s="2016"/>
      <c r="AF518" s="2016"/>
      <c r="AG518" s="75" t="s">
        <v>423</v>
      </c>
      <c r="AH518" s="2013">
        <v>2022</v>
      </c>
      <c r="AI518" s="2013"/>
      <c r="AJ518" s="2013"/>
      <c r="AK518" s="201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8"/>
      <c r="C519" s="1989"/>
      <c r="D519" s="1989"/>
      <c r="E519" s="1989"/>
      <c r="F519" s="1989"/>
      <c r="G519" s="1989"/>
      <c r="H519" s="1990"/>
      <c r="I519" s="177" t="s">
        <v>433</v>
      </c>
      <c r="J519" s="25"/>
      <c r="K519" s="25"/>
      <c r="L519" s="25"/>
      <c r="M519" s="25"/>
      <c r="N519" s="25"/>
      <c r="O519" s="25"/>
      <c r="P519" s="25"/>
      <c r="Q519" s="25"/>
      <c r="R519" s="25"/>
      <c r="S519" s="25"/>
      <c r="T519" s="25"/>
      <c r="U519" s="25"/>
      <c r="V519" s="25"/>
      <c r="W519" s="25"/>
      <c r="X519" s="25"/>
      <c r="Y519" s="25"/>
      <c r="AC519" s="2020">
        <v>12</v>
      </c>
      <c r="AD519" s="2021"/>
      <c r="AE519" s="2021"/>
      <c r="AF519" s="2021"/>
      <c r="AG519" s="75" t="s">
        <v>423</v>
      </c>
      <c r="AH519" s="2013">
        <v>2022</v>
      </c>
      <c r="AI519" s="2013"/>
      <c r="AJ519" s="2013"/>
      <c r="AK519" s="201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8"/>
      <c r="C520" s="1989"/>
      <c r="D520" s="1989"/>
      <c r="E520" s="1989"/>
      <c r="F520" s="1989"/>
      <c r="G520" s="1989"/>
      <c r="H520" s="1990"/>
      <c r="I520" s="1474" t="s">
        <v>174</v>
      </c>
      <c r="J520" s="80"/>
      <c r="K520" s="80"/>
      <c r="L520" s="2126" t="s">
        <v>342</v>
      </c>
      <c r="M520" s="2072"/>
      <c r="N520" s="2072"/>
      <c r="O520" s="2072"/>
      <c r="P520" s="2072"/>
      <c r="Q520" s="2072"/>
      <c r="R520" s="2072"/>
      <c r="S520" s="2072"/>
      <c r="T520" s="2072"/>
      <c r="U520" s="2072"/>
      <c r="V520" s="2072"/>
      <c r="W520" s="2072"/>
      <c r="X520" s="2072"/>
      <c r="Y520" s="2072"/>
      <c r="Z520" s="2072"/>
      <c r="AA520" s="2072"/>
      <c r="AB520" s="2127"/>
      <c r="AC520" s="2015" t="s">
        <v>625</v>
      </c>
      <c r="AD520" s="2016"/>
      <c r="AE520" s="2016"/>
      <c r="AF520" s="2016"/>
      <c r="AG520" s="1445" t="s">
        <v>423</v>
      </c>
      <c r="AH520" s="2013"/>
      <c r="AI520" s="2013"/>
      <c r="AJ520" s="2013"/>
      <c r="AK520" s="201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1986</v>
      </c>
      <c r="J521" s="25"/>
      <c r="K521" s="25"/>
      <c r="L521" s="25"/>
      <c r="M521" s="25"/>
      <c r="N521" s="25"/>
      <c r="O521" s="25"/>
      <c r="P521" s="25"/>
      <c r="Q521" s="25"/>
      <c r="R521" s="25"/>
      <c r="S521" s="25"/>
      <c r="T521" s="25"/>
      <c r="U521" s="25"/>
      <c r="V521" s="25"/>
      <c r="W521" s="25"/>
      <c r="X521" s="25"/>
      <c r="Y521" s="25"/>
      <c r="AC521" s="2029" t="s">
        <v>705</v>
      </c>
      <c r="AD521" s="2029"/>
      <c r="AE521" s="2029"/>
      <c r="AF521" s="2029"/>
      <c r="AG521" s="1690"/>
      <c r="AH521" s="2018"/>
      <c r="AI521" s="2018"/>
      <c r="AJ521" s="2018"/>
      <c r="AK521" s="201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6"/>
      <c r="C522" s="1437"/>
      <c r="D522" s="1437"/>
      <c r="E522" s="1437"/>
      <c r="F522" s="1437"/>
      <c r="G522" s="1437"/>
      <c r="H522" s="1438"/>
      <c r="I522" s="685" t="s">
        <v>1983</v>
      </c>
      <c r="J522" s="25"/>
      <c r="K522" s="25"/>
      <c r="L522" s="25"/>
      <c r="M522" s="25"/>
      <c r="N522" s="25"/>
      <c r="O522" s="25"/>
      <c r="P522" s="25"/>
      <c r="Q522" s="25"/>
      <c r="R522" s="25"/>
      <c r="S522" s="25"/>
      <c r="T522" s="25"/>
      <c r="U522" s="25"/>
      <c r="V522" s="25"/>
      <c r="W522" s="25"/>
      <c r="X522" s="25"/>
      <c r="Y522" s="25"/>
      <c r="AC522" s="2020"/>
      <c r="AD522" s="2021"/>
      <c r="AE522" s="2021"/>
      <c r="AF522" s="2022"/>
      <c r="AG522" s="1690"/>
      <c r="AH522" s="2018"/>
      <c r="AI522" s="2018"/>
      <c r="AJ522" s="2018"/>
      <c r="AK522" s="201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6"/>
      <c r="C523" s="1437"/>
      <c r="D523" s="1437"/>
      <c r="E523" s="1437"/>
      <c r="F523" s="1437"/>
      <c r="G523" s="1437"/>
      <c r="H523" s="1438"/>
      <c r="I523" s="685" t="s">
        <v>1984</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6"/>
      <c r="C524" s="1437"/>
      <c r="D524" s="1437"/>
      <c r="E524" s="1437"/>
      <c r="F524" s="1437"/>
      <c r="G524" s="1437"/>
      <c r="H524" s="1438"/>
      <c r="I524" s="1475" t="s">
        <v>1985</v>
      </c>
      <c r="J524" s="80"/>
      <c r="K524" s="80"/>
      <c r="L524" s="80"/>
      <c r="M524" s="80"/>
      <c r="N524" s="80"/>
      <c r="O524" s="80"/>
      <c r="P524" s="80"/>
      <c r="Q524" s="80"/>
      <c r="R524" s="80"/>
      <c r="S524" s="80"/>
      <c r="T524" s="80"/>
      <c r="U524" s="80"/>
      <c r="V524" s="80"/>
      <c r="W524" s="80"/>
      <c r="X524" s="80"/>
      <c r="Y524" s="80"/>
      <c r="Z524" s="80"/>
      <c r="AA524" s="80"/>
      <c r="AB524" s="80"/>
      <c r="AC524" s="2023"/>
      <c r="AD524" s="2024"/>
      <c r="AE524" s="2024"/>
      <c r="AF524" s="2025"/>
      <c r="AG524" s="1691"/>
      <c r="AH524" s="2026"/>
      <c r="AI524" s="2026"/>
      <c r="AJ524" s="2026"/>
      <c r="AK524" s="20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122" t="s">
        <v>422</v>
      </c>
      <c r="AD525" s="2123"/>
      <c r="AE525" s="2123"/>
      <c r="AF525" s="2123"/>
      <c r="AG525" s="1691" t="s">
        <v>423</v>
      </c>
      <c r="AH525" s="2123" t="s">
        <v>424</v>
      </c>
      <c r="AI525" s="2123"/>
      <c r="AJ525" s="2123"/>
      <c r="AK525" s="21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434</v>
      </c>
      <c r="C526" s="1986"/>
      <c r="D526" s="1986"/>
      <c r="E526" s="1986"/>
      <c r="F526" s="1986"/>
      <c r="G526" s="1986"/>
      <c r="H526" s="1987"/>
      <c r="I526" s="72" t="s">
        <v>435</v>
      </c>
      <c r="J526" s="72"/>
      <c r="K526" s="72"/>
      <c r="L526" s="72"/>
      <c r="M526" s="72"/>
      <c r="N526" s="72"/>
      <c r="O526" s="72"/>
      <c r="P526" s="72"/>
      <c r="Q526" s="72"/>
      <c r="R526" s="72"/>
      <c r="S526" s="72"/>
      <c r="T526" s="72"/>
      <c r="U526" s="72"/>
      <c r="V526" s="72"/>
      <c r="W526" s="72"/>
      <c r="X526" s="25"/>
      <c r="Y526" s="25"/>
      <c r="AC526" s="2015">
        <v>2</v>
      </c>
      <c r="AD526" s="2016"/>
      <c r="AE526" s="2016"/>
      <c r="AF526" s="2016"/>
      <c r="AG526" s="75" t="s">
        <v>423</v>
      </c>
      <c r="AH526" s="2013">
        <v>2022</v>
      </c>
      <c r="AI526" s="2013"/>
      <c r="AJ526" s="2013"/>
      <c r="AK526" s="201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436</v>
      </c>
      <c r="J527" s="25"/>
      <c r="K527" s="25"/>
      <c r="L527" s="25"/>
      <c r="M527" s="25"/>
      <c r="N527" s="25"/>
      <c r="O527" s="25"/>
      <c r="P527" s="25"/>
      <c r="Q527" s="25"/>
      <c r="R527" s="25"/>
      <c r="S527" s="25"/>
      <c r="T527" s="25"/>
      <c r="U527" s="25"/>
      <c r="V527" s="25"/>
      <c r="W527" s="25"/>
      <c r="X527" s="25"/>
      <c r="Y527" s="25"/>
      <c r="AC527" s="2015">
        <v>4</v>
      </c>
      <c r="AD527" s="2016"/>
      <c r="AE527" s="2016"/>
      <c r="AF527" s="2016"/>
      <c r="AG527" s="75" t="s">
        <v>423</v>
      </c>
      <c r="AH527" s="2013">
        <v>2022</v>
      </c>
      <c r="AI527" s="2013"/>
      <c r="AJ527" s="2013"/>
      <c r="AK527" s="201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8"/>
      <c r="C528" s="1989"/>
      <c r="D528" s="1989"/>
      <c r="E528" s="1989"/>
      <c r="F528" s="1989"/>
      <c r="G528" s="1989"/>
      <c r="H528" s="1990"/>
      <c r="I528" s="80" t="s">
        <v>437</v>
      </c>
      <c r="J528" s="80"/>
      <c r="K528" s="80"/>
      <c r="L528" s="80"/>
      <c r="M528" s="80"/>
      <c r="N528" s="80"/>
      <c r="O528" s="80"/>
      <c r="P528" s="80"/>
      <c r="Q528" s="80"/>
      <c r="R528" s="80"/>
      <c r="S528" s="80"/>
      <c r="T528" s="80"/>
      <c r="U528" s="80"/>
      <c r="V528" s="80"/>
      <c r="W528" s="80"/>
      <c r="X528" s="80"/>
      <c r="Y528" s="80"/>
      <c r="Z528" s="80"/>
      <c r="AA528" s="80"/>
      <c r="AB528" s="80"/>
      <c r="AC528" s="2015">
        <v>12</v>
      </c>
      <c r="AD528" s="2016"/>
      <c r="AE528" s="2016"/>
      <c r="AF528" s="2016"/>
      <c r="AG528" s="65" t="s">
        <v>423</v>
      </c>
      <c r="AH528" s="2013">
        <v>2022</v>
      </c>
      <c r="AI528" s="2013"/>
      <c r="AJ528" s="2013"/>
      <c r="AK528" s="201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5" t="s">
        <v>438</v>
      </c>
      <c r="C529" s="1986"/>
      <c r="D529" s="1986"/>
      <c r="E529" s="1986"/>
      <c r="F529" s="1986"/>
      <c r="G529" s="1986"/>
      <c r="H529" s="1987"/>
      <c r="I529" s="72" t="s">
        <v>435</v>
      </c>
      <c r="J529" s="72"/>
      <c r="K529" s="72"/>
      <c r="L529" s="72"/>
      <c r="M529" s="72"/>
      <c r="N529" s="72"/>
      <c r="O529" s="72"/>
      <c r="P529" s="72"/>
      <c r="Q529" s="72"/>
      <c r="R529" s="72"/>
      <c r="S529" s="72"/>
      <c r="T529" s="72"/>
      <c r="U529" s="72"/>
      <c r="V529" s="72"/>
      <c r="W529" s="72"/>
      <c r="X529" s="72"/>
      <c r="Y529" s="72"/>
      <c r="Z529" s="72"/>
      <c r="AA529" s="72"/>
      <c r="AB529" s="72"/>
      <c r="AC529" s="2020">
        <v>2</v>
      </c>
      <c r="AD529" s="2021"/>
      <c r="AE529" s="2021"/>
      <c r="AF529" s="2021"/>
      <c r="AG529" s="196" t="s">
        <v>423</v>
      </c>
      <c r="AH529" s="2013">
        <v>2022</v>
      </c>
      <c r="AI529" s="2013"/>
      <c r="AJ529" s="2013"/>
      <c r="AK529" s="201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8"/>
      <c r="C530" s="1989"/>
      <c r="D530" s="1989"/>
      <c r="E530" s="1989"/>
      <c r="F530" s="1989"/>
      <c r="G530" s="1989"/>
      <c r="H530" s="1990"/>
      <c r="I530" s="25" t="s">
        <v>436</v>
      </c>
      <c r="J530" s="25"/>
      <c r="K530" s="25"/>
      <c r="L530" s="25"/>
      <c r="M530" s="25"/>
      <c r="N530" s="25"/>
      <c r="O530" s="25"/>
      <c r="P530" s="25"/>
      <c r="Q530" s="25"/>
      <c r="R530" s="25"/>
      <c r="S530" s="25"/>
      <c r="T530" s="25"/>
      <c r="U530" s="25"/>
      <c r="V530" s="25"/>
      <c r="W530" s="25"/>
      <c r="X530" s="25"/>
      <c r="Y530" s="25"/>
      <c r="Z530" s="25"/>
      <c r="AA530" s="25"/>
      <c r="AB530" s="25"/>
      <c r="AC530" s="2015">
        <v>11</v>
      </c>
      <c r="AD530" s="2016"/>
      <c r="AE530" s="2016"/>
      <c r="AF530" s="2016"/>
      <c r="AG530" s="75" t="s">
        <v>423</v>
      </c>
      <c r="AH530" s="2013">
        <v>2022</v>
      </c>
      <c r="AI530" s="2013"/>
      <c r="AJ530" s="2013"/>
      <c r="AK530" s="201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4"/>
      <c r="C531" s="2135"/>
      <c r="D531" s="2135"/>
      <c r="E531" s="2135"/>
      <c r="F531" s="2135"/>
      <c r="G531" s="2135"/>
      <c r="H531" s="2136"/>
      <c r="I531" s="80" t="s">
        <v>437</v>
      </c>
      <c r="J531" s="80"/>
      <c r="K531" s="80"/>
      <c r="L531" s="80"/>
      <c r="M531" s="80"/>
      <c r="N531" s="80"/>
      <c r="O531" s="80"/>
      <c r="P531" s="80"/>
      <c r="Q531" s="80"/>
      <c r="R531" s="80"/>
      <c r="S531" s="80"/>
      <c r="T531" s="80"/>
      <c r="U531" s="80"/>
      <c r="V531" s="80"/>
      <c r="W531" s="80"/>
      <c r="X531" s="80"/>
      <c r="Y531" s="80"/>
      <c r="Z531" s="80"/>
      <c r="AA531" s="80"/>
      <c r="AB531" s="80"/>
      <c r="AC531" s="2015">
        <v>3</v>
      </c>
      <c r="AD531" s="2016"/>
      <c r="AE531" s="2016"/>
      <c r="AF531" s="2016"/>
      <c r="AG531" s="65" t="s">
        <v>423</v>
      </c>
      <c r="AH531" s="2013">
        <v>2025</v>
      </c>
      <c r="AI531" s="2013"/>
      <c r="AJ531" s="2013"/>
      <c r="AK531" s="201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5" t="s">
        <v>439</v>
      </c>
      <c r="C532" s="1986"/>
      <c r="D532" s="1986"/>
      <c r="E532" s="1986"/>
      <c r="F532" s="1986"/>
      <c r="G532" s="1986"/>
      <c r="H532" s="1987"/>
      <c r="I532" s="71" t="s">
        <v>440</v>
      </c>
      <c r="J532" s="72"/>
      <c r="K532" s="72"/>
      <c r="L532" s="72"/>
      <c r="M532" s="72"/>
      <c r="N532" s="72"/>
      <c r="O532" s="2001" t="s">
        <v>2587</v>
      </c>
      <c r="P532" s="2002"/>
      <c r="Q532" s="2002"/>
      <c r="R532" s="2002"/>
      <c r="S532" s="2002"/>
      <c r="T532" s="2002"/>
      <c r="U532" s="2002"/>
      <c r="V532" s="2002"/>
      <c r="W532" s="2002"/>
      <c r="X532" s="2002"/>
      <c r="Y532" s="2002"/>
      <c r="Z532" s="2002"/>
      <c r="AA532" s="2002"/>
      <c r="AB532" s="94"/>
      <c r="AC532" s="2020">
        <v>2</v>
      </c>
      <c r="AD532" s="2021"/>
      <c r="AE532" s="2021"/>
      <c r="AF532" s="2021"/>
      <c r="AG532" s="196" t="s">
        <v>423</v>
      </c>
      <c r="AH532" s="2013">
        <v>2022</v>
      </c>
      <c r="AI532" s="2013"/>
      <c r="AJ532" s="2013"/>
      <c r="AK532" s="201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8"/>
      <c r="C533" s="1989"/>
      <c r="D533" s="1989"/>
      <c r="E533" s="1989"/>
      <c r="F533" s="1989"/>
      <c r="G533" s="1989"/>
      <c r="H533" s="1990"/>
      <c r="I533" s="171" t="s">
        <v>441</v>
      </c>
      <c r="J533" s="25"/>
      <c r="K533" s="25"/>
      <c r="L533" s="25"/>
      <c r="M533" s="25"/>
      <c r="N533" s="25"/>
      <c r="O533" s="25"/>
      <c r="P533" s="25"/>
      <c r="Q533" s="25"/>
      <c r="R533" s="25"/>
      <c r="S533" s="25"/>
      <c r="T533" s="25"/>
      <c r="U533" s="25"/>
      <c r="V533" s="25"/>
      <c r="W533" s="25"/>
      <c r="X533" s="25"/>
      <c r="Y533" s="25"/>
      <c r="Z533" s="25"/>
      <c r="AA533" s="25"/>
      <c r="AB533" s="101"/>
      <c r="AC533" s="2015">
        <v>2</v>
      </c>
      <c r="AD533" s="2016"/>
      <c r="AE533" s="2016"/>
      <c r="AF533" s="2016"/>
      <c r="AG533" s="75" t="s">
        <v>423</v>
      </c>
      <c r="AH533" s="2013">
        <v>2022</v>
      </c>
      <c r="AI533" s="2013"/>
      <c r="AJ533" s="2013"/>
      <c r="AK533" s="201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8"/>
      <c r="C534" s="1989"/>
      <c r="D534" s="1989"/>
      <c r="E534" s="1989"/>
      <c r="F534" s="1989"/>
      <c r="G534" s="1989"/>
      <c r="H534" s="1990"/>
      <c r="I534" s="79" t="s">
        <v>442</v>
      </c>
      <c r="J534" s="80"/>
      <c r="K534" s="80"/>
      <c r="L534" s="80"/>
      <c r="M534" s="80"/>
      <c r="N534" s="80"/>
      <c r="O534" s="80"/>
      <c r="P534" s="80"/>
      <c r="Q534" s="80"/>
      <c r="R534" s="80"/>
      <c r="S534" s="80"/>
      <c r="T534" s="80"/>
      <c r="U534" s="80"/>
      <c r="V534" s="80"/>
      <c r="W534" s="80"/>
      <c r="X534" s="80"/>
      <c r="Y534" s="80"/>
      <c r="Z534" s="80"/>
      <c r="AA534" s="80"/>
      <c r="AB534" s="81"/>
      <c r="AC534" s="2015">
        <v>3</v>
      </c>
      <c r="AD534" s="2016"/>
      <c r="AE534" s="2016"/>
      <c r="AF534" s="2016"/>
      <c r="AG534" s="65" t="s">
        <v>423</v>
      </c>
      <c r="AH534" s="2013">
        <v>2025</v>
      </c>
      <c r="AI534" s="2013"/>
      <c r="AJ534" s="2013"/>
      <c r="AK534" s="201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8"/>
      <c r="C535" s="1989"/>
      <c r="D535" s="1989"/>
      <c r="E535" s="1989"/>
      <c r="F535" s="1989"/>
      <c r="G535" s="1989"/>
      <c r="H535" s="1990"/>
      <c r="I535" s="72" t="s">
        <v>443</v>
      </c>
      <c r="J535" s="72"/>
      <c r="K535" s="72"/>
      <c r="L535" s="72"/>
      <c r="M535" s="72"/>
      <c r="N535" s="72"/>
      <c r="O535" s="1975" t="s">
        <v>342</v>
      </c>
      <c r="P535" s="1975"/>
      <c r="Q535" s="1975"/>
      <c r="R535" s="1975"/>
      <c r="S535" s="1975"/>
      <c r="T535" s="1975"/>
      <c r="U535" s="1975"/>
      <c r="V535" s="1975"/>
      <c r="W535" s="1975"/>
      <c r="X535" s="1975"/>
      <c r="Y535" s="1975"/>
      <c r="Z535" s="1975"/>
      <c r="AA535" s="1975"/>
      <c r="AC535" s="2015" t="s">
        <v>625</v>
      </c>
      <c r="AD535" s="2016"/>
      <c r="AE535" s="2016"/>
      <c r="AF535" s="2016"/>
      <c r="AG535" s="75" t="s">
        <v>423</v>
      </c>
      <c r="AH535" s="2013"/>
      <c r="AI535" s="2013"/>
      <c r="AJ535" s="2013"/>
      <c r="AK535" s="201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8"/>
      <c r="C536" s="1989"/>
      <c r="D536" s="1989"/>
      <c r="E536" s="1989"/>
      <c r="F536" s="1989"/>
      <c r="G536" s="1989"/>
      <c r="H536" s="1990"/>
      <c r="I536" s="25" t="s">
        <v>441</v>
      </c>
      <c r="J536" s="25"/>
      <c r="K536" s="25"/>
      <c r="L536" s="25"/>
      <c r="M536" s="25"/>
      <c r="N536" s="25"/>
      <c r="O536" s="25"/>
      <c r="P536" s="25"/>
      <c r="Q536" s="25"/>
      <c r="R536" s="25"/>
      <c r="S536" s="25"/>
      <c r="T536" s="25"/>
      <c r="U536" s="25"/>
      <c r="V536" s="25"/>
      <c r="W536" s="25"/>
      <c r="X536" s="25"/>
      <c r="Y536" s="25"/>
      <c r="AC536" s="2015" t="s">
        <v>625</v>
      </c>
      <c r="AD536" s="2016"/>
      <c r="AE536" s="2016"/>
      <c r="AF536" s="2016"/>
      <c r="AG536" s="75" t="s">
        <v>423</v>
      </c>
      <c r="AH536" s="2013"/>
      <c r="AI536" s="2013"/>
      <c r="AJ536" s="2013"/>
      <c r="AK536" s="201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8"/>
      <c r="C537" s="1989"/>
      <c r="D537" s="1989"/>
      <c r="E537" s="1989"/>
      <c r="F537" s="1989"/>
      <c r="G537" s="1989"/>
      <c r="H537" s="1990"/>
      <c r="I537" s="80" t="s">
        <v>442</v>
      </c>
      <c r="J537" s="80"/>
      <c r="K537" s="80"/>
      <c r="L537" s="80"/>
      <c r="M537" s="80"/>
      <c r="N537" s="80"/>
      <c r="O537" s="80"/>
      <c r="P537" s="80"/>
      <c r="Q537" s="80"/>
      <c r="R537" s="80"/>
      <c r="S537" s="80"/>
      <c r="T537" s="80"/>
      <c r="U537" s="80"/>
      <c r="V537" s="80"/>
      <c r="W537" s="80"/>
      <c r="X537" s="80"/>
      <c r="Y537" s="80"/>
      <c r="Z537" s="80"/>
      <c r="AA537" s="80"/>
      <c r="AB537" s="80"/>
      <c r="AC537" s="2015" t="s">
        <v>625</v>
      </c>
      <c r="AD537" s="2016"/>
      <c r="AE537" s="2016"/>
      <c r="AF537" s="2016"/>
      <c r="AG537" s="65" t="s">
        <v>423</v>
      </c>
      <c r="AH537" s="2013"/>
      <c r="AI537" s="2013"/>
      <c r="AJ537" s="2013"/>
      <c r="AK537" s="201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8"/>
      <c r="C538" s="1989"/>
      <c r="D538" s="1989"/>
      <c r="E538" s="1989"/>
      <c r="F538" s="1989"/>
      <c r="G538" s="1989"/>
      <c r="H538" s="1990"/>
      <c r="I538" s="72" t="s">
        <v>443</v>
      </c>
      <c r="J538" s="72"/>
      <c r="K538" s="72"/>
      <c r="L538" s="72"/>
      <c r="M538" s="72"/>
      <c r="N538" s="72"/>
      <c r="O538" s="1975" t="s">
        <v>342</v>
      </c>
      <c r="P538" s="1975"/>
      <c r="Q538" s="1975"/>
      <c r="R538" s="1975"/>
      <c r="S538" s="1975"/>
      <c r="T538" s="1975"/>
      <c r="U538" s="1975"/>
      <c r="V538" s="1975"/>
      <c r="W538" s="1975"/>
      <c r="X538" s="1975"/>
      <c r="Y538" s="1975"/>
      <c r="Z538" s="1975"/>
      <c r="AA538" s="1975"/>
      <c r="AC538" s="2015" t="s">
        <v>625</v>
      </c>
      <c r="AD538" s="2016"/>
      <c r="AE538" s="2016"/>
      <c r="AF538" s="2016"/>
      <c r="AG538" s="75" t="s">
        <v>423</v>
      </c>
      <c r="AH538" s="2013"/>
      <c r="AI538" s="2013"/>
      <c r="AJ538" s="2013"/>
      <c r="AK538" s="201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8"/>
      <c r="C539" s="1989"/>
      <c r="D539" s="1989"/>
      <c r="E539" s="1989"/>
      <c r="F539" s="1989"/>
      <c r="G539" s="1989"/>
      <c r="H539" s="1990"/>
      <c r="I539" s="25" t="s">
        <v>441</v>
      </c>
      <c r="J539" s="25"/>
      <c r="K539" s="25"/>
      <c r="L539" s="25"/>
      <c r="M539" s="25"/>
      <c r="N539" s="25"/>
      <c r="O539" s="25"/>
      <c r="P539" s="25"/>
      <c r="Q539" s="25"/>
      <c r="R539" s="25"/>
      <c r="S539" s="25"/>
      <c r="T539" s="25"/>
      <c r="U539" s="25"/>
      <c r="V539" s="25"/>
      <c r="W539" s="25"/>
      <c r="X539" s="25"/>
      <c r="Y539" s="25"/>
      <c r="AC539" s="2015" t="s">
        <v>625</v>
      </c>
      <c r="AD539" s="2016"/>
      <c r="AE539" s="2016"/>
      <c r="AF539" s="2016"/>
      <c r="AG539" s="75" t="s">
        <v>423</v>
      </c>
      <c r="AH539" s="2013"/>
      <c r="AI539" s="2013"/>
      <c r="AJ539" s="2013"/>
      <c r="AK539" s="201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8"/>
      <c r="C540" s="1989"/>
      <c r="D540" s="1989"/>
      <c r="E540" s="1989"/>
      <c r="F540" s="1989"/>
      <c r="G540" s="1989"/>
      <c r="H540" s="1990"/>
      <c r="I540" s="80" t="s">
        <v>442</v>
      </c>
      <c r="J540" s="80"/>
      <c r="K540" s="80"/>
      <c r="L540" s="80"/>
      <c r="M540" s="80"/>
      <c r="N540" s="80"/>
      <c r="O540" s="80"/>
      <c r="P540" s="80"/>
      <c r="Q540" s="80"/>
      <c r="R540" s="80"/>
      <c r="S540" s="80"/>
      <c r="T540" s="80"/>
      <c r="U540" s="80"/>
      <c r="V540" s="80"/>
      <c r="W540" s="80"/>
      <c r="X540" s="80"/>
      <c r="Y540" s="80"/>
      <c r="Z540" s="80"/>
      <c r="AA540" s="80"/>
      <c r="AB540" s="80"/>
      <c r="AC540" s="2015" t="s">
        <v>625</v>
      </c>
      <c r="AD540" s="2016"/>
      <c r="AE540" s="2016"/>
      <c r="AF540" s="2016"/>
      <c r="AG540" s="65" t="s">
        <v>423</v>
      </c>
      <c r="AH540" s="2013"/>
      <c r="AI540" s="2013"/>
      <c r="AJ540" s="2013"/>
      <c r="AK540" s="201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8"/>
      <c r="C541" s="1989"/>
      <c r="D541" s="1989"/>
      <c r="E541" s="1989"/>
      <c r="F541" s="1989"/>
      <c r="G541" s="1989"/>
      <c r="H541" s="1990"/>
      <c r="I541" s="72" t="s">
        <v>443</v>
      </c>
      <c r="J541" s="72"/>
      <c r="K541" s="72"/>
      <c r="L541" s="72"/>
      <c r="M541" s="72"/>
      <c r="N541" s="72"/>
      <c r="O541" s="1975" t="s">
        <v>342</v>
      </c>
      <c r="P541" s="1975"/>
      <c r="Q541" s="1975"/>
      <c r="R541" s="1975"/>
      <c r="S541" s="1975"/>
      <c r="T541" s="1975"/>
      <c r="U541" s="1975"/>
      <c r="V541" s="1975"/>
      <c r="W541" s="1975"/>
      <c r="X541" s="1975"/>
      <c r="Y541" s="1975"/>
      <c r="Z541" s="1975"/>
      <c r="AA541" s="1975"/>
      <c r="AC541" s="2015" t="s">
        <v>625</v>
      </c>
      <c r="AD541" s="2016"/>
      <c r="AE541" s="2016"/>
      <c r="AF541" s="2016"/>
      <c r="AG541" s="75" t="s">
        <v>423</v>
      </c>
      <c r="AH541" s="2013"/>
      <c r="AI541" s="2013"/>
      <c r="AJ541" s="2013"/>
      <c r="AK541" s="201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8"/>
      <c r="C542" s="1989"/>
      <c r="D542" s="1989"/>
      <c r="E542" s="1989"/>
      <c r="F542" s="1989"/>
      <c r="G542" s="1989"/>
      <c r="H542" s="1990"/>
      <c r="I542" s="25" t="s">
        <v>441</v>
      </c>
      <c r="J542" s="25"/>
      <c r="K542" s="25"/>
      <c r="L542" s="25"/>
      <c r="M542" s="25"/>
      <c r="N542" s="25"/>
      <c r="O542" s="25"/>
      <c r="P542" s="25"/>
      <c r="Q542" s="25"/>
      <c r="R542" s="25"/>
      <c r="S542" s="25"/>
      <c r="T542" s="25"/>
      <c r="U542" s="25"/>
      <c r="V542" s="25"/>
      <c r="W542" s="25"/>
      <c r="X542" s="25"/>
      <c r="Y542" s="25"/>
      <c r="AC542" s="2015" t="s">
        <v>625</v>
      </c>
      <c r="AD542" s="2016"/>
      <c r="AE542" s="2016"/>
      <c r="AF542" s="2016"/>
      <c r="AG542" s="75" t="s">
        <v>423</v>
      </c>
      <c r="AH542" s="2013"/>
      <c r="AI542" s="2013"/>
      <c r="AJ542" s="2013"/>
      <c r="AK542" s="201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8"/>
      <c r="C543" s="1989"/>
      <c r="D543" s="1989"/>
      <c r="E543" s="1989"/>
      <c r="F543" s="1989"/>
      <c r="G543" s="1989"/>
      <c r="H543" s="1990"/>
      <c r="I543" s="80" t="s">
        <v>442</v>
      </c>
      <c r="J543" s="80"/>
      <c r="K543" s="80"/>
      <c r="L543" s="80"/>
      <c r="M543" s="80"/>
      <c r="N543" s="80"/>
      <c r="O543" s="80"/>
      <c r="P543" s="80"/>
      <c r="Q543" s="80"/>
      <c r="R543" s="80"/>
      <c r="S543" s="80"/>
      <c r="T543" s="80"/>
      <c r="U543" s="80"/>
      <c r="V543" s="80"/>
      <c r="W543" s="80"/>
      <c r="X543" s="80"/>
      <c r="Y543" s="80"/>
      <c r="Z543" s="80"/>
      <c r="AA543" s="80"/>
      <c r="AB543" s="80"/>
      <c r="AC543" s="2015" t="s">
        <v>625</v>
      </c>
      <c r="AD543" s="2016"/>
      <c r="AE543" s="2016"/>
      <c r="AF543" s="2016"/>
      <c r="AG543" s="65" t="s">
        <v>423</v>
      </c>
      <c r="AH543" s="2013"/>
      <c r="AI543" s="2013"/>
      <c r="AJ543" s="2013"/>
      <c r="AK543" s="201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8"/>
      <c r="C544" s="1989"/>
      <c r="D544" s="1989"/>
      <c r="E544" s="1989"/>
      <c r="F544" s="1989"/>
      <c r="G544" s="1989"/>
      <c r="H544" s="1990"/>
      <c r="I544" s="72" t="s">
        <v>443</v>
      </c>
      <c r="J544" s="72"/>
      <c r="K544" s="72"/>
      <c r="L544" s="72"/>
      <c r="M544" s="72"/>
      <c r="N544" s="72"/>
      <c r="O544" s="1975" t="s">
        <v>342</v>
      </c>
      <c r="P544" s="1975"/>
      <c r="Q544" s="1975"/>
      <c r="R544" s="1975"/>
      <c r="S544" s="1975"/>
      <c r="T544" s="1975"/>
      <c r="U544" s="1975"/>
      <c r="V544" s="1975"/>
      <c r="W544" s="1975"/>
      <c r="X544" s="1975"/>
      <c r="Y544" s="1975"/>
      <c r="Z544" s="1975"/>
      <c r="AA544" s="1975"/>
      <c r="AC544" s="2015" t="s">
        <v>625</v>
      </c>
      <c r="AD544" s="2016"/>
      <c r="AE544" s="2016"/>
      <c r="AF544" s="2016"/>
      <c r="AG544" s="75" t="s">
        <v>423</v>
      </c>
      <c r="AH544" s="2013"/>
      <c r="AI544" s="2013"/>
      <c r="AJ544" s="2013"/>
      <c r="AK544" s="201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8"/>
      <c r="C545" s="1989"/>
      <c r="D545" s="1989"/>
      <c r="E545" s="1989"/>
      <c r="F545" s="1989"/>
      <c r="G545" s="1989"/>
      <c r="H545" s="1990"/>
      <c r="I545" s="25" t="s">
        <v>441</v>
      </c>
      <c r="J545" s="25"/>
      <c r="K545" s="25"/>
      <c r="L545" s="25"/>
      <c r="M545" s="25"/>
      <c r="N545" s="25"/>
      <c r="O545" s="25"/>
      <c r="P545" s="25"/>
      <c r="Q545" s="25"/>
      <c r="R545" s="25"/>
      <c r="S545" s="25"/>
      <c r="T545" s="25"/>
      <c r="U545" s="25"/>
      <c r="V545" s="25"/>
      <c r="W545" s="25"/>
      <c r="X545" s="25"/>
      <c r="Y545" s="25"/>
      <c r="AC545" s="2015" t="s">
        <v>625</v>
      </c>
      <c r="AD545" s="2016"/>
      <c r="AE545" s="2016"/>
      <c r="AF545" s="2016"/>
      <c r="AG545" s="65" t="s">
        <v>423</v>
      </c>
      <c r="AH545" s="2013"/>
      <c r="AI545" s="2013"/>
      <c r="AJ545" s="2013"/>
      <c r="AK545" s="201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8"/>
      <c r="C546" s="1989"/>
      <c r="D546" s="1989"/>
      <c r="E546" s="1989"/>
      <c r="F546" s="1989"/>
      <c r="G546" s="1989"/>
      <c r="H546" s="1990"/>
      <c r="I546" s="80" t="s">
        <v>442</v>
      </c>
      <c r="J546" s="80"/>
      <c r="K546" s="80"/>
      <c r="L546" s="80"/>
      <c r="M546" s="80"/>
      <c r="N546" s="80"/>
      <c r="O546" s="80"/>
      <c r="P546" s="80"/>
      <c r="Q546" s="80"/>
      <c r="R546" s="80"/>
      <c r="S546" s="80"/>
      <c r="T546" s="80"/>
      <c r="U546" s="80"/>
      <c r="V546" s="80"/>
      <c r="W546" s="80"/>
      <c r="X546" s="80"/>
      <c r="Y546" s="80"/>
      <c r="Z546" s="80"/>
      <c r="AA546" s="80"/>
      <c r="AB546" s="80"/>
      <c r="AC546" s="2015" t="s">
        <v>625</v>
      </c>
      <c r="AD546" s="2016"/>
      <c r="AE546" s="2016"/>
      <c r="AF546" s="2016"/>
      <c r="AG546" s="75" t="s">
        <v>423</v>
      </c>
      <c r="AH546" s="2013"/>
      <c r="AI546" s="2013"/>
      <c r="AJ546" s="2013"/>
      <c r="AK546" s="201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8"/>
      <c r="C547" s="1989"/>
      <c r="D547" s="1989"/>
      <c r="E547" s="1989"/>
      <c r="F547" s="1989"/>
      <c r="G547" s="1989"/>
      <c r="H547" s="1990"/>
      <c r="I547" s="72" t="s">
        <v>443</v>
      </c>
      <c r="J547" s="72"/>
      <c r="K547" s="72"/>
      <c r="L547" s="72"/>
      <c r="M547" s="72"/>
      <c r="N547" s="72"/>
      <c r="O547" s="1975" t="s">
        <v>342</v>
      </c>
      <c r="P547" s="1975"/>
      <c r="Q547" s="1975"/>
      <c r="R547" s="1975"/>
      <c r="S547" s="1975"/>
      <c r="T547" s="1975"/>
      <c r="U547" s="1975"/>
      <c r="V547" s="1975"/>
      <c r="W547" s="1975"/>
      <c r="X547" s="1975"/>
      <c r="Y547" s="1975"/>
      <c r="Z547" s="1975"/>
      <c r="AA547" s="1975"/>
      <c r="AC547" s="2015" t="s">
        <v>625</v>
      </c>
      <c r="AD547" s="2016"/>
      <c r="AE547" s="2016"/>
      <c r="AF547" s="2016"/>
      <c r="AG547" s="65" t="s">
        <v>423</v>
      </c>
      <c r="AH547" s="2013"/>
      <c r="AI547" s="2013"/>
      <c r="AJ547" s="2013"/>
      <c r="AK547" s="201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8"/>
      <c r="C548" s="1989"/>
      <c r="D548" s="1989"/>
      <c r="E548" s="1989"/>
      <c r="F548" s="1989"/>
      <c r="G548" s="1989"/>
      <c r="H548" s="1990"/>
      <c r="I548" s="25" t="s">
        <v>441</v>
      </c>
      <c r="J548" s="25"/>
      <c r="K548" s="25"/>
      <c r="L548" s="25"/>
      <c r="M548" s="25"/>
      <c r="N548" s="25"/>
      <c r="O548" s="25"/>
      <c r="P548" s="25"/>
      <c r="Q548" s="25"/>
      <c r="R548" s="25"/>
      <c r="S548" s="25"/>
      <c r="T548" s="25"/>
      <c r="U548" s="25"/>
      <c r="V548" s="25"/>
      <c r="W548" s="25"/>
      <c r="X548" s="25"/>
      <c r="Y548" s="25"/>
      <c r="AC548" s="2015" t="s">
        <v>625</v>
      </c>
      <c r="AD548" s="2016"/>
      <c r="AE548" s="2016"/>
      <c r="AF548" s="2016"/>
      <c r="AG548" s="75" t="s">
        <v>423</v>
      </c>
      <c r="AH548" s="2013"/>
      <c r="AI548" s="2013"/>
      <c r="AJ548" s="2013"/>
      <c r="AK548" s="201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8"/>
      <c r="C549" s="1989"/>
      <c r="D549" s="1989"/>
      <c r="E549" s="1989"/>
      <c r="F549" s="1989"/>
      <c r="G549" s="1989"/>
      <c r="H549" s="1990"/>
      <c r="I549" s="80" t="s">
        <v>442</v>
      </c>
      <c r="J549" s="80"/>
      <c r="K549" s="80"/>
      <c r="L549" s="80"/>
      <c r="M549" s="80"/>
      <c r="N549" s="80"/>
      <c r="O549" s="80"/>
      <c r="P549" s="80"/>
      <c r="Q549" s="80"/>
      <c r="R549" s="80"/>
      <c r="S549" s="80"/>
      <c r="T549" s="80"/>
      <c r="U549" s="80"/>
      <c r="V549" s="80"/>
      <c r="W549" s="80"/>
      <c r="X549" s="80"/>
      <c r="Y549" s="80"/>
      <c r="Z549" s="80"/>
      <c r="AA549" s="80"/>
      <c r="AB549" s="80"/>
      <c r="AC549" s="2015" t="s">
        <v>625</v>
      </c>
      <c r="AD549" s="2016"/>
      <c r="AE549" s="2016"/>
      <c r="AF549" s="2016"/>
      <c r="AG549" s="65" t="s">
        <v>423</v>
      </c>
      <c r="AH549" s="2013"/>
      <c r="AI549" s="2013"/>
      <c r="AJ549" s="2013"/>
      <c r="AK549" s="201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8"/>
      <c r="C550" s="1989"/>
      <c r="D550" s="1989"/>
      <c r="E550" s="1989"/>
      <c r="F550" s="1989"/>
      <c r="G550" s="1989"/>
      <c r="H550" s="1990"/>
      <c r="I550" s="72" t="s">
        <v>594</v>
      </c>
      <c r="J550" s="72"/>
      <c r="K550" s="72"/>
      <c r="L550" s="72"/>
      <c r="M550" s="72"/>
      <c r="N550" s="72"/>
      <c r="O550" s="72"/>
      <c r="P550" s="72"/>
      <c r="Q550" s="72"/>
      <c r="R550" s="72"/>
      <c r="S550" s="72"/>
      <c r="T550" s="72"/>
      <c r="U550" s="72"/>
      <c r="V550" s="72"/>
      <c r="W550" s="72"/>
      <c r="X550" s="25"/>
      <c r="Y550" s="25"/>
      <c r="AC550" s="2015">
        <v>3</v>
      </c>
      <c r="AD550" s="2016"/>
      <c r="AE550" s="2016"/>
      <c r="AF550" s="2016"/>
      <c r="AG550" s="65" t="s">
        <v>423</v>
      </c>
      <c r="AH550" s="2013">
        <v>2023</v>
      </c>
      <c r="AI550" s="2013"/>
      <c r="AJ550" s="2013"/>
      <c r="AK550" s="201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8"/>
      <c r="C551" s="1989"/>
      <c r="D551" s="1989"/>
      <c r="E551" s="1989"/>
      <c r="F551" s="1989"/>
      <c r="G551" s="1989"/>
      <c r="H551" s="1990"/>
      <c r="I551" s="25" t="s">
        <v>595</v>
      </c>
      <c r="J551" s="25"/>
      <c r="K551" s="25"/>
      <c r="L551" s="25"/>
      <c r="M551" s="25"/>
      <c r="N551" s="25"/>
      <c r="O551" s="25"/>
      <c r="P551" s="25"/>
      <c r="Q551" s="25"/>
      <c r="R551" s="25"/>
      <c r="S551" s="25"/>
      <c r="T551" s="25"/>
      <c r="U551" s="25"/>
      <c r="V551" s="25"/>
      <c r="W551" s="25"/>
      <c r="X551" s="25"/>
      <c r="Y551" s="25"/>
      <c r="AC551" s="2015">
        <v>12</v>
      </c>
      <c r="AD551" s="2016"/>
      <c r="AE551" s="2016"/>
      <c r="AF551" s="2016"/>
      <c r="AG551" s="75" t="s">
        <v>423</v>
      </c>
      <c r="AH551" s="2013">
        <v>2022</v>
      </c>
      <c r="AI551" s="2013"/>
      <c r="AJ551" s="2013"/>
      <c r="AK551" s="201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8"/>
      <c r="C552" s="1989"/>
      <c r="D552" s="1989"/>
      <c r="E552" s="1989"/>
      <c r="F552" s="1989"/>
      <c r="G552" s="1989"/>
      <c r="H552" s="1990"/>
      <c r="I552" s="25" t="s">
        <v>596</v>
      </c>
      <c r="J552" s="25"/>
      <c r="K552" s="25"/>
      <c r="L552" s="25"/>
      <c r="M552" s="25"/>
      <c r="N552" s="25"/>
      <c r="O552" s="25"/>
      <c r="P552" s="25"/>
      <c r="Q552" s="25"/>
      <c r="R552" s="25"/>
      <c r="S552" s="25"/>
      <c r="T552" s="25"/>
      <c r="U552" s="25"/>
      <c r="V552" s="25"/>
      <c r="W552" s="25"/>
      <c r="X552" s="25"/>
      <c r="Y552" s="25"/>
      <c r="AC552" s="2015">
        <v>6</v>
      </c>
      <c r="AD552" s="2016"/>
      <c r="AE552" s="2016"/>
      <c r="AF552" s="2016"/>
      <c r="AG552" s="65" t="s">
        <v>423</v>
      </c>
      <c r="AH552" s="2013">
        <v>2024</v>
      </c>
      <c r="AI552" s="2013"/>
      <c r="AJ552" s="2013"/>
      <c r="AK552" s="201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8"/>
      <c r="C553" s="1989"/>
      <c r="D553" s="1989"/>
      <c r="E553" s="1989"/>
      <c r="F553" s="1989"/>
      <c r="G553" s="1989"/>
      <c r="H553" s="1990"/>
      <c r="I553" s="25" t="s">
        <v>597</v>
      </c>
      <c r="J553" s="25"/>
      <c r="K553" s="25"/>
      <c r="L553" s="25"/>
      <c r="M553" s="25"/>
      <c r="N553" s="25"/>
      <c r="O553" s="25"/>
      <c r="P553" s="25"/>
      <c r="Q553" s="25"/>
      <c r="R553" s="25"/>
      <c r="S553" s="25"/>
      <c r="T553" s="25"/>
      <c r="U553" s="25"/>
      <c r="V553" s="25"/>
      <c r="W553" s="25"/>
      <c r="X553" s="25"/>
      <c r="Y553" s="25"/>
      <c r="AC553" s="2015">
        <v>12</v>
      </c>
      <c r="AD553" s="2016"/>
      <c r="AE553" s="2016"/>
      <c r="AF553" s="2016"/>
      <c r="AG553" s="65" t="s">
        <v>423</v>
      </c>
      <c r="AH553" s="2013">
        <v>2024</v>
      </c>
      <c r="AI553" s="2013"/>
      <c r="AJ553" s="2013"/>
      <c r="AK553" s="201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4"/>
      <c r="C554" s="2135"/>
      <c r="D554" s="2135"/>
      <c r="E554" s="2135"/>
      <c r="F554" s="2135"/>
      <c r="G554" s="2135"/>
      <c r="H554" s="2136"/>
      <c r="I554" s="80" t="s">
        <v>481</v>
      </c>
      <c r="J554" s="80"/>
      <c r="K554" s="80"/>
      <c r="L554" s="80"/>
      <c r="M554" s="80"/>
      <c r="N554" s="80"/>
      <c r="O554" s="80"/>
      <c r="P554" s="80"/>
      <c r="Q554" s="80"/>
      <c r="R554" s="80"/>
      <c r="S554" s="80"/>
      <c r="T554" s="80"/>
      <c r="U554" s="80"/>
      <c r="V554" s="80"/>
      <c r="W554" s="80"/>
      <c r="X554" s="80"/>
      <c r="Y554" s="80"/>
      <c r="Z554" s="80"/>
      <c r="AA554" s="80"/>
      <c r="AB554" s="80"/>
      <c r="AC554" s="2015">
        <v>12</v>
      </c>
      <c r="AD554" s="2016"/>
      <c r="AE554" s="2016"/>
      <c r="AF554" s="2016"/>
      <c r="AG554" s="65" t="s">
        <v>423</v>
      </c>
      <c r="AH554" s="2013">
        <v>2024</v>
      </c>
      <c r="AI554" s="2013"/>
      <c r="AJ554" s="2013"/>
      <c r="AK554" s="201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575</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3" t="s">
        <v>483</v>
      </c>
      <c r="C563" s="2004"/>
      <c r="D563" s="2004"/>
      <c r="E563" s="2004"/>
      <c r="F563" s="2004"/>
      <c r="G563" s="2004"/>
      <c r="H563" s="2004"/>
      <c r="I563" s="2004"/>
      <c r="J563" s="2004"/>
      <c r="K563" s="2004"/>
      <c r="L563" s="2004"/>
      <c r="M563" s="2004"/>
      <c r="N563" s="2004"/>
      <c r="O563" s="2004"/>
      <c r="P563" s="2005"/>
      <c r="Q563" s="2003" t="s">
        <v>2308</v>
      </c>
      <c r="R563" s="2132"/>
      <c r="S563" s="2133"/>
      <c r="T563" s="2003" t="s">
        <v>2306</v>
      </c>
      <c r="U563" s="2132"/>
      <c r="V563" s="2133"/>
      <c r="W563" s="2003" t="s">
        <v>484</v>
      </c>
      <c r="X563" s="2132"/>
      <c r="Y563" s="2133"/>
      <c r="Z563" s="2003" t="s">
        <v>2307</v>
      </c>
      <c r="AA563" s="2132"/>
      <c r="AB563" s="2132"/>
      <c r="AC563" s="2132"/>
      <c r="AD563" s="2132"/>
      <c r="AE563" s="2003" t="s">
        <v>2091</v>
      </c>
      <c r="AF563" s="2132"/>
      <c r="AG563" s="2132"/>
      <c r="AH563" s="2133"/>
      <c r="AI563" s="2003" t="s">
        <v>2092</v>
      </c>
      <c r="AJ563" s="2132"/>
      <c r="AK563" s="2132"/>
      <c r="AL563" s="2133"/>
      <c r="AM563" s="2003" t="s">
        <v>485</v>
      </c>
      <c r="AN563" s="2132"/>
      <c r="AO563" s="2132"/>
      <c r="AP563" s="2132"/>
      <c r="AQ563" s="2132"/>
      <c r="AR563" s="2132"/>
      <c r="AS563" s="213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54" t="s">
        <v>2588</v>
      </c>
      <c r="D564" s="1954"/>
      <c r="E564" s="1954"/>
      <c r="F564" s="1954"/>
      <c r="G564" s="1954"/>
      <c r="H564" s="1954"/>
      <c r="I564" s="1954"/>
      <c r="J564" s="1954"/>
      <c r="K564" s="1954"/>
      <c r="L564" s="1954"/>
      <c r="M564" s="1954"/>
      <c r="N564" s="1954"/>
      <c r="O564" s="1954"/>
      <c r="P564" s="1955"/>
      <c r="Q564" s="1969">
        <v>36</v>
      </c>
      <c r="R564" s="1969"/>
      <c r="S564" s="1970"/>
      <c r="T564" s="1968"/>
      <c r="U564" s="1969"/>
      <c r="V564" s="1970"/>
      <c r="W564" s="2010">
        <v>2.75E-2</v>
      </c>
      <c r="X564" s="2011"/>
      <c r="Y564" s="2012"/>
      <c r="Z564" s="2028" t="s">
        <v>2592</v>
      </c>
      <c r="AA564" s="2028"/>
      <c r="AB564" s="2028"/>
      <c r="AC564" s="2028"/>
      <c r="AD564" s="2028"/>
      <c r="AE564" s="1996" t="s">
        <v>2014</v>
      </c>
      <c r="AF564" s="1997"/>
      <c r="AG564" s="1997"/>
      <c r="AH564" s="1998"/>
      <c r="AI564" s="2007" t="s">
        <v>2593</v>
      </c>
      <c r="AJ564" s="2008"/>
      <c r="AK564" s="2008"/>
      <c r="AL564" s="2009"/>
      <c r="AM564" s="1993">
        <v>33646558</v>
      </c>
      <c r="AN564" s="1994"/>
      <c r="AO564" s="1994"/>
      <c r="AP564" s="1994"/>
      <c r="AQ564" s="1994"/>
      <c r="AR564" s="1994"/>
      <c r="AS564" s="199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54" t="s">
        <v>2589</v>
      </c>
      <c r="D565" s="1954"/>
      <c r="E565" s="1954"/>
      <c r="F565" s="1954"/>
      <c r="G565" s="1954"/>
      <c r="H565" s="1954"/>
      <c r="I565" s="1954"/>
      <c r="J565" s="1954"/>
      <c r="K565" s="1954"/>
      <c r="L565" s="1954"/>
      <c r="M565" s="1954"/>
      <c r="N565" s="1954"/>
      <c r="O565" s="1954"/>
      <c r="P565" s="1955"/>
      <c r="Q565" s="1968">
        <v>36</v>
      </c>
      <c r="R565" s="1969"/>
      <c r="S565" s="1970"/>
      <c r="T565" s="1968"/>
      <c r="U565" s="1969"/>
      <c r="V565" s="1970"/>
      <c r="W565" s="2010">
        <v>3.15E-2</v>
      </c>
      <c r="X565" s="2011"/>
      <c r="Y565" s="2012"/>
      <c r="Z565" s="2028" t="s">
        <v>2592</v>
      </c>
      <c r="AA565" s="2028"/>
      <c r="AB565" s="2028"/>
      <c r="AC565" s="2028"/>
      <c r="AD565" s="2028"/>
      <c r="AE565" s="1996" t="s">
        <v>2014</v>
      </c>
      <c r="AF565" s="1997"/>
      <c r="AG565" s="1997"/>
      <c r="AH565" s="1998"/>
      <c r="AI565" s="2007" t="s">
        <v>2593</v>
      </c>
      <c r="AJ565" s="2008"/>
      <c r="AK565" s="2008"/>
      <c r="AL565" s="2009"/>
      <c r="AM565" s="1993">
        <v>10534860</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54" t="s">
        <v>2590</v>
      </c>
      <c r="D566" s="1954"/>
      <c r="E566" s="1954"/>
      <c r="F566" s="1954"/>
      <c r="G566" s="1954"/>
      <c r="H566" s="1954"/>
      <c r="I566" s="1954"/>
      <c r="J566" s="1954"/>
      <c r="K566" s="1954"/>
      <c r="L566" s="1954"/>
      <c r="M566" s="1954"/>
      <c r="N566" s="1954"/>
      <c r="O566" s="1954"/>
      <c r="P566" s="1955"/>
      <c r="Q566" s="1968"/>
      <c r="R566" s="1969"/>
      <c r="S566" s="1970"/>
      <c r="T566" s="1968"/>
      <c r="U566" s="1969"/>
      <c r="V566" s="1970"/>
      <c r="W566" s="2010"/>
      <c r="X566" s="2011"/>
      <c r="Y566" s="2012"/>
      <c r="Z566" s="2028" t="s">
        <v>625</v>
      </c>
      <c r="AA566" s="2028"/>
      <c r="AB566" s="2028"/>
      <c r="AC566" s="2028"/>
      <c r="AD566" s="2028"/>
      <c r="AE566" s="1996"/>
      <c r="AF566" s="1997"/>
      <c r="AG566" s="1997"/>
      <c r="AH566" s="1998"/>
      <c r="AI566" s="2007"/>
      <c r="AJ566" s="2008"/>
      <c r="AK566" s="2008"/>
      <c r="AL566" s="2009"/>
      <c r="AM566" s="1993">
        <v>17369823</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954" t="s">
        <v>2594</v>
      </c>
      <c r="D567" s="1954"/>
      <c r="E567" s="1954"/>
      <c r="F567" s="1954"/>
      <c r="G567" s="1954"/>
      <c r="H567" s="1954"/>
      <c r="I567" s="1954"/>
      <c r="J567" s="1954"/>
      <c r="K567" s="1954"/>
      <c r="L567" s="1954"/>
      <c r="M567" s="1954"/>
      <c r="N567" s="1954"/>
      <c r="O567" s="1954"/>
      <c r="P567" s="1955"/>
      <c r="Q567" s="1968"/>
      <c r="R567" s="1969"/>
      <c r="S567" s="1970"/>
      <c r="T567" s="1968"/>
      <c r="U567" s="1969"/>
      <c r="V567" s="1970"/>
      <c r="W567" s="2010"/>
      <c r="X567" s="2011"/>
      <c r="Y567" s="2012"/>
      <c r="Z567" s="2028" t="s">
        <v>625</v>
      </c>
      <c r="AA567" s="2028"/>
      <c r="AB567" s="2028"/>
      <c r="AC567" s="2028"/>
      <c r="AD567" s="2028"/>
      <c r="AE567" s="1996"/>
      <c r="AF567" s="1997"/>
      <c r="AG567" s="1997"/>
      <c r="AH567" s="1998"/>
      <c r="AI567" s="2007"/>
      <c r="AJ567" s="2008"/>
      <c r="AK567" s="2008"/>
      <c r="AL567" s="2009"/>
      <c r="AM567" s="1993">
        <v>583255</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954" t="s">
        <v>2591</v>
      </c>
      <c r="D568" s="1954"/>
      <c r="E568" s="1954"/>
      <c r="F568" s="1954"/>
      <c r="G568" s="1954"/>
      <c r="H568" s="1954"/>
      <c r="I568" s="1954"/>
      <c r="J568" s="1954"/>
      <c r="K568" s="1954"/>
      <c r="L568" s="1954"/>
      <c r="M568" s="1954"/>
      <c r="N568" s="1954"/>
      <c r="O568" s="1954"/>
      <c r="P568" s="1955"/>
      <c r="Q568" s="1968"/>
      <c r="R568" s="1969"/>
      <c r="S568" s="1970"/>
      <c r="T568" s="1968"/>
      <c r="U568" s="1969"/>
      <c r="V568" s="1970"/>
      <c r="W568" s="2010"/>
      <c r="X568" s="2011"/>
      <c r="Y568" s="2012"/>
      <c r="Z568" s="2028" t="s">
        <v>625</v>
      </c>
      <c r="AA568" s="2028"/>
      <c r="AB568" s="2028"/>
      <c r="AC568" s="2028"/>
      <c r="AD568" s="2028"/>
      <c r="AE568" s="1996"/>
      <c r="AF568" s="1997"/>
      <c r="AG568" s="1997"/>
      <c r="AH568" s="1998"/>
      <c r="AI568" s="2007"/>
      <c r="AJ568" s="2008"/>
      <c r="AK568" s="2008"/>
      <c r="AL568" s="2009"/>
      <c r="AM568" s="1993">
        <v>899805</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01" t="s">
        <v>2068</v>
      </c>
      <c r="D569" s="2001"/>
      <c r="E569" s="2001"/>
      <c r="F569" s="2001"/>
      <c r="G569" s="2001"/>
      <c r="H569" s="2001"/>
      <c r="I569" s="2001"/>
      <c r="J569" s="2001"/>
      <c r="K569" s="2001"/>
      <c r="L569" s="2001"/>
      <c r="M569" s="2001"/>
      <c r="N569" s="2001"/>
      <c r="O569" s="2001"/>
      <c r="P569" s="2006"/>
      <c r="Q569" s="1968"/>
      <c r="R569" s="1969"/>
      <c r="S569" s="1970"/>
      <c r="T569" s="1968"/>
      <c r="U569" s="1969"/>
      <c r="V569" s="1970"/>
      <c r="W569" s="2010"/>
      <c r="X569" s="2011"/>
      <c r="Y569" s="2012"/>
      <c r="Z569" s="2028" t="s">
        <v>625</v>
      </c>
      <c r="AA569" s="2028"/>
      <c r="AB569" s="2028"/>
      <c r="AC569" s="2028"/>
      <c r="AD569" s="2028"/>
      <c r="AE569" s="1996"/>
      <c r="AF569" s="1997"/>
      <c r="AG569" s="1997"/>
      <c r="AH569" s="1998"/>
      <c r="AI569" s="2007"/>
      <c r="AJ569" s="2008"/>
      <c r="AK569" s="2008"/>
      <c r="AL569" s="2009"/>
      <c r="AM569" s="1993">
        <v>2557797</v>
      </c>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01" t="s">
        <v>2637</v>
      </c>
      <c r="D570" s="2001"/>
      <c r="E570" s="2001"/>
      <c r="F570" s="2001"/>
      <c r="G570" s="2001"/>
      <c r="H570" s="2001"/>
      <c r="I570" s="2001"/>
      <c r="J570" s="2001"/>
      <c r="K570" s="2001"/>
      <c r="L570" s="2001"/>
      <c r="M570" s="2001"/>
      <c r="N570" s="2001"/>
      <c r="O570" s="2001"/>
      <c r="P570" s="2006"/>
      <c r="Q570" s="1968"/>
      <c r="R570" s="1969"/>
      <c r="S570" s="1970"/>
      <c r="T570" s="1968"/>
      <c r="U570" s="1969"/>
      <c r="V570" s="1970"/>
      <c r="W570" s="2010"/>
      <c r="X570" s="2011"/>
      <c r="Y570" s="2012"/>
      <c r="Z570" s="2028" t="s">
        <v>625</v>
      </c>
      <c r="AA570" s="2028"/>
      <c r="AB570" s="2028"/>
      <c r="AC570" s="2028"/>
      <c r="AD570" s="2028"/>
      <c r="AE570" s="1996"/>
      <c r="AF570" s="1997"/>
      <c r="AG570" s="1997"/>
      <c r="AH570" s="1998"/>
      <c r="AI570" s="2007"/>
      <c r="AJ570" s="2008"/>
      <c r="AK570" s="2008"/>
      <c r="AL570" s="2009"/>
      <c r="AM570" s="1993">
        <v>2184687</v>
      </c>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01"/>
      <c r="D571" s="2001"/>
      <c r="E571" s="2001"/>
      <c r="F571" s="2001"/>
      <c r="G571" s="2001"/>
      <c r="H571" s="2001"/>
      <c r="I571" s="2001"/>
      <c r="J571" s="2001"/>
      <c r="K571" s="2001"/>
      <c r="L571" s="2001"/>
      <c r="M571" s="2001"/>
      <c r="N571" s="2001"/>
      <c r="O571" s="2001"/>
      <c r="P571" s="2006"/>
      <c r="Q571" s="1968"/>
      <c r="R571" s="1969"/>
      <c r="S571" s="1970"/>
      <c r="T571" s="1968"/>
      <c r="U571" s="1969"/>
      <c r="V571" s="1970"/>
      <c r="W571" s="2010"/>
      <c r="X571" s="2011"/>
      <c r="Y571" s="2012"/>
      <c r="Z571" s="2028" t="s">
        <v>1380</v>
      </c>
      <c r="AA571" s="2028"/>
      <c r="AB571" s="2028"/>
      <c r="AC571" s="2028"/>
      <c r="AD571" s="2028"/>
      <c r="AE571" s="1996"/>
      <c r="AF571" s="1997"/>
      <c r="AG571" s="1997"/>
      <c r="AH571" s="1998"/>
      <c r="AI571" s="2007"/>
      <c r="AJ571" s="2008"/>
      <c r="AK571" s="2008"/>
      <c r="AL571" s="2009"/>
      <c r="AM571" s="1993"/>
      <c r="AN571" s="1994"/>
      <c r="AO571" s="1994"/>
      <c r="AP571" s="1994"/>
      <c r="AQ571" s="1994"/>
      <c r="AR571" s="1994"/>
      <c r="AS571" s="199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01"/>
      <c r="D572" s="2001"/>
      <c r="E572" s="2001"/>
      <c r="F572" s="2001"/>
      <c r="G572" s="2001"/>
      <c r="H572" s="2001"/>
      <c r="I572" s="2001"/>
      <c r="J572" s="2001"/>
      <c r="K572" s="2001"/>
      <c r="L572" s="2001"/>
      <c r="M572" s="2001"/>
      <c r="N572" s="2001"/>
      <c r="O572" s="2001"/>
      <c r="P572" s="2006"/>
      <c r="Q572" s="1968"/>
      <c r="R572" s="1969"/>
      <c r="S572" s="1970"/>
      <c r="T572" s="1968"/>
      <c r="U572" s="1969"/>
      <c r="V572" s="1970"/>
      <c r="W572" s="2010"/>
      <c r="X572" s="2011"/>
      <c r="Y572" s="2012"/>
      <c r="Z572" s="2028" t="s">
        <v>1380</v>
      </c>
      <c r="AA572" s="2028"/>
      <c r="AB572" s="2028"/>
      <c r="AC572" s="2028"/>
      <c r="AD572" s="2028"/>
      <c r="AE572" s="1996"/>
      <c r="AF572" s="1997"/>
      <c r="AG572" s="1997"/>
      <c r="AH572" s="1998"/>
      <c r="AI572" s="2007"/>
      <c r="AJ572" s="2008"/>
      <c r="AK572" s="2008"/>
      <c r="AL572" s="2009"/>
      <c r="AM572" s="1993"/>
      <c r="AN572" s="1994"/>
      <c r="AO572" s="1994"/>
      <c r="AP572" s="1994"/>
      <c r="AQ572" s="1994"/>
      <c r="AR572" s="1994"/>
      <c r="AS572" s="199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01"/>
      <c r="D573" s="2001"/>
      <c r="E573" s="2001"/>
      <c r="F573" s="2001"/>
      <c r="G573" s="2001"/>
      <c r="H573" s="2001"/>
      <c r="I573" s="2001"/>
      <c r="J573" s="2001"/>
      <c r="K573" s="2001"/>
      <c r="L573" s="2001"/>
      <c r="M573" s="2001"/>
      <c r="N573" s="2001"/>
      <c r="O573" s="2001"/>
      <c r="P573" s="2006"/>
      <c r="Q573" s="1968"/>
      <c r="R573" s="1969"/>
      <c r="S573" s="1970"/>
      <c r="T573" s="1968"/>
      <c r="U573" s="1969"/>
      <c r="V573" s="1970"/>
      <c r="W573" s="2010"/>
      <c r="X573" s="2011"/>
      <c r="Y573" s="2012"/>
      <c r="Z573" s="2028" t="s">
        <v>1380</v>
      </c>
      <c r="AA573" s="2028"/>
      <c r="AB573" s="2028"/>
      <c r="AC573" s="2028"/>
      <c r="AD573" s="2028"/>
      <c r="AE573" s="1996"/>
      <c r="AF573" s="1997"/>
      <c r="AG573" s="1997"/>
      <c r="AH573" s="1998"/>
      <c r="AI573" s="2007"/>
      <c r="AJ573" s="2008"/>
      <c r="AK573" s="2008"/>
      <c r="AL573" s="2009"/>
      <c r="AM573" s="1993"/>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01"/>
      <c r="D574" s="2001"/>
      <c r="E574" s="2001"/>
      <c r="F574" s="2001"/>
      <c r="G574" s="2001"/>
      <c r="H574" s="2001"/>
      <c r="I574" s="2001"/>
      <c r="J574" s="2001"/>
      <c r="K574" s="2001"/>
      <c r="L574" s="2001"/>
      <c r="M574" s="2001"/>
      <c r="N574" s="2001"/>
      <c r="O574" s="2001"/>
      <c r="P574" s="2006"/>
      <c r="Q574" s="1968"/>
      <c r="R574" s="1969"/>
      <c r="S574" s="1970"/>
      <c r="T574" s="1968"/>
      <c r="U574" s="1969"/>
      <c r="V574" s="1970"/>
      <c r="W574" s="2010"/>
      <c r="X574" s="2011"/>
      <c r="Y574" s="2012"/>
      <c r="Z574" s="2028" t="s">
        <v>1380</v>
      </c>
      <c r="AA574" s="2028"/>
      <c r="AB574" s="2028"/>
      <c r="AC574" s="2028"/>
      <c r="AD574" s="2028"/>
      <c r="AE574" s="1996"/>
      <c r="AF574" s="1997"/>
      <c r="AG574" s="1997"/>
      <c r="AH574" s="1998"/>
      <c r="AI574" s="2007"/>
      <c r="AJ574" s="2008"/>
      <c r="AK574" s="2008"/>
      <c r="AL574" s="2009"/>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01"/>
      <c r="D575" s="2001"/>
      <c r="E575" s="2001"/>
      <c r="F575" s="2001"/>
      <c r="G575" s="2001"/>
      <c r="H575" s="2001"/>
      <c r="I575" s="2001"/>
      <c r="J575" s="2001"/>
      <c r="K575" s="2001"/>
      <c r="L575" s="2001"/>
      <c r="M575" s="2001"/>
      <c r="N575" s="2001"/>
      <c r="O575" s="2001"/>
      <c r="P575" s="2006"/>
      <c r="Q575" s="1968"/>
      <c r="R575" s="1969"/>
      <c r="S575" s="1970"/>
      <c r="T575" s="1968"/>
      <c r="U575" s="1969"/>
      <c r="V575" s="1970"/>
      <c r="W575" s="2010"/>
      <c r="X575" s="2011"/>
      <c r="Y575" s="2012"/>
      <c r="Z575" s="2028" t="s">
        <v>1380</v>
      </c>
      <c r="AA575" s="2028"/>
      <c r="AB575" s="2028"/>
      <c r="AC575" s="2028"/>
      <c r="AD575" s="2028"/>
      <c r="AE575" s="1996"/>
      <c r="AF575" s="1997"/>
      <c r="AG575" s="1997"/>
      <c r="AH575" s="1998"/>
      <c r="AI575" s="2007"/>
      <c r="AJ575" s="2008"/>
      <c r="AK575" s="2008"/>
      <c r="AL575" s="2009"/>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1977" t="s">
        <v>132</v>
      </c>
      <c r="C576" s="1978"/>
      <c r="D576" s="1978"/>
      <c r="E576" s="1978"/>
      <c r="F576" s="1978"/>
      <c r="G576" s="1978"/>
      <c r="H576" s="1978"/>
      <c r="I576" s="1978"/>
      <c r="J576" s="1978"/>
      <c r="K576" s="1978"/>
      <c r="L576" s="1978"/>
      <c r="M576" s="1978"/>
      <c r="N576" s="1978"/>
      <c r="O576" s="1978"/>
      <c r="P576" s="1978"/>
      <c r="Q576" s="1978"/>
      <c r="R576" s="1978"/>
      <c r="S576" s="1978"/>
      <c r="T576" s="1978"/>
      <c r="U576" s="2143"/>
      <c r="V576" s="1978"/>
      <c r="W576" s="1978"/>
      <c r="X576" s="1978"/>
      <c r="Y576" s="1978"/>
      <c r="Z576" s="1978"/>
      <c r="AA576" s="1978"/>
      <c r="AB576" s="1978"/>
      <c r="AC576" s="1978"/>
      <c r="AD576" s="1978"/>
      <c r="AE576" s="1978"/>
      <c r="AF576" s="1978"/>
      <c r="AG576" s="1978"/>
      <c r="AH576" s="1978"/>
      <c r="AI576" s="1978"/>
      <c r="AJ576" s="1978"/>
      <c r="AK576" s="1978"/>
      <c r="AL576" s="1979"/>
      <c r="AM576" s="2106">
        <f>SUM(AM564:AS575)</f>
        <v>67776785</v>
      </c>
      <c r="AN576" s="2107"/>
      <c r="AO576" s="2107"/>
      <c r="AP576" s="2107"/>
      <c r="AQ576" s="2107"/>
      <c r="AR576" s="2107"/>
      <c r="AS576" s="210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0" t="str">
        <f>C564</f>
        <v>Citibank, N.A. - Series A1 Tax-Exempt</v>
      </c>
      <c r="H578" s="2000"/>
      <c r="I578" s="2000"/>
      <c r="J578" s="2000"/>
      <c r="K578" s="2000"/>
      <c r="L578" s="2000"/>
      <c r="M578" s="2000"/>
      <c r="N578" s="2000"/>
      <c r="O578" s="2000"/>
      <c r="P578" s="2000"/>
      <c r="Q578" s="2000"/>
      <c r="R578" s="2000"/>
      <c r="S578" s="14"/>
      <c r="T578" s="87" t="s">
        <v>118</v>
      </c>
      <c r="U578" s="12" t="s">
        <v>495</v>
      </c>
      <c r="Z578" s="2000" t="str">
        <f>C565</f>
        <v>Citibank, N.A. - Series A2 Taxable</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74" t="s">
        <v>2595</v>
      </c>
      <c r="H579" s="1975"/>
      <c r="I579" s="1975"/>
      <c r="J579" s="1975"/>
      <c r="K579" s="1975"/>
      <c r="L579" s="1975"/>
      <c r="M579" s="1975"/>
      <c r="N579" s="1975"/>
      <c r="O579" s="1975"/>
      <c r="P579" s="1975"/>
      <c r="Q579" s="1975"/>
      <c r="R579" s="1975"/>
      <c r="S579" s="14"/>
      <c r="T579" s="35"/>
      <c r="U579" s="12" t="s">
        <v>90</v>
      </c>
      <c r="Z579" s="1974" t="s">
        <v>2595</v>
      </c>
      <c r="AA579" s="1975"/>
      <c r="AB579" s="1975"/>
      <c r="AC579" s="1975"/>
      <c r="AD579" s="1975"/>
      <c r="AE579" s="1975"/>
      <c r="AF579" s="1975"/>
      <c r="AG579" s="1975"/>
      <c r="AH579" s="1975"/>
      <c r="AI579" s="1975"/>
      <c r="AJ579" s="1975"/>
      <c r="AK579" s="1975"/>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74" t="s">
        <v>2596</v>
      </c>
      <c r="H580" s="1975"/>
      <c r="I580" s="1975"/>
      <c r="J580" s="1975"/>
      <c r="K580" s="1975"/>
      <c r="L580" s="1975"/>
      <c r="M580" s="1975"/>
      <c r="N580" s="1975"/>
      <c r="O580" s="1975"/>
      <c r="P580" s="1975"/>
      <c r="Q580" s="1975"/>
      <c r="R580" s="1975"/>
      <c r="S580" s="88"/>
      <c r="T580" s="35"/>
      <c r="U580" s="12" t="s">
        <v>614</v>
      </c>
      <c r="Z580" s="1974" t="s">
        <v>2596</v>
      </c>
      <c r="AA580" s="1975"/>
      <c r="AB580" s="1975"/>
      <c r="AC580" s="1975"/>
      <c r="AD580" s="1975"/>
      <c r="AE580" s="1975"/>
      <c r="AF580" s="1975"/>
      <c r="AG580" s="1975"/>
      <c r="AH580" s="1975"/>
      <c r="AI580" s="1975"/>
      <c r="AJ580" s="1975"/>
      <c r="AK580" s="197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74" t="s">
        <v>2597</v>
      </c>
      <c r="H581" s="1975"/>
      <c r="I581" s="1975"/>
      <c r="J581" s="1975"/>
      <c r="K581" s="1975"/>
      <c r="L581" s="1975"/>
      <c r="M581" s="1975"/>
      <c r="N581" s="1975"/>
      <c r="O581" s="1975"/>
      <c r="P581" s="1975"/>
      <c r="Q581" s="1975"/>
      <c r="R581" s="1975"/>
      <c r="S581" s="14"/>
      <c r="T581" s="35"/>
      <c r="U581" s="12" t="s">
        <v>17</v>
      </c>
      <c r="Z581" s="1974" t="s">
        <v>2597</v>
      </c>
      <c r="AA581" s="1975"/>
      <c r="AB581" s="1975"/>
      <c r="AC581" s="1975"/>
      <c r="AD581" s="1975"/>
      <c r="AE581" s="1975"/>
      <c r="AF581" s="1975"/>
      <c r="AG581" s="1975"/>
      <c r="AH581" s="1975"/>
      <c r="AI581" s="1975"/>
      <c r="AJ581" s="1975"/>
      <c r="AK581" s="19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1966" t="s">
        <v>2598</v>
      </c>
      <c r="H582" s="1967"/>
      <c r="I582" s="1967"/>
      <c r="J582" s="1967"/>
      <c r="K582" s="1967"/>
      <c r="L582" s="1967"/>
      <c r="O582" s="137" t="s">
        <v>211</v>
      </c>
      <c r="P582" s="1976"/>
      <c r="Q582" s="1976"/>
      <c r="R582" s="1976"/>
      <c r="S582" s="16"/>
      <c r="T582" s="35"/>
      <c r="U582" s="12" t="s">
        <v>324</v>
      </c>
      <c r="Z582" s="1966" t="s">
        <v>2598</v>
      </c>
      <c r="AA582" s="1967"/>
      <c r="AB582" s="1967"/>
      <c r="AC582" s="1967"/>
      <c r="AD582" s="1967"/>
      <c r="AE582" s="1967"/>
      <c r="AH582" s="137" t="s">
        <v>211</v>
      </c>
      <c r="AI582" s="1976"/>
      <c r="AJ582" s="1976"/>
      <c r="AK582" s="197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74" t="s">
        <v>2599</v>
      </c>
      <c r="I583" s="1975"/>
      <c r="J583" s="1975"/>
      <c r="K583" s="1975"/>
      <c r="L583" s="1975"/>
      <c r="M583" s="1975"/>
      <c r="N583" s="1975"/>
      <c r="O583" s="1975"/>
      <c r="P583" s="1975"/>
      <c r="Q583" s="1975"/>
      <c r="R583" s="1975"/>
      <c r="S583" s="14"/>
      <c r="T583" s="35"/>
      <c r="U583" s="12" t="s">
        <v>18</v>
      </c>
      <c r="AA583" s="1974" t="s">
        <v>2599</v>
      </c>
      <c r="AB583" s="1975"/>
      <c r="AC583" s="1975"/>
      <c r="AD583" s="1975"/>
      <c r="AE583" s="1975"/>
      <c r="AF583" s="1975"/>
      <c r="AG583" s="1975"/>
      <c r="AH583" s="1975"/>
      <c r="AI583" s="1975"/>
      <c r="AJ583" s="1975"/>
      <c r="AK583" s="19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2"/>
      <c r="N584" s="2142"/>
      <c r="O584" s="2142"/>
      <c r="P584" s="2142"/>
      <c r="Q584" s="2142"/>
      <c r="R584" s="2142"/>
      <c r="S584" s="14"/>
      <c r="T584" s="35"/>
      <c r="U584" s="507" t="s">
        <v>1381</v>
      </c>
      <c r="V584" s="717"/>
      <c r="W584" s="717"/>
      <c r="X584" s="717"/>
      <c r="Y584" s="717"/>
      <c r="Z584" s="717"/>
      <c r="AA584" s="14"/>
      <c r="AB584" s="14"/>
      <c r="AC584" s="14"/>
      <c r="AD584" s="14"/>
      <c r="AE584" s="14"/>
      <c r="AF584" s="2142"/>
      <c r="AG584" s="2142"/>
      <c r="AH584" s="2142"/>
      <c r="AI584" s="2142"/>
      <c r="AJ584" s="2142"/>
      <c r="AK584" s="214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9" t="s">
        <v>577</v>
      </c>
      <c r="O585" s="1999"/>
      <c r="T585" s="35"/>
      <c r="U585" s="12" t="s">
        <v>20</v>
      </c>
      <c r="AG585" s="1999" t="s">
        <v>577</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0" t="str">
        <f>C566</f>
        <v>Raymond James - Tax Credit Equity</v>
      </c>
      <c r="H587" s="2000"/>
      <c r="I587" s="2000"/>
      <c r="J587" s="2000"/>
      <c r="K587" s="2000"/>
      <c r="L587" s="2000"/>
      <c r="M587" s="2000"/>
      <c r="N587" s="2000"/>
      <c r="O587" s="2000"/>
      <c r="P587" s="2000"/>
      <c r="Q587" s="2000"/>
      <c r="R587" s="2000"/>
      <c r="T587" s="87" t="s">
        <v>615</v>
      </c>
      <c r="U587" s="12" t="s">
        <v>495</v>
      </c>
      <c r="Z587" s="2000" t="str">
        <f>C567</f>
        <v>Deferred Reserve Funding</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74" t="s">
        <v>2600</v>
      </c>
      <c r="H588" s="1975"/>
      <c r="I588" s="1975"/>
      <c r="J588" s="1975"/>
      <c r="K588" s="1975"/>
      <c r="L588" s="1975"/>
      <c r="M588" s="1975"/>
      <c r="N588" s="1975"/>
      <c r="O588" s="1975"/>
      <c r="P588" s="1975"/>
      <c r="Q588" s="1975"/>
      <c r="R588" s="1975"/>
      <c r="T588" s="35"/>
      <c r="U588" s="12" t="s">
        <v>90</v>
      </c>
      <c r="Z588" s="1974" t="s">
        <v>2602</v>
      </c>
      <c r="AA588" s="1975"/>
      <c r="AB588" s="1975"/>
      <c r="AC588" s="1975"/>
      <c r="AD588" s="1975"/>
      <c r="AE588" s="1975"/>
      <c r="AF588" s="1975"/>
      <c r="AG588" s="1975"/>
      <c r="AH588" s="1975"/>
      <c r="AI588" s="1975"/>
      <c r="AJ588" s="1975"/>
      <c r="AK588" s="19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1" t="s">
        <v>2554</v>
      </c>
      <c r="H589" s="2002"/>
      <c r="I589" s="2002"/>
      <c r="J589" s="2002"/>
      <c r="K589" s="2002"/>
      <c r="L589" s="2002"/>
      <c r="M589" s="2002"/>
      <c r="N589" s="2002"/>
      <c r="O589" s="2002"/>
      <c r="P589" s="2002"/>
      <c r="Q589" s="2002"/>
      <c r="R589" s="2002"/>
      <c r="T589" s="35"/>
      <c r="U589" s="12" t="s">
        <v>614</v>
      </c>
      <c r="Z589" s="2001" t="s">
        <v>2524</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1" t="s">
        <v>2552</v>
      </c>
      <c r="H590" s="2002"/>
      <c r="I590" s="2002"/>
      <c r="J590" s="2002"/>
      <c r="K590" s="2002"/>
      <c r="L590" s="2002"/>
      <c r="M590" s="2002"/>
      <c r="N590" s="2002"/>
      <c r="O590" s="2002"/>
      <c r="P590" s="2002"/>
      <c r="Q590" s="2002"/>
      <c r="R590" s="2002"/>
      <c r="T590" s="35"/>
      <c r="U590" s="12" t="s">
        <v>17</v>
      </c>
      <c r="Z590" s="2001" t="s">
        <v>2495</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1966" t="s">
        <v>2555</v>
      </c>
      <c r="H591" s="1967"/>
      <c r="I591" s="1967"/>
      <c r="J591" s="1967"/>
      <c r="K591" s="1967"/>
      <c r="L591" s="1967"/>
      <c r="O591" s="137" t="s">
        <v>211</v>
      </c>
      <c r="P591" s="1976"/>
      <c r="Q591" s="1976"/>
      <c r="R591" s="1976"/>
      <c r="T591" s="35"/>
      <c r="U591" s="12" t="s">
        <v>324</v>
      </c>
      <c r="Z591" s="1966" t="s">
        <v>2510</v>
      </c>
      <c r="AA591" s="1967"/>
      <c r="AB591" s="1967"/>
      <c r="AC591" s="1967"/>
      <c r="AD591" s="1967"/>
      <c r="AE591" s="1967"/>
      <c r="AH591" s="137" t="s">
        <v>211</v>
      </c>
      <c r="AI591" s="1976"/>
      <c r="AJ591" s="1976"/>
      <c r="AK591" s="197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74" t="s">
        <v>2601</v>
      </c>
      <c r="I592" s="1975"/>
      <c r="J592" s="1975"/>
      <c r="K592" s="1975"/>
      <c r="L592" s="1975"/>
      <c r="M592" s="1975"/>
      <c r="N592" s="1975"/>
      <c r="O592" s="1975"/>
      <c r="P592" s="1975"/>
      <c r="Q592" s="1975"/>
      <c r="R592" s="1975"/>
      <c r="T592" s="35"/>
      <c r="U592" s="12" t="s">
        <v>18</v>
      </c>
      <c r="AA592" s="1974" t="s">
        <v>2594</v>
      </c>
      <c r="AB592" s="1975"/>
      <c r="AC592" s="1975"/>
      <c r="AD592" s="1975"/>
      <c r="AE592" s="1975"/>
      <c r="AF592" s="1975"/>
      <c r="AG592" s="1975"/>
      <c r="AH592" s="1975"/>
      <c r="AI592" s="1975"/>
      <c r="AJ592" s="1975"/>
      <c r="AK592" s="19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9" t="s">
        <v>577</v>
      </c>
      <c r="O593" s="1999"/>
      <c r="T593" s="35"/>
      <c r="U593" s="12" t="s">
        <v>20</v>
      </c>
      <c r="AG593" s="1999" t="s">
        <v>577</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0" t="str">
        <f>C568</f>
        <v>Net Cash Flow During Lease-Up</v>
      </c>
      <c r="H595" s="2000"/>
      <c r="I595" s="2000"/>
      <c r="J595" s="2000"/>
      <c r="K595" s="2000"/>
      <c r="L595" s="2000"/>
      <c r="M595" s="2000"/>
      <c r="N595" s="2000"/>
      <c r="O595" s="2000"/>
      <c r="P595" s="2000"/>
      <c r="Q595" s="2000"/>
      <c r="R595" s="2000"/>
      <c r="T595" s="87" t="s">
        <v>618</v>
      </c>
      <c r="U595" s="12" t="s">
        <v>495</v>
      </c>
      <c r="Z595" s="2000" t="str">
        <f>C569</f>
        <v>Deferred Developer Fee</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74" t="s">
        <v>2602</v>
      </c>
      <c r="H596" s="1975"/>
      <c r="I596" s="1975"/>
      <c r="J596" s="1975"/>
      <c r="K596" s="1975"/>
      <c r="L596" s="1975"/>
      <c r="M596" s="1975"/>
      <c r="N596" s="1975"/>
      <c r="O596" s="1975"/>
      <c r="P596" s="1975"/>
      <c r="Q596" s="1975"/>
      <c r="R596" s="1975"/>
      <c r="T596" s="35"/>
      <c r="U596" s="12" t="s">
        <v>90</v>
      </c>
      <c r="Z596" s="1974" t="s">
        <v>2602</v>
      </c>
      <c r="AA596" s="1975"/>
      <c r="AB596" s="1975"/>
      <c r="AC596" s="1975"/>
      <c r="AD596" s="1975"/>
      <c r="AE596" s="1975"/>
      <c r="AF596" s="1975"/>
      <c r="AG596" s="1975"/>
      <c r="AH596" s="1975"/>
      <c r="AI596" s="1975"/>
      <c r="AJ596" s="1975"/>
      <c r="AK596" s="19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1" t="s">
        <v>2524</v>
      </c>
      <c r="H597" s="2002"/>
      <c r="I597" s="2002"/>
      <c r="J597" s="2002"/>
      <c r="K597" s="2002"/>
      <c r="L597" s="2002"/>
      <c r="M597" s="2002"/>
      <c r="N597" s="2002"/>
      <c r="O597" s="2002"/>
      <c r="P597" s="2002"/>
      <c r="Q597" s="2002"/>
      <c r="R597" s="2002"/>
      <c r="T597" s="35"/>
      <c r="U597" s="12" t="s">
        <v>614</v>
      </c>
      <c r="Z597" s="2001" t="s">
        <v>2524</v>
      </c>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1" t="s">
        <v>2495</v>
      </c>
      <c r="H598" s="2002"/>
      <c r="I598" s="2002"/>
      <c r="J598" s="2002"/>
      <c r="K598" s="2002"/>
      <c r="L598" s="2002"/>
      <c r="M598" s="2002"/>
      <c r="N598" s="2002"/>
      <c r="O598" s="2002"/>
      <c r="P598" s="2002"/>
      <c r="Q598" s="2002"/>
      <c r="R598" s="2002"/>
      <c r="T598" s="35"/>
      <c r="U598" s="12" t="s">
        <v>17</v>
      </c>
      <c r="Z598" s="2001" t="s">
        <v>2495</v>
      </c>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1966" t="s">
        <v>2510</v>
      </c>
      <c r="H599" s="1967"/>
      <c r="I599" s="1967"/>
      <c r="J599" s="1967"/>
      <c r="K599" s="1967"/>
      <c r="L599" s="1967"/>
      <c r="O599" s="137" t="s">
        <v>211</v>
      </c>
      <c r="P599" s="1976"/>
      <c r="Q599" s="1976"/>
      <c r="R599" s="1976"/>
      <c r="T599" s="35"/>
      <c r="U599" s="12" t="s">
        <v>324</v>
      </c>
      <c r="Z599" s="1966" t="s">
        <v>2510</v>
      </c>
      <c r="AA599" s="1967"/>
      <c r="AB599" s="1967"/>
      <c r="AC599" s="1967"/>
      <c r="AD599" s="1967"/>
      <c r="AE599" s="1967"/>
      <c r="AH599" s="137" t="s">
        <v>211</v>
      </c>
      <c r="AI599" s="1976"/>
      <c r="AJ599" s="1976"/>
      <c r="AK599" s="197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74" t="s">
        <v>2603</v>
      </c>
      <c r="I600" s="1975"/>
      <c r="J600" s="1975"/>
      <c r="K600" s="1975"/>
      <c r="L600" s="1975"/>
      <c r="M600" s="1975"/>
      <c r="N600" s="1975"/>
      <c r="O600" s="1975"/>
      <c r="P600" s="1975"/>
      <c r="Q600" s="1975"/>
      <c r="R600" s="1975"/>
      <c r="T600" s="35"/>
      <c r="U600" s="12" t="s">
        <v>18</v>
      </c>
      <c r="AA600" s="1974" t="s">
        <v>2604</v>
      </c>
      <c r="AB600" s="1975"/>
      <c r="AC600" s="1975"/>
      <c r="AD600" s="1975"/>
      <c r="AE600" s="1975"/>
      <c r="AF600" s="1975"/>
      <c r="AG600" s="1975"/>
      <c r="AH600" s="1975"/>
      <c r="AI600" s="1975"/>
      <c r="AJ600" s="1975"/>
      <c r="AK600" s="19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9" t="s">
        <v>577</v>
      </c>
      <c r="O601" s="1999"/>
      <c r="T601" s="35"/>
      <c r="U601" s="12" t="s">
        <v>20</v>
      </c>
      <c r="AG601" s="1999" t="s">
        <v>577</v>
      </c>
      <c r="AH601" s="19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0" t="str">
        <f>C570</f>
        <v>Sponsor Loan</v>
      </c>
      <c r="H603" s="2000"/>
      <c r="I603" s="2000"/>
      <c r="J603" s="2000"/>
      <c r="K603" s="2000"/>
      <c r="L603" s="2000"/>
      <c r="M603" s="2000"/>
      <c r="N603" s="2000"/>
      <c r="O603" s="2000"/>
      <c r="P603" s="2000"/>
      <c r="Q603" s="2000"/>
      <c r="R603" s="2000"/>
      <c r="T603" s="87" t="s">
        <v>487</v>
      </c>
      <c r="U603" s="12" t="s">
        <v>495</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74" t="s">
        <v>2602</v>
      </c>
      <c r="H604" s="1975"/>
      <c r="I604" s="1975"/>
      <c r="J604" s="1975"/>
      <c r="K604" s="1975"/>
      <c r="L604" s="1975"/>
      <c r="M604" s="1975"/>
      <c r="N604" s="1975"/>
      <c r="O604" s="1975"/>
      <c r="P604" s="1975"/>
      <c r="Q604" s="1975"/>
      <c r="R604" s="1975"/>
      <c r="T604" s="35"/>
      <c r="U604" s="12" t="s">
        <v>90</v>
      </c>
      <c r="Z604" s="1975"/>
      <c r="AA604" s="1975"/>
      <c r="AB604" s="1975"/>
      <c r="AC604" s="1975"/>
      <c r="AD604" s="1975"/>
      <c r="AE604" s="1975"/>
      <c r="AF604" s="1975"/>
      <c r="AG604" s="1975"/>
      <c r="AH604" s="1975"/>
      <c r="AI604" s="1975"/>
      <c r="AJ604" s="1975"/>
      <c r="AK604" s="19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74" t="s">
        <v>2524</v>
      </c>
      <c r="H605" s="1975"/>
      <c r="I605" s="1975"/>
      <c r="J605" s="1975"/>
      <c r="K605" s="1975"/>
      <c r="L605" s="1975"/>
      <c r="M605" s="1975"/>
      <c r="N605" s="1975"/>
      <c r="O605" s="1975"/>
      <c r="P605" s="1975"/>
      <c r="Q605" s="1975"/>
      <c r="R605" s="1975"/>
      <c r="T605" s="35"/>
      <c r="U605" s="12" t="s">
        <v>614</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74" t="s">
        <v>2495</v>
      </c>
      <c r="H606" s="1975"/>
      <c r="I606" s="1975"/>
      <c r="J606" s="1975"/>
      <c r="K606" s="1975"/>
      <c r="L606" s="1975"/>
      <c r="M606" s="1975"/>
      <c r="N606" s="1975"/>
      <c r="O606" s="1975"/>
      <c r="P606" s="1975"/>
      <c r="Q606" s="1975"/>
      <c r="R606" s="1975"/>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1966" t="s">
        <v>2510</v>
      </c>
      <c r="H607" s="1967"/>
      <c r="I607" s="1967"/>
      <c r="J607" s="1967"/>
      <c r="K607" s="1967"/>
      <c r="L607" s="1967"/>
      <c r="M607" s="12"/>
      <c r="N607" s="12"/>
      <c r="O607" s="137" t="s">
        <v>211</v>
      </c>
      <c r="P607" s="1976"/>
      <c r="Q607" s="1976"/>
      <c r="R607" s="1976"/>
      <c r="S607" s="12"/>
      <c r="T607" s="35"/>
      <c r="U607" s="12" t="s">
        <v>324</v>
      </c>
      <c r="V607" s="12"/>
      <c r="W607" s="12"/>
      <c r="X607" s="12"/>
      <c r="Y607" s="12"/>
      <c r="Z607" s="1967"/>
      <c r="AA607" s="1967"/>
      <c r="AB607" s="1967"/>
      <c r="AC607" s="1967"/>
      <c r="AD607" s="1967"/>
      <c r="AE607" s="1967"/>
      <c r="AF607" s="12"/>
      <c r="AG607" s="12"/>
      <c r="AH607" s="137" t="s">
        <v>211</v>
      </c>
      <c r="AI607" s="1976"/>
      <c r="AJ607" s="1976"/>
      <c r="AK607" s="197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74" t="s">
        <v>2638</v>
      </c>
      <c r="I608" s="1975"/>
      <c r="J608" s="1975"/>
      <c r="K608" s="1975"/>
      <c r="L608" s="1975"/>
      <c r="M608" s="1975"/>
      <c r="N608" s="1975"/>
      <c r="O608" s="1975"/>
      <c r="P608" s="1975"/>
      <c r="Q608" s="1975"/>
      <c r="R608" s="1975"/>
      <c r="S608" s="12"/>
      <c r="T608" s="35"/>
      <c r="U608" s="12" t="s">
        <v>18</v>
      </c>
      <c r="V608" s="12"/>
      <c r="W608" s="12"/>
      <c r="X608" s="12"/>
      <c r="Y608" s="12"/>
      <c r="Z608" s="12"/>
      <c r="AA608" s="1975"/>
      <c r="AB608" s="1975"/>
      <c r="AC608" s="1975"/>
      <c r="AD608" s="1975"/>
      <c r="AE608" s="1975"/>
      <c r="AF608" s="1975"/>
      <c r="AG608" s="1975"/>
      <c r="AH608" s="1975"/>
      <c r="AI608" s="1975"/>
      <c r="AJ608" s="1975"/>
      <c r="AK608" s="19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9" t="s">
        <v>577</v>
      </c>
      <c r="O609" s="1999"/>
      <c r="P609" s="12"/>
      <c r="Q609" s="12"/>
      <c r="R609" s="12"/>
      <c r="S609" s="12"/>
      <c r="T609" s="35"/>
      <c r="U609" s="12" t="s">
        <v>20</v>
      </c>
      <c r="V609" s="12"/>
      <c r="W609" s="12"/>
      <c r="X609" s="12"/>
      <c r="Y609" s="12"/>
      <c r="Z609" s="12"/>
      <c r="AA609" s="12"/>
      <c r="AB609" s="12"/>
      <c r="AC609" s="12"/>
      <c r="AD609" s="12"/>
      <c r="AE609" s="12"/>
      <c r="AF609" s="12"/>
      <c r="AG609" s="1999" t="s">
        <v>705</v>
      </c>
      <c r="AH609" s="199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63"/>
      <c r="BH609" s="1965"/>
      <c r="BI609" s="185" t="s">
        <v>507</v>
      </c>
      <c r="BJ609" s="186"/>
      <c r="BK609" s="1963"/>
      <c r="BL609" s="1965"/>
      <c r="BM609" s="58"/>
      <c r="BN609" s="2334" t="s">
        <v>667</v>
      </c>
      <c r="BO609" s="2335"/>
      <c r="BP609" s="2335"/>
      <c r="BQ609" s="2335"/>
      <c r="BR609" s="2336"/>
      <c r="BS609" s="2139" t="s">
        <v>333</v>
      </c>
      <c r="BT609" s="2139"/>
      <c r="BU609" s="2139"/>
      <c r="BV609" s="2139"/>
      <c r="BW609" s="2139"/>
      <c r="BX609" s="2139" t="s">
        <v>168</v>
      </c>
      <c r="BY609" s="2139"/>
      <c r="BZ609" s="2139"/>
      <c r="CA609" s="2139"/>
      <c r="CB609" s="2139"/>
      <c r="CC609" s="2139" t="s">
        <v>169</v>
      </c>
      <c r="CD609" s="2139"/>
      <c r="CE609" s="2139"/>
      <c r="CF609" s="2139"/>
      <c r="CG609" s="2139"/>
      <c r="CH609" s="2139" t="s">
        <v>492</v>
      </c>
      <c r="CI609" s="2139"/>
      <c r="CJ609" s="2139"/>
      <c r="CK609" s="2139"/>
      <c r="CL609" s="2139"/>
      <c r="CM609" s="2139" t="s">
        <v>31</v>
      </c>
      <c r="CN609" s="2139"/>
      <c r="CO609" s="2139"/>
      <c r="CP609" s="2139"/>
      <c r="CQ609" s="2139"/>
      <c r="CR609" s="1707"/>
      <c r="CS609" s="2139" t="s">
        <v>667</v>
      </c>
      <c r="CT609" s="2139"/>
      <c r="CU609" s="2139"/>
      <c r="CV609" s="2139"/>
      <c r="CW609" s="2139"/>
      <c r="CX609" s="2139" t="s">
        <v>333</v>
      </c>
      <c r="CY609" s="2139"/>
      <c r="CZ609" s="2139"/>
      <c r="DA609" s="2139"/>
      <c r="DB609" s="2139"/>
      <c r="DC609" s="2139" t="s">
        <v>168</v>
      </c>
      <c r="DD609" s="2139"/>
      <c r="DE609" s="2139"/>
      <c r="DF609" s="2139"/>
      <c r="DG609" s="2139"/>
      <c r="DH609" s="2139" t="s">
        <v>169</v>
      </c>
      <c r="DI609" s="2139"/>
      <c r="DJ609" s="2139"/>
      <c r="DK609" s="2139"/>
      <c r="DL609" s="2139"/>
      <c r="DM609" s="2139" t="s">
        <v>492</v>
      </c>
      <c r="DN609" s="2139"/>
      <c r="DO609" s="2139"/>
      <c r="DP609" s="2139"/>
      <c r="DQ609" s="2139"/>
      <c r="DR609" s="2139" t="s">
        <v>31</v>
      </c>
      <c r="DS609" s="2139"/>
      <c r="DT609" s="2139"/>
      <c r="DU609" s="2139"/>
      <c r="DV609" s="2139"/>
      <c r="DX609" s="2139" t="s">
        <v>667</v>
      </c>
      <c r="DY609" s="2139"/>
      <c r="DZ609" s="2139"/>
      <c r="EA609" s="2139"/>
      <c r="EB609" s="2139"/>
      <c r="EC609" s="2139" t="s">
        <v>333</v>
      </c>
      <c r="ED609" s="2139"/>
      <c r="EE609" s="2139"/>
      <c r="EF609" s="2139"/>
      <c r="EG609" s="2139"/>
      <c r="EH609" s="2139" t="s">
        <v>168</v>
      </c>
      <c r="EI609" s="2139"/>
      <c r="EJ609" s="2139"/>
      <c r="EK609" s="2139"/>
      <c r="EL609" s="2139"/>
      <c r="EM609" s="2139" t="s">
        <v>169</v>
      </c>
      <c r="EN609" s="2139"/>
      <c r="EO609" s="2139"/>
      <c r="EP609" s="2139"/>
      <c r="EQ609" s="2139"/>
      <c r="ER609" s="2139" t="s">
        <v>492</v>
      </c>
      <c r="ES609" s="2139"/>
      <c r="ET609" s="2139"/>
      <c r="EU609" s="2139"/>
      <c r="EV609" s="2139"/>
      <c r="EW609" s="2139" t="s">
        <v>31</v>
      </c>
      <c r="EX609" s="2139"/>
      <c r="EY609" s="2139"/>
      <c r="EZ609" s="2139"/>
      <c r="FA609" s="213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0">
        <f t="shared" ref="BE610:BE634" si="0">IF(AND(AH728&lt;=0.5,AH728&gt;=0.36),1,0)</f>
        <v>0</v>
      </c>
      <c r="BF610" s="1981"/>
      <c r="BG610" s="1963">
        <f t="shared" ref="BG610:BG634" si="1">IF(BE610=1,G728,0)</f>
        <v>0</v>
      </c>
      <c r="BH610" s="1965"/>
      <c r="BI610" s="1980">
        <f t="shared" ref="BI610:BI634" si="2">IF(AND(AH728&lt;=0.35,AH728&gt;0),1,0)</f>
        <v>1</v>
      </c>
      <c r="BJ610" s="1981"/>
      <c r="BK610" s="1963">
        <f t="shared" ref="BK610:BK634" si="3">IF(BI610=1,G728,0)</f>
        <v>10</v>
      </c>
      <c r="BL610" s="1965"/>
      <c r="BM610" s="58"/>
      <c r="BN610" s="1960">
        <f t="shared" ref="BN610:BN634" si="4">IF(B728="SRO/Studio",G728,0)</f>
        <v>0</v>
      </c>
      <c r="BO610" s="1961"/>
      <c r="BP610" s="1961"/>
      <c r="BQ610" s="1961"/>
      <c r="BR610" s="1962"/>
      <c r="BS610" s="1959">
        <f t="shared" ref="BS610:BS634" si="5">IF(B728="1 Bedroom",G728,0)</f>
        <v>10</v>
      </c>
      <c r="BT610" s="1959"/>
      <c r="BU610" s="1959"/>
      <c r="BV610" s="1959"/>
      <c r="BW610" s="1959"/>
      <c r="BX610" s="1959">
        <f t="shared" ref="BX610:BX634" si="6">IF(B728="2 Bedrooms",G728,0)</f>
        <v>0</v>
      </c>
      <c r="BY610" s="1959"/>
      <c r="BZ610" s="1959"/>
      <c r="CA610" s="1959"/>
      <c r="CB610" s="1959"/>
      <c r="CC610" s="1959">
        <f t="shared" ref="CC610:CC634" si="7">IF(B728="3 Bedrooms",G728,0)</f>
        <v>0</v>
      </c>
      <c r="CD610" s="1959"/>
      <c r="CE610" s="1959"/>
      <c r="CF610" s="1959"/>
      <c r="CG610" s="1959"/>
      <c r="CH610" s="1959">
        <f t="shared" ref="CH610:CH634" si="8">IF(B728="4 Bedrooms",G728,0)</f>
        <v>0</v>
      </c>
      <c r="CI610" s="1959"/>
      <c r="CJ610" s="1959"/>
      <c r="CK610" s="1959"/>
      <c r="CL610" s="1959"/>
      <c r="CM610" s="1959">
        <f t="shared" ref="CM610:CM634" si="9">IF(B728="5 Bedrooms",G728,0)</f>
        <v>0</v>
      </c>
      <c r="CN610" s="1959"/>
      <c r="CO610" s="1959"/>
      <c r="CP610" s="1959"/>
      <c r="CQ610" s="1959"/>
      <c r="CR610" s="265"/>
      <c r="CS610" s="2328">
        <f t="shared" ref="CS610:CS634" si="10">IF(AND(B728="SRO/Studio",AH728&lt;=0.3),G728,0)</f>
        <v>0</v>
      </c>
      <c r="CT610" s="2328"/>
      <c r="CU610" s="2328"/>
      <c r="CV610" s="2328"/>
      <c r="CW610" s="2328"/>
      <c r="CX610" s="2328">
        <f t="shared" ref="CX610:CX634" si="11">IF(AND(B728="1 Bedroom",AH728&lt;=0.3),G728,0)</f>
        <v>10</v>
      </c>
      <c r="CY610" s="2328"/>
      <c r="CZ610" s="2328"/>
      <c r="DA610" s="2328"/>
      <c r="DB610" s="2328"/>
      <c r="DC610" s="2328">
        <f t="shared" ref="DC610:DC634" si="12">IF(AND(B728="2 Bedrooms",AH728&lt;=0.3),G728,0)</f>
        <v>0</v>
      </c>
      <c r="DD610" s="2328"/>
      <c r="DE610" s="2328"/>
      <c r="DF610" s="2328"/>
      <c r="DG610" s="2328"/>
      <c r="DH610" s="2328">
        <f t="shared" ref="DH610:DH634" si="13">IF(AND(B728="3 Bedrooms",AH728&lt;=0.3),G728,0)</f>
        <v>0</v>
      </c>
      <c r="DI610" s="2328"/>
      <c r="DJ610" s="2328"/>
      <c r="DK610" s="2328"/>
      <c r="DL610" s="2328"/>
      <c r="DM610" s="2328">
        <f t="shared" ref="DM610:DM634" si="14">IF(AND(B728="4 Bedrooms",AH728&lt;=0.3),G728,0)</f>
        <v>0</v>
      </c>
      <c r="DN610" s="2328"/>
      <c r="DO610" s="2328"/>
      <c r="DP610" s="2328"/>
      <c r="DQ610" s="2328"/>
      <c r="DR610" s="2328">
        <f t="shared" ref="DR610:DR634" si="15">IF(AND(B728="5 Bedrooms",AH728&lt;=0.3),G728,0)</f>
        <v>0</v>
      </c>
      <c r="DS610" s="2328"/>
      <c r="DT610" s="2328"/>
      <c r="DU610" s="2328"/>
      <c r="DV610" s="2328"/>
      <c r="DX610" s="1980" t="str">
        <f t="shared" ref="DX610:DX634" si="16">IF(BN610&gt;0,O728," ")</f>
        <v xml:space="preserve"> </v>
      </c>
      <c r="DY610" s="2137"/>
      <c r="DZ610" s="2137"/>
      <c r="EA610" s="2137"/>
      <c r="EB610" s="1981"/>
      <c r="EC610" s="1980">
        <f t="shared" ref="EC610:EC634" si="17">IF(BS610&gt;0,O728," ")</f>
        <v>472</v>
      </c>
      <c r="ED610" s="2137"/>
      <c r="EE610" s="2137"/>
      <c r="EF610" s="2137"/>
      <c r="EG610" s="1981"/>
      <c r="EH610" s="1980" t="str">
        <f t="shared" ref="EH610:EH634" si="18">IF(BX610&gt;0,O728," ")</f>
        <v xml:space="preserve"> </v>
      </c>
      <c r="EI610" s="2137"/>
      <c r="EJ610" s="2137"/>
      <c r="EK610" s="2137"/>
      <c r="EL610" s="1981"/>
      <c r="EM610" s="1980" t="str">
        <f t="shared" ref="EM610:EM634" si="19">IF(CC610&gt;0,O728," ")</f>
        <v xml:space="preserve"> </v>
      </c>
      <c r="EN610" s="2137"/>
      <c r="EO610" s="2137"/>
      <c r="EP610" s="2137"/>
      <c r="EQ610" s="1981"/>
      <c r="ER610" s="1980" t="str">
        <f t="shared" ref="ER610:ER634" si="20">IF(CH610&gt;0,O728," ")</f>
        <v xml:space="preserve"> </v>
      </c>
      <c r="ES610" s="2137"/>
      <c r="ET610" s="2137"/>
      <c r="EU610" s="2137"/>
      <c r="EV610" s="1981"/>
      <c r="EW610" s="1980" t="str">
        <f t="shared" ref="EW610:EW634" si="21">IF(CM610&gt;0,O728," ")</f>
        <v xml:space="preserve"> </v>
      </c>
      <c r="EX610" s="2137"/>
      <c r="EY610" s="2137"/>
      <c r="EZ610" s="2137"/>
      <c r="FA610" s="1981"/>
    </row>
    <row r="611" spans="1:157" s="7" customFormat="1" ht="12.75">
      <c r="A611" s="87" t="s">
        <v>493</v>
      </c>
      <c r="B611" s="12" t="s">
        <v>495</v>
      </c>
      <c r="C611" s="12"/>
      <c r="D611" s="12"/>
      <c r="E611" s="12"/>
      <c r="F611" s="12"/>
      <c r="G611" s="2000">
        <f>C572</f>
        <v>0</v>
      </c>
      <c r="H611" s="2000"/>
      <c r="I611" s="2000"/>
      <c r="J611" s="2000"/>
      <c r="K611" s="2000"/>
      <c r="L611" s="2000"/>
      <c r="M611" s="2000"/>
      <c r="N611" s="2000"/>
      <c r="O611" s="2000"/>
      <c r="P611" s="2000"/>
      <c r="Q611" s="2000"/>
      <c r="R611" s="2000"/>
      <c r="S611" s="12"/>
      <c r="T611" s="87" t="s">
        <v>680</v>
      </c>
      <c r="U611" s="12" t="s">
        <v>495</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80">
        <f t="shared" si="0"/>
        <v>1</v>
      </c>
      <c r="BF611" s="1981"/>
      <c r="BG611" s="1963">
        <f t="shared" si="1"/>
        <v>30</v>
      </c>
      <c r="BH611" s="1965"/>
      <c r="BI611" s="1980">
        <f t="shared" si="2"/>
        <v>0</v>
      </c>
      <c r="BJ611" s="1981"/>
      <c r="BK611" s="1963">
        <f t="shared" si="3"/>
        <v>0</v>
      </c>
      <c r="BL611" s="1965"/>
      <c r="BM611" s="58"/>
      <c r="BN611" s="1960">
        <f t="shared" si="4"/>
        <v>0</v>
      </c>
      <c r="BO611" s="1961"/>
      <c r="BP611" s="1961"/>
      <c r="BQ611" s="1961"/>
      <c r="BR611" s="1962"/>
      <c r="BS611" s="1959">
        <f t="shared" si="5"/>
        <v>30</v>
      </c>
      <c r="BT611" s="1959"/>
      <c r="BU611" s="1959"/>
      <c r="BV611" s="1959"/>
      <c r="BW611" s="1959"/>
      <c r="BX611" s="1959">
        <f t="shared" si="6"/>
        <v>0</v>
      </c>
      <c r="BY611" s="1959"/>
      <c r="BZ611" s="1959"/>
      <c r="CA611" s="1959"/>
      <c r="CB611" s="1959"/>
      <c r="CC611" s="1959">
        <f t="shared" si="7"/>
        <v>0</v>
      </c>
      <c r="CD611" s="1959"/>
      <c r="CE611" s="1959"/>
      <c r="CF611" s="1959"/>
      <c r="CG611" s="1959"/>
      <c r="CH611" s="1959">
        <f t="shared" si="8"/>
        <v>0</v>
      </c>
      <c r="CI611" s="1959"/>
      <c r="CJ611" s="1959"/>
      <c r="CK611" s="1959"/>
      <c r="CL611" s="1959"/>
      <c r="CM611" s="1959">
        <f t="shared" si="9"/>
        <v>0</v>
      </c>
      <c r="CN611" s="1959"/>
      <c r="CO611" s="1959"/>
      <c r="CP611" s="1959"/>
      <c r="CQ611" s="1959"/>
      <c r="CR611" s="265"/>
      <c r="CS611" s="2328">
        <f t="shared" si="10"/>
        <v>0</v>
      </c>
      <c r="CT611" s="2328"/>
      <c r="CU611" s="2328"/>
      <c r="CV611" s="2328"/>
      <c r="CW611" s="2328"/>
      <c r="CX611" s="2328">
        <f t="shared" si="11"/>
        <v>0</v>
      </c>
      <c r="CY611" s="2328"/>
      <c r="CZ611" s="2328"/>
      <c r="DA611" s="2328"/>
      <c r="DB611" s="2328"/>
      <c r="DC611" s="2328">
        <f t="shared" si="12"/>
        <v>0</v>
      </c>
      <c r="DD611" s="2328"/>
      <c r="DE611" s="2328"/>
      <c r="DF611" s="2328"/>
      <c r="DG611" s="2328"/>
      <c r="DH611" s="2328">
        <f t="shared" si="13"/>
        <v>0</v>
      </c>
      <c r="DI611" s="2328"/>
      <c r="DJ611" s="2328"/>
      <c r="DK611" s="2328"/>
      <c r="DL611" s="2328"/>
      <c r="DM611" s="2328">
        <f t="shared" si="14"/>
        <v>0</v>
      </c>
      <c r="DN611" s="2328"/>
      <c r="DO611" s="2328"/>
      <c r="DP611" s="2328"/>
      <c r="DQ611" s="2328"/>
      <c r="DR611" s="2328">
        <f t="shared" si="15"/>
        <v>0</v>
      </c>
      <c r="DS611" s="2328"/>
      <c r="DT611" s="2328"/>
      <c r="DU611" s="2328"/>
      <c r="DV611" s="2328"/>
      <c r="DX611" s="1980" t="str">
        <f t="shared" si="16"/>
        <v xml:space="preserve"> </v>
      </c>
      <c r="DY611" s="2137"/>
      <c r="DZ611" s="2137"/>
      <c r="EA611" s="2137"/>
      <c r="EB611" s="1981"/>
      <c r="EC611" s="1980">
        <f t="shared" si="17"/>
        <v>812</v>
      </c>
      <c r="ED611" s="2137"/>
      <c r="EE611" s="2137"/>
      <c r="EF611" s="2137"/>
      <c r="EG611" s="1981"/>
      <c r="EH611" s="1980" t="str">
        <f t="shared" si="18"/>
        <v xml:space="preserve"> </v>
      </c>
      <c r="EI611" s="2137"/>
      <c r="EJ611" s="2137"/>
      <c r="EK611" s="2137"/>
      <c r="EL611" s="1981"/>
      <c r="EM611" s="1980" t="str">
        <f t="shared" si="19"/>
        <v xml:space="preserve"> </v>
      </c>
      <c r="EN611" s="2137"/>
      <c r="EO611" s="2137"/>
      <c r="EP611" s="2137"/>
      <c r="EQ611" s="1981"/>
      <c r="ER611" s="1980" t="str">
        <f t="shared" si="20"/>
        <v xml:space="preserve"> </v>
      </c>
      <c r="ES611" s="2137"/>
      <c r="ET611" s="2137"/>
      <c r="EU611" s="2137"/>
      <c r="EV611" s="1981"/>
      <c r="EW611" s="1980" t="str">
        <f t="shared" si="21"/>
        <v xml:space="preserve"> </v>
      </c>
      <c r="EX611" s="2137"/>
      <c r="EY611" s="2137"/>
      <c r="EZ611" s="2137"/>
      <c r="FA611" s="1981"/>
    </row>
    <row r="612" spans="1:157" ht="12.75">
      <c r="A612" s="35"/>
      <c r="B612" s="12" t="s">
        <v>90</v>
      </c>
      <c r="G612" s="1975"/>
      <c r="H612" s="1975"/>
      <c r="I612" s="1975"/>
      <c r="J612" s="1975"/>
      <c r="K612" s="1975"/>
      <c r="L612" s="1975"/>
      <c r="M612" s="1975"/>
      <c r="N612" s="1975"/>
      <c r="O612" s="1975"/>
      <c r="P612" s="1975"/>
      <c r="Q612" s="1975"/>
      <c r="R612" s="1975"/>
      <c r="T612" s="35"/>
      <c r="U612" s="12" t="s">
        <v>90</v>
      </c>
      <c r="Z612" s="1975"/>
      <c r="AA612" s="1975"/>
      <c r="AB612" s="1975"/>
      <c r="AC612" s="1975"/>
      <c r="AD612" s="1975"/>
      <c r="AE612" s="1975"/>
      <c r="AF612" s="1975"/>
      <c r="AG612" s="1975"/>
      <c r="AH612" s="1975"/>
      <c r="AI612" s="1975"/>
      <c r="AJ612" s="1975"/>
      <c r="AK612" s="1975"/>
      <c r="BA612" s="7" t="s">
        <v>169</v>
      </c>
      <c r="BB612" s="58"/>
      <c r="BC612" s="58"/>
      <c r="BD612" s="58"/>
      <c r="BE612" s="1980">
        <f t="shared" si="0"/>
        <v>0</v>
      </c>
      <c r="BF612" s="1981"/>
      <c r="BG612" s="1963">
        <f t="shared" si="1"/>
        <v>0</v>
      </c>
      <c r="BH612" s="1965"/>
      <c r="BI612" s="1980">
        <f t="shared" si="2"/>
        <v>0</v>
      </c>
      <c r="BJ612" s="1981"/>
      <c r="BK612" s="1963">
        <f t="shared" si="3"/>
        <v>0</v>
      </c>
      <c r="BL612" s="1965"/>
      <c r="BM612" s="58"/>
      <c r="BN612" s="1960">
        <f t="shared" si="4"/>
        <v>0</v>
      </c>
      <c r="BO612" s="1961"/>
      <c r="BP612" s="1961"/>
      <c r="BQ612" s="1961"/>
      <c r="BR612" s="1962"/>
      <c r="BS612" s="1959">
        <f t="shared" si="5"/>
        <v>35</v>
      </c>
      <c r="BT612" s="1959"/>
      <c r="BU612" s="1959"/>
      <c r="BV612" s="1959"/>
      <c r="BW612" s="1959"/>
      <c r="BX612" s="1959">
        <f t="shared" si="6"/>
        <v>0</v>
      </c>
      <c r="BY612" s="1959"/>
      <c r="BZ612" s="1959"/>
      <c r="CA612" s="1959"/>
      <c r="CB612" s="1959"/>
      <c r="CC612" s="1959">
        <f t="shared" si="7"/>
        <v>0</v>
      </c>
      <c r="CD612" s="1959"/>
      <c r="CE612" s="1959"/>
      <c r="CF612" s="1959"/>
      <c r="CG612" s="1959"/>
      <c r="CH612" s="1959">
        <f t="shared" si="8"/>
        <v>0</v>
      </c>
      <c r="CI612" s="1959"/>
      <c r="CJ612" s="1959"/>
      <c r="CK612" s="1959"/>
      <c r="CL612" s="1959"/>
      <c r="CM612" s="1959">
        <f t="shared" si="9"/>
        <v>0</v>
      </c>
      <c r="CN612" s="1959"/>
      <c r="CO612" s="1959"/>
      <c r="CP612" s="1959"/>
      <c r="CQ612" s="1959"/>
      <c r="CR612" s="265"/>
      <c r="CS612" s="2328">
        <f t="shared" si="10"/>
        <v>0</v>
      </c>
      <c r="CT612" s="2328"/>
      <c r="CU612" s="2328"/>
      <c r="CV612" s="2328"/>
      <c r="CW612" s="2328"/>
      <c r="CX612" s="2328">
        <f t="shared" si="11"/>
        <v>0</v>
      </c>
      <c r="CY612" s="2328"/>
      <c r="CZ612" s="2328"/>
      <c r="DA612" s="2328"/>
      <c r="DB612" s="2328"/>
      <c r="DC612" s="2328">
        <f t="shared" si="12"/>
        <v>0</v>
      </c>
      <c r="DD612" s="2328"/>
      <c r="DE612" s="2328"/>
      <c r="DF612" s="2328"/>
      <c r="DG612" s="2328"/>
      <c r="DH612" s="2328">
        <f t="shared" si="13"/>
        <v>0</v>
      </c>
      <c r="DI612" s="2328"/>
      <c r="DJ612" s="2328"/>
      <c r="DK612" s="2328"/>
      <c r="DL612" s="2328"/>
      <c r="DM612" s="2328">
        <f t="shared" si="14"/>
        <v>0</v>
      </c>
      <c r="DN612" s="2328"/>
      <c r="DO612" s="2328"/>
      <c r="DP612" s="2328"/>
      <c r="DQ612" s="2328"/>
      <c r="DR612" s="2328">
        <f t="shared" si="15"/>
        <v>0</v>
      </c>
      <c r="DS612" s="2328"/>
      <c r="DT612" s="2328"/>
      <c r="DU612" s="2328"/>
      <c r="DV612" s="2328"/>
      <c r="DX612" s="1980" t="str">
        <f t="shared" si="16"/>
        <v xml:space="preserve"> </v>
      </c>
      <c r="DY612" s="2137"/>
      <c r="DZ612" s="2137"/>
      <c r="EA612" s="2137"/>
      <c r="EB612" s="1981"/>
      <c r="EC612" s="1980">
        <f t="shared" si="17"/>
        <v>982</v>
      </c>
      <c r="ED612" s="2137"/>
      <c r="EE612" s="2137"/>
      <c r="EF612" s="2137"/>
      <c r="EG612" s="1981"/>
      <c r="EH612" s="1980" t="str">
        <f t="shared" si="18"/>
        <v xml:space="preserve"> </v>
      </c>
      <c r="EI612" s="2137"/>
      <c r="EJ612" s="2137"/>
      <c r="EK612" s="2137"/>
      <c r="EL612" s="1981"/>
      <c r="EM612" s="1980" t="str">
        <f t="shared" si="19"/>
        <v xml:space="preserve"> </v>
      </c>
      <c r="EN612" s="2137"/>
      <c r="EO612" s="2137"/>
      <c r="EP612" s="2137"/>
      <c r="EQ612" s="1981"/>
      <c r="ER612" s="1980" t="str">
        <f t="shared" si="20"/>
        <v xml:space="preserve"> </v>
      </c>
      <c r="ES612" s="2137"/>
      <c r="ET612" s="2137"/>
      <c r="EU612" s="2137"/>
      <c r="EV612" s="1981"/>
      <c r="EW612" s="1980" t="str">
        <f t="shared" si="21"/>
        <v xml:space="preserve"> </v>
      </c>
      <c r="EX612" s="2137"/>
      <c r="EY612" s="2137"/>
      <c r="EZ612" s="2137"/>
      <c r="FA612" s="1981"/>
    </row>
    <row r="613" spans="1:157" ht="12.75">
      <c r="A613" s="35"/>
      <c r="B613" s="12" t="s">
        <v>614</v>
      </c>
      <c r="G613" s="1975"/>
      <c r="H613" s="1975"/>
      <c r="I613" s="1975"/>
      <c r="J613" s="1975"/>
      <c r="K613" s="1975"/>
      <c r="L613" s="1975"/>
      <c r="M613" s="1975"/>
      <c r="N613" s="1975"/>
      <c r="O613" s="1975"/>
      <c r="P613" s="1975"/>
      <c r="Q613" s="1975"/>
      <c r="R613" s="1975"/>
      <c r="T613" s="35"/>
      <c r="U613" s="12" t="s">
        <v>614</v>
      </c>
      <c r="Z613" s="2002"/>
      <c r="AA613" s="2002"/>
      <c r="AB613" s="2002"/>
      <c r="AC613" s="2002"/>
      <c r="AD613" s="2002"/>
      <c r="AE613" s="2002"/>
      <c r="AF613" s="2002"/>
      <c r="AG613" s="2002"/>
      <c r="AH613" s="2002"/>
      <c r="AI613" s="2002"/>
      <c r="AJ613" s="2002"/>
      <c r="AK613" s="2002"/>
      <c r="BA613" s="7" t="s">
        <v>170</v>
      </c>
      <c r="BB613" s="58"/>
      <c r="BC613" s="58"/>
      <c r="BD613" s="58"/>
      <c r="BE613" s="1980">
        <f t="shared" si="0"/>
        <v>0</v>
      </c>
      <c r="BF613" s="1981"/>
      <c r="BG613" s="1963">
        <f t="shared" si="1"/>
        <v>0</v>
      </c>
      <c r="BH613" s="1965"/>
      <c r="BI613" s="1980">
        <f t="shared" si="2"/>
        <v>0</v>
      </c>
      <c r="BJ613" s="1981"/>
      <c r="BK613" s="1963">
        <f t="shared" si="3"/>
        <v>0</v>
      </c>
      <c r="BL613" s="1965"/>
      <c r="BM613" s="58"/>
      <c r="BN613" s="1960">
        <f t="shared" si="4"/>
        <v>0</v>
      </c>
      <c r="BO613" s="1961"/>
      <c r="BP613" s="1961"/>
      <c r="BQ613" s="1961"/>
      <c r="BR613" s="1962"/>
      <c r="BS613" s="1959">
        <f t="shared" si="5"/>
        <v>21</v>
      </c>
      <c r="BT613" s="1959"/>
      <c r="BU613" s="1959"/>
      <c r="BV613" s="1959"/>
      <c r="BW613" s="1959"/>
      <c r="BX613" s="1959">
        <f t="shared" si="6"/>
        <v>0</v>
      </c>
      <c r="BY613" s="1959"/>
      <c r="BZ613" s="1959"/>
      <c r="CA613" s="1959"/>
      <c r="CB613" s="1959"/>
      <c r="CC613" s="1959">
        <f t="shared" si="7"/>
        <v>0</v>
      </c>
      <c r="CD613" s="1959"/>
      <c r="CE613" s="1959"/>
      <c r="CF613" s="1959"/>
      <c r="CG613" s="1959"/>
      <c r="CH613" s="1959">
        <f t="shared" si="8"/>
        <v>0</v>
      </c>
      <c r="CI613" s="1959"/>
      <c r="CJ613" s="1959"/>
      <c r="CK613" s="1959"/>
      <c r="CL613" s="1959"/>
      <c r="CM613" s="1959">
        <f t="shared" si="9"/>
        <v>0</v>
      </c>
      <c r="CN613" s="1959"/>
      <c r="CO613" s="1959"/>
      <c r="CP613" s="1959"/>
      <c r="CQ613" s="1959"/>
      <c r="CR613" s="265"/>
      <c r="CS613" s="2328">
        <f t="shared" si="10"/>
        <v>0</v>
      </c>
      <c r="CT613" s="2328"/>
      <c r="CU613" s="2328"/>
      <c r="CV613" s="2328"/>
      <c r="CW613" s="2328"/>
      <c r="CX613" s="2328">
        <f t="shared" si="11"/>
        <v>0</v>
      </c>
      <c r="CY613" s="2328"/>
      <c r="CZ613" s="2328"/>
      <c r="DA613" s="2328"/>
      <c r="DB613" s="2328"/>
      <c r="DC613" s="2328">
        <f t="shared" si="12"/>
        <v>0</v>
      </c>
      <c r="DD613" s="2328"/>
      <c r="DE613" s="2328"/>
      <c r="DF613" s="2328"/>
      <c r="DG613" s="2328"/>
      <c r="DH613" s="2328">
        <f t="shared" si="13"/>
        <v>0</v>
      </c>
      <c r="DI613" s="2328"/>
      <c r="DJ613" s="2328"/>
      <c r="DK613" s="2328"/>
      <c r="DL613" s="2328"/>
      <c r="DM613" s="2328">
        <f t="shared" si="14"/>
        <v>0</v>
      </c>
      <c r="DN613" s="2328"/>
      <c r="DO613" s="2328"/>
      <c r="DP613" s="2328"/>
      <c r="DQ613" s="2328"/>
      <c r="DR613" s="2328">
        <f t="shared" si="15"/>
        <v>0</v>
      </c>
      <c r="DS613" s="2328"/>
      <c r="DT613" s="2328"/>
      <c r="DU613" s="2328"/>
      <c r="DV613" s="2328"/>
      <c r="DX613" s="1980" t="str">
        <f t="shared" si="16"/>
        <v xml:space="preserve"> </v>
      </c>
      <c r="DY613" s="2137"/>
      <c r="DZ613" s="2137"/>
      <c r="EA613" s="2137"/>
      <c r="EB613" s="1981"/>
      <c r="EC613" s="1980">
        <f t="shared" si="17"/>
        <v>1152</v>
      </c>
      <c r="ED613" s="2137"/>
      <c r="EE613" s="2137"/>
      <c r="EF613" s="2137"/>
      <c r="EG613" s="1981"/>
      <c r="EH613" s="1980" t="str">
        <f t="shared" si="18"/>
        <v xml:space="preserve"> </v>
      </c>
      <c r="EI613" s="2137"/>
      <c r="EJ613" s="2137"/>
      <c r="EK613" s="2137"/>
      <c r="EL613" s="1981"/>
      <c r="EM613" s="1980" t="str">
        <f t="shared" si="19"/>
        <v xml:space="preserve"> </v>
      </c>
      <c r="EN613" s="2137"/>
      <c r="EO613" s="2137"/>
      <c r="EP613" s="2137"/>
      <c r="EQ613" s="1981"/>
      <c r="ER613" s="1980" t="str">
        <f t="shared" si="20"/>
        <v xml:space="preserve"> </v>
      </c>
      <c r="ES613" s="2137"/>
      <c r="ET613" s="2137"/>
      <c r="EU613" s="2137"/>
      <c r="EV613" s="1981"/>
      <c r="EW613" s="1980" t="str">
        <f t="shared" si="21"/>
        <v xml:space="preserve"> </v>
      </c>
      <c r="EX613" s="2137"/>
      <c r="EY613" s="2137"/>
      <c r="EZ613" s="2137"/>
      <c r="FA613" s="1981"/>
    </row>
    <row r="614" spans="1:157" ht="12.75">
      <c r="A614" s="35"/>
      <c r="B614" s="12" t="s">
        <v>17</v>
      </c>
      <c r="G614" s="1975"/>
      <c r="H614" s="1975"/>
      <c r="I614" s="1975"/>
      <c r="J614" s="1975"/>
      <c r="K614" s="1975"/>
      <c r="L614" s="1975"/>
      <c r="M614" s="1975"/>
      <c r="N614" s="1975"/>
      <c r="O614" s="1975"/>
      <c r="P614" s="1975"/>
      <c r="Q614" s="1975"/>
      <c r="R614" s="1975"/>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80">
        <f t="shared" si="0"/>
        <v>0</v>
      </c>
      <c r="BF614" s="1981"/>
      <c r="BG614" s="1963">
        <f t="shared" si="1"/>
        <v>0</v>
      </c>
      <c r="BH614" s="1965"/>
      <c r="BI614" s="1980">
        <f t="shared" si="2"/>
        <v>1</v>
      </c>
      <c r="BJ614" s="1981"/>
      <c r="BK614" s="1963">
        <f t="shared" si="3"/>
        <v>5</v>
      </c>
      <c r="BL614" s="1965"/>
      <c r="BM614" s="58"/>
      <c r="BN614" s="1960">
        <f t="shared" si="4"/>
        <v>0</v>
      </c>
      <c r="BO614" s="1961"/>
      <c r="BP614" s="1961"/>
      <c r="BQ614" s="1961"/>
      <c r="BR614" s="1962"/>
      <c r="BS614" s="1959">
        <f t="shared" si="5"/>
        <v>0</v>
      </c>
      <c r="BT614" s="1959"/>
      <c r="BU614" s="1959"/>
      <c r="BV614" s="1959"/>
      <c r="BW614" s="1959"/>
      <c r="BX614" s="1959">
        <f t="shared" si="6"/>
        <v>5</v>
      </c>
      <c r="BY614" s="1959"/>
      <c r="BZ614" s="1959"/>
      <c r="CA614" s="1959"/>
      <c r="CB614" s="1959"/>
      <c r="CC614" s="1959">
        <f t="shared" si="7"/>
        <v>0</v>
      </c>
      <c r="CD614" s="1959"/>
      <c r="CE614" s="1959"/>
      <c r="CF614" s="1959"/>
      <c r="CG614" s="1959"/>
      <c r="CH614" s="1959">
        <f t="shared" si="8"/>
        <v>0</v>
      </c>
      <c r="CI614" s="1959"/>
      <c r="CJ614" s="1959"/>
      <c r="CK614" s="1959"/>
      <c r="CL614" s="1959"/>
      <c r="CM614" s="1959">
        <f t="shared" si="9"/>
        <v>0</v>
      </c>
      <c r="CN614" s="1959"/>
      <c r="CO614" s="1959"/>
      <c r="CP614" s="1959"/>
      <c r="CQ614" s="1959"/>
      <c r="CR614" s="265"/>
      <c r="CS614" s="2328">
        <f t="shared" si="10"/>
        <v>0</v>
      </c>
      <c r="CT614" s="2328"/>
      <c r="CU614" s="2328"/>
      <c r="CV614" s="2328"/>
      <c r="CW614" s="2328"/>
      <c r="CX614" s="2328">
        <f t="shared" si="11"/>
        <v>0</v>
      </c>
      <c r="CY614" s="2328"/>
      <c r="CZ614" s="2328"/>
      <c r="DA614" s="2328"/>
      <c r="DB614" s="2328"/>
      <c r="DC614" s="2328">
        <f t="shared" si="12"/>
        <v>5</v>
      </c>
      <c r="DD614" s="2328"/>
      <c r="DE614" s="2328"/>
      <c r="DF614" s="2328"/>
      <c r="DG614" s="2328"/>
      <c r="DH614" s="2328">
        <f t="shared" si="13"/>
        <v>0</v>
      </c>
      <c r="DI614" s="2328"/>
      <c r="DJ614" s="2328"/>
      <c r="DK614" s="2328"/>
      <c r="DL614" s="2328"/>
      <c r="DM614" s="2328">
        <f t="shared" si="14"/>
        <v>0</v>
      </c>
      <c r="DN614" s="2328"/>
      <c r="DO614" s="2328"/>
      <c r="DP614" s="2328"/>
      <c r="DQ614" s="2328"/>
      <c r="DR614" s="2328">
        <f t="shared" si="15"/>
        <v>0</v>
      </c>
      <c r="DS614" s="2328"/>
      <c r="DT614" s="2328"/>
      <c r="DU614" s="2328"/>
      <c r="DV614" s="2328"/>
      <c r="DX614" s="1980" t="str">
        <f t="shared" si="16"/>
        <v xml:space="preserve"> </v>
      </c>
      <c r="DY614" s="2137"/>
      <c r="DZ614" s="2137"/>
      <c r="EA614" s="2137"/>
      <c r="EB614" s="1981"/>
      <c r="EC614" s="1980" t="str">
        <f t="shared" si="17"/>
        <v xml:space="preserve"> </v>
      </c>
      <c r="ED614" s="2137"/>
      <c r="EE614" s="2137"/>
      <c r="EF614" s="2137"/>
      <c r="EG614" s="1981"/>
      <c r="EH614" s="1980">
        <f t="shared" si="18"/>
        <v>568</v>
      </c>
      <c r="EI614" s="2137"/>
      <c r="EJ614" s="2137"/>
      <c r="EK614" s="2137"/>
      <c r="EL614" s="1981"/>
      <c r="EM614" s="1980" t="str">
        <f t="shared" si="19"/>
        <v xml:space="preserve"> </v>
      </c>
      <c r="EN614" s="2137"/>
      <c r="EO614" s="2137"/>
      <c r="EP614" s="2137"/>
      <c r="EQ614" s="1981"/>
      <c r="ER614" s="1980" t="str">
        <f t="shared" si="20"/>
        <v xml:space="preserve"> </v>
      </c>
      <c r="ES614" s="2137"/>
      <c r="ET614" s="2137"/>
      <c r="EU614" s="2137"/>
      <c r="EV614" s="1981"/>
      <c r="EW614" s="1980" t="str">
        <f t="shared" si="21"/>
        <v xml:space="preserve"> </v>
      </c>
      <c r="EX614" s="2137"/>
      <c r="EY614" s="2137"/>
      <c r="EZ614" s="2137"/>
      <c r="FA614" s="1981"/>
    </row>
    <row r="615" spans="1:157" ht="12.75">
      <c r="A615" s="35"/>
      <c r="B615" s="12" t="s">
        <v>324</v>
      </c>
      <c r="G615" s="1967"/>
      <c r="H615" s="1967"/>
      <c r="I615" s="1967"/>
      <c r="J615" s="1967"/>
      <c r="K615" s="1967"/>
      <c r="L615" s="1967"/>
      <c r="O615" s="137" t="s">
        <v>211</v>
      </c>
      <c r="P615" s="1976"/>
      <c r="Q615" s="1976"/>
      <c r="R615" s="1976"/>
      <c r="T615" s="35"/>
      <c r="U615" s="12" t="s">
        <v>324</v>
      </c>
      <c r="Z615" s="1967"/>
      <c r="AA615" s="1967"/>
      <c r="AB615" s="1967"/>
      <c r="AC615" s="1967"/>
      <c r="AD615" s="1967"/>
      <c r="AE615" s="1967"/>
      <c r="AH615" s="137" t="s">
        <v>211</v>
      </c>
      <c r="AI615" s="1976"/>
      <c r="AJ615" s="1976"/>
      <c r="AK615" s="1976"/>
      <c r="AZ615" s="58"/>
      <c r="BA615" s="58"/>
      <c r="BB615" s="58"/>
      <c r="BC615" s="58"/>
      <c r="BD615" s="58"/>
      <c r="BE615" s="1980">
        <f t="shared" si="0"/>
        <v>1</v>
      </c>
      <c r="BF615" s="1981"/>
      <c r="BG615" s="1963">
        <f t="shared" si="1"/>
        <v>5</v>
      </c>
      <c r="BH615" s="1965"/>
      <c r="BI615" s="1980">
        <f t="shared" si="2"/>
        <v>0</v>
      </c>
      <c r="BJ615" s="1981"/>
      <c r="BK615" s="1963">
        <f t="shared" si="3"/>
        <v>0</v>
      </c>
      <c r="BL615" s="1965"/>
      <c r="BM615" s="58"/>
      <c r="BN615" s="1960">
        <f t="shared" si="4"/>
        <v>0</v>
      </c>
      <c r="BO615" s="1961"/>
      <c r="BP615" s="1961"/>
      <c r="BQ615" s="1961"/>
      <c r="BR615" s="1962"/>
      <c r="BS615" s="1959">
        <f t="shared" si="5"/>
        <v>0</v>
      </c>
      <c r="BT615" s="1959"/>
      <c r="BU615" s="1959"/>
      <c r="BV615" s="1959"/>
      <c r="BW615" s="1959"/>
      <c r="BX615" s="1959">
        <f t="shared" si="6"/>
        <v>5</v>
      </c>
      <c r="BY615" s="1959"/>
      <c r="BZ615" s="1959"/>
      <c r="CA615" s="1959"/>
      <c r="CB615" s="1959"/>
      <c r="CC615" s="1959">
        <f t="shared" si="7"/>
        <v>0</v>
      </c>
      <c r="CD615" s="1959"/>
      <c r="CE615" s="1959"/>
      <c r="CF615" s="1959"/>
      <c r="CG615" s="1959"/>
      <c r="CH615" s="1959">
        <f t="shared" si="8"/>
        <v>0</v>
      </c>
      <c r="CI615" s="1959"/>
      <c r="CJ615" s="1959"/>
      <c r="CK615" s="1959"/>
      <c r="CL615" s="1959"/>
      <c r="CM615" s="1959">
        <f t="shared" si="9"/>
        <v>0</v>
      </c>
      <c r="CN615" s="1959"/>
      <c r="CO615" s="1959"/>
      <c r="CP615" s="1959"/>
      <c r="CQ615" s="1959"/>
      <c r="CR615" s="265"/>
      <c r="CS615" s="2328">
        <f t="shared" si="10"/>
        <v>0</v>
      </c>
      <c r="CT615" s="2328"/>
      <c r="CU615" s="2328"/>
      <c r="CV615" s="2328"/>
      <c r="CW615" s="2328"/>
      <c r="CX615" s="2328">
        <f t="shared" si="11"/>
        <v>0</v>
      </c>
      <c r="CY615" s="2328"/>
      <c r="CZ615" s="2328"/>
      <c r="DA615" s="2328"/>
      <c r="DB615" s="2328"/>
      <c r="DC615" s="2328">
        <f t="shared" si="12"/>
        <v>0</v>
      </c>
      <c r="DD615" s="2328"/>
      <c r="DE615" s="2328"/>
      <c r="DF615" s="2328"/>
      <c r="DG615" s="2328"/>
      <c r="DH615" s="2328">
        <f t="shared" si="13"/>
        <v>0</v>
      </c>
      <c r="DI615" s="2328"/>
      <c r="DJ615" s="2328"/>
      <c r="DK615" s="2328"/>
      <c r="DL615" s="2328"/>
      <c r="DM615" s="2328">
        <f t="shared" si="14"/>
        <v>0</v>
      </c>
      <c r="DN615" s="2328"/>
      <c r="DO615" s="2328"/>
      <c r="DP615" s="2328"/>
      <c r="DQ615" s="2328"/>
      <c r="DR615" s="2328">
        <f t="shared" si="15"/>
        <v>0</v>
      </c>
      <c r="DS615" s="2328"/>
      <c r="DT615" s="2328"/>
      <c r="DU615" s="2328"/>
      <c r="DV615" s="2328"/>
      <c r="DX615" s="1980" t="str">
        <f t="shared" si="16"/>
        <v xml:space="preserve"> </v>
      </c>
      <c r="DY615" s="2137"/>
      <c r="DZ615" s="2137"/>
      <c r="EA615" s="2137"/>
      <c r="EB615" s="1981"/>
      <c r="EC615" s="1980" t="str">
        <f t="shared" si="17"/>
        <v xml:space="preserve"> </v>
      </c>
      <c r="ED615" s="2137"/>
      <c r="EE615" s="2137"/>
      <c r="EF615" s="2137"/>
      <c r="EG615" s="1981"/>
      <c r="EH615" s="1980">
        <f t="shared" si="18"/>
        <v>976</v>
      </c>
      <c r="EI615" s="2137"/>
      <c r="EJ615" s="2137"/>
      <c r="EK615" s="2137"/>
      <c r="EL615" s="1981"/>
      <c r="EM615" s="1980" t="str">
        <f t="shared" si="19"/>
        <v xml:space="preserve"> </v>
      </c>
      <c r="EN615" s="2137"/>
      <c r="EO615" s="2137"/>
      <c r="EP615" s="2137"/>
      <c r="EQ615" s="1981"/>
      <c r="ER615" s="1980" t="str">
        <f t="shared" si="20"/>
        <v xml:space="preserve"> </v>
      </c>
      <c r="ES615" s="2137"/>
      <c r="ET615" s="2137"/>
      <c r="EU615" s="2137"/>
      <c r="EV615" s="1981"/>
      <c r="EW615" s="1980" t="str">
        <f t="shared" si="21"/>
        <v xml:space="preserve"> </v>
      </c>
      <c r="EX615" s="2137"/>
      <c r="EY615" s="2137"/>
      <c r="EZ615" s="2137"/>
      <c r="FA615" s="1981"/>
    </row>
    <row r="616" spans="1:157" ht="12.75">
      <c r="A616" s="35"/>
      <c r="B616" s="12" t="s">
        <v>18</v>
      </c>
      <c r="H616" s="1975"/>
      <c r="I616" s="1975"/>
      <c r="J616" s="1975"/>
      <c r="K616" s="1975"/>
      <c r="L616" s="1975"/>
      <c r="M616" s="1975"/>
      <c r="N616" s="1975"/>
      <c r="O616" s="1975"/>
      <c r="P616" s="1975"/>
      <c r="Q616" s="1975"/>
      <c r="R616" s="1975"/>
      <c r="T616" s="35"/>
      <c r="U616" s="12" t="s">
        <v>18</v>
      </c>
      <c r="AA616" s="1975"/>
      <c r="AB616" s="1975"/>
      <c r="AC616" s="1975"/>
      <c r="AD616" s="1975"/>
      <c r="AE616" s="1975"/>
      <c r="AF616" s="1975"/>
      <c r="AG616" s="1975"/>
      <c r="AH616" s="1975"/>
      <c r="AI616" s="1975"/>
      <c r="AJ616" s="1975"/>
      <c r="AK616" s="1975"/>
      <c r="AZ616" s="58"/>
      <c r="BA616" s="58"/>
      <c r="BB616" s="58"/>
      <c r="BC616" s="58"/>
      <c r="BD616" s="58"/>
      <c r="BE616" s="1980">
        <f t="shared" si="0"/>
        <v>0</v>
      </c>
      <c r="BF616" s="1981"/>
      <c r="BG616" s="1963">
        <f t="shared" si="1"/>
        <v>0</v>
      </c>
      <c r="BH616" s="1965"/>
      <c r="BI616" s="1980">
        <f t="shared" si="2"/>
        <v>0</v>
      </c>
      <c r="BJ616" s="1981"/>
      <c r="BK616" s="1963">
        <f t="shared" si="3"/>
        <v>0</v>
      </c>
      <c r="BL616" s="1965"/>
      <c r="BM616" s="58"/>
      <c r="BN616" s="1960">
        <f t="shared" si="4"/>
        <v>0</v>
      </c>
      <c r="BO616" s="1961"/>
      <c r="BP616" s="1961"/>
      <c r="BQ616" s="1961"/>
      <c r="BR616" s="1962"/>
      <c r="BS616" s="1959">
        <f t="shared" si="5"/>
        <v>0</v>
      </c>
      <c r="BT616" s="1959"/>
      <c r="BU616" s="1959"/>
      <c r="BV616" s="1959"/>
      <c r="BW616" s="1959"/>
      <c r="BX616" s="1959">
        <f t="shared" si="6"/>
        <v>7</v>
      </c>
      <c r="BY616" s="1959"/>
      <c r="BZ616" s="1959"/>
      <c r="CA616" s="1959"/>
      <c r="CB616" s="1959"/>
      <c r="CC616" s="1959">
        <f t="shared" si="7"/>
        <v>0</v>
      </c>
      <c r="CD616" s="1959"/>
      <c r="CE616" s="1959"/>
      <c r="CF616" s="1959"/>
      <c r="CG616" s="1959"/>
      <c r="CH616" s="1959">
        <f t="shared" si="8"/>
        <v>0</v>
      </c>
      <c r="CI616" s="1959"/>
      <c r="CJ616" s="1959"/>
      <c r="CK616" s="1959"/>
      <c r="CL616" s="1959"/>
      <c r="CM616" s="1959">
        <f t="shared" si="9"/>
        <v>0</v>
      </c>
      <c r="CN616" s="1959"/>
      <c r="CO616" s="1959"/>
      <c r="CP616" s="1959"/>
      <c r="CQ616" s="1959"/>
      <c r="CR616" s="265"/>
      <c r="CS616" s="2328">
        <f t="shared" si="10"/>
        <v>0</v>
      </c>
      <c r="CT616" s="2328"/>
      <c r="CU616" s="2328"/>
      <c r="CV616" s="2328"/>
      <c r="CW616" s="2328"/>
      <c r="CX616" s="2328">
        <f t="shared" si="11"/>
        <v>0</v>
      </c>
      <c r="CY616" s="2328"/>
      <c r="CZ616" s="2328"/>
      <c r="DA616" s="2328"/>
      <c r="DB616" s="2328"/>
      <c r="DC616" s="2328">
        <f t="shared" si="12"/>
        <v>0</v>
      </c>
      <c r="DD616" s="2328"/>
      <c r="DE616" s="2328"/>
      <c r="DF616" s="2328"/>
      <c r="DG616" s="2328"/>
      <c r="DH616" s="2328">
        <f t="shared" si="13"/>
        <v>0</v>
      </c>
      <c r="DI616" s="2328"/>
      <c r="DJ616" s="2328"/>
      <c r="DK616" s="2328"/>
      <c r="DL616" s="2328"/>
      <c r="DM616" s="2328">
        <f t="shared" si="14"/>
        <v>0</v>
      </c>
      <c r="DN616" s="2328"/>
      <c r="DO616" s="2328"/>
      <c r="DP616" s="2328"/>
      <c r="DQ616" s="2328"/>
      <c r="DR616" s="2328">
        <f t="shared" si="15"/>
        <v>0</v>
      </c>
      <c r="DS616" s="2328"/>
      <c r="DT616" s="2328"/>
      <c r="DU616" s="2328"/>
      <c r="DV616" s="2328"/>
      <c r="DX616" s="1980" t="str">
        <f t="shared" si="16"/>
        <v xml:space="preserve"> </v>
      </c>
      <c r="DY616" s="2137"/>
      <c r="DZ616" s="2137"/>
      <c r="EA616" s="2137"/>
      <c r="EB616" s="1981"/>
      <c r="EC616" s="1980" t="str">
        <f t="shared" si="17"/>
        <v xml:space="preserve"> </v>
      </c>
      <c r="ED616" s="2137"/>
      <c r="EE616" s="2137"/>
      <c r="EF616" s="2137"/>
      <c r="EG616" s="1981"/>
      <c r="EH616" s="1980">
        <f t="shared" si="18"/>
        <v>1180</v>
      </c>
      <c r="EI616" s="2137"/>
      <c r="EJ616" s="2137"/>
      <c r="EK616" s="2137"/>
      <c r="EL616" s="1981"/>
      <c r="EM616" s="1980" t="str">
        <f t="shared" si="19"/>
        <v xml:space="preserve"> </v>
      </c>
      <c r="EN616" s="2137"/>
      <c r="EO616" s="2137"/>
      <c r="EP616" s="2137"/>
      <c r="EQ616" s="1981"/>
      <c r="ER616" s="1980" t="str">
        <f t="shared" si="20"/>
        <v xml:space="preserve"> </v>
      </c>
      <c r="ES616" s="2137"/>
      <c r="ET616" s="2137"/>
      <c r="EU616" s="2137"/>
      <c r="EV616" s="1981"/>
      <c r="EW616" s="1980" t="str">
        <f t="shared" si="21"/>
        <v xml:space="preserve"> </v>
      </c>
      <c r="EX616" s="2137"/>
      <c r="EY616" s="2137"/>
      <c r="EZ616" s="2137"/>
      <c r="FA616" s="1981"/>
    </row>
    <row r="617" spans="1:157" ht="12.75">
      <c r="A617" s="35"/>
      <c r="B617" s="12" t="s">
        <v>20</v>
      </c>
      <c r="N617" s="1999" t="s">
        <v>705</v>
      </c>
      <c r="O617" s="1999"/>
      <c r="T617" s="35"/>
      <c r="U617" s="12" t="s">
        <v>20</v>
      </c>
      <c r="AG617" s="1999" t="s">
        <v>705</v>
      </c>
      <c r="AH617" s="1999"/>
      <c r="AZ617" s="58"/>
      <c r="BA617" s="58"/>
      <c r="BB617" s="58"/>
      <c r="BC617" s="58"/>
      <c r="BD617" s="58"/>
      <c r="BE617" s="1980">
        <f t="shared" si="0"/>
        <v>0</v>
      </c>
      <c r="BF617" s="1981"/>
      <c r="BG617" s="1963">
        <f t="shared" si="1"/>
        <v>0</v>
      </c>
      <c r="BH617" s="1965"/>
      <c r="BI617" s="1980">
        <f t="shared" si="2"/>
        <v>0</v>
      </c>
      <c r="BJ617" s="1981"/>
      <c r="BK617" s="1963">
        <f t="shared" si="3"/>
        <v>0</v>
      </c>
      <c r="BL617" s="1965"/>
      <c r="BM617" s="58"/>
      <c r="BN617" s="1960">
        <f t="shared" si="4"/>
        <v>0</v>
      </c>
      <c r="BO617" s="1961"/>
      <c r="BP617" s="1961"/>
      <c r="BQ617" s="1961"/>
      <c r="BR617" s="1962"/>
      <c r="BS617" s="1959">
        <f t="shared" si="5"/>
        <v>0</v>
      </c>
      <c r="BT617" s="1959"/>
      <c r="BU617" s="1959"/>
      <c r="BV617" s="1959"/>
      <c r="BW617" s="1959"/>
      <c r="BX617" s="1959">
        <f t="shared" si="6"/>
        <v>31</v>
      </c>
      <c r="BY617" s="1959"/>
      <c r="BZ617" s="1959"/>
      <c r="CA617" s="1959"/>
      <c r="CB617" s="1959"/>
      <c r="CC617" s="1959">
        <f t="shared" si="7"/>
        <v>0</v>
      </c>
      <c r="CD617" s="1959"/>
      <c r="CE617" s="1959"/>
      <c r="CF617" s="1959"/>
      <c r="CG617" s="1959"/>
      <c r="CH617" s="1959">
        <f t="shared" si="8"/>
        <v>0</v>
      </c>
      <c r="CI617" s="1959"/>
      <c r="CJ617" s="1959"/>
      <c r="CK617" s="1959"/>
      <c r="CL617" s="1959"/>
      <c r="CM617" s="1959">
        <f t="shared" si="9"/>
        <v>0</v>
      </c>
      <c r="CN617" s="1959"/>
      <c r="CO617" s="1959"/>
      <c r="CP617" s="1959"/>
      <c r="CQ617" s="1959"/>
      <c r="CR617" s="265"/>
      <c r="CS617" s="2328">
        <f t="shared" si="10"/>
        <v>0</v>
      </c>
      <c r="CT617" s="2328"/>
      <c r="CU617" s="2328"/>
      <c r="CV617" s="2328"/>
      <c r="CW617" s="2328"/>
      <c r="CX617" s="2328">
        <f t="shared" si="11"/>
        <v>0</v>
      </c>
      <c r="CY617" s="2328"/>
      <c r="CZ617" s="2328"/>
      <c r="DA617" s="2328"/>
      <c r="DB617" s="2328"/>
      <c r="DC617" s="2328">
        <f t="shared" si="12"/>
        <v>0</v>
      </c>
      <c r="DD617" s="2328"/>
      <c r="DE617" s="2328"/>
      <c r="DF617" s="2328"/>
      <c r="DG617" s="2328"/>
      <c r="DH617" s="2328">
        <f t="shared" si="13"/>
        <v>0</v>
      </c>
      <c r="DI617" s="2328"/>
      <c r="DJ617" s="2328"/>
      <c r="DK617" s="2328"/>
      <c r="DL617" s="2328"/>
      <c r="DM617" s="2328">
        <f t="shared" si="14"/>
        <v>0</v>
      </c>
      <c r="DN617" s="2328"/>
      <c r="DO617" s="2328"/>
      <c r="DP617" s="2328"/>
      <c r="DQ617" s="2328"/>
      <c r="DR617" s="2328">
        <f t="shared" si="15"/>
        <v>0</v>
      </c>
      <c r="DS617" s="2328"/>
      <c r="DT617" s="2328"/>
      <c r="DU617" s="2328"/>
      <c r="DV617" s="2328"/>
      <c r="DX617" s="1980" t="str">
        <f t="shared" si="16"/>
        <v xml:space="preserve"> </v>
      </c>
      <c r="DY617" s="2137"/>
      <c r="DZ617" s="2137"/>
      <c r="EA617" s="2137"/>
      <c r="EB617" s="1981"/>
      <c r="EC617" s="1980" t="str">
        <f t="shared" si="17"/>
        <v xml:space="preserve"> </v>
      </c>
      <c r="ED617" s="2137"/>
      <c r="EE617" s="2137"/>
      <c r="EF617" s="2137"/>
      <c r="EG617" s="1981"/>
      <c r="EH617" s="1980">
        <f t="shared" si="18"/>
        <v>1384</v>
      </c>
      <c r="EI617" s="2137"/>
      <c r="EJ617" s="2137"/>
      <c r="EK617" s="2137"/>
      <c r="EL617" s="1981"/>
      <c r="EM617" s="1980" t="str">
        <f t="shared" si="19"/>
        <v xml:space="preserve"> </v>
      </c>
      <c r="EN617" s="2137"/>
      <c r="EO617" s="2137"/>
      <c r="EP617" s="2137"/>
      <c r="EQ617" s="1981"/>
      <c r="ER617" s="1980" t="str">
        <f t="shared" si="20"/>
        <v xml:space="preserve"> </v>
      </c>
      <c r="ES617" s="2137"/>
      <c r="ET617" s="2137"/>
      <c r="EU617" s="2137"/>
      <c r="EV617" s="1981"/>
      <c r="EW617" s="1980" t="str">
        <f t="shared" si="21"/>
        <v xml:space="preserve"> </v>
      </c>
      <c r="EX617" s="2137"/>
      <c r="EY617" s="2137"/>
      <c r="EZ617" s="2137"/>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63">
        <f t="shared" si="1"/>
        <v>0</v>
      </c>
      <c r="BH618" s="1965"/>
      <c r="BI618" s="1980">
        <f t="shared" si="2"/>
        <v>1</v>
      </c>
      <c r="BJ618" s="1981"/>
      <c r="BK618" s="1963">
        <f t="shared" si="3"/>
        <v>5</v>
      </c>
      <c r="BL618" s="1965"/>
      <c r="BM618" s="58"/>
      <c r="BN618" s="1960">
        <f t="shared" si="4"/>
        <v>0</v>
      </c>
      <c r="BO618" s="1961"/>
      <c r="BP618" s="1961"/>
      <c r="BQ618" s="1961"/>
      <c r="BR618" s="1962"/>
      <c r="BS618" s="1959">
        <f t="shared" si="5"/>
        <v>0</v>
      </c>
      <c r="BT618" s="1959"/>
      <c r="BU618" s="1959"/>
      <c r="BV618" s="1959"/>
      <c r="BW618" s="1959"/>
      <c r="BX618" s="1959">
        <f t="shared" si="6"/>
        <v>0</v>
      </c>
      <c r="BY618" s="1959"/>
      <c r="BZ618" s="1959"/>
      <c r="CA618" s="1959"/>
      <c r="CB618" s="1959"/>
      <c r="CC618" s="1959">
        <f t="shared" si="7"/>
        <v>5</v>
      </c>
      <c r="CD618" s="1959"/>
      <c r="CE618" s="1959"/>
      <c r="CF618" s="1959"/>
      <c r="CG618" s="1959"/>
      <c r="CH618" s="1959">
        <f t="shared" si="8"/>
        <v>0</v>
      </c>
      <c r="CI618" s="1959"/>
      <c r="CJ618" s="1959"/>
      <c r="CK618" s="1959"/>
      <c r="CL618" s="1959"/>
      <c r="CM618" s="1959">
        <f t="shared" si="9"/>
        <v>0</v>
      </c>
      <c r="CN618" s="1959"/>
      <c r="CO618" s="1959"/>
      <c r="CP618" s="1959"/>
      <c r="CQ618" s="1959"/>
      <c r="CR618" s="265"/>
      <c r="CS618" s="2328">
        <f t="shared" si="10"/>
        <v>0</v>
      </c>
      <c r="CT618" s="2328"/>
      <c r="CU618" s="2328"/>
      <c r="CV618" s="2328"/>
      <c r="CW618" s="2328"/>
      <c r="CX618" s="2328">
        <f t="shared" si="11"/>
        <v>0</v>
      </c>
      <c r="CY618" s="2328"/>
      <c r="CZ618" s="2328"/>
      <c r="DA618" s="2328"/>
      <c r="DB618" s="2328"/>
      <c r="DC618" s="2328">
        <f t="shared" si="12"/>
        <v>0</v>
      </c>
      <c r="DD618" s="2328"/>
      <c r="DE618" s="2328"/>
      <c r="DF618" s="2328"/>
      <c r="DG618" s="2328"/>
      <c r="DH618" s="2328">
        <f t="shared" si="13"/>
        <v>5</v>
      </c>
      <c r="DI618" s="2328"/>
      <c r="DJ618" s="2328"/>
      <c r="DK618" s="2328"/>
      <c r="DL618" s="2328"/>
      <c r="DM618" s="2328">
        <f t="shared" si="14"/>
        <v>0</v>
      </c>
      <c r="DN618" s="2328"/>
      <c r="DO618" s="2328"/>
      <c r="DP618" s="2328"/>
      <c r="DQ618" s="2328"/>
      <c r="DR618" s="2328">
        <f t="shared" si="15"/>
        <v>0</v>
      </c>
      <c r="DS618" s="2328"/>
      <c r="DT618" s="2328"/>
      <c r="DU618" s="2328"/>
      <c r="DV618" s="2328"/>
      <c r="DX618" s="1980" t="str">
        <f t="shared" si="16"/>
        <v xml:space="preserve"> </v>
      </c>
      <c r="DY618" s="2137"/>
      <c r="DZ618" s="2137"/>
      <c r="EA618" s="2137"/>
      <c r="EB618" s="1981"/>
      <c r="EC618" s="1980" t="str">
        <f t="shared" si="17"/>
        <v xml:space="preserve"> </v>
      </c>
      <c r="ED618" s="2137"/>
      <c r="EE618" s="2137"/>
      <c r="EF618" s="2137"/>
      <c r="EG618" s="1981"/>
      <c r="EH618" s="1980" t="str">
        <f t="shared" si="18"/>
        <v xml:space="preserve"> </v>
      </c>
      <c r="EI618" s="2137"/>
      <c r="EJ618" s="2137"/>
      <c r="EK618" s="2137"/>
      <c r="EL618" s="1981"/>
      <c r="EM618" s="1980">
        <f t="shared" si="19"/>
        <v>659</v>
      </c>
      <c r="EN618" s="2137"/>
      <c r="EO618" s="2137"/>
      <c r="EP618" s="2137"/>
      <c r="EQ618" s="1981"/>
      <c r="ER618" s="1980" t="str">
        <f t="shared" si="20"/>
        <v xml:space="preserve"> </v>
      </c>
      <c r="ES618" s="2137"/>
      <c r="ET618" s="2137"/>
      <c r="EU618" s="2137"/>
      <c r="EV618" s="1981"/>
      <c r="EW618" s="1980" t="str">
        <f t="shared" si="21"/>
        <v xml:space="preserve"> </v>
      </c>
      <c r="EX618" s="2137"/>
      <c r="EY618" s="2137"/>
      <c r="EZ618" s="2137"/>
      <c r="FA618" s="1981"/>
    </row>
    <row r="619" spans="1:157" s="7" customFormat="1" ht="12.75">
      <c r="A619" s="87" t="s">
        <v>371</v>
      </c>
      <c r="B619" s="12" t="s">
        <v>495</v>
      </c>
      <c r="C619" s="12"/>
      <c r="D619" s="12"/>
      <c r="E619" s="12"/>
      <c r="F619" s="12"/>
      <c r="G619" s="2000">
        <f>C574</f>
        <v>0</v>
      </c>
      <c r="H619" s="2000"/>
      <c r="I619" s="2000"/>
      <c r="J619" s="2000"/>
      <c r="K619" s="2000"/>
      <c r="L619" s="2000"/>
      <c r="M619" s="2000"/>
      <c r="N619" s="2000"/>
      <c r="O619" s="2000"/>
      <c r="P619" s="2000"/>
      <c r="Q619" s="2000"/>
      <c r="R619" s="2000"/>
      <c r="S619" s="12"/>
      <c r="T619" s="87" t="s">
        <v>372</v>
      </c>
      <c r="U619" s="12" t="s">
        <v>495</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80">
        <f t="shared" si="0"/>
        <v>1</v>
      </c>
      <c r="BF619" s="1981"/>
      <c r="BG619" s="1963">
        <f t="shared" si="1"/>
        <v>4</v>
      </c>
      <c r="BH619" s="1965"/>
      <c r="BI619" s="1980">
        <f t="shared" si="2"/>
        <v>0</v>
      </c>
      <c r="BJ619" s="1981"/>
      <c r="BK619" s="1963">
        <f t="shared" si="3"/>
        <v>0</v>
      </c>
      <c r="BL619" s="1965"/>
      <c r="BM619" s="58"/>
      <c r="BN619" s="1960">
        <f t="shared" si="4"/>
        <v>0</v>
      </c>
      <c r="BO619" s="1961"/>
      <c r="BP619" s="1961"/>
      <c r="BQ619" s="1961"/>
      <c r="BR619" s="1962"/>
      <c r="BS619" s="1959">
        <f t="shared" si="5"/>
        <v>0</v>
      </c>
      <c r="BT619" s="1959"/>
      <c r="BU619" s="1959"/>
      <c r="BV619" s="1959"/>
      <c r="BW619" s="1959"/>
      <c r="BX619" s="1959">
        <f t="shared" si="6"/>
        <v>0</v>
      </c>
      <c r="BY619" s="1959"/>
      <c r="BZ619" s="1959"/>
      <c r="CA619" s="1959"/>
      <c r="CB619" s="1959"/>
      <c r="CC619" s="1959">
        <f t="shared" si="7"/>
        <v>4</v>
      </c>
      <c r="CD619" s="1959"/>
      <c r="CE619" s="1959"/>
      <c r="CF619" s="1959"/>
      <c r="CG619" s="1959"/>
      <c r="CH619" s="1959">
        <f t="shared" si="8"/>
        <v>0</v>
      </c>
      <c r="CI619" s="1959"/>
      <c r="CJ619" s="1959"/>
      <c r="CK619" s="1959"/>
      <c r="CL619" s="1959"/>
      <c r="CM619" s="1959">
        <f t="shared" si="9"/>
        <v>0</v>
      </c>
      <c r="CN619" s="1959"/>
      <c r="CO619" s="1959"/>
      <c r="CP619" s="1959"/>
      <c r="CQ619" s="1959"/>
      <c r="CR619" s="265"/>
      <c r="CS619" s="2328">
        <f t="shared" si="10"/>
        <v>0</v>
      </c>
      <c r="CT619" s="2328"/>
      <c r="CU619" s="2328"/>
      <c r="CV619" s="2328"/>
      <c r="CW619" s="2328"/>
      <c r="CX619" s="2328">
        <f t="shared" si="11"/>
        <v>0</v>
      </c>
      <c r="CY619" s="2328"/>
      <c r="CZ619" s="2328"/>
      <c r="DA619" s="2328"/>
      <c r="DB619" s="2328"/>
      <c r="DC619" s="2328">
        <f t="shared" si="12"/>
        <v>0</v>
      </c>
      <c r="DD619" s="2328"/>
      <c r="DE619" s="2328"/>
      <c r="DF619" s="2328"/>
      <c r="DG619" s="2328"/>
      <c r="DH619" s="2328">
        <f t="shared" si="13"/>
        <v>0</v>
      </c>
      <c r="DI619" s="2328"/>
      <c r="DJ619" s="2328"/>
      <c r="DK619" s="2328"/>
      <c r="DL619" s="2328"/>
      <c r="DM619" s="2328">
        <f t="shared" si="14"/>
        <v>0</v>
      </c>
      <c r="DN619" s="2328"/>
      <c r="DO619" s="2328"/>
      <c r="DP619" s="2328"/>
      <c r="DQ619" s="2328"/>
      <c r="DR619" s="2328">
        <f t="shared" si="15"/>
        <v>0</v>
      </c>
      <c r="DS619" s="2328"/>
      <c r="DT619" s="2328"/>
      <c r="DU619" s="2328"/>
      <c r="DV619" s="2328"/>
      <c r="DX619" s="1980" t="str">
        <f t="shared" si="16"/>
        <v xml:space="preserve"> </v>
      </c>
      <c r="DY619" s="2137"/>
      <c r="DZ619" s="2137"/>
      <c r="EA619" s="2137"/>
      <c r="EB619" s="1981"/>
      <c r="EC619" s="1980" t="str">
        <f t="shared" si="17"/>
        <v xml:space="preserve"> </v>
      </c>
      <c r="ED619" s="2137"/>
      <c r="EE619" s="2137"/>
      <c r="EF619" s="2137"/>
      <c r="EG619" s="1981"/>
      <c r="EH619" s="1980" t="str">
        <f t="shared" si="18"/>
        <v xml:space="preserve"> </v>
      </c>
      <c r="EI619" s="2137"/>
      <c r="EJ619" s="2137"/>
      <c r="EK619" s="2137"/>
      <c r="EL619" s="1981"/>
      <c r="EM619" s="1980">
        <f t="shared" si="19"/>
        <v>1130</v>
      </c>
      <c r="EN619" s="2137"/>
      <c r="EO619" s="2137"/>
      <c r="EP619" s="2137"/>
      <c r="EQ619" s="1981"/>
      <c r="ER619" s="1980" t="str">
        <f t="shared" si="20"/>
        <v xml:space="preserve"> </v>
      </c>
      <c r="ES619" s="2137"/>
      <c r="ET619" s="2137"/>
      <c r="EU619" s="2137"/>
      <c r="EV619" s="1981"/>
      <c r="EW619" s="1980" t="str">
        <f t="shared" si="21"/>
        <v xml:space="preserve"> </v>
      </c>
      <c r="EX619" s="2137"/>
      <c r="EY619" s="2137"/>
      <c r="EZ619" s="2137"/>
      <c r="FA619" s="1981"/>
    </row>
    <row r="620" spans="1:157" s="7" customFormat="1" ht="12.75">
      <c r="A620" s="12"/>
      <c r="B620" s="12" t="s">
        <v>90</v>
      </c>
      <c r="C620" s="12"/>
      <c r="D620" s="12"/>
      <c r="E620" s="12"/>
      <c r="F620" s="12"/>
      <c r="G620" s="1975"/>
      <c r="H620" s="1975"/>
      <c r="I620" s="1975"/>
      <c r="J620" s="1975"/>
      <c r="K620" s="1975"/>
      <c r="L620" s="1975"/>
      <c r="M620" s="1975"/>
      <c r="N620" s="1975"/>
      <c r="O620" s="1975"/>
      <c r="P620" s="1975"/>
      <c r="Q620" s="1975"/>
      <c r="R620" s="1975"/>
      <c r="S620" s="12"/>
      <c r="T620" s="12"/>
      <c r="U620" s="12" t="s">
        <v>90</v>
      </c>
      <c r="V620" s="12"/>
      <c r="W620" s="12"/>
      <c r="X620" s="12"/>
      <c r="Y620" s="12"/>
      <c r="Z620" s="1975"/>
      <c r="AA620" s="1975"/>
      <c r="AB620" s="1975"/>
      <c r="AC620" s="1975"/>
      <c r="AD620" s="1975"/>
      <c r="AE620" s="1975"/>
      <c r="AF620" s="1975"/>
      <c r="AG620" s="1975"/>
      <c r="AH620" s="1975"/>
      <c r="AI620" s="1975"/>
      <c r="AJ620" s="1975"/>
      <c r="AK620" s="1975"/>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63">
        <f t="shared" si="1"/>
        <v>0</v>
      </c>
      <c r="BH620" s="1965"/>
      <c r="BI620" s="1980">
        <f t="shared" si="2"/>
        <v>0</v>
      </c>
      <c r="BJ620" s="1981"/>
      <c r="BK620" s="1963">
        <f t="shared" si="3"/>
        <v>0</v>
      </c>
      <c r="BL620" s="1965"/>
      <c r="BM620" s="58"/>
      <c r="BN620" s="1960">
        <f t="shared" si="4"/>
        <v>0</v>
      </c>
      <c r="BO620" s="1961"/>
      <c r="BP620" s="1961"/>
      <c r="BQ620" s="1961"/>
      <c r="BR620" s="1962"/>
      <c r="BS620" s="1959">
        <f t="shared" si="5"/>
        <v>0</v>
      </c>
      <c r="BT620" s="1959"/>
      <c r="BU620" s="1959"/>
      <c r="BV620" s="1959"/>
      <c r="BW620" s="1959"/>
      <c r="BX620" s="1959">
        <f t="shared" si="6"/>
        <v>0</v>
      </c>
      <c r="BY620" s="1959"/>
      <c r="BZ620" s="1959"/>
      <c r="CA620" s="1959"/>
      <c r="CB620" s="1959"/>
      <c r="CC620" s="1959">
        <f t="shared" si="7"/>
        <v>39</v>
      </c>
      <c r="CD620" s="1959"/>
      <c r="CE620" s="1959"/>
      <c r="CF620" s="1959"/>
      <c r="CG620" s="1959"/>
      <c r="CH620" s="1959">
        <f t="shared" si="8"/>
        <v>0</v>
      </c>
      <c r="CI620" s="1959"/>
      <c r="CJ620" s="1959"/>
      <c r="CK620" s="1959"/>
      <c r="CL620" s="1959"/>
      <c r="CM620" s="1959">
        <f t="shared" si="9"/>
        <v>0</v>
      </c>
      <c r="CN620" s="1959"/>
      <c r="CO620" s="1959"/>
      <c r="CP620" s="1959"/>
      <c r="CQ620" s="1959"/>
      <c r="CR620" s="265"/>
      <c r="CS620" s="2328">
        <f t="shared" si="10"/>
        <v>0</v>
      </c>
      <c r="CT620" s="2328"/>
      <c r="CU620" s="2328"/>
      <c r="CV620" s="2328"/>
      <c r="CW620" s="2328"/>
      <c r="CX620" s="2328">
        <f t="shared" si="11"/>
        <v>0</v>
      </c>
      <c r="CY620" s="2328"/>
      <c r="CZ620" s="2328"/>
      <c r="DA620" s="2328"/>
      <c r="DB620" s="2328"/>
      <c r="DC620" s="2328">
        <f t="shared" si="12"/>
        <v>0</v>
      </c>
      <c r="DD620" s="2328"/>
      <c r="DE620" s="2328"/>
      <c r="DF620" s="2328"/>
      <c r="DG620" s="2328"/>
      <c r="DH620" s="2328">
        <f t="shared" si="13"/>
        <v>0</v>
      </c>
      <c r="DI620" s="2328"/>
      <c r="DJ620" s="2328"/>
      <c r="DK620" s="2328"/>
      <c r="DL620" s="2328"/>
      <c r="DM620" s="2328">
        <f t="shared" si="14"/>
        <v>0</v>
      </c>
      <c r="DN620" s="2328"/>
      <c r="DO620" s="2328"/>
      <c r="DP620" s="2328"/>
      <c r="DQ620" s="2328"/>
      <c r="DR620" s="2328">
        <f t="shared" si="15"/>
        <v>0</v>
      </c>
      <c r="DS620" s="2328"/>
      <c r="DT620" s="2328"/>
      <c r="DU620" s="2328"/>
      <c r="DV620" s="2328"/>
      <c r="DX620" s="1980" t="str">
        <f t="shared" si="16"/>
        <v xml:space="preserve"> </v>
      </c>
      <c r="DY620" s="2137"/>
      <c r="DZ620" s="2137"/>
      <c r="EA620" s="2137"/>
      <c r="EB620" s="1981"/>
      <c r="EC620" s="1980" t="str">
        <f t="shared" si="17"/>
        <v xml:space="preserve"> </v>
      </c>
      <c r="ED620" s="2137"/>
      <c r="EE620" s="2137"/>
      <c r="EF620" s="2137"/>
      <c r="EG620" s="1981"/>
      <c r="EH620" s="1980" t="str">
        <f t="shared" si="18"/>
        <v xml:space="preserve"> </v>
      </c>
      <c r="EI620" s="2137"/>
      <c r="EJ620" s="2137"/>
      <c r="EK620" s="2137"/>
      <c r="EL620" s="1981"/>
      <c r="EM620" s="1980">
        <f t="shared" si="19"/>
        <v>1601</v>
      </c>
      <c r="EN620" s="2137"/>
      <c r="EO620" s="2137"/>
      <c r="EP620" s="2137"/>
      <c r="EQ620" s="1981"/>
      <c r="ER620" s="1980" t="str">
        <f t="shared" si="20"/>
        <v xml:space="preserve"> </v>
      </c>
      <c r="ES620" s="2137"/>
      <c r="ET620" s="2137"/>
      <c r="EU620" s="2137"/>
      <c r="EV620" s="1981"/>
      <c r="EW620" s="1980" t="str">
        <f t="shared" si="21"/>
        <v xml:space="preserve"> </v>
      </c>
      <c r="EX620" s="2137"/>
      <c r="EY620" s="2137"/>
      <c r="EZ620" s="2137"/>
      <c r="FA620" s="1981"/>
    </row>
    <row r="621" spans="1:157" ht="12.75">
      <c r="B621" s="12" t="s">
        <v>614</v>
      </c>
      <c r="G621" s="1975"/>
      <c r="H621" s="1975"/>
      <c r="I621" s="1975"/>
      <c r="J621" s="1975"/>
      <c r="K621" s="1975"/>
      <c r="L621" s="1975"/>
      <c r="M621" s="1975"/>
      <c r="N621" s="1975"/>
      <c r="O621" s="1975"/>
      <c r="P621" s="1975"/>
      <c r="Q621" s="1975"/>
      <c r="R621" s="1975"/>
      <c r="U621" s="12" t="s">
        <v>614</v>
      </c>
      <c r="Z621" s="2002"/>
      <c r="AA621" s="2002"/>
      <c r="AB621" s="2002"/>
      <c r="AC621" s="2002"/>
      <c r="AD621" s="2002"/>
      <c r="AE621" s="2002"/>
      <c r="AF621" s="2002"/>
      <c r="AG621" s="2002"/>
      <c r="AH621" s="2002"/>
      <c r="AI621" s="2002"/>
      <c r="AJ621" s="2002"/>
      <c r="AK621" s="2002"/>
      <c r="AZ621" s="58"/>
      <c r="BA621" s="58"/>
      <c r="BB621" s="58"/>
      <c r="BC621" s="58"/>
      <c r="BD621" s="58"/>
      <c r="BE621" s="1980">
        <f t="shared" si="0"/>
        <v>0</v>
      </c>
      <c r="BF621" s="1981"/>
      <c r="BG621" s="1963">
        <f t="shared" si="1"/>
        <v>0</v>
      </c>
      <c r="BH621" s="1965"/>
      <c r="BI621" s="1980">
        <f t="shared" si="2"/>
        <v>0</v>
      </c>
      <c r="BJ621" s="1981"/>
      <c r="BK621" s="1963">
        <f t="shared" si="3"/>
        <v>0</v>
      </c>
      <c r="BL621" s="1965"/>
      <c r="BM621" s="58"/>
      <c r="BN621" s="1960">
        <f t="shared" si="4"/>
        <v>0</v>
      </c>
      <c r="BO621" s="1961"/>
      <c r="BP621" s="1961"/>
      <c r="BQ621" s="1961"/>
      <c r="BR621" s="1962"/>
      <c r="BS621" s="1959">
        <f t="shared" si="5"/>
        <v>0</v>
      </c>
      <c r="BT621" s="1959"/>
      <c r="BU621" s="1959"/>
      <c r="BV621" s="1959"/>
      <c r="BW621" s="1959"/>
      <c r="BX621" s="1959">
        <f t="shared" si="6"/>
        <v>0</v>
      </c>
      <c r="BY621" s="1959"/>
      <c r="BZ621" s="1959"/>
      <c r="CA621" s="1959"/>
      <c r="CB621" s="1959"/>
      <c r="CC621" s="1959">
        <f t="shared" si="7"/>
        <v>0</v>
      </c>
      <c r="CD621" s="1959"/>
      <c r="CE621" s="1959"/>
      <c r="CF621" s="1959"/>
      <c r="CG621" s="1959"/>
      <c r="CH621" s="1959">
        <f t="shared" si="8"/>
        <v>0</v>
      </c>
      <c r="CI621" s="1959"/>
      <c r="CJ621" s="1959"/>
      <c r="CK621" s="1959"/>
      <c r="CL621" s="1959"/>
      <c r="CM621" s="1959">
        <f t="shared" si="9"/>
        <v>0</v>
      </c>
      <c r="CN621" s="1959"/>
      <c r="CO621" s="1959"/>
      <c r="CP621" s="1959"/>
      <c r="CQ621" s="1959"/>
      <c r="CR621" s="265"/>
      <c r="CS621" s="2328">
        <f t="shared" si="10"/>
        <v>0</v>
      </c>
      <c r="CT621" s="2328"/>
      <c r="CU621" s="2328"/>
      <c r="CV621" s="2328"/>
      <c r="CW621" s="2328"/>
      <c r="CX621" s="2328">
        <f t="shared" si="11"/>
        <v>0</v>
      </c>
      <c r="CY621" s="2328"/>
      <c r="CZ621" s="2328"/>
      <c r="DA621" s="2328"/>
      <c r="DB621" s="2328"/>
      <c r="DC621" s="2328">
        <f t="shared" si="12"/>
        <v>0</v>
      </c>
      <c r="DD621" s="2328"/>
      <c r="DE621" s="2328"/>
      <c r="DF621" s="2328"/>
      <c r="DG621" s="2328"/>
      <c r="DH621" s="2328">
        <f t="shared" si="13"/>
        <v>0</v>
      </c>
      <c r="DI621" s="2328"/>
      <c r="DJ621" s="2328"/>
      <c r="DK621" s="2328"/>
      <c r="DL621" s="2328"/>
      <c r="DM621" s="2328">
        <f t="shared" si="14"/>
        <v>0</v>
      </c>
      <c r="DN621" s="2328"/>
      <c r="DO621" s="2328"/>
      <c r="DP621" s="2328"/>
      <c r="DQ621" s="2328"/>
      <c r="DR621" s="2328">
        <f t="shared" si="15"/>
        <v>0</v>
      </c>
      <c r="DS621" s="2328"/>
      <c r="DT621" s="2328"/>
      <c r="DU621" s="2328"/>
      <c r="DV621" s="2328"/>
      <c r="DX621" s="1980" t="str">
        <f t="shared" si="16"/>
        <v xml:space="preserve"> </v>
      </c>
      <c r="DY621" s="2137"/>
      <c r="DZ621" s="2137"/>
      <c r="EA621" s="2137"/>
      <c r="EB621" s="1981"/>
      <c r="EC621" s="1980" t="str">
        <f t="shared" si="17"/>
        <v xml:space="preserve"> </v>
      </c>
      <c r="ED621" s="2137"/>
      <c r="EE621" s="2137"/>
      <c r="EF621" s="2137"/>
      <c r="EG621" s="1981"/>
      <c r="EH621" s="1980" t="str">
        <f t="shared" si="18"/>
        <v xml:space="preserve"> </v>
      </c>
      <c r="EI621" s="2137"/>
      <c r="EJ621" s="2137"/>
      <c r="EK621" s="2137"/>
      <c r="EL621" s="1981"/>
      <c r="EM621" s="1980" t="str">
        <f t="shared" si="19"/>
        <v xml:space="preserve"> </v>
      </c>
      <c r="EN621" s="2137"/>
      <c r="EO621" s="2137"/>
      <c r="EP621" s="2137"/>
      <c r="EQ621" s="1981"/>
      <c r="ER621" s="1980" t="str">
        <f t="shared" si="20"/>
        <v xml:space="preserve"> </v>
      </c>
      <c r="ES621" s="2137"/>
      <c r="ET621" s="2137"/>
      <c r="EU621" s="2137"/>
      <c r="EV621" s="1981"/>
      <c r="EW621" s="1980" t="str">
        <f t="shared" si="21"/>
        <v xml:space="preserve"> </v>
      </c>
      <c r="EX621" s="2137"/>
      <c r="EY621" s="2137"/>
      <c r="EZ621" s="2137"/>
      <c r="FA621" s="1981"/>
    </row>
    <row r="622" spans="1:157" ht="12.75">
      <c r="B622" s="12" t="s">
        <v>17</v>
      </c>
      <c r="G622" s="1975"/>
      <c r="H622" s="1975"/>
      <c r="I622" s="1975"/>
      <c r="J622" s="1975"/>
      <c r="K622" s="1975"/>
      <c r="L622" s="1975"/>
      <c r="M622" s="1975"/>
      <c r="N622" s="1975"/>
      <c r="O622" s="1975"/>
      <c r="P622" s="1975"/>
      <c r="Q622" s="1975"/>
      <c r="R622" s="1975"/>
      <c r="U622" s="12" t="s">
        <v>17</v>
      </c>
      <c r="Z622" s="2002"/>
      <c r="AA622" s="2002"/>
      <c r="AB622" s="2002"/>
      <c r="AC622" s="2002"/>
      <c r="AD622" s="2002"/>
      <c r="AE622" s="2002"/>
      <c r="AF622" s="2002"/>
      <c r="AG622" s="2002"/>
      <c r="AH622" s="2002"/>
      <c r="AI622" s="2002"/>
      <c r="AJ622" s="2002"/>
      <c r="AK622" s="2002"/>
      <c r="AZ622" s="58"/>
      <c r="BA622" s="58"/>
      <c r="BB622" s="58"/>
      <c r="BC622" s="58"/>
      <c r="BD622" s="58"/>
      <c r="BE622" s="1980">
        <f t="shared" si="0"/>
        <v>0</v>
      </c>
      <c r="BF622" s="1981"/>
      <c r="BG622" s="1963">
        <f t="shared" si="1"/>
        <v>0</v>
      </c>
      <c r="BH622" s="1965"/>
      <c r="BI622" s="1980">
        <f t="shared" si="2"/>
        <v>0</v>
      </c>
      <c r="BJ622" s="1981"/>
      <c r="BK622" s="1963">
        <f t="shared" si="3"/>
        <v>0</v>
      </c>
      <c r="BL622" s="1965"/>
      <c r="BM622" s="58"/>
      <c r="BN622" s="1960">
        <f t="shared" si="4"/>
        <v>0</v>
      </c>
      <c r="BO622" s="1961"/>
      <c r="BP622" s="1961"/>
      <c r="BQ622" s="1961"/>
      <c r="BR622" s="1962"/>
      <c r="BS622" s="1959">
        <f t="shared" si="5"/>
        <v>0</v>
      </c>
      <c r="BT622" s="1959"/>
      <c r="BU622" s="1959"/>
      <c r="BV622" s="1959"/>
      <c r="BW622" s="1959"/>
      <c r="BX622" s="1959">
        <f t="shared" si="6"/>
        <v>0</v>
      </c>
      <c r="BY622" s="1959"/>
      <c r="BZ622" s="1959"/>
      <c r="CA622" s="1959"/>
      <c r="CB622" s="1959"/>
      <c r="CC622" s="1959">
        <f t="shared" si="7"/>
        <v>0</v>
      </c>
      <c r="CD622" s="1959"/>
      <c r="CE622" s="1959"/>
      <c r="CF622" s="1959"/>
      <c r="CG622" s="1959"/>
      <c r="CH622" s="1959">
        <f t="shared" si="8"/>
        <v>0</v>
      </c>
      <c r="CI622" s="1959"/>
      <c r="CJ622" s="1959"/>
      <c r="CK622" s="1959"/>
      <c r="CL622" s="1959"/>
      <c r="CM622" s="1959">
        <f t="shared" si="9"/>
        <v>0</v>
      </c>
      <c r="CN622" s="1959"/>
      <c r="CO622" s="1959"/>
      <c r="CP622" s="1959"/>
      <c r="CQ622" s="1959"/>
      <c r="CR622" s="265"/>
      <c r="CS622" s="2328">
        <f t="shared" si="10"/>
        <v>0</v>
      </c>
      <c r="CT622" s="2328"/>
      <c r="CU622" s="2328"/>
      <c r="CV622" s="2328"/>
      <c r="CW622" s="2328"/>
      <c r="CX622" s="2328">
        <f t="shared" si="11"/>
        <v>0</v>
      </c>
      <c r="CY622" s="2328"/>
      <c r="CZ622" s="2328"/>
      <c r="DA622" s="2328"/>
      <c r="DB622" s="2328"/>
      <c r="DC622" s="2328">
        <f t="shared" si="12"/>
        <v>0</v>
      </c>
      <c r="DD622" s="2328"/>
      <c r="DE622" s="2328"/>
      <c r="DF622" s="2328"/>
      <c r="DG622" s="2328"/>
      <c r="DH622" s="2328">
        <f t="shared" si="13"/>
        <v>0</v>
      </c>
      <c r="DI622" s="2328"/>
      <c r="DJ622" s="2328"/>
      <c r="DK622" s="2328"/>
      <c r="DL622" s="2328"/>
      <c r="DM622" s="2328">
        <f t="shared" si="14"/>
        <v>0</v>
      </c>
      <c r="DN622" s="2328"/>
      <c r="DO622" s="2328"/>
      <c r="DP622" s="2328"/>
      <c r="DQ622" s="2328"/>
      <c r="DR622" s="2328">
        <f t="shared" si="15"/>
        <v>0</v>
      </c>
      <c r="DS622" s="2328"/>
      <c r="DT622" s="2328"/>
      <c r="DU622" s="2328"/>
      <c r="DV622" s="2328"/>
      <c r="DX622" s="1980" t="str">
        <f t="shared" si="16"/>
        <v xml:space="preserve"> </v>
      </c>
      <c r="DY622" s="2137"/>
      <c r="DZ622" s="2137"/>
      <c r="EA622" s="2137"/>
      <c r="EB622" s="1981"/>
      <c r="EC622" s="1980" t="str">
        <f t="shared" si="17"/>
        <v xml:space="preserve"> </v>
      </c>
      <c r="ED622" s="2137"/>
      <c r="EE622" s="2137"/>
      <c r="EF622" s="2137"/>
      <c r="EG622" s="1981"/>
      <c r="EH622" s="1980" t="str">
        <f t="shared" si="18"/>
        <v xml:space="preserve"> </v>
      </c>
      <c r="EI622" s="2137"/>
      <c r="EJ622" s="2137"/>
      <c r="EK622" s="2137"/>
      <c r="EL622" s="1981"/>
      <c r="EM622" s="1980" t="str">
        <f t="shared" si="19"/>
        <v xml:space="preserve"> </v>
      </c>
      <c r="EN622" s="2137"/>
      <c r="EO622" s="2137"/>
      <c r="EP622" s="2137"/>
      <c r="EQ622" s="1981"/>
      <c r="ER622" s="1980" t="str">
        <f t="shared" si="20"/>
        <v xml:space="preserve"> </v>
      </c>
      <c r="ES622" s="2137"/>
      <c r="ET622" s="2137"/>
      <c r="EU622" s="2137"/>
      <c r="EV622" s="1981"/>
      <c r="EW622" s="1980" t="str">
        <f t="shared" si="21"/>
        <v xml:space="preserve"> </v>
      </c>
      <c r="EX622" s="2137"/>
      <c r="EY622" s="2137"/>
      <c r="EZ622" s="2137"/>
      <c r="FA622" s="1981"/>
    </row>
    <row r="623" spans="1:157" ht="12.75">
      <c r="B623" s="12" t="s">
        <v>324</v>
      </c>
      <c r="G623" s="1967"/>
      <c r="H623" s="1967"/>
      <c r="I623" s="1967"/>
      <c r="J623" s="1967"/>
      <c r="K623" s="1967"/>
      <c r="L623" s="1967"/>
      <c r="O623" s="137" t="s">
        <v>211</v>
      </c>
      <c r="P623" s="1976"/>
      <c r="Q623" s="1976"/>
      <c r="R623" s="1976"/>
      <c r="U623" s="12" t="s">
        <v>324</v>
      </c>
      <c r="Z623" s="1967"/>
      <c r="AA623" s="1967"/>
      <c r="AB623" s="1967"/>
      <c r="AC623" s="1967"/>
      <c r="AD623" s="1967"/>
      <c r="AE623" s="1967"/>
      <c r="AH623" s="137" t="s">
        <v>211</v>
      </c>
      <c r="AI623" s="1976"/>
      <c r="AJ623" s="1976"/>
      <c r="AK623" s="1976"/>
      <c r="AZ623" s="58"/>
      <c r="BA623" s="58"/>
      <c r="BB623" s="58"/>
      <c r="BC623" s="58"/>
      <c r="BD623" s="58"/>
      <c r="BE623" s="1980">
        <f t="shared" si="0"/>
        <v>0</v>
      </c>
      <c r="BF623" s="1981"/>
      <c r="BG623" s="1963">
        <f t="shared" si="1"/>
        <v>0</v>
      </c>
      <c r="BH623" s="1965"/>
      <c r="BI623" s="1980">
        <f t="shared" si="2"/>
        <v>0</v>
      </c>
      <c r="BJ623" s="1981"/>
      <c r="BK623" s="1963">
        <f t="shared" si="3"/>
        <v>0</v>
      </c>
      <c r="BL623" s="1965"/>
      <c r="BM623" s="58"/>
      <c r="BN623" s="1960">
        <f t="shared" si="4"/>
        <v>0</v>
      </c>
      <c r="BO623" s="1961"/>
      <c r="BP623" s="1961"/>
      <c r="BQ623" s="1961"/>
      <c r="BR623" s="1962"/>
      <c r="BS623" s="1959">
        <f t="shared" si="5"/>
        <v>0</v>
      </c>
      <c r="BT623" s="1959"/>
      <c r="BU623" s="1959"/>
      <c r="BV623" s="1959"/>
      <c r="BW623" s="1959"/>
      <c r="BX623" s="1959">
        <f t="shared" si="6"/>
        <v>0</v>
      </c>
      <c r="BY623" s="1959"/>
      <c r="BZ623" s="1959"/>
      <c r="CA623" s="1959"/>
      <c r="CB623" s="1959"/>
      <c r="CC623" s="1959">
        <f t="shared" si="7"/>
        <v>0</v>
      </c>
      <c r="CD623" s="1959"/>
      <c r="CE623" s="1959"/>
      <c r="CF623" s="1959"/>
      <c r="CG623" s="1959"/>
      <c r="CH623" s="1959">
        <f t="shared" si="8"/>
        <v>0</v>
      </c>
      <c r="CI623" s="1959"/>
      <c r="CJ623" s="1959"/>
      <c r="CK623" s="1959"/>
      <c r="CL623" s="1959"/>
      <c r="CM623" s="1959">
        <f t="shared" si="9"/>
        <v>0</v>
      </c>
      <c r="CN623" s="1959"/>
      <c r="CO623" s="1959"/>
      <c r="CP623" s="1959"/>
      <c r="CQ623" s="1959"/>
      <c r="CR623" s="265"/>
      <c r="CS623" s="2328">
        <f t="shared" si="10"/>
        <v>0</v>
      </c>
      <c r="CT623" s="2328"/>
      <c r="CU623" s="2328"/>
      <c r="CV623" s="2328"/>
      <c r="CW623" s="2328"/>
      <c r="CX623" s="2328">
        <f t="shared" si="11"/>
        <v>0</v>
      </c>
      <c r="CY623" s="2328"/>
      <c r="CZ623" s="2328"/>
      <c r="DA623" s="2328"/>
      <c r="DB623" s="2328"/>
      <c r="DC623" s="2328">
        <f t="shared" si="12"/>
        <v>0</v>
      </c>
      <c r="DD623" s="2328"/>
      <c r="DE623" s="2328"/>
      <c r="DF623" s="2328"/>
      <c r="DG623" s="2328"/>
      <c r="DH623" s="2328">
        <f t="shared" si="13"/>
        <v>0</v>
      </c>
      <c r="DI623" s="2328"/>
      <c r="DJ623" s="2328"/>
      <c r="DK623" s="2328"/>
      <c r="DL623" s="2328"/>
      <c r="DM623" s="2328">
        <f t="shared" si="14"/>
        <v>0</v>
      </c>
      <c r="DN623" s="2328"/>
      <c r="DO623" s="2328"/>
      <c r="DP623" s="2328"/>
      <c r="DQ623" s="2328"/>
      <c r="DR623" s="2328">
        <f t="shared" si="15"/>
        <v>0</v>
      </c>
      <c r="DS623" s="2328"/>
      <c r="DT623" s="2328"/>
      <c r="DU623" s="2328"/>
      <c r="DV623" s="2328"/>
      <c r="DX623" s="1980" t="str">
        <f t="shared" si="16"/>
        <v xml:space="preserve"> </v>
      </c>
      <c r="DY623" s="2137"/>
      <c r="DZ623" s="2137"/>
      <c r="EA623" s="2137"/>
      <c r="EB623" s="1981"/>
      <c r="EC623" s="1980" t="str">
        <f t="shared" si="17"/>
        <v xml:space="preserve"> </v>
      </c>
      <c r="ED623" s="2137"/>
      <c r="EE623" s="2137"/>
      <c r="EF623" s="2137"/>
      <c r="EG623" s="1981"/>
      <c r="EH623" s="1980" t="str">
        <f t="shared" si="18"/>
        <v xml:space="preserve"> </v>
      </c>
      <c r="EI623" s="2137"/>
      <c r="EJ623" s="2137"/>
      <c r="EK623" s="2137"/>
      <c r="EL623" s="1981"/>
      <c r="EM623" s="1980" t="str">
        <f t="shared" si="19"/>
        <v xml:space="preserve"> </v>
      </c>
      <c r="EN623" s="2137"/>
      <c r="EO623" s="2137"/>
      <c r="EP623" s="2137"/>
      <c r="EQ623" s="1981"/>
      <c r="ER623" s="1980" t="str">
        <f t="shared" si="20"/>
        <v xml:space="preserve"> </v>
      </c>
      <c r="ES623" s="2137"/>
      <c r="ET623" s="2137"/>
      <c r="EU623" s="2137"/>
      <c r="EV623" s="1981"/>
      <c r="EW623" s="1980" t="str">
        <f t="shared" si="21"/>
        <v xml:space="preserve"> </v>
      </c>
      <c r="EX623" s="2137"/>
      <c r="EY623" s="2137"/>
      <c r="EZ623" s="2137"/>
      <c r="FA623" s="1981"/>
    </row>
    <row r="624" spans="1:157" ht="12.75">
      <c r="B624" s="12" t="s">
        <v>18</v>
      </c>
      <c r="H624" s="1975"/>
      <c r="I624" s="1975"/>
      <c r="J624" s="1975"/>
      <c r="K624" s="1975"/>
      <c r="L624" s="1975"/>
      <c r="M624" s="1975"/>
      <c r="N624" s="1975"/>
      <c r="O624" s="1975"/>
      <c r="P624" s="1975"/>
      <c r="Q624" s="1975"/>
      <c r="R624" s="1975"/>
      <c r="U624" s="12" t="s">
        <v>18</v>
      </c>
      <c r="AA624" s="1975"/>
      <c r="AB624" s="1975"/>
      <c r="AC624" s="1975"/>
      <c r="AD624" s="1975"/>
      <c r="AE624" s="1975"/>
      <c r="AF624" s="1975"/>
      <c r="AG624" s="1975"/>
      <c r="AH624" s="1975"/>
      <c r="AI624" s="1975"/>
      <c r="AJ624" s="1975"/>
      <c r="AK624" s="1975"/>
      <c r="AZ624" s="58"/>
      <c r="BA624" s="58"/>
      <c r="BB624" s="58"/>
      <c r="BC624" s="58"/>
      <c r="BD624" s="58"/>
      <c r="BE624" s="1980">
        <f t="shared" si="0"/>
        <v>0</v>
      </c>
      <c r="BF624" s="1981"/>
      <c r="BG624" s="1963">
        <f t="shared" si="1"/>
        <v>0</v>
      </c>
      <c r="BH624" s="1965"/>
      <c r="BI624" s="1980">
        <f t="shared" si="2"/>
        <v>0</v>
      </c>
      <c r="BJ624" s="1981"/>
      <c r="BK624" s="1963">
        <f t="shared" si="3"/>
        <v>0</v>
      </c>
      <c r="BL624" s="1965"/>
      <c r="BM624" s="58"/>
      <c r="BN624" s="1960">
        <f t="shared" si="4"/>
        <v>0</v>
      </c>
      <c r="BO624" s="1961"/>
      <c r="BP624" s="1961"/>
      <c r="BQ624" s="1961"/>
      <c r="BR624" s="1962"/>
      <c r="BS624" s="1959">
        <f t="shared" si="5"/>
        <v>0</v>
      </c>
      <c r="BT624" s="1959"/>
      <c r="BU624" s="1959"/>
      <c r="BV624" s="1959"/>
      <c r="BW624" s="1959"/>
      <c r="BX624" s="1959">
        <f t="shared" si="6"/>
        <v>0</v>
      </c>
      <c r="BY624" s="1959"/>
      <c r="BZ624" s="1959"/>
      <c r="CA624" s="1959"/>
      <c r="CB624" s="1959"/>
      <c r="CC624" s="1959">
        <f t="shared" si="7"/>
        <v>0</v>
      </c>
      <c r="CD624" s="1959"/>
      <c r="CE624" s="1959"/>
      <c r="CF624" s="1959"/>
      <c r="CG624" s="1959"/>
      <c r="CH624" s="1959">
        <f t="shared" si="8"/>
        <v>0</v>
      </c>
      <c r="CI624" s="1959"/>
      <c r="CJ624" s="1959"/>
      <c r="CK624" s="1959"/>
      <c r="CL624" s="1959"/>
      <c r="CM624" s="1959">
        <f t="shared" si="9"/>
        <v>0</v>
      </c>
      <c r="CN624" s="1959"/>
      <c r="CO624" s="1959"/>
      <c r="CP624" s="1959"/>
      <c r="CQ624" s="1959"/>
      <c r="CR624" s="265"/>
      <c r="CS624" s="2328">
        <f t="shared" si="10"/>
        <v>0</v>
      </c>
      <c r="CT624" s="2328"/>
      <c r="CU624" s="2328"/>
      <c r="CV624" s="2328"/>
      <c r="CW624" s="2328"/>
      <c r="CX624" s="2328">
        <f t="shared" si="11"/>
        <v>0</v>
      </c>
      <c r="CY624" s="2328"/>
      <c r="CZ624" s="2328"/>
      <c r="DA624" s="2328"/>
      <c r="DB624" s="2328"/>
      <c r="DC624" s="2328">
        <f t="shared" si="12"/>
        <v>0</v>
      </c>
      <c r="DD624" s="2328"/>
      <c r="DE624" s="2328"/>
      <c r="DF624" s="2328"/>
      <c r="DG624" s="2328"/>
      <c r="DH624" s="2328">
        <f t="shared" si="13"/>
        <v>0</v>
      </c>
      <c r="DI624" s="2328"/>
      <c r="DJ624" s="2328"/>
      <c r="DK624" s="2328"/>
      <c r="DL624" s="2328"/>
      <c r="DM624" s="2328">
        <f t="shared" si="14"/>
        <v>0</v>
      </c>
      <c r="DN624" s="2328"/>
      <c r="DO624" s="2328"/>
      <c r="DP624" s="2328"/>
      <c r="DQ624" s="2328"/>
      <c r="DR624" s="2328">
        <f t="shared" si="15"/>
        <v>0</v>
      </c>
      <c r="DS624" s="2328"/>
      <c r="DT624" s="2328"/>
      <c r="DU624" s="2328"/>
      <c r="DV624" s="2328"/>
      <c r="DX624" s="1980" t="str">
        <f t="shared" si="16"/>
        <v xml:space="preserve"> </v>
      </c>
      <c r="DY624" s="2137"/>
      <c r="DZ624" s="2137"/>
      <c r="EA624" s="2137"/>
      <c r="EB624" s="1981"/>
      <c r="EC624" s="1980" t="str">
        <f t="shared" si="17"/>
        <v xml:space="preserve"> </v>
      </c>
      <c r="ED624" s="2137"/>
      <c r="EE624" s="2137"/>
      <c r="EF624" s="2137"/>
      <c r="EG624" s="1981"/>
      <c r="EH624" s="1980" t="str">
        <f t="shared" si="18"/>
        <v xml:space="preserve"> </v>
      </c>
      <c r="EI624" s="2137"/>
      <c r="EJ624" s="2137"/>
      <c r="EK624" s="2137"/>
      <c r="EL624" s="1981"/>
      <c r="EM624" s="1980" t="str">
        <f t="shared" si="19"/>
        <v xml:space="preserve"> </v>
      </c>
      <c r="EN624" s="2137"/>
      <c r="EO624" s="2137"/>
      <c r="EP624" s="2137"/>
      <c r="EQ624" s="1981"/>
      <c r="ER624" s="1980" t="str">
        <f t="shared" si="20"/>
        <v xml:space="preserve"> </v>
      </c>
      <c r="ES624" s="2137"/>
      <c r="ET624" s="2137"/>
      <c r="EU624" s="2137"/>
      <c r="EV624" s="1981"/>
      <c r="EW624" s="1980" t="str">
        <f t="shared" si="21"/>
        <v xml:space="preserve"> </v>
      </c>
      <c r="EX624" s="2137"/>
      <c r="EY624" s="2137"/>
      <c r="EZ624" s="2137"/>
      <c r="FA624" s="1981"/>
    </row>
    <row r="625" spans="1:157" ht="12.75">
      <c r="B625" s="12" t="s">
        <v>20</v>
      </c>
      <c r="N625" s="1999" t="s">
        <v>705</v>
      </c>
      <c r="O625" s="1999"/>
      <c r="U625" s="12" t="s">
        <v>20</v>
      </c>
      <c r="AG625" s="1999" t="s">
        <v>705</v>
      </c>
      <c r="AH625" s="1999"/>
      <c r="AZ625" s="58"/>
      <c r="BA625" s="58"/>
      <c r="BB625" s="58"/>
      <c r="BC625" s="58"/>
      <c r="BD625" s="58"/>
      <c r="BE625" s="1980">
        <f t="shared" si="0"/>
        <v>0</v>
      </c>
      <c r="BF625" s="1981"/>
      <c r="BG625" s="1963">
        <f t="shared" si="1"/>
        <v>0</v>
      </c>
      <c r="BH625" s="1965"/>
      <c r="BI625" s="1980">
        <f t="shared" si="2"/>
        <v>0</v>
      </c>
      <c r="BJ625" s="1981"/>
      <c r="BK625" s="1963">
        <f t="shared" si="3"/>
        <v>0</v>
      </c>
      <c r="BL625" s="1965"/>
      <c r="BM625" s="58"/>
      <c r="BN625" s="1960">
        <f t="shared" si="4"/>
        <v>0</v>
      </c>
      <c r="BO625" s="1961"/>
      <c r="BP625" s="1961"/>
      <c r="BQ625" s="1961"/>
      <c r="BR625" s="1962"/>
      <c r="BS625" s="1959">
        <f t="shared" si="5"/>
        <v>0</v>
      </c>
      <c r="BT625" s="1959"/>
      <c r="BU625" s="1959"/>
      <c r="BV625" s="1959"/>
      <c r="BW625" s="1959"/>
      <c r="BX625" s="1959">
        <f t="shared" si="6"/>
        <v>0</v>
      </c>
      <c r="BY625" s="1959"/>
      <c r="BZ625" s="1959"/>
      <c r="CA625" s="1959"/>
      <c r="CB625" s="1959"/>
      <c r="CC625" s="1959">
        <f t="shared" si="7"/>
        <v>0</v>
      </c>
      <c r="CD625" s="1959"/>
      <c r="CE625" s="1959"/>
      <c r="CF625" s="1959"/>
      <c r="CG625" s="1959"/>
      <c r="CH625" s="1959">
        <f t="shared" si="8"/>
        <v>0</v>
      </c>
      <c r="CI625" s="1959"/>
      <c r="CJ625" s="1959"/>
      <c r="CK625" s="1959"/>
      <c r="CL625" s="1959"/>
      <c r="CM625" s="1959">
        <f t="shared" si="9"/>
        <v>0</v>
      </c>
      <c r="CN625" s="1959"/>
      <c r="CO625" s="1959"/>
      <c r="CP625" s="1959"/>
      <c r="CQ625" s="1959"/>
      <c r="CR625" s="265"/>
      <c r="CS625" s="2328">
        <f t="shared" si="10"/>
        <v>0</v>
      </c>
      <c r="CT625" s="2328"/>
      <c r="CU625" s="2328"/>
      <c r="CV625" s="2328"/>
      <c r="CW625" s="2328"/>
      <c r="CX625" s="2328">
        <f t="shared" si="11"/>
        <v>0</v>
      </c>
      <c r="CY625" s="2328"/>
      <c r="CZ625" s="2328"/>
      <c r="DA625" s="2328"/>
      <c r="DB625" s="2328"/>
      <c r="DC625" s="2328">
        <f t="shared" si="12"/>
        <v>0</v>
      </c>
      <c r="DD625" s="2328"/>
      <c r="DE625" s="2328"/>
      <c r="DF625" s="2328"/>
      <c r="DG625" s="2328"/>
      <c r="DH625" s="2328">
        <f t="shared" si="13"/>
        <v>0</v>
      </c>
      <c r="DI625" s="2328"/>
      <c r="DJ625" s="2328"/>
      <c r="DK625" s="2328"/>
      <c r="DL625" s="2328"/>
      <c r="DM625" s="2328">
        <f t="shared" si="14"/>
        <v>0</v>
      </c>
      <c r="DN625" s="2328"/>
      <c r="DO625" s="2328"/>
      <c r="DP625" s="2328"/>
      <c r="DQ625" s="2328"/>
      <c r="DR625" s="2328">
        <f t="shared" si="15"/>
        <v>0</v>
      </c>
      <c r="DS625" s="2328"/>
      <c r="DT625" s="2328"/>
      <c r="DU625" s="2328"/>
      <c r="DV625" s="2328"/>
      <c r="DX625" s="1980" t="str">
        <f t="shared" si="16"/>
        <v xml:space="preserve"> </v>
      </c>
      <c r="DY625" s="2137"/>
      <c r="DZ625" s="2137"/>
      <c r="EA625" s="2137"/>
      <c r="EB625" s="1981"/>
      <c r="EC625" s="1980" t="str">
        <f t="shared" si="17"/>
        <v xml:space="preserve"> </v>
      </c>
      <c r="ED625" s="2137"/>
      <c r="EE625" s="2137"/>
      <c r="EF625" s="2137"/>
      <c r="EG625" s="1981"/>
      <c r="EH625" s="1980" t="str">
        <f t="shared" si="18"/>
        <v xml:space="preserve"> </v>
      </c>
      <c r="EI625" s="2137"/>
      <c r="EJ625" s="2137"/>
      <c r="EK625" s="2137"/>
      <c r="EL625" s="1981"/>
      <c r="EM625" s="1980" t="str">
        <f t="shared" si="19"/>
        <v xml:space="preserve"> </v>
      </c>
      <c r="EN625" s="2137"/>
      <c r="EO625" s="2137"/>
      <c r="EP625" s="2137"/>
      <c r="EQ625" s="1981"/>
      <c r="ER625" s="1980" t="str">
        <f t="shared" si="20"/>
        <v xml:space="preserve"> </v>
      </c>
      <c r="ES625" s="2137"/>
      <c r="ET625" s="2137"/>
      <c r="EU625" s="2137"/>
      <c r="EV625" s="1981"/>
      <c r="EW625" s="1980" t="str">
        <f t="shared" si="21"/>
        <v xml:space="preserve"> </v>
      </c>
      <c r="EX625" s="2137"/>
      <c r="EY625" s="2137"/>
      <c r="EZ625" s="2137"/>
      <c r="FA625" s="1981"/>
    </row>
    <row r="626" spans="1:157" ht="12.75">
      <c r="AZ626" s="58"/>
      <c r="BA626" s="58"/>
      <c r="BB626" s="58"/>
      <c r="BC626" s="58"/>
      <c r="BD626" s="58"/>
      <c r="BE626" s="1980">
        <f t="shared" si="0"/>
        <v>0</v>
      </c>
      <c r="BF626" s="1981"/>
      <c r="BG626" s="1963">
        <f t="shared" si="1"/>
        <v>0</v>
      </c>
      <c r="BH626" s="1965"/>
      <c r="BI626" s="1980">
        <f t="shared" si="2"/>
        <v>0</v>
      </c>
      <c r="BJ626" s="1981"/>
      <c r="BK626" s="1963">
        <f t="shared" si="3"/>
        <v>0</v>
      </c>
      <c r="BL626" s="1965"/>
      <c r="BM626" s="58"/>
      <c r="BN626" s="1960">
        <f t="shared" si="4"/>
        <v>0</v>
      </c>
      <c r="BO626" s="1961"/>
      <c r="BP626" s="1961"/>
      <c r="BQ626" s="1961"/>
      <c r="BR626" s="1962"/>
      <c r="BS626" s="1959">
        <f t="shared" si="5"/>
        <v>0</v>
      </c>
      <c r="BT626" s="1959"/>
      <c r="BU626" s="1959"/>
      <c r="BV626" s="1959"/>
      <c r="BW626" s="1959"/>
      <c r="BX626" s="1959">
        <f t="shared" si="6"/>
        <v>0</v>
      </c>
      <c r="BY626" s="1959"/>
      <c r="BZ626" s="1959"/>
      <c r="CA626" s="1959"/>
      <c r="CB626" s="1959"/>
      <c r="CC626" s="1959">
        <f t="shared" si="7"/>
        <v>0</v>
      </c>
      <c r="CD626" s="1959"/>
      <c r="CE626" s="1959"/>
      <c r="CF626" s="1959"/>
      <c r="CG626" s="1959"/>
      <c r="CH626" s="1959">
        <f t="shared" si="8"/>
        <v>0</v>
      </c>
      <c r="CI626" s="1959"/>
      <c r="CJ626" s="1959"/>
      <c r="CK626" s="1959"/>
      <c r="CL626" s="1959"/>
      <c r="CM626" s="1959">
        <f t="shared" si="9"/>
        <v>0</v>
      </c>
      <c r="CN626" s="1959"/>
      <c r="CO626" s="1959"/>
      <c r="CP626" s="1959"/>
      <c r="CQ626" s="1959"/>
      <c r="CR626" s="265"/>
      <c r="CS626" s="2328">
        <f t="shared" si="10"/>
        <v>0</v>
      </c>
      <c r="CT626" s="2328"/>
      <c r="CU626" s="2328"/>
      <c r="CV626" s="2328"/>
      <c r="CW626" s="2328"/>
      <c r="CX626" s="2328">
        <f t="shared" si="11"/>
        <v>0</v>
      </c>
      <c r="CY626" s="2328"/>
      <c r="CZ626" s="2328"/>
      <c r="DA626" s="2328"/>
      <c r="DB626" s="2328"/>
      <c r="DC626" s="2328">
        <f t="shared" si="12"/>
        <v>0</v>
      </c>
      <c r="DD626" s="2328"/>
      <c r="DE626" s="2328"/>
      <c r="DF626" s="2328"/>
      <c r="DG626" s="2328"/>
      <c r="DH626" s="2328">
        <f t="shared" si="13"/>
        <v>0</v>
      </c>
      <c r="DI626" s="2328"/>
      <c r="DJ626" s="2328"/>
      <c r="DK626" s="2328"/>
      <c r="DL626" s="2328"/>
      <c r="DM626" s="2328">
        <f t="shared" si="14"/>
        <v>0</v>
      </c>
      <c r="DN626" s="2328"/>
      <c r="DO626" s="2328"/>
      <c r="DP626" s="2328"/>
      <c r="DQ626" s="2328"/>
      <c r="DR626" s="2328">
        <f t="shared" si="15"/>
        <v>0</v>
      </c>
      <c r="DS626" s="2328"/>
      <c r="DT626" s="2328"/>
      <c r="DU626" s="2328"/>
      <c r="DV626" s="2328"/>
      <c r="DX626" s="1980" t="str">
        <f t="shared" si="16"/>
        <v xml:space="preserve"> </v>
      </c>
      <c r="DY626" s="2137"/>
      <c r="DZ626" s="2137"/>
      <c r="EA626" s="2137"/>
      <c r="EB626" s="1981"/>
      <c r="EC626" s="1980" t="str">
        <f t="shared" si="17"/>
        <v xml:space="preserve"> </v>
      </c>
      <c r="ED626" s="2137"/>
      <c r="EE626" s="2137"/>
      <c r="EF626" s="2137"/>
      <c r="EG626" s="1981"/>
      <c r="EH626" s="1980" t="str">
        <f t="shared" si="18"/>
        <v xml:space="preserve"> </v>
      </c>
      <c r="EI626" s="2137"/>
      <c r="EJ626" s="2137"/>
      <c r="EK626" s="2137"/>
      <c r="EL626" s="1981"/>
      <c r="EM626" s="1980" t="str">
        <f t="shared" si="19"/>
        <v xml:space="preserve"> </v>
      </c>
      <c r="EN626" s="2137"/>
      <c r="EO626" s="2137"/>
      <c r="EP626" s="2137"/>
      <c r="EQ626" s="1981"/>
      <c r="ER626" s="1980" t="str">
        <f t="shared" si="20"/>
        <v xml:space="preserve"> </v>
      </c>
      <c r="ES626" s="2137"/>
      <c r="ET626" s="2137"/>
      <c r="EU626" s="2137"/>
      <c r="EV626" s="1981"/>
      <c r="EW626" s="1980" t="str">
        <f t="shared" si="21"/>
        <v xml:space="preserve"> </v>
      </c>
      <c r="EX626" s="2137"/>
      <c r="EY626" s="2137"/>
      <c r="EZ626" s="2137"/>
      <c r="FA626" s="1981"/>
    </row>
    <row r="627" spans="1:157" ht="12.75" customHeight="1">
      <c r="A627" s="1817" t="s">
        <v>576</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7"/>
      <c r="AU627" s="1477"/>
      <c r="AV627" s="1477"/>
      <c r="AW627" s="1477"/>
      <c r="AX627" s="1477"/>
      <c r="AY627" s="1477"/>
      <c r="AZ627" s="58"/>
      <c r="BA627" s="58"/>
      <c r="BB627" s="58"/>
      <c r="BC627" s="58"/>
      <c r="BD627" s="58"/>
      <c r="BE627" s="1980">
        <f t="shared" si="0"/>
        <v>0</v>
      </c>
      <c r="BF627" s="1981"/>
      <c r="BG627" s="1963">
        <f t="shared" si="1"/>
        <v>0</v>
      </c>
      <c r="BH627" s="1965"/>
      <c r="BI627" s="1980">
        <f t="shared" si="2"/>
        <v>0</v>
      </c>
      <c r="BJ627" s="1981"/>
      <c r="BK627" s="1963">
        <f t="shared" si="3"/>
        <v>0</v>
      </c>
      <c r="BL627" s="1965"/>
      <c r="BM627" s="58"/>
      <c r="BN627" s="1960">
        <f t="shared" si="4"/>
        <v>0</v>
      </c>
      <c r="BO627" s="1961"/>
      <c r="BP627" s="1961"/>
      <c r="BQ627" s="1961"/>
      <c r="BR627" s="1962"/>
      <c r="BS627" s="1959">
        <f t="shared" si="5"/>
        <v>0</v>
      </c>
      <c r="BT627" s="1959"/>
      <c r="BU627" s="1959"/>
      <c r="BV627" s="1959"/>
      <c r="BW627" s="1959"/>
      <c r="BX627" s="1959">
        <f t="shared" si="6"/>
        <v>0</v>
      </c>
      <c r="BY627" s="1959"/>
      <c r="BZ627" s="1959"/>
      <c r="CA627" s="1959"/>
      <c r="CB627" s="1959"/>
      <c r="CC627" s="1959">
        <f t="shared" si="7"/>
        <v>0</v>
      </c>
      <c r="CD627" s="1959"/>
      <c r="CE627" s="1959"/>
      <c r="CF627" s="1959"/>
      <c r="CG627" s="1959"/>
      <c r="CH627" s="1959">
        <f t="shared" si="8"/>
        <v>0</v>
      </c>
      <c r="CI627" s="1959"/>
      <c r="CJ627" s="1959"/>
      <c r="CK627" s="1959"/>
      <c r="CL627" s="1959"/>
      <c r="CM627" s="1959">
        <f t="shared" si="9"/>
        <v>0</v>
      </c>
      <c r="CN627" s="1959"/>
      <c r="CO627" s="1959"/>
      <c r="CP627" s="1959"/>
      <c r="CQ627" s="1959"/>
      <c r="CR627" s="265"/>
      <c r="CS627" s="2328">
        <f t="shared" si="10"/>
        <v>0</v>
      </c>
      <c r="CT627" s="2328"/>
      <c r="CU627" s="2328"/>
      <c r="CV627" s="2328"/>
      <c r="CW627" s="2328"/>
      <c r="CX627" s="2328">
        <f t="shared" si="11"/>
        <v>0</v>
      </c>
      <c r="CY627" s="2328"/>
      <c r="CZ627" s="2328"/>
      <c r="DA627" s="2328"/>
      <c r="DB627" s="2328"/>
      <c r="DC627" s="2328">
        <f t="shared" si="12"/>
        <v>0</v>
      </c>
      <c r="DD627" s="2328"/>
      <c r="DE627" s="2328"/>
      <c r="DF627" s="2328"/>
      <c r="DG627" s="2328"/>
      <c r="DH627" s="2328">
        <f t="shared" si="13"/>
        <v>0</v>
      </c>
      <c r="DI627" s="2328"/>
      <c r="DJ627" s="2328"/>
      <c r="DK627" s="2328"/>
      <c r="DL627" s="2328"/>
      <c r="DM627" s="2328">
        <f t="shared" si="14"/>
        <v>0</v>
      </c>
      <c r="DN627" s="2328"/>
      <c r="DO627" s="2328"/>
      <c r="DP627" s="2328"/>
      <c r="DQ627" s="2328"/>
      <c r="DR627" s="2328">
        <f t="shared" si="15"/>
        <v>0</v>
      </c>
      <c r="DS627" s="2328"/>
      <c r="DT627" s="2328"/>
      <c r="DU627" s="2328"/>
      <c r="DV627" s="2328"/>
      <c r="DX627" s="1980" t="str">
        <f t="shared" si="16"/>
        <v xml:space="preserve"> </v>
      </c>
      <c r="DY627" s="2137"/>
      <c r="DZ627" s="2137"/>
      <c r="EA627" s="2137"/>
      <c r="EB627" s="1981"/>
      <c r="EC627" s="1980" t="str">
        <f t="shared" si="17"/>
        <v xml:space="preserve"> </v>
      </c>
      <c r="ED627" s="2137"/>
      <c r="EE627" s="2137"/>
      <c r="EF627" s="2137"/>
      <c r="EG627" s="1981"/>
      <c r="EH627" s="1980" t="str">
        <f t="shared" si="18"/>
        <v xml:space="preserve"> </v>
      </c>
      <c r="EI627" s="2137"/>
      <c r="EJ627" s="2137"/>
      <c r="EK627" s="2137"/>
      <c r="EL627" s="1981"/>
      <c r="EM627" s="1980" t="str">
        <f t="shared" si="19"/>
        <v xml:space="preserve"> </v>
      </c>
      <c r="EN627" s="2137"/>
      <c r="EO627" s="2137"/>
      <c r="EP627" s="2137"/>
      <c r="EQ627" s="1981"/>
      <c r="ER627" s="1980" t="str">
        <f t="shared" si="20"/>
        <v xml:space="preserve"> </v>
      </c>
      <c r="ES627" s="2137"/>
      <c r="ET627" s="2137"/>
      <c r="EU627" s="2137"/>
      <c r="EV627" s="1981"/>
      <c r="EW627" s="1980" t="str">
        <f t="shared" si="21"/>
        <v xml:space="preserve"> </v>
      </c>
      <c r="EX627" s="2137"/>
      <c r="EY627" s="2137"/>
      <c r="EZ627" s="2137"/>
      <c r="FA627" s="1981"/>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7"/>
      <c r="AU628" s="1477"/>
      <c r="AV628" s="1477"/>
      <c r="AW628" s="1477"/>
      <c r="AX628" s="1477"/>
      <c r="AY628" s="1477"/>
      <c r="AZ628" s="58"/>
      <c r="BA628" s="58"/>
      <c r="BB628" s="58"/>
      <c r="BC628" s="58"/>
      <c r="BD628" s="58"/>
      <c r="BE628" s="1980">
        <f t="shared" si="0"/>
        <v>0</v>
      </c>
      <c r="BF628" s="1981"/>
      <c r="BG628" s="1963">
        <f t="shared" si="1"/>
        <v>0</v>
      </c>
      <c r="BH628" s="1965"/>
      <c r="BI628" s="1980">
        <f t="shared" si="2"/>
        <v>0</v>
      </c>
      <c r="BJ628" s="1981"/>
      <c r="BK628" s="1963">
        <f t="shared" si="3"/>
        <v>0</v>
      </c>
      <c r="BL628" s="1965"/>
      <c r="BM628" s="58"/>
      <c r="BN628" s="1960">
        <f t="shared" si="4"/>
        <v>0</v>
      </c>
      <c r="BO628" s="1961"/>
      <c r="BP628" s="1961"/>
      <c r="BQ628" s="1961"/>
      <c r="BR628" s="1962"/>
      <c r="BS628" s="1959">
        <f t="shared" si="5"/>
        <v>0</v>
      </c>
      <c r="BT628" s="1959"/>
      <c r="BU628" s="1959"/>
      <c r="BV628" s="1959"/>
      <c r="BW628" s="1959"/>
      <c r="BX628" s="1959">
        <f t="shared" si="6"/>
        <v>0</v>
      </c>
      <c r="BY628" s="1959"/>
      <c r="BZ628" s="1959"/>
      <c r="CA628" s="1959"/>
      <c r="CB628" s="1959"/>
      <c r="CC628" s="1959">
        <f t="shared" si="7"/>
        <v>0</v>
      </c>
      <c r="CD628" s="1959"/>
      <c r="CE628" s="1959"/>
      <c r="CF628" s="1959"/>
      <c r="CG628" s="1959"/>
      <c r="CH628" s="1959">
        <f t="shared" si="8"/>
        <v>0</v>
      </c>
      <c r="CI628" s="1959"/>
      <c r="CJ628" s="1959"/>
      <c r="CK628" s="1959"/>
      <c r="CL628" s="1959"/>
      <c r="CM628" s="1959">
        <f t="shared" si="9"/>
        <v>0</v>
      </c>
      <c r="CN628" s="1959"/>
      <c r="CO628" s="1959"/>
      <c r="CP628" s="1959"/>
      <c r="CQ628" s="1959"/>
      <c r="CR628" s="265"/>
      <c r="CS628" s="2328">
        <f t="shared" si="10"/>
        <v>0</v>
      </c>
      <c r="CT628" s="2328"/>
      <c r="CU628" s="2328"/>
      <c r="CV628" s="2328"/>
      <c r="CW628" s="2328"/>
      <c r="CX628" s="2328">
        <f t="shared" si="11"/>
        <v>0</v>
      </c>
      <c r="CY628" s="2328"/>
      <c r="CZ628" s="2328"/>
      <c r="DA628" s="2328"/>
      <c r="DB628" s="2328"/>
      <c r="DC628" s="2328">
        <f t="shared" si="12"/>
        <v>0</v>
      </c>
      <c r="DD628" s="2328"/>
      <c r="DE628" s="2328"/>
      <c r="DF628" s="2328"/>
      <c r="DG628" s="2328"/>
      <c r="DH628" s="2328">
        <f t="shared" si="13"/>
        <v>0</v>
      </c>
      <c r="DI628" s="2328"/>
      <c r="DJ628" s="2328"/>
      <c r="DK628" s="2328"/>
      <c r="DL628" s="2328"/>
      <c r="DM628" s="2328">
        <f t="shared" si="14"/>
        <v>0</v>
      </c>
      <c r="DN628" s="2328"/>
      <c r="DO628" s="2328"/>
      <c r="DP628" s="2328"/>
      <c r="DQ628" s="2328"/>
      <c r="DR628" s="2328">
        <f t="shared" si="15"/>
        <v>0</v>
      </c>
      <c r="DS628" s="2328"/>
      <c r="DT628" s="2328"/>
      <c r="DU628" s="2328"/>
      <c r="DV628" s="2328"/>
      <c r="DX628" s="1980" t="str">
        <f t="shared" si="16"/>
        <v xml:space="preserve"> </v>
      </c>
      <c r="DY628" s="2137"/>
      <c r="DZ628" s="2137"/>
      <c r="EA628" s="2137"/>
      <c r="EB628" s="1981"/>
      <c r="EC628" s="1980" t="str">
        <f t="shared" si="17"/>
        <v xml:space="preserve"> </v>
      </c>
      <c r="ED628" s="2137"/>
      <c r="EE628" s="2137"/>
      <c r="EF628" s="2137"/>
      <c r="EG628" s="1981"/>
      <c r="EH628" s="1980" t="str">
        <f t="shared" si="18"/>
        <v xml:space="preserve"> </v>
      </c>
      <c r="EI628" s="2137"/>
      <c r="EJ628" s="2137"/>
      <c r="EK628" s="2137"/>
      <c r="EL628" s="1981"/>
      <c r="EM628" s="1980" t="str">
        <f t="shared" si="19"/>
        <v xml:space="preserve"> </v>
      </c>
      <c r="EN628" s="2137"/>
      <c r="EO628" s="2137"/>
      <c r="EP628" s="2137"/>
      <c r="EQ628" s="1981"/>
      <c r="ER628" s="1980" t="str">
        <f t="shared" si="20"/>
        <v xml:space="preserve"> </v>
      </c>
      <c r="ES628" s="2137"/>
      <c r="ET628" s="2137"/>
      <c r="EU628" s="2137"/>
      <c r="EV628" s="1981"/>
      <c r="EW628" s="1980" t="str">
        <f t="shared" si="21"/>
        <v xml:space="preserve"> </v>
      </c>
      <c r="EX628" s="2137"/>
      <c r="EY628" s="2137"/>
      <c r="EZ628" s="2137"/>
      <c r="FA628" s="1981"/>
    </row>
    <row r="629" spans="1:157" ht="12.75">
      <c r="A629" s="25"/>
      <c r="B629" s="25"/>
      <c r="C629" s="25"/>
      <c r="D629" s="25"/>
      <c r="E629" s="25"/>
      <c r="F629" s="25"/>
      <c r="G629" s="3"/>
      <c r="H629" s="25"/>
      <c r="AZ629" s="58"/>
      <c r="BA629" s="58"/>
      <c r="BB629" s="58"/>
      <c r="BC629" s="58"/>
      <c r="BD629" s="58"/>
      <c r="BE629" s="1980">
        <f t="shared" si="0"/>
        <v>0</v>
      </c>
      <c r="BF629" s="1981"/>
      <c r="BG629" s="1963">
        <f t="shared" si="1"/>
        <v>0</v>
      </c>
      <c r="BH629" s="1965"/>
      <c r="BI629" s="1980">
        <f t="shared" si="2"/>
        <v>0</v>
      </c>
      <c r="BJ629" s="1981"/>
      <c r="BK629" s="1963">
        <f t="shared" si="3"/>
        <v>0</v>
      </c>
      <c r="BL629" s="1965"/>
      <c r="BM629" s="58"/>
      <c r="BN629" s="1960">
        <f t="shared" si="4"/>
        <v>0</v>
      </c>
      <c r="BO629" s="1961"/>
      <c r="BP629" s="1961"/>
      <c r="BQ629" s="1961"/>
      <c r="BR629" s="1962"/>
      <c r="BS629" s="1959">
        <f t="shared" si="5"/>
        <v>0</v>
      </c>
      <c r="BT629" s="1959"/>
      <c r="BU629" s="1959"/>
      <c r="BV629" s="1959"/>
      <c r="BW629" s="1959"/>
      <c r="BX629" s="1959">
        <f t="shared" si="6"/>
        <v>0</v>
      </c>
      <c r="BY629" s="1959"/>
      <c r="BZ629" s="1959"/>
      <c r="CA629" s="1959"/>
      <c r="CB629" s="1959"/>
      <c r="CC629" s="1959">
        <f t="shared" si="7"/>
        <v>0</v>
      </c>
      <c r="CD629" s="1959"/>
      <c r="CE629" s="1959"/>
      <c r="CF629" s="1959"/>
      <c r="CG629" s="1959"/>
      <c r="CH629" s="1959">
        <f t="shared" si="8"/>
        <v>0</v>
      </c>
      <c r="CI629" s="1959"/>
      <c r="CJ629" s="1959"/>
      <c r="CK629" s="1959"/>
      <c r="CL629" s="1959"/>
      <c r="CM629" s="1959">
        <f t="shared" si="9"/>
        <v>0</v>
      </c>
      <c r="CN629" s="1959"/>
      <c r="CO629" s="1959"/>
      <c r="CP629" s="1959"/>
      <c r="CQ629" s="1959"/>
      <c r="CR629" s="265"/>
      <c r="CS629" s="2328">
        <f t="shared" si="10"/>
        <v>0</v>
      </c>
      <c r="CT629" s="2328"/>
      <c r="CU629" s="2328"/>
      <c r="CV629" s="2328"/>
      <c r="CW629" s="2328"/>
      <c r="CX629" s="2328">
        <f t="shared" si="11"/>
        <v>0</v>
      </c>
      <c r="CY629" s="2328"/>
      <c r="CZ629" s="2328"/>
      <c r="DA629" s="2328"/>
      <c r="DB629" s="2328"/>
      <c r="DC629" s="2328">
        <f t="shared" si="12"/>
        <v>0</v>
      </c>
      <c r="DD629" s="2328"/>
      <c r="DE629" s="2328"/>
      <c r="DF629" s="2328"/>
      <c r="DG629" s="2328"/>
      <c r="DH629" s="2328">
        <f t="shared" si="13"/>
        <v>0</v>
      </c>
      <c r="DI629" s="2328"/>
      <c r="DJ629" s="2328"/>
      <c r="DK629" s="2328"/>
      <c r="DL629" s="2328"/>
      <c r="DM629" s="2328">
        <f t="shared" si="14"/>
        <v>0</v>
      </c>
      <c r="DN629" s="2328"/>
      <c r="DO629" s="2328"/>
      <c r="DP629" s="2328"/>
      <c r="DQ629" s="2328"/>
      <c r="DR629" s="2328">
        <f t="shared" si="15"/>
        <v>0</v>
      </c>
      <c r="DS629" s="2328"/>
      <c r="DT629" s="2328"/>
      <c r="DU629" s="2328"/>
      <c r="DV629" s="2328"/>
      <c r="DX629" s="1980" t="str">
        <f t="shared" si="16"/>
        <v xml:space="preserve"> </v>
      </c>
      <c r="DY629" s="2137"/>
      <c r="DZ629" s="2137"/>
      <c r="EA629" s="2137"/>
      <c r="EB629" s="1981"/>
      <c r="EC629" s="1980" t="str">
        <f t="shared" si="17"/>
        <v xml:space="preserve"> </v>
      </c>
      <c r="ED629" s="2137"/>
      <c r="EE629" s="2137"/>
      <c r="EF629" s="2137"/>
      <c r="EG629" s="1981"/>
      <c r="EH629" s="1980" t="str">
        <f t="shared" si="18"/>
        <v xml:space="preserve"> </v>
      </c>
      <c r="EI629" s="2137"/>
      <c r="EJ629" s="2137"/>
      <c r="EK629" s="2137"/>
      <c r="EL629" s="1981"/>
      <c r="EM629" s="1980" t="str">
        <f t="shared" si="19"/>
        <v xml:space="preserve"> </v>
      </c>
      <c r="EN629" s="2137"/>
      <c r="EO629" s="2137"/>
      <c r="EP629" s="2137"/>
      <c r="EQ629" s="1981"/>
      <c r="ER629" s="1980" t="str">
        <f t="shared" si="20"/>
        <v xml:space="preserve"> </v>
      </c>
      <c r="ES629" s="2137"/>
      <c r="ET629" s="2137"/>
      <c r="EU629" s="2137"/>
      <c r="EV629" s="1981"/>
      <c r="EW629" s="1980" t="str">
        <f t="shared" si="21"/>
        <v xml:space="preserve"> </v>
      </c>
      <c r="EX629" s="2137"/>
      <c r="EY629" s="2137"/>
      <c r="EZ629" s="2137"/>
      <c r="FA629" s="1981"/>
    </row>
    <row r="630" spans="1:157" ht="12.75">
      <c r="A630" s="50" t="s">
        <v>327</v>
      </c>
      <c r="B630" s="50"/>
      <c r="C630" s="50" t="s">
        <v>21</v>
      </c>
      <c r="AZ630" s="58"/>
      <c r="BA630" s="58"/>
      <c r="BB630" s="58"/>
      <c r="BC630" s="58"/>
      <c r="BD630" s="58"/>
      <c r="BE630" s="1980">
        <f t="shared" si="0"/>
        <v>0</v>
      </c>
      <c r="BF630" s="1981"/>
      <c r="BG630" s="1963">
        <f t="shared" si="1"/>
        <v>0</v>
      </c>
      <c r="BH630" s="1965"/>
      <c r="BI630" s="1980">
        <f t="shared" si="2"/>
        <v>0</v>
      </c>
      <c r="BJ630" s="1981"/>
      <c r="BK630" s="1963">
        <f t="shared" si="3"/>
        <v>0</v>
      </c>
      <c r="BL630" s="1965"/>
      <c r="BM630" s="58"/>
      <c r="BN630" s="1960">
        <f t="shared" si="4"/>
        <v>0</v>
      </c>
      <c r="BO630" s="1961"/>
      <c r="BP630" s="1961"/>
      <c r="BQ630" s="1961"/>
      <c r="BR630" s="1962"/>
      <c r="BS630" s="1959">
        <f t="shared" si="5"/>
        <v>0</v>
      </c>
      <c r="BT630" s="1959"/>
      <c r="BU630" s="1959"/>
      <c r="BV630" s="1959"/>
      <c r="BW630" s="1959"/>
      <c r="BX630" s="1959">
        <f t="shared" si="6"/>
        <v>0</v>
      </c>
      <c r="BY630" s="1959"/>
      <c r="BZ630" s="1959"/>
      <c r="CA630" s="1959"/>
      <c r="CB630" s="1959"/>
      <c r="CC630" s="1959">
        <f t="shared" si="7"/>
        <v>0</v>
      </c>
      <c r="CD630" s="1959"/>
      <c r="CE630" s="1959"/>
      <c r="CF630" s="1959"/>
      <c r="CG630" s="1959"/>
      <c r="CH630" s="1959">
        <f t="shared" si="8"/>
        <v>0</v>
      </c>
      <c r="CI630" s="1959"/>
      <c r="CJ630" s="1959"/>
      <c r="CK630" s="1959"/>
      <c r="CL630" s="1959"/>
      <c r="CM630" s="1959">
        <f t="shared" si="9"/>
        <v>0</v>
      </c>
      <c r="CN630" s="1959"/>
      <c r="CO630" s="1959"/>
      <c r="CP630" s="1959"/>
      <c r="CQ630" s="1959"/>
      <c r="CR630" s="265"/>
      <c r="CS630" s="2328">
        <f t="shared" si="10"/>
        <v>0</v>
      </c>
      <c r="CT630" s="2328"/>
      <c r="CU630" s="2328"/>
      <c r="CV630" s="2328"/>
      <c r="CW630" s="2328"/>
      <c r="CX630" s="2328">
        <f t="shared" si="11"/>
        <v>0</v>
      </c>
      <c r="CY630" s="2328"/>
      <c r="CZ630" s="2328"/>
      <c r="DA630" s="2328"/>
      <c r="DB630" s="2328"/>
      <c r="DC630" s="2328">
        <f t="shared" si="12"/>
        <v>0</v>
      </c>
      <c r="DD630" s="2328"/>
      <c r="DE630" s="2328"/>
      <c r="DF630" s="2328"/>
      <c r="DG630" s="2328"/>
      <c r="DH630" s="2328">
        <f t="shared" si="13"/>
        <v>0</v>
      </c>
      <c r="DI630" s="2328"/>
      <c r="DJ630" s="2328"/>
      <c r="DK630" s="2328"/>
      <c r="DL630" s="2328"/>
      <c r="DM630" s="2328">
        <f t="shared" si="14"/>
        <v>0</v>
      </c>
      <c r="DN630" s="2328"/>
      <c r="DO630" s="2328"/>
      <c r="DP630" s="2328"/>
      <c r="DQ630" s="2328"/>
      <c r="DR630" s="2328">
        <f t="shared" si="15"/>
        <v>0</v>
      </c>
      <c r="DS630" s="2328"/>
      <c r="DT630" s="2328"/>
      <c r="DU630" s="2328"/>
      <c r="DV630" s="2328"/>
      <c r="DX630" s="1980" t="str">
        <f t="shared" si="16"/>
        <v xml:space="preserve"> </v>
      </c>
      <c r="DY630" s="2137"/>
      <c r="DZ630" s="2137"/>
      <c r="EA630" s="2137"/>
      <c r="EB630" s="1981"/>
      <c r="EC630" s="1980" t="str">
        <f t="shared" si="17"/>
        <v xml:space="preserve"> </v>
      </c>
      <c r="ED630" s="2137"/>
      <c r="EE630" s="2137"/>
      <c r="EF630" s="2137"/>
      <c r="EG630" s="1981"/>
      <c r="EH630" s="1980" t="str">
        <f t="shared" si="18"/>
        <v xml:space="preserve"> </v>
      </c>
      <c r="EI630" s="2137"/>
      <c r="EJ630" s="2137"/>
      <c r="EK630" s="2137"/>
      <c r="EL630" s="1981"/>
      <c r="EM630" s="1980" t="str">
        <f t="shared" si="19"/>
        <v xml:space="preserve"> </v>
      </c>
      <c r="EN630" s="2137"/>
      <c r="EO630" s="2137"/>
      <c r="EP630" s="2137"/>
      <c r="EQ630" s="1981"/>
      <c r="ER630" s="1980" t="str">
        <f t="shared" si="20"/>
        <v xml:space="preserve"> </v>
      </c>
      <c r="ES630" s="2137"/>
      <c r="ET630" s="2137"/>
      <c r="EU630" s="2137"/>
      <c r="EV630" s="1981"/>
      <c r="EW630" s="1980" t="str">
        <f t="shared" si="21"/>
        <v xml:space="preserve"> </v>
      </c>
      <c r="EX630" s="2137"/>
      <c r="EY630" s="2137"/>
      <c r="EZ630" s="2137"/>
      <c r="FA630" s="1981"/>
    </row>
    <row r="631" spans="1:157" ht="12.75">
      <c r="A631" s="50"/>
      <c r="B631" s="50"/>
      <c r="C631" s="50"/>
      <c r="AZ631" s="58"/>
      <c r="BA631" s="58"/>
      <c r="BB631" s="58"/>
      <c r="BC631" s="58"/>
      <c r="BD631" s="58"/>
      <c r="BE631" s="1980">
        <f t="shared" si="0"/>
        <v>0</v>
      </c>
      <c r="BF631" s="1981"/>
      <c r="BG631" s="1963">
        <f t="shared" si="1"/>
        <v>0</v>
      </c>
      <c r="BH631" s="1965"/>
      <c r="BI631" s="1980">
        <f t="shared" si="2"/>
        <v>0</v>
      </c>
      <c r="BJ631" s="1981"/>
      <c r="BK631" s="1963">
        <f t="shared" si="3"/>
        <v>0</v>
      </c>
      <c r="BL631" s="1965"/>
      <c r="BM631" s="58"/>
      <c r="BN631" s="1960">
        <f t="shared" si="4"/>
        <v>0</v>
      </c>
      <c r="BO631" s="1961"/>
      <c r="BP631" s="1961"/>
      <c r="BQ631" s="1961"/>
      <c r="BR631" s="1962"/>
      <c r="BS631" s="1959">
        <f t="shared" si="5"/>
        <v>0</v>
      </c>
      <c r="BT631" s="1959"/>
      <c r="BU631" s="1959"/>
      <c r="BV631" s="1959"/>
      <c r="BW631" s="1959"/>
      <c r="BX631" s="1959">
        <f t="shared" si="6"/>
        <v>0</v>
      </c>
      <c r="BY631" s="1959"/>
      <c r="BZ631" s="1959"/>
      <c r="CA631" s="1959"/>
      <c r="CB631" s="1959"/>
      <c r="CC631" s="1959">
        <f t="shared" si="7"/>
        <v>0</v>
      </c>
      <c r="CD631" s="1959"/>
      <c r="CE631" s="1959"/>
      <c r="CF631" s="1959"/>
      <c r="CG631" s="1959"/>
      <c r="CH631" s="1959">
        <f t="shared" si="8"/>
        <v>0</v>
      </c>
      <c r="CI631" s="1959"/>
      <c r="CJ631" s="1959"/>
      <c r="CK631" s="1959"/>
      <c r="CL631" s="1959"/>
      <c r="CM631" s="1959">
        <f t="shared" si="9"/>
        <v>0</v>
      </c>
      <c r="CN631" s="1959"/>
      <c r="CO631" s="1959"/>
      <c r="CP631" s="1959"/>
      <c r="CQ631" s="1959"/>
      <c r="CR631" s="265"/>
      <c r="CS631" s="2328">
        <f t="shared" si="10"/>
        <v>0</v>
      </c>
      <c r="CT631" s="2328"/>
      <c r="CU631" s="2328"/>
      <c r="CV631" s="2328"/>
      <c r="CW631" s="2328"/>
      <c r="CX631" s="2328">
        <f t="shared" si="11"/>
        <v>0</v>
      </c>
      <c r="CY631" s="2328"/>
      <c r="CZ631" s="2328"/>
      <c r="DA631" s="2328"/>
      <c r="DB631" s="2328"/>
      <c r="DC631" s="2328">
        <f t="shared" si="12"/>
        <v>0</v>
      </c>
      <c r="DD631" s="2328"/>
      <c r="DE631" s="2328"/>
      <c r="DF631" s="2328"/>
      <c r="DG631" s="2328"/>
      <c r="DH631" s="2328">
        <f t="shared" si="13"/>
        <v>0</v>
      </c>
      <c r="DI631" s="2328"/>
      <c r="DJ631" s="2328"/>
      <c r="DK631" s="2328"/>
      <c r="DL631" s="2328"/>
      <c r="DM631" s="2328">
        <f t="shared" si="14"/>
        <v>0</v>
      </c>
      <c r="DN631" s="2328"/>
      <c r="DO631" s="2328"/>
      <c r="DP631" s="2328"/>
      <c r="DQ631" s="2328"/>
      <c r="DR631" s="2328">
        <f t="shared" si="15"/>
        <v>0</v>
      </c>
      <c r="DS631" s="2328"/>
      <c r="DT631" s="2328"/>
      <c r="DU631" s="2328"/>
      <c r="DV631" s="2328"/>
      <c r="DX631" s="1980" t="str">
        <f t="shared" si="16"/>
        <v xml:space="preserve"> </v>
      </c>
      <c r="DY631" s="2137"/>
      <c r="DZ631" s="2137"/>
      <c r="EA631" s="2137"/>
      <c r="EB631" s="1981"/>
      <c r="EC631" s="1980" t="str">
        <f t="shared" si="17"/>
        <v xml:space="preserve"> </v>
      </c>
      <c r="ED631" s="2137"/>
      <c r="EE631" s="2137"/>
      <c r="EF631" s="2137"/>
      <c r="EG631" s="1981"/>
      <c r="EH631" s="1980" t="str">
        <f t="shared" si="18"/>
        <v xml:space="preserve"> </v>
      </c>
      <c r="EI631" s="2137"/>
      <c r="EJ631" s="2137"/>
      <c r="EK631" s="2137"/>
      <c r="EL631" s="1981"/>
      <c r="EM631" s="1980" t="str">
        <f t="shared" si="19"/>
        <v xml:space="preserve"> </v>
      </c>
      <c r="EN631" s="2137"/>
      <c r="EO631" s="2137"/>
      <c r="EP631" s="2137"/>
      <c r="EQ631" s="1981"/>
      <c r="ER631" s="1980" t="str">
        <f t="shared" si="20"/>
        <v xml:space="preserve"> </v>
      </c>
      <c r="ES631" s="2137"/>
      <c r="ET631" s="2137"/>
      <c r="EU631" s="2137"/>
      <c r="EV631" s="1981"/>
      <c r="EW631" s="1980" t="str">
        <f t="shared" si="21"/>
        <v xml:space="preserve"> </v>
      </c>
      <c r="EX631" s="2137"/>
      <c r="EY631" s="2137"/>
      <c r="EZ631" s="2137"/>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63">
        <f t="shared" si="1"/>
        <v>0</v>
      </c>
      <c r="BH632" s="1965"/>
      <c r="BI632" s="1980">
        <f t="shared" si="2"/>
        <v>0</v>
      </c>
      <c r="BJ632" s="1981"/>
      <c r="BK632" s="1963">
        <f t="shared" si="3"/>
        <v>0</v>
      </c>
      <c r="BL632" s="1965"/>
      <c r="BM632" s="58"/>
      <c r="BN632" s="1960">
        <f t="shared" si="4"/>
        <v>0</v>
      </c>
      <c r="BO632" s="1961"/>
      <c r="BP632" s="1961"/>
      <c r="BQ632" s="1961"/>
      <c r="BR632" s="1962"/>
      <c r="BS632" s="1959">
        <f t="shared" si="5"/>
        <v>0</v>
      </c>
      <c r="BT632" s="1959"/>
      <c r="BU632" s="1959"/>
      <c r="BV632" s="1959"/>
      <c r="BW632" s="1959"/>
      <c r="BX632" s="1959">
        <f t="shared" si="6"/>
        <v>0</v>
      </c>
      <c r="BY632" s="1959"/>
      <c r="BZ632" s="1959"/>
      <c r="CA632" s="1959"/>
      <c r="CB632" s="1959"/>
      <c r="CC632" s="1959">
        <f t="shared" si="7"/>
        <v>0</v>
      </c>
      <c r="CD632" s="1959"/>
      <c r="CE632" s="1959"/>
      <c r="CF632" s="1959"/>
      <c r="CG632" s="1959"/>
      <c r="CH632" s="1959">
        <f t="shared" si="8"/>
        <v>0</v>
      </c>
      <c r="CI632" s="1959"/>
      <c r="CJ632" s="1959"/>
      <c r="CK632" s="1959"/>
      <c r="CL632" s="1959"/>
      <c r="CM632" s="1959">
        <f t="shared" si="9"/>
        <v>0</v>
      </c>
      <c r="CN632" s="1959"/>
      <c r="CO632" s="1959"/>
      <c r="CP632" s="1959"/>
      <c r="CQ632" s="1959"/>
      <c r="CR632" s="265"/>
      <c r="CS632" s="2328">
        <f t="shared" si="10"/>
        <v>0</v>
      </c>
      <c r="CT632" s="2328"/>
      <c r="CU632" s="2328"/>
      <c r="CV632" s="2328"/>
      <c r="CW632" s="2328"/>
      <c r="CX632" s="2328">
        <f t="shared" si="11"/>
        <v>0</v>
      </c>
      <c r="CY632" s="2328"/>
      <c r="CZ632" s="2328"/>
      <c r="DA632" s="2328"/>
      <c r="DB632" s="2328"/>
      <c r="DC632" s="2328">
        <f t="shared" si="12"/>
        <v>0</v>
      </c>
      <c r="DD632" s="2328"/>
      <c r="DE632" s="2328"/>
      <c r="DF632" s="2328"/>
      <c r="DG632" s="2328"/>
      <c r="DH632" s="2328">
        <f t="shared" si="13"/>
        <v>0</v>
      </c>
      <c r="DI632" s="2328"/>
      <c r="DJ632" s="2328"/>
      <c r="DK632" s="2328"/>
      <c r="DL632" s="2328"/>
      <c r="DM632" s="2328">
        <f t="shared" si="14"/>
        <v>0</v>
      </c>
      <c r="DN632" s="2328"/>
      <c r="DO632" s="2328"/>
      <c r="DP632" s="2328"/>
      <c r="DQ632" s="2328"/>
      <c r="DR632" s="2328">
        <f t="shared" si="15"/>
        <v>0</v>
      </c>
      <c r="DS632" s="2328"/>
      <c r="DT632" s="2328"/>
      <c r="DU632" s="2328"/>
      <c r="DV632" s="2328"/>
      <c r="DX632" s="1980" t="str">
        <f t="shared" si="16"/>
        <v xml:space="preserve"> </v>
      </c>
      <c r="DY632" s="2137"/>
      <c r="DZ632" s="2137"/>
      <c r="EA632" s="2137"/>
      <c r="EB632" s="1981"/>
      <c r="EC632" s="1980" t="str">
        <f t="shared" si="17"/>
        <v xml:space="preserve"> </v>
      </c>
      <c r="ED632" s="2137"/>
      <c r="EE632" s="2137"/>
      <c r="EF632" s="2137"/>
      <c r="EG632" s="1981"/>
      <c r="EH632" s="1980" t="str">
        <f t="shared" si="18"/>
        <v xml:space="preserve"> </v>
      </c>
      <c r="EI632" s="2137"/>
      <c r="EJ632" s="2137"/>
      <c r="EK632" s="2137"/>
      <c r="EL632" s="1981"/>
      <c r="EM632" s="1980" t="str">
        <f t="shared" si="19"/>
        <v xml:space="preserve"> </v>
      </c>
      <c r="EN632" s="2137"/>
      <c r="EO632" s="2137"/>
      <c r="EP632" s="2137"/>
      <c r="EQ632" s="1981"/>
      <c r="ER632" s="1980" t="str">
        <f t="shared" si="20"/>
        <v xml:space="preserve"> </v>
      </c>
      <c r="ES632" s="2137"/>
      <c r="ET632" s="2137"/>
      <c r="EU632" s="2137"/>
      <c r="EV632" s="1981"/>
      <c r="EW632" s="1980" t="str">
        <f t="shared" si="21"/>
        <v xml:space="preserve"> </v>
      </c>
      <c r="EX632" s="2137"/>
      <c r="EY632" s="2137"/>
      <c r="EZ632" s="2137"/>
      <c r="FA632" s="1981"/>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63">
        <f t="shared" si="1"/>
        <v>0</v>
      </c>
      <c r="BH633" s="1965"/>
      <c r="BI633" s="1980">
        <f t="shared" si="2"/>
        <v>0</v>
      </c>
      <c r="BJ633" s="1981"/>
      <c r="BK633" s="1963">
        <f t="shared" si="3"/>
        <v>0</v>
      </c>
      <c r="BL633" s="1965"/>
      <c r="BM633" s="58"/>
      <c r="BN633" s="1960">
        <f t="shared" si="4"/>
        <v>0</v>
      </c>
      <c r="BO633" s="1961"/>
      <c r="BP633" s="1961"/>
      <c r="BQ633" s="1961"/>
      <c r="BR633" s="1962"/>
      <c r="BS633" s="1959">
        <f t="shared" si="5"/>
        <v>0</v>
      </c>
      <c r="BT633" s="1959"/>
      <c r="BU633" s="1959"/>
      <c r="BV633" s="1959"/>
      <c r="BW633" s="1959"/>
      <c r="BX633" s="1959">
        <f t="shared" si="6"/>
        <v>0</v>
      </c>
      <c r="BY633" s="1959"/>
      <c r="BZ633" s="1959"/>
      <c r="CA633" s="1959"/>
      <c r="CB633" s="1959"/>
      <c r="CC633" s="1959">
        <f t="shared" si="7"/>
        <v>0</v>
      </c>
      <c r="CD633" s="1959"/>
      <c r="CE633" s="1959"/>
      <c r="CF633" s="1959"/>
      <c r="CG633" s="1959"/>
      <c r="CH633" s="1959">
        <f t="shared" si="8"/>
        <v>0</v>
      </c>
      <c r="CI633" s="1959"/>
      <c r="CJ633" s="1959"/>
      <c r="CK633" s="1959"/>
      <c r="CL633" s="1959"/>
      <c r="CM633" s="1959">
        <f t="shared" si="9"/>
        <v>0</v>
      </c>
      <c r="CN633" s="1959"/>
      <c r="CO633" s="1959"/>
      <c r="CP633" s="1959"/>
      <c r="CQ633" s="1959"/>
      <c r="CR633" s="265"/>
      <c r="CS633" s="2328">
        <f t="shared" si="10"/>
        <v>0</v>
      </c>
      <c r="CT633" s="2328"/>
      <c r="CU633" s="2328"/>
      <c r="CV633" s="2328"/>
      <c r="CW633" s="2328"/>
      <c r="CX633" s="2328">
        <f t="shared" si="11"/>
        <v>0</v>
      </c>
      <c r="CY633" s="2328"/>
      <c r="CZ633" s="2328"/>
      <c r="DA633" s="2328"/>
      <c r="DB633" s="2328"/>
      <c r="DC633" s="2328">
        <f t="shared" si="12"/>
        <v>0</v>
      </c>
      <c r="DD633" s="2328"/>
      <c r="DE633" s="2328"/>
      <c r="DF633" s="2328"/>
      <c r="DG633" s="2328"/>
      <c r="DH633" s="2328">
        <f t="shared" si="13"/>
        <v>0</v>
      </c>
      <c r="DI633" s="2328"/>
      <c r="DJ633" s="2328"/>
      <c r="DK633" s="2328"/>
      <c r="DL633" s="2328"/>
      <c r="DM633" s="2328">
        <f t="shared" si="14"/>
        <v>0</v>
      </c>
      <c r="DN633" s="2328"/>
      <c r="DO633" s="2328"/>
      <c r="DP633" s="2328"/>
      <c r="DQ633" s="2328"/>
      <c r="DR633" s="2328">
        <f t="shared" si="15"/>
        <v>0</v>
      </c>
      <c r="DS633" s="2328"/>
      <c r="DT633" s="2328"/>
      <c r="DU633" s="2328"/>
      <c r="DV633" s="2328"/>
      <c r="DX633" s="1980" t="str">
        <f t="shared" si="16"/>
        <v xml:space="preserve"> </v>
      </c>
      <c r="DY633" s="2137"/>
      <c r="DZ633" s="2137"/>
      <c r="EA633" s="2137"/>
      <c r="EB633" s="1981"/>
      <c r="EC633" s="1980" t="str">
        <f t="shared" si="17"/>
        <v xml:space="preserve"> </v>
      </c>
      <c r="ED633" s="2137"/>
      <c r="EE633" s="2137"/>
      <c r="EF633" s="2137"/>
      <c r="EG633" s="1981"/>
      <c r="EH633" s="1980" t="str">
        <f t="shared" si="18"/>
        <v xml:space="preserve"> </v>
      </c>
      <c r="EI633" s="2137"/>
      <c r="EJ633" s="2137"/>
      <c r="EK633" s="2137"/>
      <c r="EL633" s="1981"/>
      <c r="EM633" s="1980" t="str">
        <f t="shared" si="19"/>
        <v xml:space="preserve"> </v>
      </c>
      <c r="EN633" s="2137"/>
      <c r="EO633" s="2137"/>
      <c r="EP633" s="2137"/>
      <c r="EQ633" s="1981"/>
      <c r="ER633" s="1980" t="str">
        <f t="shared" si="20"/>
        <v xml:space="preserve"> </v>
      </c>
      <c r="ES633" s="2137"/>
      <c r="ET633" s="2137"/>
      <c r="EU633" s="2137"/>
      <c r="EV633" s="1981"/>
      <c r="EW633" s="1980" t="str">
        <f t="shared" si="21"/>
        <v xml:space="preserve"> </v>
      </c>
      <c r="EX633" s="2137"/>
      <c r="EY633" s="2137"/>
      <c r="EZ633" s="2137"/>
      <c r="FA633" s="1981"/>
    </row>
    <row r="634" spans="1:157" s="1720" customFormat="1" ht="12.75" customHeight="1">
      <c r="B634" s="2469" t="s">
        <v>483</v>
      </c>
      <c r="C634" s="2470"/>
      <c r="D634" s="2470"/>
      <c r="E634" s="2470"/>
      <c r="F634" s="2470"/>
      <c r="G634" s="2470"/>
      <c r="H634" s="2470"/>
      <c r="I634" s="2470"/>
      <c r="J634" s="2470"/>
      <c r="K634" s="2470"/>
      <c r="L634" s="2470"/>
      <c r="M634" s="2470"/>
      <c r="N634" s="2471"/>
      <c r="O634" s="2201" t="s">
        <v>2308</v>
      </c>
      <c r="P634" s="2004"/>
      <c r="Q634" s="2005"/>
      <c r="R634" s="2201" t="s">
        <v>2306</v>
      </c>
      <c r="S634" s="2004"/>
      <c r="T634" s="2005"/>
      <c r="U634" s="2524" t="s">
        <v>484</v>
      </c>
      <c r="V634" s="2524"/>
      <c r="W634" s="2525"/>
      <c r="X634" s="2201" t="s">
        <v>2093</v>
      </c>
      <c r="Y634" s="2004"/>
      <c r="Z634" s="2004"/>
      <c r="AA634" s="2004"/>
      <c r="AB634" s="2005"/>
      <c r="AC634" s="2380" t="s">
        <v>2091</v>
      </c>
      <c r="AD634" s="2381"/>
      <c r="AE634" s="2382"/>
      <c r="AF634" s="2201" t="s">
        <v>2094</v>
      </c>
      <c r="AG634" s="2004"/>
      <c r="AH634" s="2004"/>
      <c r="AI634" s="2004"/>
      <c r="AJ634" s="2005"/>
      <c r="AK634" s="2369" t="s">
        <v>2095</v>
      </c>
      <c r="AL634" s="2370"/>
      <c r="AM634" s="2370"/>
      <c r="AN634" s="2371"/>
      <c r="AO634" s="2211" t="s">
        <v>485</v>
      </c>
      <c r="AP634" s="2211"/>
      <c r="AQ634" s="2211"/>
      <c r="AR634" s="2211"/>
      <c r="AS634" s="2211"/>
      <c r="AT634" s="1721"/>
      <c r="AU634" s="1721"/>
      <c r="AV634" s="1721"/>
      <c r="AW634" s="1721"/>
      <c r="AX634" s="1721"/>
      <c r="AY634" s="1721"/>
      <c r="AZ634" s="181"/>
      <c r="BA634" s="181"/>
      <c r="BB634" s="181"/>
      <c r="BC634" s="181"/>
      <c r="BD634" s="181"/>
      <c r="BE634" s="1980">
        <f t="shared" si="0"/>
        <v>0</v>
      </c>
      <c r="BF634" s="1981"/>
      <c r="BG634" s="1963">
        <f t="shared" si="1"/>
        <v>0</v>
      </c>
      <c r="BH634" s="1965"/>
      <c r="BI634" s="1980">
        <f t="shared" si="2"/>
        <v>0</v>
      </c>
      <c r="BJ634" s="1981"/>
      <c r="BK634" s="1963">
        <f t="shared" si="3"/>
        <v>0</v>
      </c>
      <c r="BL634" s="1965"/>
      <c r="BM634" s="181"/>
      <c r="BN634" s="1960">
        <f t="shared" si="4"/>
        <v>0</v>
      </c>
      <c r="BO634" s="1961"/>
      <c r="BP634" s="1961"/>
      <c r="BQ634" s="1961"/>
      <c r="BR634" s="1962"/>
      <c r="BS634" s="1959">
        <f t="shared" si="5"/>
        <v>0</v>
      </c>
      <c r="BT634" s="1959"/>
      <c r="BU634" s="1959"/>
      <c r="BV634" s="1959"/>
      <c r="BW634" s="1959"/>
      <c r="BX634" s="1959">
        <f t="shared" si="6"/>
        <v>0</v>
      </c>
      <c r="BY634" s="1959"/>
      <c r="BZ634" s="1959"/>
      <c r="CA634" s="1959"/>
      <c r="CB634" s="1959"/>
      <c r="CC634" s="1959">
        <f t="shared" si="7"/>
        <v>0</v>
      </c>
      <c r="CD634" s="1959"/>
      <c r="CE634" s="1959"/>
      <c r="CF634" s="1959"/>
      <c r="CG634" s="1959"/>
      <c r="CH634" s="1959">
        <f t="shared" si="8"/>
        <v>0</v>
      </c>
      <c r="CI634" s="1959"/>
      <c r="CJ634" s="1959"/>
      <c r="CK634" s="1959"/>
      <c r="CL634" s="1959"/>
      <c r="CM634" s="1959">
        <f t="shared" si="9"/>
        <v>0</v>
      </c>
      <c r="CN634" s="1959"/>
      <c r="CO634" s="1959"/>
      <c r="CP634" s="1959"/>
      <c r="CQ634" s="1959"/>
      <c r="CR634" s="265"/>
      <c r="CS634" s="2328">
        <f t="shared" si="10"/>
        <v>0</v>
      </c>
      <c r="CT634" s="2328"/>
      <c r="CU634" s="2328"/>
      <c r="CV634" s="2328"/>
      <c r="CW634" s="2328"/>
      <c r="CX634" s="2328">
        <f t="shared" si="11"/>
        <v>0</v>
      </c>
      <c r="CY634" s="2328"/>
      <c r="CZ634" s="2328"/>
      <c r="DA634" s="2328"/>
      <c r="DB634" s="2328"/>
      <c r="DC634" s="2328">
        <f t="shared" si="12"/>
        <v>0</v>
      </c>
      <c r="DD634" s="2328"/>
      <c r="DE634" s="2328"/>
      <c r="DF634" s="2328"/>
      <c r="DG634" s="2328"/>
      <c r="DH634" s="2328">
        <f t="shared" si="13"/>
        <v>0</v>
      </c>
      <c r="DI634" s="2328"/>
      <c r="DJ634" s="2328"/>
      <c r="DK634" s="2328"/>
      <c r="DL634" s="2328"/>
      <c r="DM634" s="2328">
        <f t="shared" si="14"/>
        <v>0</v>
      </c>
      <c r="DN634" s="2328"/>
      <c r="DO634" s="2328"/>
      <c r="DP634" s="2328"/>
      <c r="DQ634" s="2328"/>
      <c r="DR634" s="2328">
        <f t="shared" si="15"/>
        <v>0</v>
      </c>
      <c r="DS634" s="2328"/>
      <c r="DT634" s="2328"/>
      <c r="DU634" s="2328"/>
      <c r="DV634" s="2328"/>
      <c r="DX634" s="1980" t="str">
        <f t="shared" si="16"/>
        <v xml:space="preserve"> </v>
      </c>
      <c r="DY634" s="2137"/>
      <c r="DZ634" s="2137"/>
      <c r="EA634" s="2137"/>
      <c r="EB634" s="1981"/>
      <c r="EC634" s="1980" t="str">
        <f t="shared" si="17"/>
        <v xml:space="preserve"> </v>
      </c>
      <c r="ED634" s="2137"/>
      <c r="EE634" s="2137"/>
      <c r="EF634" s="2137"/>
      <c r="EG634" s="1981"/>
      <c r="EH634" s="1980" t="str">
        <f t="shared" si="18"/>
        <v xml:space="preserve"> </v>
      </c>
      <c r="EI634" s="2137"/>
      <c r="EJ634" s="2137"/>
      <c r="EK634" s="2137"/>
      <c r="EL634" s="1981"/>
      <c r="EM634" s="1980" t="str">
        <f t="shared" si="19"/>
        <v xml:space="preserve"> </v>
      </c>
      <c r="EN634" s="2137"/>
      <c r="EO634" s="2137"/>
      <c r="EP634" s="2137"/>
      <c r="EQ634" s="1981"/>
      <c r="ER634" s="1980" t="str">
        <f t="shared" si="20"/>
        <v xml:space="preserve"> </v>
      </c>
      <c r="ES634" s="2137"/>
      <c r="ET634" s="2137"/>
      <c r="EU634" s="2137"/>
      <c r="EV634" s="1981"/>
      <c r="EW634" s="1980" t="str">
        <f t="shared" si="21"/>
        <v xml:space="preserve"> </v>
      </c>
      <c r="EX634" s="2137"/>
      <c r="EY634" s="2137"/>
      <c r="EZ634" s="2137"/>
      <c r="FA634" s="1981"/>
    </row>
    <row r="635" spans="1:157" s="1720" customFormat="1" ht="12.75">
      <c r="B635" s="2530"/>
      <c r="C635" s="2178"/>
      <c r="D635" s="2178"/>
      <c r="E635" s="2178"/>
      <c r="F635" s="2178"/>
      <c r="G635" s="2178"/>
      <c r="H635" s="2178"/>
      <c r="I635" s="2178"/>
      <c r="J635" s="2178"/>
      <c r="K635" s="2178"/>
      <c r="L635" s="2178"/>
      <c r="M635" s="2178"/>
      <c r="N635" s="2531"/>
      <c r="O635" s="2202"/>
      <c r="P635" s="2203"/>
      <c r="Q635" s="2204"/>
      <c r="R635" s="2202"/>
      <c r="S635" s="2203"/>
      <c r="T635" s="2204"/>
      <c r="U635" s="2526"/>
      <c r="V635" s="2526"/>
      <c r="W635" s="2527"/>
      <c r="X635" s="2202"/>
      <c r="Y635" s="2203"/>
      <c r="Z635" s="2203"/>
      <c r="AA635" s="2203"/>
      <c r="AB635" s="2204"/>
      <c r="AC635" s="2383"/>
      <c r="AD635" s="2384"/>
      <c r="AE635" s="2385"/>
      <c r="AF635" s="2202"/>
      <c r="AG635" s="2203"/>
      <c r="AH635" s="2203"/>
      <c r="AI635" s="2203"/>
      <c r="AJ635" s="2204"/>
      <c r="AK635" s="2372"/>
      <c r="AL635" s="2373"/>
      <c r="AM635" s="2373"/>
      <c r="AN635" s="2374"/>
      <c r="AO635" s="2211"/>
      <c r="AP635" s="2211"/>
      <c r="AQ635" s="2211"/>
      <c r="AR635" s="2211"/>
      <c r="AS635" s="2211"/>
      <c r="AT635" s="1721"/>
      <c r="AU635" s="1721"/>
      <c r="AV635" s="1721"/>
      <c r="AW635" s="1721"/>
      <c r="AX635" s="1721"/>
      <c r="AY635" s="1721"/>
      <c r="AZ635" s="181"/>
      <c r="BA635" s="181"/>
      <c r="BB635" s="181"/>
      <c r="BC635" s="181"/>
      <c r="BD635" s="181"/>
      <c r="BE635" s="181"/>
      <c r="BF635" s="181"/>
      <c r="BG635" s="1980">
        <f>SUM(BG610:BH634)</f>
        <v>39</v>
      </c>
      <c r="BH635" s="1981"/>
      <c r="BI635" s="181"/>
      <c r="BJ635" s="181"/>
      <c r="BK635" s="1980">
        <f>SUM(BK610:BL634)</f>
        <v>20</v>
      </c>
      <c r="BL635" s="1981"/>
      <c r="BM635" s="181"/>
      <c r="BN635" s="1980">
        <f>SUM(BN610:BR634)</f>
        <v>0</v>
      </c>
      <c r="BO635" s="2137"/>
      <c r="BP635" s="2137"/>
      <c r="BQ635" s="2137"/>
      <c r="BR635" s="1981"/>
      <c r="BS635" s="2138">
        <f>SUM(BS610:BW634)</f>
        <v>96</v>
      </c>
      <c r="BT635" s="2138"/>
      <c r="BU635" s="2138"/>
      <c r="BV635" s="2138"/>
      <c r="BW635" s="2138"/>
      <c r="BX635" s="2138">
        <f>SUM(BX610:CB634)</f>
        <v>48</v>
      </c>
      <c r="BY635" s="2138"/>
      <c r="BZ635" s="2138"/>
      <c r="CA635" s="2138"/>
      <c r="CB635" s="2138"/>
      <c r="CC635" s="2138">
        <f>SUM(CC610:CG634)</f>
        <v>48</v>
      </c>
      <c r="CD635" s="2138"/>
      <c r="CE635" s="2138"/>
      <c r="CF635" s="2138"/>
      <c r="CG635" s="2138"/>
      <c r="CH635" s="2138">
        <f>SUM(CH610:CL634)</f>
        <v>0</v>
      </c>
      <c r="CI635" s="2138"/>
      <c r="CJ635" s="2138"/>
      <c r="CK635" s="2138"/>
      <c r="CL635" s="2138"/>
      <c r="CM635" s="2138">
        <f>SUM(CM610:CQ634)</f>
        <v>0</v>
      </c>
      <c r="CN635" s="2138"/>
      <c r="CO635" s="2138"/>
      <c r="CP635" s="2138"/>
      <c r="CQ635" s="2138"/>
      <c r="CR635" s="695"/>
      <c r="CS635" s="2138">
        <f>SUM(CS610:CW634)</f>
        <v>0</v>
      </c>
      <c r="CT635" s="2138"/>
      <c r="CU635" s="2138"/>
      <c r="CV635" s="2138"/>
      <c r="CW635" s="2138"/>
      <c r="CX635" s="2138">
        <f>SUM(CX610:DB634)</f>
        <v>10</v>
      </c>
      <c r="CY635" s="2138"/>
      <c r="CZ635" s="2138"/>
      <c r="DA635" s="2138"/>
      <c r="DB635" s="2138"/>
      <c r="DC635" s="2138">
        <f>SUM(DC610:DG634)</f>
        <v>5</v>
      </c>
      <c r="DD635" s="2138"/>
      <c r="DE635" s="2138"/>
      <c r="DF635" s="2138"/>
      <c r="DG635" s="2138"/>
      <c r="DH635" s="2138">
        <f>SUM(DH610:DL634)</f>
        <v>5</v>
      </c>
      <c r="DI635" s="2138"/>
      <c r="DJ635" s="2138"/>
      <c r="DK635" s="2138"/>
      <c r="DL635" s="2138"/>
      <c r="DM635" s="2138">
        <f>SUM(DM610:DQ634)</f>
        <v>0</v>
      </c>
      <c r="DN635" s="2138"/>
      <c r="DO635" s="2138"/>
      <c r="DP635" s="2138"/>
      <c r="DQ635" s="2138"/>
      <c r="DR635" s="2138">
        <f>SUM(DR610:DV634)</f>
        <v>0</v>
      </c>
      <c r="DS635" s="2138"/>
      <c r="DT635" s="2138"/>
      <c r="DU635" s="2138"/>
      <c r="DV635" s="2138"/>
      <c r="DX635" s="2138">
        <f>SUM(DX610:EB634)</f>
        <v>0</v>
      </c>
      <c r="DY635" s="2138"/>
      <c r="DZ635" s="2138"/>
      <c r="EA635" s="2138"/>
      <c r="EB635" s="2138"/>
      <c r="EC635" s="2138">
        <f>SUM(EC610:EG634)</f>
        <v>3418</v>
      </c>
      <c r="ED635" s="2138"/>
      <c r="EE635" s="2138"/>
      <c r="EF635" s="2138"/>
      <c r="EG635" s="2138"/>
      <c r="EH635" s="2138">
        <f>SUM(EH610:EL634)</f>
        <v>4108</v>
      </c>
      <c r="EI635" s="2138"/>
      <c r="EJ635" s="2138"/>
      <c r="EK635" s="2138"/>
      <c r="EL635" s="2138"/>
      <c r="EM635" s="2138">
        <f>SUM(EM610:EQ634)</f>
        <v>3390</v>
      </c>
      <c r="EN635" s="2138"/>
      <c r="EO635" s="2138"/>
      <c r="EP635" s="2138"/>
      <c r="EQ635" s="2138"/>
      <c r="ER635" s="2138">
        <f>SUM(ER610:EV634)</f>
        <v>0</v>
      </c>
      <c r="ES635" s="2138"/>
      <c r="ET635" s="2138"/>
      <c r="EU635" s="2138"/>
      <c r="EV635" s="2138"/>
      <c r="EW635" s="2138">
        <f>SUM(EW610:FA634)</f>
        <v>0</v>
      </c>
      <c r="EX635" s="2138"/>
      <c r="EY635" s="2138"/>
      <c r="EZ635" s="2138"/>
      <c r="FA635" s="2138"/>
    </row>
    <row r="636" spans="1:157" s="1720" customFormat="1" ht="12.75">
      <c r="B636" s="2532"/>
      <c r="C636" s="2178"/>
      <c r="D636" s="2178"/>
      <c r="E636" s="2178"/>
      <c r="F636" s="2178"/>
      <c r="G636" s="2178"/>
      <c r="H636" s="2178"/>
      <c r="I636" s="2178"/>
      <c r="J636" s="2178"/>
      <c r="K636" s="2178"/>
      <c r="L636" s="2178"/>
      <c r="M636" s="2178"/>
      <c r="N636" s="2531"/>
      <c r="O636" s="2205"/>
      <c r="P636" s="2206"/>
      <c r="Q636" s="2207"/>
      <c r="R636" s="2205"/>
      <c r="S636" s="2206"/>
      <c r="T636" s="2207"/>
      <c r="U636" s="2528"/>
      <c r="V636" s="2528"/>
      <c r="W636" s="2529"/>
      <c r="X636" s="2205"/>
      <c r="Y636" s="2206"/>
      <c r="Z636" s="2206"/>
      <c r="AA636" s="2206"/>
      <c r="AB636" s="2207"/>
      <c r="AC636" s="2386"/>
      <c r="AD636" s="2387"/>
      <c r="AE636" s="2388"/>
      <c r="AF636" s="2205"/>
      <c r="AG636" s="2206"/>
      <c r="AH636" s="2206"/>
      <c r="AI636" s="2206"/>
      <c r="AJ636" s="2207"/>
      <c r="AK636" s="2375"/>
      <c r="AL636" s="2376"/>
      <c r="AM636" s="2376"/>
      <c r="AN636" s="2377"/>
      <c r="AO636" s="2211"/>
      <c r="AP636" s="2211"/>
      <c r="AQ636" s="2211"/>
      <c r="AR636" s="2211"/>
      <c r="AS636" s="221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2318</v>
      </c>
      <c r="CM636" s="1980">
        <f>BN635+BS635+BX635+CC635+CH635+CM635</f>
        <v>192</v>
      </c>
      <c r="CN636" s="2137"/>
      <c r="CO636" s="2137"/>
      <c r="CP636" s="2137"/>
      <c r="CQ636" s="1981"/>
      <c r="CR636" s="695"/>
      <c r="CS636" s="181"/>
      <c r="CT636" s="181"/>
      <c r="CU636" s="181"/>
      <c r="CV636" s="181"/>
      <c r="CW636" s="181"/>
      <c r="CX636" s="181"/>
      <c r="CY636" s="181"/>
      <c r="CZ636" s="181"/>
      <c r="DA636" s="181"/>
      <c r="DB636" s="181"/>
      <c r="DC636" s="181"/>
      <c r="DD636" s="181"/>
      <c r="DE636" s="181"/>
      <c r="DF636" s="181"/>
    </row>
    <row r="637" spans="1:157" ht="12.75">
      <c r="B637" s="83" t="s">
        <v>117</v>
      </c>
      <c r="C637" s="1954" t="s">
        <v>2605</v>
      </c>
      <c r="D637" s="1954"/>
      <c r="E637" s="1954"/>
      <c r="F637" s="1954"/>
      <c r="G637" s="1954"/>
      <c r="H637" s="1954"/>
      <c r="I637" s="1954"/>
      <c r="J637" s="1954"/>
      <c r="K637" s="1954"/>
      <c r="L637" s="1954"/>
      <c r="M637" s="1954"/>
      <c r="N637" s="1955"/>
      <c r="O637" s="2198">
        <v>204</v>
      </c>
      <c r="P637" s="2199"/>
      <c r="Q637" s="2200"/>
      <c r="R637" s="1968"/>
      <c r="S637" s="1969"/>
      <c r="T637" s="1970"/>
      <c r="U637" s="2340">
        <v>5.0599999999999999E-2</v>
      </c>
      <c r="V637" s="2341"/>
      <c r="W637" s="2342"/>
      <c r="X637" s="1971" t="s">
        <v>2092</v>
      </c>
      <c r="Y637" s="1972"/>
      <c r="Z637" s="1972"/>
      <c r="AA637" s="1972"/>
      <c r="AB637" s="1973"/>
      <c r="AC637" s="2215" t="s">
        <v>2014</v>
      </c>
      <c r="AD637" s="2102"/>
      <c r="AE637" s="2103"/>
      <c r="AF637" s="2208">
        <v>1315809</v>
      </c>
      <c r="AG637" s="2209"/>
      <c r="AH637" s="2209"/>
      <c r="AI637" s="2209"/>
      <c r="AJ637" s="2210"/>
      <c r="AK637" s="2329"/>
      <c r="AL637" s="2330"/>
      <c r="AM637" s="2330"/>
      <c r="AN637" s="2331"/>
      <c r="AO637" s="2104">
        <v>22553000</v>
      </c>
      <c r="AP637" s="2104"/>
      <c r="AQ637" s="2104"/>
      <c r="AR637" s="2104"/>
      <c r="AS637" s="210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20">
        <f>BN635*1</f>
        <v>0</v>
      </c>
      <c r="BS637" s="58"/>
      <c r="BT637" s="58"/>
      <c r="BU637" s="58"/>
      <c r="BV637" s="58"/>
      <c r="BW637" s="1420">
        <f>BS635*1</f>
        <v>96</v>
      </c>
      <c r="BX637" s="58"/>
      <c r="BY637" s="58"/>
      <c r="BZ637" s="58"/>
      <c r="CA637" s="58"/>
      <c r="CB637" s="1420">
        <f>BX635*2</f>
        <v>96</v>
      </c>
      <c r="CC637" s="58"/>
      <c r="CD637" s="58"/>
      <c r="CE637" s="58"/>
      <c r="CF637" s="58"/>
      <c r="CG637" s="1420">
        <f>CC635*3</f>
        <v>144</v>
      </c>
      <c r="CH637" s="58"/>
      <c r="CI637" s="58"/>
      <c r="CJ637" s="58"/>
      <c r="CK637" s="58"/>
      <c r="CL637" s="1420">
        <f>CH635*4</f>
        <v>0</v>
      </c>
      <c r="CM637" s="58"/>
      <c r="CN637" s="58"/>
      <c r="CO637" s="58"/>
      <c r="CP637" s="58"/>
      <c r="CQ637" s="1420">
        <f>CM635*5</f>
        <v>0</v>
      </c>
      <c r="CS637" s="1420">
        <f>BR637+BW637+CB637+CG637+CL637+CQ637</f>
        <v>336</v>
      </c>
      <c r="CT637" s="134" t="s">
        <v>2320</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54" t="s">
        <v>2606</v>
      </c>
      <c r="D638" s="1954"/>
      <c r="E638" s="1954"/>
      <c r="F638" s="1954"/>
      <c r="G638" s="1954"/>
      <c r="H638" s="1954"/>
      <c r="I638" s="1954"/>
      <c r="J638" s="1954"/>
      <c r="K638" s="1954"/>
      <c r="L638" s="1954"/>
      <c r="M638" s="1954"/>
      <c r="N638" s="1955"/>
      <c r="O638" s="2198">
        <v>204</v>
      </c>
      <c r="P638" s="2199"/>
      <c r="Q638" s="2200"/>
      <c r="R638" s="1968"/>
      <c r="S638" s="1969"/>
      <c r="T638" s="1970"/>
      <c r="U638" s="2340" t="s">
        <v>2608</v>
      </c>
      <c r="V638" s="2341"/>
      <c r="W638" s="2342"/>
      <c r="X638" s="1971" t="s">
        <v>489</v>
      </c>
      <c r="Y638" s="1972"/>
      <c r="Z638" s="1972"/>
      <c r="AA638" s="1972"/>
      <c r="AB638" s="1973"/>
      <c r="AC638" s="2215" t="s">
        <v>2016</v>
      </c>
      <c r="AD638" s="2102"/>
      <c r="AE638" s="2103"/>
      <c r="AF638" s="2208"/>
      <c r="AG638" s="2209"/>
      <c r="AH638" s="2209"/>
      <c r="AI638" s="2209"/>
      <c r="AJ638" s="2210"/>
      <c r="AK638" s="2329"/>
      <c r="AL638" s="2330"/>
      <c r="AM638" s="2330"/>
      <c r="AN638" s="2331"/>
      <c r="AO638" s="2104">
        <v>8000000</v>
      </c>
      <c r="AP638" s="2104"/>
      <c r="AQ638" s="2104"/>
      <c r="AR638" s="2104"/>
      <c r="AS638" s="210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3" t="e">
        <f t="shared" ref="DX638:DX662" si="22">DX610*(BN610/$BN$635)</f>
        <v>#VALUE!</v>
      </c>
      <c r="DY638" s="2523"/>
      <c r="DZ638" s="2523"/>
      <c r="EA638" s="2523"/>
      <c r="EB638" s="2523"/>
      <c r="EC638" s="2523">
        <f t="shared" ref="EC638:EC662" si="23">EC610*(BS610/$BS$635)</f>
        <v>49.166666666666671</v>
      </c>
      <c r="ED638" s="2523"/>
      <c r="EE638" s="2523"/>
      <c r="EF638" s="2523"/>
      <c r="EG638" s="2523"/>
      <c r="EH638" s="2523" t="e">
        <f t="shared" ref="EH638:EH662" si="24">EH610*(BX610/$BX$635)</f>
        <v>#VALUE!</v>
      </c>
      <c r="EI638" s="2523"/>
      <c r="EJ638" s="2523"/>
      <c r="EK638" s="2523"/>
      <c r="EL638" s="2523"/>
      <c r="EM638" s="2523" t="e">
        <f t="shared" ref="EM638:EM662" si="25">EM610*(CC610/$CC$635)</f>
        <v>#VALUE!</v>
      </c>
      <c r="EN638" s="2523"/>
      <c r="EO638" s="2523"/>
      <c r="EP638" s="2523"/>
      <c r="EQ638" s="2523"/>
      <c r="ER638" s="2523" t="e">
        <f t="shared" ref="ER638:ER662" si="26">ER610*(CH610/$CH$635)</f>
        <v>#VALUE!</v>
      </c>
      <c r="ES638" s="2523"/>
      <c r="ET638" s="2523"/>
      <c r="EU638" s="2523"/>
      <c r="EV638" s="2523"/>
      <c r="EW638" s="2523" t="e">
        <f t="shared" ref="EW638:EW662" si="27">EW610*(CM610/$CM$635)</f>
        <v>#VALUE!</v>
      </c>
      <c r="EX638" s="2523"/>
      <c r="EY638" s="2523"/>
      <c r="EZ638" s="2523"/>
      <c r="FA638" s="2523"/>
    </row>
    <row r="639" spans="1:157" ht="12.75" customHeight="1">
      <c r="B639" s="84" t="s">
        <v>124</v>
      </c>
      <c r="C639" s="1954" t="s">
        <v>2607</v>
      </c>
      <c r="D639" s="1954"/>
      <c r="E639" s="1954"/>
      <c r="F639" s="1954"/>
      <c r="G639" s="1954"/>
      <c r="H639" s="1954"/>
      <c r="I639" s="1954"/>
      <c r="J639" s="1954"/>
      <c r="K639" s="1954"/>
      <c r="L639" s="1954"/>
      <c r="M639" s="1954"/>
      <c r="N639" s="1955"/>
      <c r="O639" s="2198" t="s">
        <v>625</v>
      </c>
      <c r="P639" s="2199"/>
      <c r="Q639" s="2200"/>
      <c r="R639" s="1968"/>
      <c r="S639" s="1969"/>
      <c r="T639" s="1970"/>
      <c r="U639" s="2340" t="s">
        <v>625</v>
      </c>
      <c r="V639" s="2341"/>
      <c r="W639" s="2342"/>
      <c r="X639" s="1971" t="s">
        <v>489</v>
      </c>
      <c r="Y639" s="1972"/>
      <c r="Z639" s="1972"/>
      <c r="AA639" s="1972"/>
      <c r="AB639" s="1973"/>
      <c r="AC639" s="2215" t="s">
        <v>625</v>
      </c>
      <c r="AD639" s="2216"/>
      <c r="AE639" s="2217"/>
      <c r="AF639" s="2208"/>
      <c r="AG639" s="2209"/>
      <c r="AH639" s="2209"/>
      <c r="AI639" s="2209"/>
      <c r="AJ639" s="2210"/>
      <c r="AK639" s="2329"/>
      <c r="AL639" s="2330"/>
      <c r="AM639" s="2330"/>
      <c r="AN639" s="2331"/>
      <c r="AO639" s="2104">
        <v>2557797</v>
      </c>
      <c r="AP639" s="2104"/>
      <c r="AQ639" s="2104"/>
      <c r="AR639" s="2104"/>
      <c r="AS639" s="210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3" t="e">
        <f t="shared" si="22"/>
        <v>#VALUE!</v>
      </c>
      <c r="DY639" s="2523"/>
      <c r="DZ639" s="2523"/>
      <c r="EA639" s="2523"/>
      <c r="EB639" s="2523"/>
      <c r="EC639" s="2523">
        <f t="shared" si="23"/>
        <v>253.75</v>
      </c>
      <c r="ED639" s="2523"/>
      <c r="EE639" s="2523"/>
      <c r="EF639" s="2523"/>
      <c r="EG639" s="2523"/>
      <c r="EH639" s="2523" t="e">
        <f t="shared" si="24"/>
        <v>#VALUE!</v>
      </c>
      <c r="EI639" s="2523"/>
      <c r="EJ639" s="2523"/>
      <c r="EK639" s="2523"/>
      <c r="EL639" s="2523"/>
      <c r="EM639" s="2523" t="e">
        <f t="shared" si="25"/>
        <v>#VALUE!</v>
      </c>
      <c r="EN639" s="2523"/>
      <c r="EO639" s="2523"/>
      <c r="EP639" s="2523"/>
      <c r="EQ639" s="2523"/>
      <c r="ER639" s="2523" t="e">
        <f t="shared" si="26"/>
        <v>#VALUE!</v>
      </c>
      <c r="ES639" s="2523"/>
      <c r="ET639" s="2523"/>
      <c r="EU639" s="2523"/>
      <c r="EV639" s="2523"/>
      <c r="EW639" s="2523" t="e">
        <f t="shared" si="27"/>
        <v>#VALUE!</v>
      </c>
      <c r="EX639" s="2523"/>
      <c r="EY639" s="2523"/>
      <c r="EZ639" s="2523"/>
      <c r="FA639" s="2523"/>
    </row>
    <row r="640" spans="1:157" ht="12.75">
      <c r="B640" s="84" t="s">
        <v>615</v>
      </c>
      <c r="C640" s="1954" t="s">
        <v>2591</v>
      </c>
      <c r="D640" s="1954"/>
      <c r="E640" s="1954"/>
      <c r="F640" s="1954"/>
      <c r="G640" s="1954"/>
      <c r="H640" s="1954"/>
      <c r="I640" s="1954"/>
      <c r="J640" s="1954"/>
      <c r="K640" s="1954"/>
      <c r="L640" s="1954"/>
      <c r="M640" s="1954"/>
      <c r="N640" s="1955"/>
      <c r="O640" s="2198" t="s">
        <v>625</v>
      </c>
      <c r="P640" s="2199"/>
      <c r="Q640" s="2200"/>
      <c r="R640" s="1968"/>
      <c r="S640" s="1969"/>
      <c r="T640" s="1970"/>
      <c r="U640" s="2340" t="s">
        <v>625</v>
      </c>
      <c r="V640" s="2341"/>
      <c r="W640" s="2342"/>
      <c r="X640" s="1971" t="s">
        <v>307</v>
      </c>
      <c r="Y640" s="1972"/>
      <c r="Z640" s="1972"/>
      <c r="AA640" s="1972"/>
      <c r="AB640" s="1973"/>
      <c r="AC640" s="2215" t="s">
        <v>625</v>
      </c>
      <c r="AD640" s="2216"/>
      <c r="AE640" s="2217"/>
      <c r="AF640" s="2208"/>
      <c r="AG640" s="2209"/>
      <c r="AH640" s="2209"/>
      <c r="AI640" s="2209"/>
      <c r="AJ640" s="2210"/>
      <c r="AK640" s="2329"/>
      <c r="AL640" s="2330"/>
      <c r="AM640" s="2330"/>
      <c r="AN640" s="2331"/>
      <c r="AO640" s="2104">
        <v>899805</v>
      </c>
      <c r="AP640" s="2104"/>
      <c r="AQ640" s="2104"/>
      <c r="AR640" s="2104"/>
      <c r="AS640" s="2104"/>
      <c r="AT640" s="239"/>
      <c r="AU640" s="239"/>
      <c r="AV640" s="239"/>
      <c r="AW640" s="239"/>
      <c r="AX640" s="239"/>
      <c r="AY640" s="239"/>
      <c r="AZ640" s="61"/>
      <c r="BA640" s="58" t="s">
        <v>2092</v>
      </c>
      <c r="BB640" s="61"/>
      <c r="BC640" s="61"/>
      <c r="BD640" s="61"/>
      <c r="BE640" s="61"/>
      <c r="BF640" s="61"/>
      <c r="BG640" s="61"/>
      <c r="BH640" s="61"/>
      <c r="BI640" s="61"/>
      <c r="BJ640" s="61"/>
      <c r="BK640" s="61"/>
      <c r="BL640" s="61"/>
      <c r="BM640" s="61"/>
      <c r="BN640" s="1960">
        <f>IF(J772="SRO/Studio",O772,0)</f>
        <v>0</v>
      </c>
      <c r="BO640" s="1961"/>
      <c r="BP640" s="1961"/>
      <c r="BQ640" s="1961"/>
      <c r="BR640" s="1962"/>
      <c r="BS640" s="1959">
        <f>IF(J772="1 Bedroom",O772,0)</f>
        <v>0</v>
      </c>
      <c r="BT640" s="1959"/>
      <c r="BU640" s="1959"/>
      <c r="BV640" s="1959"/>
      <c r="BW640" s="1959"/>
      <c r="BX640" s="1959">
        <f>IF(J772="2 Bedrooms",O772,0)</f>
        <v>0</v>
      </c>
      <c r="BY640" s="1959"/>
      <c r="BZ640" s="1959"/>
      <c r="CA640" s="1959"/>
      <c r="CB640" s="1959"/>
      <c r="CC640" s="1959">
        <f>IF(J772="3 Bedrooms",O772,0)</f>
        <v>2</v>
      </c>
      <c r="CD640" s="1959"/>
      <c r="CE640" s="1959"/>
      <c r="CF640" s="1959"/>
      <c r="CG640" s="1959"/>
      <c r="CH640" s="1959">
        <f>IF(J772="4 Bedrooms",O772,0)</f>
        <v>0</v>
      </c>
      <c r="CI640" s="1959"/>
      <c r="CJ640" s="1959"/>
      <c r="CK640" s="1959"/>
      <c r="CL640" s="1959"/>
      <c r="CM640" s="1959">
        <f>IF(J772="5 Bedrooms",O772,0)</f>
        <v>0</v>
      </c>
      <c r="CN640" s="1959"/>
      <c r="CO640" s="1959"/>
      <c r="CP640" s="1959"/>
      <c r="CQ640" s="1959"/>
      <c r="CR640" s="265"/>
      <c r="CS640" s="58"/>
      <c r="CT640" s="58"/>
      <c r="CU640" s="58"/>
      <c r="CV640" s="58"/>
      <c r="CW640" s="58"/>
      <c r="CX640" s="58"/>
      <c r="CY640" s="58"/>
      <c r="CZ640" s="58"/>
      <c r="DA640" s="58"/>
      <c r="DB640" s="58"/>
      <c r="DC640" s="58"/>
      <c r="DD640" s="58"/>
      <c r="DE640" s="58"/>
      <c r="DF640" s="58"/>
      <c r="DX640" s="2523" t="e">
        <f t="shared" si="22"/>
        <v>#VALUE!</v>
      </c>
      <c r="DY640" s="2523"/>
      <c r="DZ640" s="2523"/>
      <c r="EA640" s="2523"/>
      <c r="EB640" s="2523"/>
      <c r="EC640" s="2523">
        <f t="shared" si="23"/>
        <v>358.02083333333331</v>
      </c>
      <c r="ED640" s="2523"/>
      <c r="EE640" s="2523"/>
      <c r="EF640" s="2523"/>
      <c r="EG640" s="2523"/>
      <c r="EH640" s="2523" t="e">
        <f t="shared" si="24"/>
        <v>#VALUE!</v>
      </c>
      <c r="EI640" s="2523"/>
      <c r="EJ640" s="2523"/>
      <c r="EK640" s="2523"/>
      <c r="EL640" s="2523"/>
      <c r="EM640" s="2523" t="e">
        <f t="shared" si="25"/>
        <v>#VALUE!</v>
      </c>
      <c r="EN640" s="2523"/>
      <c r="EO640" s="2523"/>
      <c r="EP640" s="2523"/>
      <c r="EQ640" s="2523"/>
      <c r="ER640" s="2523" t="e">
        <f t="shared" si="26"/>
        <v>#VALUE!</v>
      </c>
      <c r="ES640" s="2523"/>
      <c r="ET640" s="2523"/>
      <c r="EU640" s="2523"/>
      <c r="EV640" s="2523"/>
      <c r="EW640" s="2523" t="e">
        <f t="shared" si="27"/>
        <v>#VALUE!</v>
      </c>
      <c r="EX640" s="2523"/>
      <c r="EY640" s="2523"/>
      <c r="EZ640" s="2523"/>
      <c r="FA640" s="2523"/>
    </row>
    <row r="641" spans="1:157" ht="12.75">
      <c r="B641" s="84" t="s">
        <v>820</v>
      </c>
      <c r="C641" s="1954" t="s">
        <v>2637</v>
      </c>
      <c r="D641" s="1954"/>
      <c r="E641" s="1954"/>
      <c r="F641" s="1954"/>
      <c r="G641" s="1954"/>
      <c r="H641" s="1954"/>
      <c r="I641" s="1954"/>
      <c r="J641" s="1954"/>
      <c r="K641" s="1954"/>
      <c r="L641" s="1954"/>
      <c r="M641" s="1954"/>
      <c r="N641" s="1955"/>
      <c r="O641" s="2198" t="s">
        <v>625</v>
      </c>
      <c r="P641" s="2199"/>
      <c r="Q641" s="2200"/>
      <c r="R641" s="1968"/>
      <c r="S641" s="1969"/>
      <c r="T641" s="1970"/>
      <c r="U641" s="2340" t="s">
        <v>625</v>
      </c>
      <c r="V641" s="2341"/>
      <c r="W641" s="2342"/>
      <c r="X641" s="1971" t="s">
        <v>489</v>
      </c>
      <c r="Y641" s="1972"/>
      <c r="Z641" s="1972"/>
      <c r="AA641" s="1972"/>
      <c r="AB641" s="1973"/>
      <c r="AC641" s="2215" t="s">
        <v>625</v>
      </c>
      <c r="AD641" s="2102"/>
      <c r="AE641" s="2103"/>
      <c r="AF641" s="2208"/>
      <c r="AG641" s="2209"/>
      <c r="AH641" s="2209"/>
      <c r="AI641" s="2209"/>
      <c r="AJ641" s="2210"/>
      <c r="AK641" s="2329"/>
      <c r="AL641" s="2330"/>
      <c r="AM641" s="2330"/>
      <c r="AN641" s="2331"/>
      <c r="AO641" s="2104">
        <v>2184685</v>
      </c>
      <c r="AP641" s="2104"/>
      <c r="AQ641" s="2104"/>
      <c r="AR641" s="2104"/>
      <c r="AS641" s="210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60">
        <f>IF(J773="SRO/Studio",O773,0)</f>
        <v>0</v>
      </c>
      <c r="BO641" s="1961"/>
      <c r="BP641" s="1961"/>
      <c r="BQ641" s="1961"/>
      <c r="BR641" s="1962"/>
      <c r="BS641" s="1959">
        <f>IF(J773="1 Bedroom",O773,0)</f>
        <v>0</v>
      </c>
      <c r="BT641" s="1959"/>
      <c r="BU641" s="1959"/>
      <c r="BV641" s="1959"/>
      <c r="BW641" s="1959"/>
      <c r="BX641" s="1959">
        <f>IF(J773="2 Bedrooms",O773,0)</f>
        <v>0</v>
      </c>
      <c r="BY641" s="1959"/>
      <c r="BZ641" s="1959"/>
      <c r="CA641" s="1959"/>
      <c r="CB641" s="1959"/>
      <c r="CC641" s="1959">
        <f>IF(J773="3 Bedrooms",O773,0)</f>
        <v>0</v>
      </c>
      <c r="CD641" s="1959"/>
      <c r="CE641" s="1959"/>
      <c r="CF641" s="1959"/>
      <c r="CG641" s="1959"/>
      <c r="CH641" s="1959">
        <f>IF(J773="4 Bedrooms",O773,0)</f>
        <v>0</v>
      </c>
      <c r="CI641" s="1959"/>
      <c r="CJ641" s="1959"/>
      <c r="CK641" s="1959"/>
      <c r="CL641" s="1959"/>
      <c r="CM641" s="1959">
        <f>IF(J773="5 Bedrooms",O773,0)</f>
        <v>0</v>
      </c>
      <c r="CN641" s="1959"/>
      <c r="CO641" s="1959"/>
      <c r="CP641" s="1959"/>
      <c r="CQ641" s="1959"/>
      <c r="CR641" s="265"/>
      <c r="CS641" s="58"/>
      <c r="CT641" s="58"/>
      <c r="CU641" s="58"/>
      <c r="CV641" s="58"/>
      <c r="CW641" s="58"/>
      <c r="CX641" s="58"/>
      <c r="CY641" s="58"/>
      <c r="CZ641" s="58"/>
      <c r="DA641" s="58"/>
      <c r="DB641" s="58"/>
      <c r="DC641" s="58"/>
      <c r="DD641" s="58"/>
      <c r="DE641" s="58"/>
      <c r="DF641" s="58"/>
      <c r="DX641" s="2523" t="e">
        <f t="shared" si="22"/>
        <v>#VALUE!</v>
      </c>
      <c r="DY641" s="2523"/>
      <c r="DZ641" s="2523"/>
      <c r="EA641" s="2523"/>
      <c r="EB641" s="2523"/>
      <c r="EC641" s="2523">
        <f t="shared" si="23"/>
        <v>252</v>
      </c>
      <c r="ED641" s="2523"/>
      <c r="EE641" s="2523"/>
      <c r="EF641" s="2523"/>
      <c r="EG641" s="2523"/>
      <c r="EH641" s="2523" t="e">
        <f t="shared" si="24"/>
        <v>#VALUE!</v>
      </c>
      <c r="EI641" s="2523"/>
      <c r="EJ641" s="2523"/>
      <c r="EK641" s="2523"/>
      <c r="EL641" s="2523"/>
      <c r="EM641" s="2523" t="e">
        <f t="shared" si="25"/>
        <v>#VALUE!</v>
      </c>
      <c r="EN641" s="2523"/>
      <c r="EO641" s="2523"/>
      <c r="EP641" s="2523"/>
      <c r="EQ641" s="2523"/>
      <c r="ER641" s="2523" t="e">
        <f t="shared" si="26"/>
        <v>#VALUE!</v>
      </c>
      <c r="ES641" s="2523"/>
      <c r="ET641" s="2523"/>
      <c r="EU641" s="2523"/>
      <c r="EV641" s="2523"/>
      <c r="EW641" s="2523" t="e">
        <f t="shared" si="27"/>
        <v>#VALUE!</v>
      </c>
      <c r="EX641" s="2523"/>
      <c r="EY641" s="2523"/>
      <c r="EZ641" s="2523"/>
      <c r="FA641" s="2523"/>
    </row>
    <row r="642" spans="1:157" ht="12.75">
      <c r="B642" s="84" t="s">
        <v>618</v>
      </c>
      <c r="C642" s="1976"/>
      <c r="D642" s="1976"/>
      <c r="E642" s="1976"/>
      <c r="F642" s="1976"/>
      <c r="G642" s="1976"/>
      <c r="H642" s="1976"/>
      <c r="I642" s="1976"/>
      <c r="J642" s="1976"/>
      <c r="K642" s="1976"/>
      <c r="L642" s="1976"/>
      <c r="M642" s="1976"/>
      <c r="N642" s="2379"/>
      <c r="O642" s="2198"/>
      <c r="P642" s="2199"/>
      <c r="Q642" s="2200"/>
      <c r="R642" s="1968"/>
      <c r="S642" s="1969"/>
      <c r="T642" s="1970"/>
      <c r="U642" s="2340"/>
      <c r="V642" s="2341"/>
      <c r="W642" s="2342"/>
      <c r="X642" s="1971" t="s">
        <v>1380</v>
      </c>
      <c r="Y642" s="1972"/>
      <c r="Z642" s="1972"/>
      <c r="AA642" s="1972"/>
      <c r="AB642" s="1973"/>
      <c r="AC642" s="2101"/>
      <c r="AD642" s="2102"/>
      <c r="AE642" s="2103"/>
      <c r="AF642" s="2208"/>
      <c r="AG642" s="2209"/>
      <c r="AH642" s="2209"/>
      <c r="AI642" s="2209"/>
      <c r="AJ642" s="2210"/>
      <c r="AK642" s="2329"/>
      <c r="AL642" s="2330"/>
      <c r="AM642" s="2330"/>
      <c r="AN642" s="2331"/>
      <c r="AO642" s="2104"/>
      <c r="AP642" s="2104"/>
      <c r="AQ642" s="2104"/>
      <c r="AR642" s="2104"/>
      <c r="AS642" s="21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0">
        <f>IF(J774="SRO/Studio",O774,0)</f>
        <v>0</v>
      </c>
      <c r="BO642" s="1961"/>
      <c r="BP642" s="1961"/>
      <c r="BQ642" s="1961"/>
      <c r="BR642" s="1962"/>
      <c r="BS642" s="1959">
        <f>IF(J774="1 Bedroom",O774,0)</f>
        <v>0</v>
      </c>
      <c r="BT642" s="1959"/>
      <c r="BU642" s="1959"/>
      <c r="BV642" s="1959"/>
      <c r="BW642" s="1959"/>
      <c r="BX642" s="1959">
        <f>IF(J774="2 Bedrooms",O774,0)</f>
        <v>0</v>
      </c>
      <c r="BY642" s="1959"/>
      <c r="BZ642" s="1959"/>
      <c r="CA642" s="1959"/>
      <c r="CB642" s="1959"/>
      <c r="CC642" s="1959">
        <f>IF(J774="3 Bedrooms",O774,0)</f>
        <v>0</v>
      </c>
      <c r="CD642" s="1959"/>
      <c r="CE642" s="1959"/>
      <c r="CF642" s="1959"/>
      <c r="CG642" s="1959"/>
      <c r="CH642" s="1959">
        <f>IF(J774="4 Bedrooms",O774,0)</f>
        <v>0</v>
      </c>
      <c r="CI642" s="1959"/>
      <c r="CJ642" s="1959"/>
      <c r="CK642" s="1959"/>
      <c r="CL642" s="1959"/>
      <c r="CM642" s="1959">
        <f>IF(J774="5 Bedrooms",O774,0)</f>
        <v>0</v>
      </c>
      <c r="CN642" s="1959"/>
      <c r="CO642" s="1959"/>
      <c r="CP642" s="1959"/>
      <c r="CQ642" s="1959"/>
      <c r="CR642" s="1708"/>
      <c r="CV642" s="58"/>
      <c r="CW642" s="58"/>
      <c r="CX642" s="58"/>
      <c r="CY642" s="58"/>
      <c r="CZ642" s="58"/>
      <c r="DA642" s="58"/>
      <c r="DB642" s="58"/>
      <c r="DC642" s="58"/>
      <c r="DD642" s="58"/>
      <c r="DE642" s="58"/>
      <c r="DF642" s="58"/>
      <c r="DX642" s="2523" t="e">
        <f t="shared" si="22"/>
        <v>#VALUE!</v>
      </c>
      <c r="DY642" s="2523"/>
      <c r="DZ642" s="2523"/>
      <c r="EA642" s="2523"/>
      <c r="EB642" s="2523"/>
      <c r="EC642" s="2523" t="e">
        <f t="shared" si="23"/>
        <v>#VALUE!</v>
      </c>
      <c r="ED642" s="2523"/>
      <c r="EE642" s="2523"/>
      <c r="EF642" s="2523"/>
      <c r="EG642" s="2523"/>
      <c r="EH642" s="2523">
        <f t="shared" si="24"/>
        <v>59.166666666666671</v>
      </c>
      <c r="EI642" s="2523"/>
      <c r="EJ642" s="2523"/>
      <c r="EK642" s="2523"/>
      <c r="EL642" s="2523"/>
      <c r="EM642" s="2523" t="e">
        <f t="shared" si="25"/>
        <v>#VALUE!</v>
      </c>
      <c r="EN642" s="2523"/>
      <c r="EO642" s="2523"/>
      <c r="EP642" s="2523"/>
      <c r="EQ642" s="2523"/>
      <c r="ER642" s="2523" t="e">
        <f t="shared" si="26"/>
        <v>#VALUE!</v>
      </c>
      <c r="ES642" s="2523"/>
      <c r="ET642" s="2523"/>
      <c r="EU642" s="2523"/>
      <c r="EV642" s="2523"/>
      <c r="EW642" s="2523" t="e">
        <f t="shared" si="27"/>
        <v>#VALUE!</v>
      </c>
      <c r="EX642" s="2523"/>
      <c r="EY642" s="2523"/>
      <c r="EZ642" s="2523"/>
      <c r="FA642" s="2523"/>
    </row>
    <row r="643" spans="1:157" ht="12.75">
      <c r="B643" s="84" t="s">
        <v>486</v>
      </c>
      <c r="C643" s="1976"/>
      <c r="D643" s="1976"/>
      <c r="E643" s="1976"/>
      <c r="F643" s="1976"/>
      <c r="G643" s="1976"/>
      <c r="H643" s="1976"/>
      <c r="I643" s="1976"/>
      <c r="J643" s="1976"/>
      <c r="K643" s="1976"/>
      <c r="L643" s="1976"/>
      <c r="M643" s="1976"/>
      <c r="N643" s="2379"/>
      <c r="O643" s="2198"/>
      <c r="P643" s="2199"/>
      <c r="Q643" s="2200"/>
      <c r="R643" s="1968"/>
      <c r="S643" s="1969"/>
      <c r="T643" s="1970"/>
      <c r="U643" s="2340"/>
      <c r="V643" s="2341"/>
      <c r="W643" s="2342"/>
      <c r="X643" s="1971" t="s">
        <v>1380</v>
      </c>
      <c r="Y643" s="1972"/>
      <c r="Z643" s="1972"/>
      <c r="AA643" s="1972"/>
      <c r="AB643" s="1973"/>
      <c r="AC643" s="2101"/>
      <c r="AD643" s="2102"/>
      <c r="AE643" s="2103"/>
      <c r="AF643" s="2208"/>
      <c r="AG643" s="2209"/>
      <c r="AH643" s="2209"/>
      <c r="AI643" s="2209"/>
      <c r="AJ643" s="2210"/>
      <c r="AK643" s="2329"/>
      <c r="AL643" s="2330"/>
      <c r="AM643" s="2330"/>
      <c r="AN643" s="2331"/>
      <c r="AO643" s="2104"/>
      <c r="AP643" s="2104"/>
      <c r="AQ643" s="2104"/>
      <c r="AR643" s="2104"/>
      <c r="AS643" s="21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0">
        <f>IF(J775="SRO/Studio",O775,0)</f>
        <v>0</v>
      </c>
      <c r="BO643" s="1961"/>
      <c r="BP643" s="1961"/>
      <c r="BQ643" s="1961"/>
      <c r="BR643" s="1962"/>
      <c r="BS643" s="1959">
        <f>IF(J775="1 Bedroom",O775,0)</f>
        <v>0</v>
      </c>
      <c r="BT643" s="1959"/>
      <c r="BU643" s="1959"/>
      <c r="BV643" s="1959"/>
      <c r="BW643" s="1959"/>
      <c r="BX643" s="1959">
        <f>IF(J775="2 Bedrooms",O775,0)</f>
        <v>0</v>
      </c>
      <c r="BY643" s="1959"/>
      <c r="BZ643" s="1959"/>
      <c r="CA643" s="1959"/>
      <c r="CB643" s="1959"/>
      <c r="CC643" s="1959">
        <f>IF(J775="3 Bedrooms",O775,0)</f>
        <v>0</v>
      </c>
      <c r="CD643" s="1959"/>
      <c r="CE643" s="1959"/>
      <c r="CF643" s="1959"/>
      <c r="CG643" s="1959"/>
      <c r="CH643" s="1959">
        <f>IF(J775="4 Bedrooms",O775,0)</f>
        <v>0</v>
      </c>
      <c r="CI643" s="1959"/>
      <c r="CJ643" s="1959"/>
      <c r="CK643" s="1959"/>
      <c r="CL643" s="1959"/>
      <c r="CM643" s="1959">
        <f>IF(J775="5 Bedrooms",O775,0)</f>
        <v>0</v>
      </c>
      <c r="CN643" s="1959"/>
      <c r="CO643" s="1959"/>
      <c r="CP643" s="1959"/>
      <c r="CQ643" s="1959"/>
      <c r="CV643" s="58"/>
      <c r="CW643" s="58"/>
      <c r="CX643" s="58"/>
      <c r="CY643" s="58"/>
      <c r="CZ643" s="58"/>
      <c r="DA643" s="58"/>
      <c r="DB643" s="58"/>
      <c r="DC643" s="58"/>
      <c r="DD643" s="58"/>
      <c r="DE643" s="58"/>
      <c r="DF643" s="58"/>
      <c r="DX643" s="2523" t="e">
        <f t="shared" si="22"/>
        <v>#VALUE!</v>
      </c>
      <c r="DY643" s="2523"/>
      <c r="DZ643" s="2523"/>
      <c r="EA643" s="2523"/>
      <c r="EB643" s="2523"/>
      <c r="EC643" s="2523" t="e">
        <f t="shared" si="23"/>
        <v>#VALUE!</v>
      </c>
      <c r="ED643" s="2523"/>
      <c r="EE643" s="2523"/>
      <c r="EF643" s="2523"/>
      <c r="EG643" s="2523"/>
      <c r="EH643" s="2523">
        <f t="shared" si="24"/>
        <v>101.66666666666667</v>
      </c>
      <c r="EI643" s="2523"/>
      <c r="EJ643" s="2523"/>
      <c r="EK643" s="2523"/>
      <c r="EL643" s="2523"/>
      <c r="EM643" s="2523" t="e">
        <f t="shared" si="25"/>
        <v>#VALUE!</v>
      </c>
      <c r="EN643" s="2523"/>
      <c r="EO643" s="2523"/>
      <c r="EP643" s="2523"/>
      <c r="EQ643" s="2523"/>
      <c r="ER643" s="2523" t="e">
        <f t="shared" si="26"/>
        <v>#VALUE!</v>
      </c>
      <c r="ES643" s="2523"/>
      <c r="ET643" s="2523"/>
      <c r="EU643" s="2523"/>
      <c r="EV643" s="2523"/>
      <c r="EW643" s="2523" t="e">
        <f t="shared" si="27"/>
        <v>#VALUE!</v>
      </c>
      <c r="EX643" s="2523"/>
      <c r="EY643" s="2523"/>
      <c r="EZ643" s="2523"/>
      <c r="FA643" s="2523"/>
    </row>
    <row r="644" spans="1:157" ht="12.75">
      <c r="B644" s="84" t="s">
        <v>487</v>
      </c>
      <c r="C644" s="1976"/>
      <c r="D644" s="1976"/>
      <c r="E644" s="1976"/>
      <c r="F644" s="1976"/>
      <c r="G644" s="1976"/>
      <c r="H644" s="1976"/>
      <c r="I644" s="1976"/>
      <c r="J644" s="1976"/>
      <c r="K644" s="1976"/>
      <c r="L644" s="1976"/>
      <c r="M644" s="1976"/>
      <c r="N644" s="2379"/>
      <c r="O644" s="2198"/>
      <c r="P644" s="2199"/>
      <c r="Q644" s="2200"/>
      <c r="R644" s="1968"/>
      <c r="S644" s="1969"/>
      <c r="T644" s="1970"/>
      <c r="U644" s="2340"/>
      <c r="V644" s="2341"/>
      <c r="W644" s="2342"/>
      <c r="X644" s="1971" t="s">
        <v>1380</v>
      </c>
      <c r="Y644" s="1972"/>
      <c r="Z644" s="1972"/>
      <c r="AA644" s="1972"/>
      <c r="AB644" s="1973"/>
      <c r="AC644" s="2101"/>
      <c r="AD644" s="2102"/>
      <c r="AE644" s="2103"/>
      <c r="AF644" s="2208"/>
      <c r="AG644" s="2209"/>
      <c r="AH644" s="2209"/>
      <c r="AI644" s="2209"/>
      <c r="AJ644" s="2210"/>
      <c r="AK644" s="2329"/>
      <c r="AL644" s="2330"/>
      <c r="AM644" s="2330"/>
      <c r="AN644" s="2331"/>
      <c r="AO644" s="2104"/>
      <c r="AP644" s="2104"/>
      <c r="AQ644" s="2104"/>
      <c r="AR644" s="2104"/>
      <c r="AS644" s="21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3">
        <f>SUM(BN640:BR643)</f>
        <v>0</v>
      </c>
      <c r="BO644" s="1964"/>
      <c r="BP644" s="1964"/>
      <c r="BQ644" s="1964"/>
      <c r="BR644" s="1965"/>
      <c r="BS644" s="1956">
        <f>SUM(BS640:BW643)</f>
        <v>0</v>
      </c>
      <c r="BT644" s="1957"/>
      <c r="BU644" s="1957"/>
      <c r="BV644" s="1957"/>
      <c r="BW644" s="1958"/>
      <c r="BX644" s="1956">
        <f>SUM(BX640:CB643)</f>
        <v>0</v>
      </c>
      <c r="BY644" s="1957"/>
      <c r="BZ644" s="1957"/>
      <c r="CA644" s="1957"/>
      <c r="CB644" s="1958"/>
      <c r="CC644" s="1956">
        <f>SUM(CC640:CG643)</f>
        <v>2</v>
      </c>
      <c r="CD644" s="1957"/>
      <c r="CE644" s="1957"/>
      <c r="CF644" s="1957"/>
      <c r="CG644" s="1958"/>
      <c r="CH644" s="1956">
        <f>SUM(CH640:CL643)</f>
        <v>0</v>
      </c>
      <c r="CI644" s="1957"/>
      <c r="CJ644" s="1957"/>
      <c r="CK644" s="1957"/>
      <c r="CL644" s="1958"/>
      <c r="CM644" s="1956">
        <f>SUM(CM640:CQ643)</f>
        <v>0</v>
      </c>
      <c r="CN644" s="1957"/>
      <c r="CO644" s="1957"/>
      <c r="CP644" s="1957"/>
      <c r="CQ644" s="1958"/>
      <c r="CS644" s="1420">
        <f>BN644+BS644+BX644+CC644+CH644+CM644</f>
        <v>2</v>
      </c>
      <c r="CT644" s="134" t="s">
        <v>2317</v>
      </c>
      <c r="CU644" s="58"/>
      <c r="CV644" s="58"/>
      <c r="CW644" s="58"/>
      <c r="CX644" s="58"/>
      <c r="CY644" s="58"/>
      <c r="CZ644" s="58"/>
      <c r="DA644" s="58"/>
      <c r="DB644" s="58"/>
      <c r="DC644" s="58"/>
      <c r="DD644" s="58"/>
      <c r="DE644" s="58"/>
      <c r="DF644" s="58"/>
      <c r="DX644" s="2523" t="e">
        <f t="shared" si="22"/>
        <v>#VALUE!</v>
      </c>
      <c r="DY644" s="2523"/>
      <c r="DZ644" s="2523"/>
      <c r="EA644" s="2523"/>
      <c r="EB644" s="2523"/>
      <c r="EC644" s="2523" t="e">
        <f t="shared" si="23"/>
        <v>#VALUE!</v>
      </c>
      <c r="ED644" s="2523"/>
      <c r="EE644" s="2523"/>
      <c r="EF644" s="2523"/>
      <c r="EG644" s="2523"/>
      <c r="EH644" s="2523">
        <f t="shared" si="24"/>
        <v>172.08333333333334</v>
      </c>
      <c r="EI644" s="2523"/>
      <c r="EJ644" s="2523"/>
      <c r="EK644" s="2523"/>
      <c r="EL644" s="2523"/>
      <c r="EM644" s="2523" t="e">
        <f t="shared" si="25"/>
        <v>#VALUE!</v>
      </c>
      <c r="EN644" s="2523"/>
      <c r="EO644" s="2523"/>
      <c r="EP644" s="2523"/>
      <c r="EQ644" s="2523"/>
      <c r="ER644" s="2523" t="e">
        <f t="shared" si="26"/>
        <v>#VALUE!</v>
      </c>
      <c r="ES644" s="2523"/>
      <c r="ET644" s="2523"/>
      <c r="EU644" s="2523"/>
      <c r="EV644" s="2523"/>
      <c r="EW644" s="2523" t="e">
        <f t="shared" si="27"/>
        <v>#VALUE!</v>
      </c>
      <c r="EX644" s="2523"/>
      <c r="EY644" s="2523"/>
      <c r="EZ644" s="2523"/>
      <c r="FA644" s="2523"/>
    </row>
    <row r="645" spans="1:157" ht="12.75">
      <c r="B645" s="84" t="s">
        <v>493</v>
      </c>
      <c r="C645" s="1976"/>
      <c r="D645" s="1976"/>
      <c r="E645" s="1976"/>
      <c r="F645" s="1976"/>
      <c r="G645" s="1976"/>
      <c r="H645" s="1976"/>
      <c r="I645" s="1976"/>
      <c r="J645" s="1976"/>
      <c r="K645" s="1976"/>
      <c r="L645" s="1976"/>
      <c r="M645" s="1976"/>
      <c r="N645" s="2379"/>
      <c r="O645" s="2198"/>
      <c r="P645" s="2199"/>
      <c r="Q645" s="2200"/>
      <c r="R645" s="1968"/>
      <c r="S645" s="1969"/>
      <c r="T645" s="1970"/>
      <c r="U645" s="2340"/>
      <c r="V645" s="2341"/>
      <c r="W645" s="2342"/>
      <c r="X645" s="1971" t="s">
        <v>1380</v>
      </c>
      <c r="Y645" s="1972"/>
      <c r="Z645" s="1972"/>
      <c r="AA645" s="1972"/>
      <c r="AB645" s="1973"/>
      <c r="AC645" s="2101"/>
      <c r="AD645" s="2102"/>
      <c r="AE645" s="2103"/>
      <c r="AF645" s="2208"/>
      <c r="AG645" s="2209"/>
      <c r="AH645" s="2209"/>
      <c r="AI645" s="2209"/>
      <c r="AJ645" s="2210"/>
      <c r="AK645" s="2329"/>
      <c r="AL645" s="2330"/>
      <c r="AM645" s="2330"/>
      <c r="AN645" s="2331"/>
      <c r="AO645" s="2104"/>
      <c r="AP645" s="2104"/>
      <c r="AQ645" s="2104"/>
      <c r="AR645" s="2104"/>
      <c r="AS645" s="21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0</v>
      </c>
      <c r="CC645" s="58"/>
      <c r="CD645" s="58"/>
      <c r="CE645" s="58"/>
      <c r="CF645" s="58"/>
      <c r="CG645" s="1420">
        <f>CC644*3</f>
        <v>6</v>
      </c>
      <c r="CH645" s="58"/>
      <c r="CI645" s="58"/>
      <c r="CJ645" s="58"/>
      <c r="CK645" s="58"/>
      <c r="CL645" s="1420">
        <f>CH644*4</f>
        <v>0</v>
      </c>
      <c r="CM645" s="58"/>
      <c r="CN645" s="58"/>
      <c r="CO645" s="58"/>
      <c r="CP645" s="58"/>
      <c r="CQ645" s="1420">
        <f>CM644*5</f>
        <v>0</v>
      </c>
      <c r="CS645" s="1420">
        <f>BR645+BW645+CB645+CG645+CL645+CQ645</f>
        <v>6</v>
      </c>
      <c r="CT645" s="134" t="s">
        <v>2319</v>
      </c>
      <c r="CU645" s="58"/>
      <c r="CV645" s="58"/>
      <c r="CW645" s="58"/>
      <c r="CX645" s="58"/>
      <c r="CY645" s="58"/>
      <c r="CZ645" s="58"/>
      <c r="DA645" s="58"/>
      <c r="DB645" s="58"/>
      <c r="DC645" s="58"/>
      <c r="DD645" s="58"/>
      <c r="DE645" s="58"/>
      <c r="DF645" s="58"/>
      <c r="DX645" s="2523" t="e">
        <f t="shared" si="22"/>
        <v>#VALUE!</v>
      </c>
      <c r="DY645" s="2523"/>
      <c r="DZ645" s="2523"/>
      <c r="EA645" s="2523"/>
      <c r="EB645" s="2523"/>
      <c r="EC645" s="2523" t="e">
        <f t="shared" si="23"/>
        <v>#VALUE!</v>
      </c>
      <c r="ED645" s="2523"/>
      <c r="EE645" s="2523"/>
      <c r="EF645" s="2523"/>
      <c r="EG645" s="2523"/>
      <c r="EH645" s="2523">
        <f t="shared" si="24"/>
        <v>893.83333333333337</v>
      </c>
      <c r="EI645" s="2523"/>
      <c r="EJ645" s="2523"/>
      <c r="EK645" s="2523"/>
      <c r="EL645" s="2523"/>
      <c r="EM645" s="2523" t="e">
        <f t="shared" si="25"/>
        <v>#VALUE!</v>
      </c>
      <c r="EN645" s="2523"/>
      <c r="EO645" s="2523"/>
      <c r="EP645" s="2523"/>
      <c r="EQ645" s="2523"/>
      <c r="ER645" s="2523" t="e">
        <f t="shared" si="26"/>
        <v>#VALUE!</v>
      </c>
      <c r="ES645" s="2523"/>
      <c r="ET645" s="2523"/>
      <c r="EU645" s="2523"/>
      <c r="EV645" s="2523"/>
      <c r="EW645" s="2523" t="e">
        <f t="shared" si="27"/>
        <v>#VALUE!</v>
      </c>
      <c r="EX645" s="2523"/>
      <c r="EY645" s="2523"/>
      <c r="EZ645" s="2523"/>
      <c r="FA645" s="2523"/>
    </row>
    <row r="646" spans="1:157" ht="12.75">
      <c r="B646" s="84" t="s">
        <v>680</v>
      </c>
      <c r="C646" s="1976"/>
      <c r="D646" s="1976"/>
      <c r="E646" s="1976"/>
      <c r="F646" s="1976"/>
      <c r="G646" s="1976"/>
      <c r="H646" s="1976"/>
      <c r="I646" s="1976"/>
      <c r="J646" s="1976"/>
      <c r="K646" s="1976"/>
      <c r="L646" s="1976"/>
      <c r="M646" s="1976"/>
      <c r="N646" s="2379"/>
      <c r="O646" s="2198"/>
      <c r="P646" s="2199"/>
      <c r="Q646" s="2200"/>
      <c r="R646" s="1968"/>
      <c r="S646" s="1969"/>
      <c r="T646" s="1970"/>
      <c r="U646" s="2340"/>
      <c r="V646" s="2341"/>
      <c r="W646" s="2342"/>
      <c r="X646" s="1971" t="s">
        <v>1380</v>
      </c>
      <c r="Y646" s="1972"/>
      <c r="Z646" s="1972"/>
      <c r="AA646" s="1972"/>
      <c r="AB646" s="1973"/>
      <c r="AC646" s="2101"/>
      <c r="AD646" s="2102"/>
      <c r="AE646" s="2103"/>
      <c r="AF646" s="2208"/>
      <c r="AG646" s="2209"/>
      <c r="AH646" s="2209"/>
      <c r="AI646" s="2209"/>
      <c r="AJ646" s="2210"/>
      <c r="AK646" s="2329"/>
      <c r="AL646" s="2330"/>
      <c r="AM646" s="2330"/>
      <c r="AN646" s="2331"/>
      <c r="AO646" s="2104"/>
      <c r="AP646" s="2104"/>
      <c r="AQ646" s="2104"/>
      <c r="AR646" s="2104"/>
      <c r="AS646" s="21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3" t="e">
        <f t="shared" si="22"/>
        <v>#VALUE!</v>
      </c>
      <c r="DY646" s="2523"/>
      <c r="DZ646" s="2523"/>
      <c r="EA646" s="2523"/>
      <c r="EB646" s="2523"/>
      <c r="EC646" s="2523" t="e">
        <f t="shared" si="23"/>
        <v>#VALUE!</v>
      </c>
      <c r="ED646" s="2523"/>
      <c r="EE646" s="2523"/>
      <c r="EF646" s="2523"/>
      <c r="EG646" s="2523"/>
      <c r="EH646" s="2523" t="e">
        <f t="shared" si="24"/>
        <v>#VALUE!</v>
      </c>
      <c r="EI646" s="2523"/>
      <c r="EJ646" s="2523"/>
      <c r="EK646" s="2523"/>
      <c r="EL646" s="2523"/>
      <c r="EM646" s="2523">
        <f t="shared" si="25"/>
        <v>68.645833333333343</v>
      </c>
      <c r="EN646" s="2523"/>
      <c r="EO646" s="2523"/>
      <c r="EP646" s="2523"/>
      <c r="EQ646" s="2523"/>
      <c r="ER646" s="2523" t="e">
        <f t="shared" si="26"/>
        <v>#VALUE!</v>
      </c>
      <c r="ES646" s="2523"/>
      <c r="ET646" s="2523"/>
      <c r="EU646" s="2523"/>
      <c r="EV646" s="2523"/>
      <c r="EW646" s="2523" t="e">
        <f t="shared" si="27"/>
        <v>#VALUE!</v>
      </c>
      <c r="EX646" s="2523"/>
      <c r="EY646" s="2523"/>
      <c r="EZ646" s="2523"/>
      <c r="FA646" s="2523"/>
    </row>
    <row r="647" spans="1:157" ht="12.75">
      <c r="B647" s="84" t="s">
        <v>371</v>
      </c>
      <c r="C647" s="1976"/>
      <c r="D647" s="1976"/>
      <c r="E647" s="1976"/>
      <c r="F647" s="1976"/>
      <c r="G647" s="1976"/>
      <c r="H647" s="1976"/>
      <c r="I647" s="1976"/>
      <c r="J647" s="1976"/>
      <c r="K647" s="1976"/>
      <c r="L647" s="1976"/>
      <c r="M647" s="1976"/>
      <c r="N647" s="2379"/>
      <c r="O647" s="2198"/>
      <c r="P647" s="2199"/>
      <c r="Q647" s="2200"/>
      <c r="R647" s="1968"/>
      <c r="S647" s="1969"/>
      <c r="T647" s="1970"/>
      <c r="U647" s="2340"/>
      <c r="V647" s="2341"/>
      <c r="W647" s="2342"/>
      <c r="X647" s="1971" t="s">
        <v>1380</v>
      </c>
      <c r="Y647" s="1972"/>
      <c r="Z647" s="1972"/>
      <c r="AA647" s="1972"/>
      <c r="AB647" s="1973"/>
      <c r="AC647" s="2101"/>
      <c r="AD647" s="2102"/>
      <c r="AE647" s="2103"/>
      <c r="AF647" s="2208"/>
      <c r="AG647" s="2209"/>
      <c r="AH647" s="2209"/>
      <c r="AI647" s="2209"/>
      <c r="AJ647" s="2210"/>
      <c r="AK647" s="2329"/>
      <c r="AL647" s="2330"/>
      <c r="AM647" s="2330"/>
      <c r="AN647" s="2331"/>
      <c r="AO647" s="2104"/>
      <c r="AP647" s="2104"/>
      <c r="AQ647" s="2104"/>
      <c r="AR647" s="2104"/>
      <c r="AS647" s="21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3" t="e">
        <f t="shared" si="22"/>
        <v>#VALUE!</v>
      </c>
      <c r="DY647" s="2523"/>
      <c r="DZ647" s="2523"/>
      <c r="EA647" s="2523"/>
      <c r="EB647" s="2523"/>
      <c r="EC647" s="2523" t="e">
        <f t="shared" si="23"/>
        <v>#VALUE!</v>
      </c>
      <c r="ED647" s="2523"/>
      <c r="EE647" s="2523"/>
      <c r="EF647" s="2523"/>
      <c r="EG647" s="2523"/>
      <c r="EH647" s="2523" t="e">
        <f t="shared" si="24"/>
        <v>#VALUE!</v>
      </c>
      <c r="EI647" s="2523"/>
      <c r="EJ647" s="2523"/>
      <c r="EK647" s="2523"/>
      <c r="EL647" s="2523"/>
      <c r="EM647" s="2523">
        <f t="shared" si="25"/>
        <v>94.166666666666657</v>
      </c>
      <c r="EN647" s="2523"/>
      <c r="EO647" s="2523"/>
      <c r="EP647" s="2523"/>
      <c r="EQ647" s="2523"/>
      <c r="ER647" s="2523" t="e">
        <f t="shared" si="26"/>
        <v>#VALUE!</v>
      </c>
      <c r="ES647" s="2523"/>
      <c r="ET647" s="2523"/>
      <c r="EU647" s="2523"/>
      <c r="EV647" s="2523"/>
      <c r="EW647" s="2523" t="e">
        <f t="shared" si="27"/>
        <v>#VALUE!</v>
      </c>
      <c r="EX647" s="2523"/>
      <c r="EY647" s="2523"/>
      <c r="EZ647" s="2523"/>
      <c r="FA647" s="2523"/>
    </row>
    <row r="648" spans="1:157" ht="12.75">
      <c r="B648" s="84" t="s">
        <v>372</v>
      </c>
      <c r="C648" s="1976"/>
      <c r="D648" s="1976"/>
      <c r="E648" s="1976"/>
      <c r="F648" s="1976"/>
      <c r="G648" s="1976"/>
      <c r="H648" s="1976"/>
      <c r="I648" s="1976"/>
      <c r="J648" s="1976"/>
      <c r="K648" s="1976"/>
      <c r="L648" s="1976"/>
      <c r="M648" s="1976"/>
      <c r="N648" s="2379"/>
      <c r="O648" s="2198"/>
      <c r="P648" s="2199"/>
      <c r="Q648" s="2200"/>
      <c r="R648" s="1968"/>
      <c r="S648" s="1969"/>
      <c r="T648" s="1970"/>
      <c r="U648" s="2340"/>
      <c r="V648" s="2341"/>
      <c r="W648" s="2342"/>
      <c r="X648" s="1971" t="s">
        <v>1380</v>
      </c>
      <c r="Y648" s="1972"/>
      <c r="Z648" s="1972"/>
      <c r="AA648" s="1972"/>
      <c r="AB648" s="1973"/>
      <c r="AC648" s="2101"/>
      <c r="AD648" s="2102"/>
      <c r="AE648" s="2103"/>
      <c r="AF648" s="2208"/>
      <c r="AG648" s="2209"/>
      <c r="AH648" s="2209"/>
      <c r="AI648" s="2209"/>
      <c r="AJ648" s="2210"/>
      <c r="AK648" s="2329"/>
      <c r="AL648" s="2330"/>
      <c r="AM648" s="2330"/>
      <c r="AN648" s="2331"/>
      <c r="AO648" s="2104"/>
      <c r="AP648" s="2104"/>
      <c r="AQ648" s="2104"/>
      <c r="AR648" s="2104"/>
      <c r="AS648" s="21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0">
        <f t="shared" ref="BN648:BN657" si="28">IF(J786="SRO/Studio",O786,0)</f>
        <v>0</v>
      </c>
      <c r="BO648" s="1961"/>
      <c r="BP648" s="1961"/>
      <c r="BQ648" s="1961"/>
      <c r="BR648" s="1962"/>
      <c r="BS648" s="1959">
        <f t="shared" ref="BS648:BS657" si="29">IF(J786="1 Bedroom",O786,0)</f>
        <v>0</v>
      </c>
      <c r="BT648" s="1959"/>
      <c r="BU648" s="1959"/>
      <c r="BV648" s="1959"/>
      <c r="BW648" s="1959"/>
      <c r="BX648" s="1959">
        <f t="shared" ref="BX648:BX657" si="30">IF(J786="2 Bedrooms",O786,0)</f>
        <v>0</v>
      </c>
      <c r="BY648" s="1959"/>
      <c r="BZ648" s="1959"/>
      <c r="CA648" s="1959"/>
      <c r="CB648" s="1959"/>
      <c r="CC648" s="1959">
        <f t="shared" ref="CC648:CC657" si="31">IF(J786="3 Bedrooms",O786,0)</f>
        <v>0</v>
      </c>
      <c r="CD648" s="1959"/>
      <c r="CE648" s="1959"/>
      <c r="CF648" s="1959"/>
      <c r="CG648" s="1959"/>
      <c r="CH648" s="1959">
        <f t="shared" ref="CH648:CH657" si="32">IF(J786="4 Bedrooms",O786,0)</f>
        <v>0</v>
      </c>
      <c r="CI648" s="1959"/>
      <c r="CJ648" s="1959"/>
      <c r="CK648" s="1959"/>
      <c r="CL648" s="1959"/>
      <c r="CM648" s="1959">
        <f t="shared" ref="CM648:CM657" si="33">IF(J786="5 Bedrooms",O786,0)</f>
        <v>0</v>
      </c>
      <c r="CN648" s="1959"/>
      <c r="CO648" s="1959"/>
      <c r="CP648" s="1959"/>
      <c r="CQ648" s="1959"/>
      <c r="CR648" s="265"/>
      <c r="CS648" s="1960">
        <f>IF(AND(BN648&gt;=1,AH786&gt;=0.1,AH786&lt;=1),O786,0)</f>
        <v>0</v>
      </c>
      <c r="CT648" s="1961"/>
      <c r="CU648" s="1961"/>
      <c r="CV648" s="1961"/>
      <c r="CW648" s="1962"/>
      <c r="CX648" s="1960">
        <f>IF(AND(BS648&gt;=1,AH786&gt;=0.1,AH786&lt;=1),O786,0)</f>
        <v>0</v>
      </c>
      <c r="CY648" s="1961"/>
      <c r="CZ648" s="1961"/>
      <c r="DA648" s="1961"/>
      <c r="DB648" s="1962"/>
      <c r="DC648" s="1960">
        <f>IF(AND(BX648&gt;=1,AH786&gt;=0.1,AH786&lt;=1),O786,0)</f>
        <v>0</v>
      </c>
      <c r="DD648" s="1961"/>
      <c r="DE648" s="1961"/>
      <c r="DF648" s="1961"/>
      <c r="DG648" s="1962"/>
      <c r="DH648" s="1960">
        <f>IF(AND(CC648&gt;=1,AH786&gt;=0.1,AH786&lt;=1),O786,0)</f>
        <v>0</v>
      </c>
      <c r="DI648" s="1961"/>
      <c r="DJ648" s="1961"/>
      <c r="DK648" s="1961"/>
      <c r="DL648" s="1962"/>
      <c r="DM648" s="1960">
        <f>IF(AND(CH648&gt;=1,AH786&gt;=0.1,AH786&lt;=1),O786,0)</f>
        <v>0</v>
      </c>
      <c r="DN648" s="1961"/>
      <c r="DO648" s="1961"/>
      <c r="DP648" s="1961"/>
      <c r="DQ648" s="1962"/>
      <c r="DR648" s="1960">
        <f>IF(AND(CM648&gt;=1,AH786&gt;=0.1,AH786&lt;=1),O786,0)</f>
        <v>0</v>
      </c>
      <c r="DS648" s="1961"/>
      <c r="DT648" s="1961"/>
      <c r="DU648" s="1961"/>
      <c r="DV648" s="1962"/>
      <c r="DX648" s="2523" t="e">
        <f t="shared" si="22"/>
        <v>#VALUE!</v>
      </c>
      <c r="DY648" s="2523"/>
      <c r="DZ648" s="2523"/>
      <c r="EA648" s="2523"/>
      <c r="EB648" s="2523"/>
      <c r="EC648" s="2523" t="e">
        <f t="shared" si="23"/>
        <v>#VALUE!</v>
      </c>
      <c r="ED648" s="2523"/>
      <c r="EE648" s="2523"/>
      <c r="EF648" s="2523"/>
      <c r="EG648" s="2523"/>
      <c r="EH648" s="2523" t="e">
        <f t="shared" si="24"/>
        <v>#VALUE!</v>
      </c>
      <c r="EI648" s="2523"/>
      <c r="EJ648" s="2523"/>
      <c r="EK648" s="2523"/>
      <c r="EL648" s="2523"/>
      <c r="EM648" s="2523">
        <f t="shared" si="25"/>
        <v>1300.8125</v>
      </c>
      <c r="EN648" s="2523"/>
      <c r="EO648" s="2523"/>
      <c r="EP648" s="2523"/>
      <c r="EQ648" s="2523"/>
      <c r="ER648" s="2523" t="e">
        <f t="shared" si="26"/>
        <v>#VALUE!</v>
      </c>
      <c r="ES648" s="2523"/>
      <c r="ET648" s="2523"/>
      <c r="EU648" s="2523"/>
      <c r="EV648" s="2523"/>
      <c r="EW648" s="2523" t="e">
        <f t="shared" si="27"/>
        <v>#VALUE!</v>
      </c>
      <c r="EX648" s="2523"/>
      <c r="EY648" s="2523"/>
      <c r="EZ648" s="2523"/>
      <c r="FA648" s="2523"/>
    </row>
    <row r="649" spans="1:157" ht="12.75">
      <c r="B649" s="1977" t="s">
        <v>133</v>
      </c>
      <c r="C649" s="1978"/>
      <c r="D649" s="1978"/>
      <c r="E649" s="1978"/>
      <c r="F649" s="1978"/>
      <c r="G649" s="1978"/>
      <c r="H649" s="1978"/>
      <c r="I649" s="1978"/>
      <c r="J649" s="1978"/>
      <c r="K649" s="1978"/>
      <c r="L649" s="1978"/>
      <c r="M649" s="1978"/>
      <c r="N649" s="1978"/>
      <c r="O649" s="1978"/>
      <c r="P649" s="1978"/>
      <c r="Q649" s="1978"/>
      <c r="R649" s="1978"/>
      <c r="S649" s="1978"/>
      <c r="T649" s="1978"/>
      <c r="U649" s="1978"/>
      <c r="V649" s="1978"/>
      <c r="W649" s="1978"/>
      <c r="X649" s="1978"/>
      <c r="Y649" s="1978"/>
      <c r="Z649" s="1978"/>
      <c r="AA649" s="1978"/>
      <c r="AB649" s="1978"/>
      <c r="AC649" s="1978"/>
      <c r="AD649" s="1978"/>
      <c r="AE649" s="1978"/>
      <c r="AF649" s="1978"/>
      <c r="AG649" s="1978"/>
      <c r="AH649" s="1978"/>
      <c r="AI649" s="1978"/>
      <c r="AJ649" s="1978"/>
      <c r="AK649" s="1978"/>
      <c r="AL649" s="1978"/>
      <c r="AM649" s="1978"/>
      <c r="AN649" s="1979"/>
      <c r="AO649" s="2106">
        <f>SUM(AO637:AR648)</f>
        <v>36195287</v>
      </c>
      <c r="AP649" s="2107"/>
      <c r="AQ649" s="2107"/>
      <c r="AR649" s="2107"/>
      <c r="AS649" s="2108"/>
      <c r="AZ649" s="58"/>
      <c r="BA649" s="58"/>
      <c r="BB649" s="58"/>
      <c r="BC649" s="58"/>
      <c r="BD649" s="58"/>
      <c r="BE649" s="58"/>
      <c r="BF649" s="58"/>
      <c r="BG649" s="58"/>
      <c r="BH649" s="58"/>
      <c r="BI649" s="58"/>
      <c r="BJ649" s="58"/>
      <c r="BK649" s="58"/>
      <c r="BL649" s="58"/>
      <c r="BM649" s="58"/>
      <c r="BN649" s="1960">
        <f t="shared" si="28"/>
        <v>0</v>
      </c>
      <c r="BO649" s="1961"/>
      <c r="BP649" s="1961"/>
      <c r="BQ649" s="1961"/>
      <c r="BR649" s="1962"/>
      <c r="BS649" s="1959">
        <f t="shared" si="29"/>
        <v>0</v>
      </c>
      <c r="BT649" s="1959"/>
      <c r="BU649" s="1959"/>
      <c r="BV649" s="1959"/>
      <c r="BW649" s="1959"/>
      <c r="BX649" s="1959">
        <f t="shared" si="30"/>
        <v>0</v>
      </c>
      <c r="BY649" s="1959"/>
      <c r="BZ649" s="1959"/>
      <c r="CA649" s="1959"/>
      <c r="CB649" s="1959"/>
      <c r="CC649" s="1959">
        <f t="shared" si="31"/>
        <v>0</v>
      </c>
      <c r="CD649" s="1959"/>
      <c r="CE649" s="1959"/>
      <c r="CF649" s="1959"/>
      <c r="CG649" s="1959"/>
      <c r="CH649" s="1959">
        <f t="shared" si="32"/>
        <v>0</v>
      </c>
      <c r="CI649" s="1959"/>
      <c r="CJ649" s="1959"/>
      <c r="CK649" s="1959"/>
      <c r="CL649" s="1959"/>
      <c r="CM649" s="1959">
        <f t="shared" si="33"/>
        <v>0</v>
      </c>
      <c r="CN649" s="1959"/>
      <c r="CO649" s="1959"/>
      <c r="CP649" s="1959"/>
      <c r="CQ649" s="1959"/>
      <c r="CR649" s="265"/>
      <c r="CS649" s="1960">
        <f t="shared" ref="CS649:CS657" si="34">IF(AND(BN649&gt;=1,AH787&gt;=0.1,AH787&lt;=1),O787,0)</f>
        <v>0</v>
      </c>
      <c r="CT649" s="1961"/>
      <c r="CU649" s="1961"/>
      <c r="CV649" s="1961"/>
      <c r="CW649" s="1962"/>
      <c r="CX649" s="1960">
        <f t="shared" ref="CX649:CX657" si="35">IF(AND(BS649&gt;=1,AH787&gt;=0.1,AH787&lt;=1),O787,0)</f>
        <v>0</v>
      </c>
      <c r="CY649" s="1961"/>
      <c r="CZ649" s="1961"/>
      <c r="DA649" s="1961"/>
      <c r="DB649" s="1962"/>
      <c r="DC649" s="1960">
        <f t="shared" ref="DC649:DC657" si="36">IF(AND(BX649&gt;=1,AH787&gt;=0.1,AH787&lt;=1),O787,0)</f>
        <v>0</v>
      </c>
      <c r="DD649" s="1961"/>
      <c r="DE649" s="1961"/>
      <c r="DF649" s="1961"/>
      <c r="DG649" s="1962"/>
      <c r="DH649" s="1960">
        <f t="shared" ref="DH649:DH657" si="37">IF(AND(CC649&gt;=1,AH787&gt;=0.1,AH787&lt;=1),O787,0)</f>
        <v>0</v>
      </c>
      <c r="DI649" s="1961"/>
      <c r="DJ649" s="1961"/>
      <c r="DK649" s="1961"/>
      <c r="DL649" s="1962"/>
      <c r="DM649" s="1960">
        <f t="shared" ref="DM649:DM657" si="38">IF(AND(CH649&gt;=1,AH787&gt;=0.1,AH787&lt;=1),O787,0)</f>
        <v>0</v>
      </c>
      <c r="DN649" s="1961"/>
      <c r="DO649" s="1961"/>
      <c r="DP649" s="1961"/>
      <c r="DQ649" s="1962"/>
      <c r="DR649" s="1960">
        <f t="shared" ref="DR649:DR657" si="39">IF(AND(CM649&gt;=1,AH787&gt;=0.1,AH787&lt;=1),O787,0)</f>
        <v>0</v>
      </c>
      <c r="DS649" s="1961"/>
      <c r="DT649" s="1961"/>
      <c r="DU649" s="1961"/>
      <c r="DV649" s="1962"/>
      <c r="DX649" s="2523" t="e">
        <f t="shared" si="22"/>
        <v>#VALUE!</v>
      </c>
      <c r="DY649" s="2523"/>
      <c r="DZ649" s="2523"/>
      <c r="EA649" s="2523"/>
      <c r="EB649" s="2523"/>
      <c r="EC649" s="2523" t="e">
        <f t="shared" si="23"/>
        <v>#VALUE!</v>
      </c>
      <c r="ED649" s="2523"/>
      <c r="EE649" s="2523"/>
      <c r="EF649" s="2523"/>
      <c r="EG649" s="2523"/>
      <c r="EH649" s="2523" t="e">
        <f t="shared" si="24"/>
        <v>#VALUE!</v>
      </c>
      <c r="EI649" s="2523"/>
      <c r="EJ649" s="2523"/>
      <c r="EK649" s="2523"/>
      <c r="EL649" s="2523"/>
      <c r="EM649" s="2523" t="e">
        <f t="shared" si="25"/>
        <v>#VALUE!</v>
      </c>
      <c r="EN649" s="2523"/>
      <c r="EO649" s="2523"/>
      <c r="EP649" s="2523"/>
      <c r="EQ649" s="2523"/>
      <c r="ER649" s="2523" t="e">
        <f t="shared" si="26"/>
        <v>#VALUE!</v>
      </c>
      <c r="ES649" s="2523"/>
      <c r="ET649" s="2523"/>
      <c r="EU649" s="2523"/>
      <c r="EV649" s="2523"/>
      <c r="EW649" s="2523" t="e">
        <f t="shared" si="27"/>
        <v>#VALUE!</v>
      </c>
      <c r="EX649" s="2523"/>
      <c r="EY649" s="2523"/>
      <c r="EZ649" s="2523"/>
      <c r="FA649" s="2523"/>
    </row>
    <row r="650" spans="1:157" ht="12.75" customHeight="1">
      <c r="B650" s="1977" t="s">
        <v>272</v>
      </c>
      <c r="C650" s="1978"/>
      <c r="D650" s="1978"/>
      <c r="E650" s="1978"/>
      <c r="F650" s="1978"/>
      <c r="G650" s="1978"/>
      <c r="H650" s="1978"/>
      <c r="I650" s="1978"/>
      <c r="J650" s="1978"/>
      <c r="K650" s="1978"/>
      <c r="L650" s="1978"/>
      <c r="M650" s="1978"/>
      <c r="N650" s="1978"/>
      <c r="O650" s="1978"/>
      <c r="P650" s="1978"/>
      <c r="Q650" s="1978"/>
      <c r="R650" s="1978"/>
      <c r="S650" s="1978"/>
      <c r="T650" s="1978"/>
      <c r="U650" s="1978"/>
      <c r="V650" s="1978"/>
      <c r="W650" s="1978"/>
      <c r="X650" s="1978"/>
      <c r="Y650" s="1978"/>
      <c r="Z650" s="1978"/>
      <c r="AA650" s="1978"/>
      <c r="AB650" s="1978"/>
      <c r="AC650" s="1978"/>
      <c r="AD650" s="1978"/>
      <c r="AE650" s="1978"/>
      <c r="AF650" s="1978"/>
      <c r="AG650" s="1978"/>
      <c r="AH650" s="1978"/>
      <c r="AI650" s="1978"/>
      <c r="AJ650" s="1978"/>
      <c r="AK650" s="1978"/>
      <c r="AL650" s="1978"/>
      <c r="AM650" s="1978"/>
      <c r="AN650" s="1979"/>
      <c r="AO650" s="1993">
        <v>31581497</v>
      </c>
      <c r="AP650" s="1994"/>
      <c r="AQ650" s="1994"/>
      <c r="AR650" s="1994"/>
      <c r="AS650" s="1995"/>
      <c r="AZ650" s="61"/>
      <c r="BA650" s="61"/>
      <c r="BB650" s="61"/>
      <c r="BC650" s="61"/>
      <c r="BD650" s="61"/>
      <c r="BE650" s="61"/>
      <c r="BF650" s="61"/>
      <c r="BG650" s="61"/>
      <c r="BH650" s="61"/>
      <c r="BI650" s="61"/>
      <c r="BJ650" s="61"/>
      <c r="BK650" s="61"/>
      <c r="BL650" s="61"/>
      <c r="BM650" s="61"/>
      <c r="BN650" s="1960">
        <f t="shared" si="28"/>
        <v>0</v>
      </c>
      <c r="BO650" s="1961"/>
      <c r="BP650" s="1961"/>
      <c r="BQ650" s="1961"/>
      <c r="BR650" s="1962"/>
      <c r="BS650" s="1959">
        <f t="shared" si="29"/>
        <v>0</v>
      </c>
      <c r="BT650" s="1959"/>
      <c r="BU650" s="1959"/>
      <c r="BV650" s="1959"/>
      <c r="BW650" s="1959"/>
      <c r="BX650" s="1959">
        <f t="shared" si="30"/>
        <v>0</v>
      </c>
      <c r="BY650" s="1959"/>
      <c r="BZ650" s="1959"/>
      <c r="CA650" s="1959"/>
      <c r="CB650" s="1959"/>
      <c r="CC650" s="1959">
        <f t="shared" si="31"/>
        <v>0</v>
      </c>
      <c r="CD650" s="1959"/>
      <c r="CE650" s="1959"/>
      <c r="CF650" s="1959"/>
      <c r="CG650" s="1959"/>
      <c r="CH650" s="1959">
        <f t="shared" si="32"/>
        <v>0</v>
      </c>
      <c r="CI650" s="1959"/>
      <c r="CJ650" s="1959"/>
      <c r="CK650" s="1959"/>
      <c r="CL650" s="1959"/>
      <c r="CM650" s="1959">
        <f t="shared" si="33"/>
        <v>0</v>
      </c>
      <c r="CN650" s="1959"/>
      <c r="CO650" s="1959"/>
      <c r="CP650" s="1959"/>
      <c r="CQ650" s="1959"/>
      <c r="CR650" s="265"/>
      <c r="CS650" s="1960">
        <f t="shared" si="34"/>
        <v>0</v>
      </c>
      <c r="CT650" s="1961"/>
      <c r="CU650" s="1961"/>
      <c r="CV650" s="1961"/>
      <c r="CW650" s="1962"/>
      <c r="CX650" s="1960">
        <f t="shared" si="35"/>
        <v>0</v>
      </c>
      <c r="CY650" s="1961"/>
      <c r="CZ650" s="1961"/>
      <c r="DA650" s="1961"/>
      <c r="DB650" s="1962"/>
      <c r="DC650" s="1960">
        <f t="shared" si="36"/>
        <v>0</v>
      </c>
      <c r="DD650" s="1961"/>
      <c r="DE650" s="1961"/>
      <c r="DF650" s="1961"/>
      <c r="DG650" s="1962"/>
      <c r="DH650" s="1960">
        <f t="shared" si="37"/>
        <v>0</v>
      </c>
      <c r="DI650" s="1961"/>
      <c r="DJ650" s="1961"/>
      <c r="DK650" s="1961"/>
      <c r="DL650" s="1962"/>
      <c r="DM650" s="1960">
        <f t="shared" si="38"/>
        <v>0</v>
      </c>
      <c r="DN650" s="1961"/>
      <c r="DO650" s="1961"/>
      <c r="DP650" s="1961"/>
      <c r="DQ650" s="1962"/>
      <c r="DR650" s="1960">
        <f t="shared" si="39"/>
        <v>0</v>
      </c>
      <c r="DS650" s="1961"/>
      <c r="DT650" s="1961"/>
      <c r="DU650" s="1961"/>
      <c r="DV650" s="1962"/>
      <c r="DX650" s="2523" t="e">
        <f t="shared" si="22"/>
        <v>#VALUE!</v>
      </c>
      <c r="DY650" s="2523"/>
      <c r="DZ650" s="2523"/>
      <c r="EA650" s="2523"/>
      <c r="EB650" s="2523"/>
      <c r="EC650" s="2523" t="e">
        <f t="shared" si="23"/>
        <v>#VALUE!</v>
      </c>
      <c r="ED650" s="2523"/>
      <c r="EE650" s="2523"/>
      <c r="EF650" s="2523"/>
      <c r="EG650" s="2523"/>
      <c r="EH650" s="2523" t="e">
        <f t="shared" si="24"/>
        <v>#VALUE!</v>
      </c>
      <c r="EI650" s="2523"/>
      <c r="EJ650" s="2523"/>
      <c r="EK650" s="2523"/>
      <c r="EL650" s="2523"/>
      <c r="EM650" s="2523" t="e">
        <f t="shared" si="25"/>
        <v>#VALUE!</v>
      </c>
      <c r="EN650" s="2523"/>
      <c r="EO650" s="2523"/>
      <c r="EP650" s="2523"/>
      <c r="EQ650" s="2523"/>
      <c r="ER650" s="2523" t="e">
        <f t="shared" si="26"/>
        <v>#VALUE!</v>
      </c>
      <c r="ES650" s="2523"/>
      <c r="ET650" s="2523"/>
      <c r="EU650" s="2523"/>
      <c r="EV650" s="2523"/>
      <c r="EW650" s="2523" t="e">
        <f t="shared" si="27"/>
        <v>#VALUE!</v>
      </c>
      <c r="EX650" s="2523"/>
      <c r="EY650" s="2523"/>
      <c r="EZ650" s="2523"/>
      <c r="FA650" s="2523"/>
    </row>
    <row r="651" spans="1:157" ht="12.75" customHeight="1">
      <c r="B651" s="2213" t="s">
        <v>273</v>
      </c>
      <c r="C651" s="2143"/>
      <c r="D651" s="2143"/>
      <c r="E651" s="2143"/>
      <c r="F651" s="2143"/>
      <c r="G651" s="2143"/>
      <c r="H651" s="2143"/>
      <c r="I651" s="2143"/>
      <c r="J651" s="2143"/>
      <c r="K651" s="2143"/>
      <c r="L651" s="2143"/>
      <c r="M651" s="2143"/>
      <c r="N651" s="2143"/>
      <c r="O651" s="2143"/>
      <c r="P651" s="2143"/>
      <c r="Q651" s="2143"/>
      <c r="R651" s="2143"/>
      <c r="S651" s="2143"/>
      <c r="T651" s="2143"/>
      <c r="U651" s="2143"/>
      <c r="V651" s="2143"/>
      <c r="W651" s="2143"/>
      <c r="X651" s="2143"/>
      <c r="Y651" s="2143"/>
      <c r="Z651" s="2143"/>
      <c r="AA651" s="2143"/>
      <c r="AB651" s="2143"/>
      <c r="AC651" s="2143"/>
      <c r="AD651" s="2143"/>
      <c r="AE651" s="2143"/>
      <c r="AF651" s="2143"/>
      <c r="AG651" s="2143"/>
      <c r="AH651" s="2143"/>
      <c r="AI651" s="2143"/>
      <c r="AJ651" s="2143"/>
      <c r="AK651" s="2143"/>
      <c r="AL651" s="2143"/>
      <c r="AM651" s="2143"/>
      <c r="AN651" s="2214"/>
      <c r="AO651" s="2106">
        <f>AO649+AO650</f>
        <v>67776784</v>
      </c>
      <c r="AP651" s="2107"/>
      <c r="AQ651" s="2107"/>
      <c r="AR651" s="2107"/>
      <c r="AS651" s="2108"/>
      <c r="AZ651" s="61"/>
      <c r="BA651" s="61"/>
      <c r="BB651" s="61"/>
      <c r="BC651" s="61"/>
      <c r="BD651" s="61"/>
      <c r="BE651" s="61"/>
      <c r="BF651" s="61"/>
      <c r="BG651" s="61"/>
      <c r="BH651" s="61"/>
      <c r="BI651" s="61"/>
      <c r="BJ651" s="61"/>
      <c r="BK651" s="61"/>
      <c r="BL651" s="61"/>
      <c r="BM651" s="61"/>
      <c r="BN651" s="1960">
        <f t="shared" si="28"/>
        <v>0</v>
      </c>
      <c r="BO651" s="1961"/>
      <c r="BP651" s="1961"/>
      <c r="BQ651" s="1961"/>
      <c r="BR651" s="1962"/>
      <c r="BS651" s="1959">
        <f t="shared" si="29"/>
        <v>0</v>
      </c>
      <c r="BT651" s="1959"/>
      <c r="BU651" s="1959"/>
      <c r="BV651" s="1959"/>
      <c r="BW651" s="1959"/>
      <c r="BX651" s="1959">
        <f t="shared" si="30"/>
        <v>0</v>
      </c>
      <c r="BY651" s="1959"/>
      <c r="BZ651" s="1959"/>
      <c r="CA651" s="1959"/>
      <c r="CB651" s="1959"/>
      <c r="CC651" s="1959">
        <f t="shared" si="31"/>
        <v>0</v>
      </c>
      <c r="CD651" s="1959"/>
      <c r="CE651" s="1959"/>
      <c r="CF651" s="1959"/>
      <c r="CG651" s="1959"/>
      <c r="CH651" s="1959">
        <f t="shared" si="32"/>
        <v>0</v>
      </c>
      <c r="CI651" s="1959"/>
      <c r="CJ651" s="1959"/>
      <c r="CK651" s="1959"/>
      <c r="CL651" s="1959"/>
      <c r="CM651" s="1959">
        <f t="shared" si="33"/>
        <v>0</v>
      </c>
      <c r="CN651" s="1959"/>
      <c r="CO651" s="1959"/>
      <c r="CP651" s="1959"/>
      <c r="CQ651" s="1959"/>
      <c r="CR651" s="265"/>
      <c r="CS651" s="1960">
        <f t="shared" si="34"/>
        <v>0</v>
      </c>
      <c r="CT651" s="1961"/>
      <c r="CU651" s="1961"/>
      <c r="CV651" s="1961"/>
      <c r="CW651" s="1962"/>
      <c r="CX651" s="1960">
        <f t="shared" si="35"/>
        <v>0</v>
      </c>
      <c r="CY651" s="1961"/>
      <c r="CZ651" s="1961"/>
      <c r="DA651" s="1961"/>
      <c r="DB651" s="1962"/>
      <c r="DC651" s="1960">
        <f t="shared" si="36"/>
        <v>0</v>
      </c>
      <c r="DD651" s="1961"/>
      <c r="DE651" s="1961"/>
      <c r="DF651" s="1961"/>
      <c r="DG651" s="1962"/>
      <c r="DH651" s="1960">
        <f t="shared" si="37"/>
        <v>0</v>
      </c>
      <c r="DI651" s="1961"/>
      <c r="DJ651" s="1961"/>
      <c r="DK651" s="1961"/>
      <c r="DL651" s="1962"/>
      <c r="DM651" s="1960">
        <f t="shared" si="38"/>
        <v>0</v>
      </c>
      <c r="DN651" s="1961"/>
      <c r="DO651" s="1961"/>
      <c r="DP651" s="1961"/>
      <c r="DQ651" s="1962"/>
      <c r="DR651" s="1960">
        <f t="shared" si="39"/>
        <v>0</v>
      </c>
      <c r="DS651" s="1961"/>
      <c r="DT651" s="1961"/>
      <c r="DU651" s="1961"/>
      <c r="DV651" s="1962"/>
      <c r="DX651" s="2523" t="e">
        <f t="shared" si="22"/>
        <v>#VALUE!</v>
      </c>
      <c r="DY651" s="2523"/>
      <c r="DZ651" s="2523"/>
      <c r="EA651" s="2523"/>
      <c r="EB651" s="2523"/>
      <c r="EC651" s="2523" t="e">
        <f t="shared" si="23"/>
        <v>#VALUE!</v>
      </c>
      <c r="ED651" s="2523"/>
      <c r="EE651" s="2523"/>
      <c r="EF651" s="2523"/>
      <c r="EG651" s="2523"/>
      <c r="EH651" s="2523" t="e">
        <f t="shared" si="24"/>
        <v>#VALUE!</v>
      </c>
      <c r="EI651" s="2523"/>
      <c r="EJ651" s="2523"/>
      <c r="EK651" s="2523"/>
      <c r="EL651" s="2523"/>
      <c r="EM651" s="2523" t="e">
        <f t="shared" si="25"/>
        <v>#VALUE!</v>
      </c>
      <c r="EN651" s="2523"/>
      <c r="EO651" s="2523"/>
      <c r="EP651" s="2523"/>
      <c r="EQ651" s="2523"/>
      <c r="ER651" s="2523" t="e">
        <f t="shared" si="26"/>
        <v>#VALUE!</v>
      </c>
      <c r="ES651" s="2523"/>
      <c r="ET651" s="2523"/>
      <c r="EU651" s="2523"/>
      <c r="EV651" s="2523"/>
      <c r="EW651" s="2523" t="e">
        <f t="shared" si="27"/>
        <v>#VALUE!</v>
      </c>
      <c r="EX651" s="2523"/>
      <c r="EY651" s="2523"/>
      <c r="EZ651" s="2523"/>
      <c r="FA651" s="2523"/>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0">
        <f t="shared" si="28"/>
        <v>0</v>
      </c>
      <c r="BO652" s="1961"/>
      <c r="BP652" s="1961"/>
      <c r="BQ652" s="1961"/>
      <c r="BR652" s="1962"/>
      <c r="BS652" s="1959">
        <f t="shared" si="29"/>
        <v>0</v>
      </c>
      <c r="BT652" s="1959"/>
      <c r="BU652" s="1959"/>
      <c r="BV652" s="1959"/>
      <c r="BW652" s="1959"/>
      <c r="BX652" s="1959">
        <f t="shared" si="30"/>
        <v>0</v>
      </c>
      <c r="BY652" s="1959"/>
      <c r="BZ652" s="1959"/>
      <c r="CA652" s="1959"/>
      <c r="CB652" s="1959"/>
      <c r="CC652" s="1959">
        <f t="shared" si="31"/>
        <v>0</v>
      </c>
      <c r="CD652" s="1959"/>
      <c r="CE652" s="1959"/>
      <c r="CF652" s="1959"/>
      <c r="CG652" s="1959"/>
      <c r="CH652" s="1959">
        <f t="shared" si="32"/>
        <v>0</v>
      </c>
      <c r="CI652" s="1959"/>
      <c r="CJ652" s="1959"/>
      <c r="CK652" s="1959"/>
      <c r="CL652" s="1959"/>
      <c r="CM652" s="1959">
        <f t="shared" si="33"/>
        <v>0</v>
      </c>
      <c r="CN652" s="1959"/>
      <c r="CO652" s="1959"/>
      <c r="CP652" s="1959"/>
      <c r="CQ652" s="1959"/>
      <c r="CR652" s="265"/>
      <c r="CS652" s="1960">
        <f t="shared" si="34"/>
        <v>0</v>
      </c>
      <c r="CT652" s="1961"/>
      <c r="CU652" s="1961"/>
      <c r="CV652" s="1961"/>
      <c r="CW652" s="1962"/>
      <c r="CX652" s="1960">
        <f t="shared" si="35"/>
        <v>0</v>
      </c>
      <c r="CY652" s="1961"/>
      <c r="CZ652" s="1961"/>
      <c r="DA652" s="1961"/>
      <c r="DB652" s="1962"/>
      <c r="DC652" s="1960">
        <f t="shared" si="36"/>
        <v>0</v>
      </c>
      <c r="DD652" s="1961"/>
      <c r="DE652" s="1961"/>
      <c r="DF652" s="1961"/>
      <c r="DG652" s="1962"/>
      <c r="DH652" s="1960">
        <f t="shared" si="37"/>
        <v>0</v>
      </c>
      <c r="DI652" s="1961"/>
      <c r="DJ652" s="1961"/>
      <c r="DK652" s="1961"/>
      <c r="DL652" s="1962"/>
      <c r="DM652" s="1960">
        <f t="shared" si="38"/>
        <v>0</v>
      </c>
      <c r="DN652" s="1961"/>
      <c r="DO652" s="1961"/>
      <c r="DP652" s="1961"/>
      <c r="DQ652" s="1962"/>
      <c r="DR652" s="1960">
        <f t="shared" si="39"/>
        <v>0</v>
      </c>
      <c r="DS652" s="1961"/>
      <c r="DT652" s="1961"/>
      <c r="DU652" s="1961"/>
      <c r="DV652" s="1962"/>
      <c r="DX652" s="2523" t="e">
        <f t="shared" si="22"/>
        <v>#VALUE!</v>
      </c>
      <c r="DY652" s="2523"/>
      <c r="DZ652" s="2523"/>
      <c r="EA652" s="2523"/>
      <c r="EB652" s="2523"/>
      <c r="EC652" s="2523" t="e">
        <f t="shared" si="23"/>
        <v>#VALUE!</v>
      </c>
      <c r="ED652" s="2523"/>
      <c r="EE652" s="2523"/>
      <c r="EF652" s="2523"/>
      <c r="EG652" s="2523"/>
      <c r="EH652" s="2523" t="e">
        <f t="shared" si="24"/>
        <v>#VALUE!</v>
      </c>
      <c r="EI652" s="2523"/>
      <c r="EJ652" s="2523"/>
      <c r="EK652" s="2523"/>
      <c r="EL652" s="2523"/>
      <c r="EM652" s="2523" t="e">
        <f t="shared" si="25"/>
        <v>#VALUE!</v>
      </c>
      <c r="EN652" s="2523"/>
      <c r="EO652" s="2523"/>
      <c r="EP652" s="2523"/>
      <c r="EQ652" s="2523"/>
      <c r="ER652" s="2523" t="e">
        <f t="shared" si="26"/>
        <v>#VALUE!</v>
      </c>
      <c r="ES652" s="2523"/>
      <c r="ET652" s="2523"/>
      <c r="EU652" s="2523"/>
      <c r="EV652" s="2523"/>
      <c r="EW652" s="2523" t="e">
        <f t="shared" si="27"/>
        <v>#VALUE!</v>
      </c>
      <c r="EX652" s="2523"/>
      <c r="EY652" s="2523"/>
      <c r="EZ652" s="2523"/>
      <c r="FA652" s="2523"/>
    </row>
    <row r="653" spans="1:157" ht="12.75">
      <c r="A653" s="87" t="s">
        <v>117</v>
      </c>
      <c r="B653" s="12" t="s">
        <v>495</v>
      </c>
      <c r="G653" s="2000" t="str">
        <f>C637</f>
        <v>CalHFA Senior Mortgage Loan</v>
      </c>
      <c r="H653" s="2000"/>
      <c r="I653" s="2000"/>
      <c r="J653" s="2000"/>
      <c r="K653" s="2000"/>
      <c r="L653" s="2000"/>
      <c r="M653" s="2000"/>
      <c r="N653" s="2000"/>
      <c r="O653" s="2000"/>
      <c r="P653" s="2000"/>
      <c r="Q653" s="2000"/>
      <c r="R653" s="2000"/>
      <c r="S653" s="14"/>
      <c r="T653" s="87" t="s">
        <v>118</v>
      </c>
      <c r="U653" s="12" t="s">
        <v>495</v>
      </c>
      <c r="Z653" s="2000" t="str">
        <f>C638</f>
        <v>CalHFA MIP Subordinate Subsidy Loan</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60">
        <f t="shared" si="28"/>
        <v>0</v>
      </c>
      <c r="BO653" s="1961"/>
      <c r="BP653" s="1961"/>
      <c r="BQ653" s="1961"/>
      <c r="BR653" s="1962"/>
      <c r="BS653" s="1959">
        <f t="shared" si="29"/>
        <v>0</v>
      </c>
      <c r="BT653" s="1959"/>
      <c r="BU653" s="1959"/>
      <c r="BV653" s="1959"/>
      <c r="BW653" s="1959"/>
      <c r="BX653" s="1959">
        <f t="shared" si="30"/>
        <v>0</v>
      </c>
      <c r="BY653" s="1959"/>
      <c r="BZ653" s="1959"/>
      <c r="CA653" s="1959"/>
      <c r="CB653" s="1959"/>
      <c r="CC653" s="1959">
        <f t="shared" si="31"/>
        <v>0</v>
      </c>
      <c r="CD653" s="1959"/>
      <c r="CE653" s="1959"/>
      <c r="CF653" s="1959"/>
      <c r="CG653" s="1959"/>
      <c r="CH653" s="1959">
        <f t="shared" si="32"/>
        <v>0</v>
      </c>
      <c r="CI653" s="1959"/>
      <c r="CJ653" s="1959"/>
      <c r="CK653" s="1959"/>
      <c r="CL653" s="1959"/>
      <c r="CM653" s="1959">
        <f t="shared" si="33"/>
        <v>0</v>
      </c>
      <c r="CN653" s="1959"/>
      <c r="CO653" s="1959"/>
      <c r="CP653" s="1959"/>
      <c r="CQ653" s="1959"/>
      <c r="CR653" s="265"/>
      <c r="CS653" s="1960">
        <f t="shared" si="34"/>
        <v>0</v>
      </c>
      <c r="CT653" s="1961"/>
      <c r="CU653" s="1961"/>
      <c r="CV653" s="1961"/>
      <c r="CW653" s="1962"/>
      <c r="CX653" s="1960">
        <f t="shared" si="35"/>
        <v>0</v>
      </c>
      <c r="CY653" s="1961"/>
      <c r="CZ653" s="1961"/>
      <c r="DA653" s="1961"/>
      <c r="DB653" s="1962"/>
      <c r="DC653" s="1960">
        <f t="shared" si="36"/>
        <v>0</v>
      </c>
      <c r="DD653" s="1961"/>
      <c r="DE653" s="1961"/>
      <c r="DF653" s="1961"/>
      <c r="DG653" s="1962"/>
      <c r="DH653" s="1960">
        <f t="shared" si="37"/>
        <v>0</v>
      </c>
      <c r="DI653" s="1961"/>
      <c r="DJ653" s="1961"/>
      <c r="DK653" s="1961"/>
      <c r="DL653" s="1962"/>
      <c r="DM653" s="1960">
        <f t="shared" si="38"/>
        <v>0</v>
      </c>
      <c r="DN653" s="1961"/>
      <c r="DO653" s="1961"/>
      <c r="DP653" s="1961"/>
      <c r="DQ653" s="1962"/>
      <c r="DR653" s="1960">
        <f t="shared" si="39"/>
        <v>0</v>
      </c>
      <c r="DS653" s="1961"/>
      <c r="DT653" s="1961"/>
      <c r="DU653" s="1961"/>
      <c r="DV653" s="1962"/>
      <c r="DX653" s="2523" t="e">
        <f t="shared" si="22"/>
        <v>#VALUE!</v>
      </c>
      <c r="DY653" s="2523"/>
      <c r="DZ653" s="2523"/>
      <c r="EA653" s="2523"/>
      <c r="EB653" s="2523"/>
      <c r="EC653" s="2523" t="e">
        <f t="shared" si="23"/>
        <v>#VALUE!</v>
      </c>
      <c r="ED653" s="2523"/>
      <c r="EE653" s="2523"/>
      <c r="EF653" s="2523"/>
      <c r="EG653" s="2523"/>
      <c r="EH653" s="2523" t="e">
        <f t="shared" si="24"/>
        <v>#VALUE!</v>
      </c>
      <c r="EI653" s="2523"/>
      <c r="EJ653" s="2523"/>
      <c r="EK653" s="2523"/>
      <c r="EL653" s="2523"/>
      <c r="EM653" s="2523" t="e">
        <f t="shared" si="25"/>
        <v>#VALUE!</v>
      </c>
      <c r="EN653" s="2523"/>
      <c r="EO653" s="2523"/>
      <c r="EP653" s="2523"/>
      <c r="EQ653" s="2523"/>
      <c r="ER653" s="2523" t="e">
        <f t="shared" si="26"/>
        <v>#VALUE!</v>
      </c>
      <c r="ES653" s="2523"/>
      <c r="ET653" s="2523"/>
      <c r="EU653" s="2523"/>
      <c r="EV653" s="2523"/>
      <c r="EW653" s="2523" t="e">
        <f t="shared" si="27"/>
        <v>#VALUE!</v>
      </c>
      <c r="EX653" s="2523"/>
      <c r="EY653" s="2523"/>
      <c r="EZ653" s="2523"/>
      <c r="FA653" s="2523"/>
    </row>
    <row r="654" spans="1:157" ht="12.75">
      <c r="A654" s="35"/>
      <c r="B654" s="12" t="s">
        <v>90</v>
      </c>
      <c r="G654" s="1974" t="s">
        <v>2563</v>
      </c>
      <c r="H654" s="1975"/>
      <c r="I654" s="1975"/>
      <c r="J654" s="1975"/>
      <c r="K654" s="1975"/>
      <c r="L654" s="1975"/>
      <c r="M654" s="1975"/>
      <c r="N654" s="1975"/>
      <c r="O654" s="1975"/>
      <c r="P654" s="1975"/>
      <c r="Q654" s="1975"/>
      <c r="R654" s="1975"/>
      <c r="S654" s="14"/>
      <c r="T654" s="35"/>
      <c r="U654" s="12" t="s">
        <v>90</v>
      </c>
      <c r="Z654" s="1974" t="s">
        <v>2563</v>
      </c>
      <c r="AA654" s="1975"/>
      <c r="AB654" s="1975"/>
      <c r="AC654" s="1975"/>
      <c r="AD654" s="1975"/>
      <c r="AE654" s="1975"/>
      <c r="AF654" s="1975"/>
      <c r="AG654" s="1975"/>
      <c r="AH654" s="1975"/>
      <c r="AI654" s="1975"/>
      <c r="AJ654" s="1975"/>
      <c r="AK654" s="1975"/>
      <c r="AZ654" s="61"/>
      <c r="BA654" s="61"/>
      <c r="BB654" s="61"/>
      <c r="BC654" s="61"/>
      <c r="BD654" s="61"/>
      <c r="BE654" s="61"/>
      <c r="BF654" s="61"/>
      <c r="BG654" s="61"/>
      <c r="BH654" s="61"/>
      <c r="BI654" s="61"/>
      <c r="BJ654" s="61"/>
      <c r="BK654" s="61"/>
      <c r="BL654" s="61"/>
      <c r="BM654" s="61"/>
      <c r="BN654" s="1960">
        <f t="shared" si="28"/>
        <v>0</v>
      </c>
      <c r="BO654" s="1961"/>
      <c r="BP654" s="1961"/>
      <c r="BQ654" s="1961"/>
      <c r="BR654" s="1962"/>
      <c r="BS654" s="1959">
        <f t="shared" si="29"/>
        <v>0</v>
      </c>
      <c r="BT654" s="1959"/>
      <c r="BU654" s="1959"/>
      <c r="BV654" s="1959"/>
      <c r="BW654" s="1959"/>
      <c r="BX654" s="1959">
        <f t="shared" si="30"/>
        <v>0</v>
      </c>
      <c r="BY654" s="1959"/>
      <c r="BZ654" s="1959"/>
      <c r="CA654" s="1959"/>
      <c r="CB654" s="1959"/>
      <c r="CC654" s="1959">
        <f t="shared" si="31"/>
        <v>0</v>
      </c>
      <c r="CD654" s="1959"/>
      <c r="CE654" s="1959"/>
      <c r="CF654" s="1959"/>
      <c r="CG654" s="1959"/>
      <c r="CH654" s="1959">
        <f t="shared" si="32"/>
        <v>0</v>
      </c>
      <c r="CI654" s="1959"/>
      <c r="CJ654" s="1959"/>
      <c r="CK654" s="1959"/>
      <c r="CL654" s="1959"/>
      <c r="CM654" s="1959">
        <f t="shared" si="33"/>
        <v>0</v>
      </c>
      <c r="CN654" s="1959"/>
      <c r="CO654" s="1959"/>
      <c r="CP654" s="1959"/>
      <c r="CQ654" s="1959"/>
      <c r="CR654" s="265"/>
      <c r="CS654" s="1960">
        <f t="shared" si="34"/>
        <v>0</v>
      </c>
      <c r="CT654" s="1961"/>
      <c r="CU654" s="1961"/>
      <c r="CV654" s="1961"/>
      <c r="CW654" s="1962"/>
      <c r="CX654" s="1960">
        <f t="shared" si="35"/>
        <v>0</v>
      </c>
      <c r="CY654" s="1961"/>
      <c r="CZ654" s="1961"/>
      <c r="DA654" s="1961"/>
      <c r="DB654" s="1962"/>
      <c r="DC654" s="1960">
        <f t="shared" si="36"/>
        <v>0</v>
      </c>
      <c r="DD654" s="1961"/>
      <c r="DE654" s="1961"/>
      <c r="DF654" s="1961"/>
      <c r="DG654" s="1962"/>
      <c r="DH654" s="1960">
        <f t="shared" si="37"/>
        <v>0</v>
      </c>
      <c r="DI654" s="1961"/>
      <c r="DJ654" s="1961"/>
      <c r="DK654" s="1961"/>
      <c r="DL654" s="1962"/>
      <c r="DM654" s="1960">
        <f t="shared" si="38"/>
        <v>0</v>
      </c>
      <c r="DN654" s="1961"/>
      <c r="DO654" s="1961"/>
      <c r="DP654" s="1961"/>
      <c r="DQ654" s="1962"/>
      <c r="DR654" s="1960">
        <f t="shared" si="39"/>
        <v>0</v>
      </c>
      <c r="DS654" s="1961"/>
      <c r="DT654" s="1961"/>
      <c r="DU654" s="1961"/>
      <c r="DV654" s="1962"/>
      <c r="DX654" s="2523" t="e">
        <f t="shared" si="22"/>
        <v>#VALUE!</v>
      </c>
      <c r="DY654" s="2523"/>
      <c r="DZ654" s="2523"/>
      <c r="EA654" s="2523"/>
      <c r="EB654" s="2523"/>
      <c r="EC654" s="2523" t="e">
        <f t="shared" si="23"/>
        <v>#VALUE!</v>
      </c>
      <c r="ED654" s="2523"/>
      <c r="EE654" s="2523"/>
      <c r="EF654" s="2523"/>
      <c r="EG654" s="2523"/>
      <c r="EH654" s="2523" t="e">
        <f t="shared" si="24"/>
        <v>#VALUE!</v>
      </c>
      <c r="EI654" s="2523"/>
      <c r="EJ654" s="2523"/>
      <c r="EK654" s="2523"/>
      <c r="EL654" s="2523"/>
      <c r="EM654" s="2523" t="e">
        <f t="shared" si="25"/>
        <v>#VALUE!</v>
      </c>
      <c r="EN654" s="2523"/>
      <c r="EO654" s="2523"/>
      <c r="EP654" s="2523"/>
      <c r="EQ654" s="2523"/>
      <c r="ER654" s="2523" t="e">
        <f t="shared" si="26"/>
        <v>#VALUE!</v>
      </c>
      <c r="ES654" s="2523"/>
      <c r="ET654" s="2523"/>
      <c r="EU654" s="2523"/>
      <c r="EV654" s="2523"/>
      <c r="EW654" s="2523" t="e">
        <f t="shared" si="27"/>
        <v>#VALUE!</v>
      </c>
      <c r="EX654" s="2523"/>
      <c r="EY654" s="2523"/>
      <c r="EZ654" s="2523"/>
      <c r="FA654" s="2523"/>
    </row>
    <row r="655" spans="1:157" ht="12.75">
      <c r="A655" s="35"/>
      <c r="B655" s="12" t="s">
        <v>614</v>
      </c>
      <c r="G655" s="1974" t="s">
        <v>2564</v>
      </c>
      <c r="H655" s="1975"/>
      <c r="I655" s="1975"/>
      <c r="J655" s="1975"/>
      <c r="K655" s="1975"/>
      <c r="L655" s="1975"/>
      <c r="M655" s="1975"/>
      <c r="N655" s="1975"/>
      <c r="O655" s="1975"/>
      <c r="P655" s="1975"/>
      <c r="Q655" s="1975"/>
      <c r="R655" s="1975"/>
      <c r="S655" s="88"/>
      <c r="T655" s="35"/>
      <c r="U655" s="12" t="s">
        <v>614</v>
      </c>
      <c r="Z655" s="1974" t="s">
        <v>2564</v>
      </c>
      <c r="AA655" s="1975"/>
      <c r="AB655" s="1975"/>
      <c r="AC655" s="1975"/>
      <c r="AD655" s="1975"/>
      <c r="AE655" s="1975"/>
      <c r="AF655" s="1975"/>
      <c r="AG655" s="1975"/>
      <c r="AH655" s="1975"/>
      <c r="AI655" s="1975"/>
      <c r="AJ655" s="1975"/>
      <c r="AK655" s="1975"/>
      <c r="AZ655" s="61"/>
      <c r="BA655" s="61"/>
      <c r="BB655" s="61"/>
      <c r="BC655" s="61"/>
      <c r="BD655" s="61"/>
      <c r="BE655" s="61"/>
      <c r="BF655" s="61"/>
      <c r="BG655" s="61"/>
      <c r="BH655" s="61"/>
      <c r="BI655" s="61"/>
      <c r="BJ655" s="61"/>
      <c r="BK655" s="61"/>
      <c r="BL655" s="61"/>
      <c r="BM655" s="61"/>
      <c r="BN655" s="1960">
        <f t="shared" si="28"/>
        <v>0</v>
      </c>
      <c r="BO655" s="1961"/>
      <c r="BP655" s="1961"/>
      <c r="BQ655" s="1961"/>
      <c r="BR655" s="1962"/>
      <c r="BS655" s="1959">
        <f t="shared" si="29"/>
        <v>0</v>
      </c>
      <c r="BT655" s="1959"/>
      <c r="BU655" s="1959"/>
      <c r="BV655" s="1959"/>
      <c r="BW655" s="1959"/>
      <c r="BX655" s="1959">
        <f t="shared" si="30"/>
        <v>0</v>
      </c>
      <c r="BY655" s="1959"/>
      <c r="BZ655" s="1959"/>
      <c r="CA655" s="1959"/>
      <c r="CB655" s="1959"/>
      <c r="CC655" s="1959">
        <f t="shared" si="31"/>
        <v>0</v>
      </c>
      <c r="CD655" s="1959"/>
      <c r="CE655" s="1959"/>
      <c r="CF655" s="1959"/>
      <c r="CG655" s="1959"/>
      <c r="CH655" s="1959">
        <f t="shared" si="32"/>
        <v>0</v>
      </c>
      <c r="CI655" s="1959"/>
      <c r="CJ655" s="1959"/>
      <c r="CK655" s="1959"/>
      <c r="CL655" s="1959"/>
      <c r="CM655" s="1959">
        <f t="shared" si="33"/>
        <v>0</v>
      </c>
      <c r="CN655" s="1959"/>
      <c r="CO655" s="1959"/>
      <c r="CP655" s="1959"/>
      <c r="CQ655" s="1959"/>
      <c r="CR655" s="265"/>
      <c r="CS655" s="1960">
        <f t="shared" si="34"/>
        <v>0</v>
      </c>
      <c r="CT655" s="1961"/>
      <c r="CU655" s="1961"/>
      <c r="CV655" s="1961"/>
      <c r="CW655" s="1962"/>
      <c r="CX655" s="1960">
        <f t="shared" si="35"/>
        <v>0</v>
      </c>
      <c r="CY655" s="1961"/>
      <c r="CZ655" s="1961"/>
      <c r="DA655" s="1961"/>
      <c r="DB655" s="1962"/>
      <c r="DC655" s="1960">
        <f t="shared" si="36"/>
        <v>0</v>
      </c>
      <c r="DD655" s="1961"/>
      <c r="DE655" s="1961"/>
      <c r="DF655" s="1961"/>
      <c r="DG655" s="1962"/>
      <c r="DH655" s="1960">
        <f t="shared" si="37"/>
        <v>0</v>
      </c>
      <c r="DI655" s="1961"/>
      <c r="DJ655" s="1961"/>
      <c r="DK655" s="1961"/>
      <c r="DL655" s="1962"/>
      <c r="DM655" s="1960">
        <f t="shared" si="38"/>
        <v>0</v>
      </c>
      <c r="DN655" s="1961"/>
      <c r="DO655" s="1961"/>
      <c r="DP655" s="1961"/>
      <c r="DQ655" s="1962"/>
      <c r="DR655" s="1960">
        <f t="shared" si="39"/>
        <v>0</v>
      </c>
      <c r="DS655" s="1961"/>
      <c r="DT655" s="1961"/>
      <c r="DU655" s="1961"/>
      <c r="DV655" s="1962"/>
      <c r="DX655" s="2523" t="e">
        <f t="shared" si="22"/>
        <v>#VALUE!</v>
      </c>
      <c r="DY655" s="2523"/>
      <c r="DZ655" s="2523"/>
      <c r="EA655" s="2523"/>
      <c r="EB655" s="2523"/>
      <c r="EC655" s="2523" t="e">
        <f t="shared" si="23"/>
        <v>#VALUE!</v>
      </c>
      <c r="ED655" s="2523"/>
      <c r="EE655" s="2523"/>
      <c r="EF655" s="2523"/>
      <c r="EG655" s="2523"/>
      <c r="EH655" s="2523" t="e">
        <f t="shared" si="24"/>
        <v>#VALUE!</v>
      </c>
      <c r="EI655" s="2523"/>
      <c r="EJ655" s="2523"/>
      <c r="EK655" s="2523"/>
      <c r="EL655" s="2523"/>
      <c r="EM655" s="2523" t="e">
        <f t="shared" si="25"/>
        <v>#VALUE!</v>
      </c>
      <c r="EN655" s="2523"/>
      <c r="EO655" s="2523"/>
      <c r="EP655" s="2523"/>
      <c r="EQ655" s="2523"/>
      <c r="ER655" s="2523" t="e">
        <f t="shared" si="26"/>
        <v>#VALUE!</v>
      </c>
      <c r="ES655" s="2523"/>
      <c r="ET655" s="2523"/>
      <c r="EU655" s="2523"/>
      <c r="EV655" s="2523"/>
      <c r="EW655" s="2523" t="e">
        <f t="shared" si="27"/>
        <v>#VALUE!</v>
      </c>
      <c r="EX655" s="2523"/>
      <c r="EY655" s="2523"/>
      <c r="EZ655" s="2523"/>
      <c r="FA655" s="2523"/>
    </row>
    <row r="656" spans="1:157" ht="12.75">
      <c r="A656" s="35"/>
      <c r="B656" s="12" t="s">
        <v>17</v>
      </c>
      <c r="G656" s="1974" t="s">
        <v>2565</v>
      </c>
      <c r="H656" s="1975"/>
      <c r="I656" s="1975"/>
      <c r="J656" s="1975"/>
      <c r="K656" s="1975"/>
      <c r="L656" s="1975"/>
      <c r="M656" s="1975"/>
      <c r="N656" s="1975"/>
      <c r="O656" s="1975"/>
      <c r="P656" s="1975"/>
      <c r="Q656" s="1975"/>
      <c r="R656" s="1975"/>
      <c r="S656" s="14"/>
      <c r="T656" s="35"/>
      <c r="U656" s="12" t="s">
        <v>17</v>
      </c>
      <c r="Z656" s="1974" t="s">
        <v>2565</v>
      </c>
      <c r="AA656" s="1975"/>
      <c r="AB656" s="1975"/>
      <c r="AC656" s="1975"/>
      <c r="AD656" s="1975"/>
      <c r="AE656" s="1975"/>
      <c r="AF656" s="1975"/>
      <c r="AG656" s="1975"/>
      <c r="AH656" s="1975"/>
      <c r="AI656" s="1975"/>
      <c r="AJ656" s="1975"/>
      <c r="AK656" s="1975"/>
      <c r="AZ656" s="61"/>
      <c r="BA656" s="61"/>
      <c r="BB656" s="61"/>
      <c r="BC656" s="61"/>
      <c r="BD656" s="61"/>
      <c r="BE656" s="61"/>
      <c r="BF656" s="61"/>
      <c r="BG656" s="61"/>
      <c r="BH656" s="61"/>
      <c r="BI656" s="61"/>
      <c r="BJ656" s="61"/>
      <c r="BK656" s="61"/>
      <c r="BL656" s="61"/>
      <c r="BM656" s="61"/>
      <c r="BN656" s="1960">
        <f t="shared" si="28"/>
        <v>0</v>
      </c>
      <c r="BO656" s="1961"/>
      <c r="BP656" s="1961"/>
      <c r="BQ656" s="1961"/>
      <c r="BR656" s="1962"/>
      <c r="BS656" s="1959">
        <f t="shared" si="29"/>
        <v>0</v>
      </c>
      <c r="BT656" s="1959"/>
      <c r="BU656" s="1959"/>
      <c r="BV656" s="1959"/>
      <c r="BW656" s="1959"/>
      <c r="BX656" s="1959">
        <f t="shared" si="30"/>
        <v>0</v>
      </c>
      <c r="BY656" s="1959"/>
      <c r="BZ656" s="1959"/>
      <c r="CA656" s="1959"/>
      <c r="CB656" s="1959"/>
      <c r="CC656" s="1959">
        <f t="shared" si="31"/>
        <v>0</v>
      </c>
      <c r="CD656" s="1959"/>
      <c r="CE656" s="1959"/>
      <c r="CF656" s="1959"/>
      <c r="CG656" s="1959"/>
      <c r="CH656" s="1959">
        <f t="shared" si="32"/>
        <v>0</v>
      </c>
      <c r="CI656" s="1959"/>
      <c r="CJ656" s="1959"/>
      <c r="CK656" s="1959"/>
      <c r="CL656" s="1959"/>
      <c r="CM656" s="1959">
        <f t="shared" si="33"/>
        <v>0</v>
      </c>
      <c r="CN656" s="1959"/>
      <c r="CO656" s="1959"/>
      <c r="CP656" s="1959"/>
      <c r="CQ656" s="1959"/>
      <c r="CR656" s="265"/>
      <c r="CS656" s="1960">
        <f t="shared" si="34"/>
        <v>0</v>
      </c>
      <c r="CT656" s="1961"/>
      <c r="CU656" s="1961"/>
      <c r="CV656" s="1961"/>
      <c r="CW656" s="1962"/>
      <c r="CX656" s="1960">
        <f t="shared" si="35"/>
        <v>0</v>
      </c>
      <c r="CY656" s="1961"/>
      <c r="CZ656" s="1961"/>
      <c r="DA656" s="1961"/>
      <c r="DB656" s="1962"/>
      <c r="DC656" s="1960">
        <f t="shared" si="36"/>
        <v>0</v>
      </c>
      <c r="DD656" s="1961"/>
      <c r="DE656" s="1961"/>
      <c r="DF656" s="1961"/>
      <c r="DG656" s="1962"/>
      <c r="DH656" s="1960">
        <f t="shared" si="37"/>
        <v>0</v>
      </c>
      <c r="DI656" s="1961"/>
      <c r="DJ656" s="1961"/>
      <c r="DK656" s="1961"/>
      <c r="DL656" s="1962"/>
      <c r="DM656" s="1960">
        <f t="shared" si="38"/>
        <v>0</v>
      </c>
      <c r="DN656" s="1961"/>
      <c r="DO656" s="1961"/>
      <c r="DP656" s="1961"/>
      <c r="DQ656" s="1962"/>
      <c r="DR656" s="1960">
        <f t="shared" si="39"/>
        <v>0</v>
      </c>
      <c r="DS656" s="1961"/>
      <c r="DT656" s="1961"/>
      <c r="DU656" s="1961"/>
      <c r="DV656" s="1962"/>
      <c r="DX656" s="2523" t="e">
        <f t="shared" si="22"/>
        <v>#VALUE!</v>
      </c>
      <c r="DY656" s="2523"/>
      <c r="DZ656" s="2523"/>
      <c r="EA656" s="2523"/>
      <c r="EB656" s="2523"/>
      <c r="EC656" s="2523" t="e">
        <f t="shared" si="23"/>
        <v>#VALUE!</v>
      </c>
      <c r="ED656" s="2523"/>
      <c r="EE656" s="2523"/>
      <c r="EF656" s="2523"/>
      <c r="EG656" s="2523"/>
      <c r="EH656" s="2523" t="e">
        <f t="shared" si="24"/>
        <v>#VALUE!</v>
      </c>
      <c r="EI656" s="2523"/>
      <c r="EJ656" s="2523"/>
      <c r="EK656" s="2523"/>
      <c r="EL656" s="2523"/>
      <c r="EM656" s="2523" t="e">
        <f t="shared" si="25"/>
        <v>#VALUE!</v>
      </c>
      <c r="EN656" s="2523"/>
      <c r="EO656" s="2523"/>
      <c r="EP656" s="2523"/>
      <c r="EQ656" s="2523"/>
      <c r="ER656" s="2523" t="e">
        <f t="shared" si="26"/>
        <v>#VALUE!</v>
      </c>
      <c r="ES656" s="2523"/>
      <c r="ET656" s="2523"/>
      <c r="EU656" s="2523"/>
      <c r="EV656" s="2523"/>
      <c r="EW656" s="2523" t="e">
        <f t="shared" si="27"/>
        <v>#VALUE!</v>
      </c>
      <c r="EX656" s="2523"/>
      <c r="EY656" s="2523"/>
      <c r="EZ656" s="2523"/>
      <c r="FA656" s="2523"/>
    </row>
    <row r="657" spans="1:157" ht="12.75">
      <c r="A657" s="35"/>
      <c r="B657" s="12" t="s">
        <v>324</v>
      </c>
      <c r="G657" s="1966" t="s">
        <v>2566</v>
      </c>
      <c r="H657" s="1967"/>
      <c r="I657" s="1967"/>
      <c r="J657" s="1967"/>
      <c r="K657" s="1967"/>
      <c r="L657" s="1967"/>
      <c r="O657" s="137" t="s">
        <v>211</v>
      </c>
      <c r="P657" s="1976"/>
      <c r="Q657" s="1976"/>
      <c r="R657" s="1976"/>
      <c r="S657" s="16"/>
      <c r="T657" s="35"/>
      <c r="U657" s="12" t="s">
        <v>324</v>
      </c>
      <c r="Z657" s="1966" t="s">
        <v>2566</v>
      </c>
      <c r="AA657" s="1967"/>
      <c r="AB657" s="1967"/>
      <c r="AC657" s="1967"/>
      <c r="AD657" s="1967"/>
      <c r="AE657" s="1967"/>
      <c r="AH657" s="137" t="s">
        <v>211</v>
      </c>
      <c r="AI657" s="1976"/>
      <c r="AJ657" s="1976"/>
      <c r="AK657" s="1976"/>
      <c r="AZ657" s="61"/>
      <c r="BA657" s="61"/>
      <c r="BB657" s="61"/>
      <c r="BC657" s="61"/>
      <c r="BD657" s="61"/>
      <c r="BE657" s="61"/>
      <c r="BF657" s="61"/>
      <c r="BG657" s="61"/>
      <c r="BH657" s="61"/>
      <c r="BI657" s="61"/>
      <c r="BJ657" s="61"/>
      <c r="BK657" s="61"/>
      <c r="BL657" s="61"/>
      <c r="BM657" s="61"/>
      <c r="BN657" s="1960">
        <f t="shared" si="28"/>
        <v>0</v>
      </c>
      <c r="BO657" s="1961"/>
      <c r="BP657" s="1961"/>
      <c r="BQ657" s="1961"/>
      <c r="BR657" s="1962"/>
      <c r="BS657" s="1959">
        <f t="shared" si="29"/>
        <v>0</v>
      </c>
      <c r="BT657" s="1959"/>
      <c r="BU657" s="1959"/>
      <c r="BV657" s="1959"/>
      <c r="BW657" s="1959"/>
      <c r="BX657" s="1959">
        <f t="shared" si="30"/>
        <v>0</v>
      </c>
      <c r="BY657" s="1959"/>
      <c r="BZ657" s="1959"/>
      <c r="CA657" s="1959"/>
      <c r="CB657" s="1959"/>
      <c r="CC657" s="1959">
        <f t="shared" si="31"/>
        <v>0</v>
      </c>
      <c r="CD657" s="1959"/>
      <c r="CE657" s="1959"/>
      <c r="CF657" s="1959"/>
      <c r="CG657" s="1959"/>
      <c r="CH657" s="1959">
        <f t="shared" si="32"/>
        <v>0</v>
      </c>
      <c r="CI657" s="1959"/>
      <c r="CJ657" s="1959"/>
      <c r="CK657" s="1959"/>
      <c r="CL657" s="1959"/>
      <c r="CM657" s="1959">
        <f t="shared" si="33"/>
        <v>0</v>
      </c>
      <c r="CN657" s="1959"/>
      <c r="CO657" s="1959"/>
      <c r="CP657" s="1959"/>
      <c r="CQ657" s="1959"/>
      <c r="CR657" s="265"/>
      <c r="CS657" s="1960">
        <f t="shared" si="34"/>
        <v>0</v>
      </c>
      <c r="CT657" s="1961"/>
      <c r="CU657" s="1961"/>
      <c r="CV657" s="1961"/>
      <c r="CW657" s="1962"/>
      <c r="CX657" s="1960">
        <f t="shared" si="35"/>
        <v>0</v>
      </c>
      <c r="CY657" s="1961"/>
      <c r="CZ657" s="1961"/>
      <c r="DA657" s="1961"/>
      <c r="DB657" s="1962"/>
      <c r="DC657" s="1960">
        <f t="shared" si="36"/>
        <v>0</v>
      </c>
      <c r="DD657" s="1961"/>
      <c r="DE657" s="1961"/>
      <c r="DF657" s="1961"/>
      <c r="DG657" s="1962"/>
      <c r="DH657" s="1960">
        <f t="shared" si="37"/>
        <v>0</v>
      </c>
      <c r="DI657" s="1961"/>
      <c r="DJ657" s="1961"/>
      <c r="DK657" s="1961"/>
      <c r="DL657" s="1962"/>
      <c r="DM657" s="1960">
        <f t="shared" si="38"/>
        <v>0</v>
      </c>
      <c r="DN657" s="1961"/>
      <c r="DO657" s="1961"/>
      <c r="DP657" s="1961"/>
      <c r="DQ657" s="1962"/>
      <c r="DR657" s="1960">
        <f t="shared" si="39"/>
        <v>0</v>
      </c>
      <c r="DS657" s="1961"/>
      <c r="DT657" s="1961"/>
      <c r="DU657" s="1961"/>
      <c r="DV657" s="1962"/>
      <c r="DX657" s="2523" t="e">
        <f t="shared" si="22"/>
        <v>#VALUE!</v>
      </c>
      <c r="DY657" s="2523"/>
      <c r="DZ657" s="2523"/>
      <c r="EA657" s="2523"/>
      <c r="EB657" s="2523"/>
      <c r="EC657" s="2523" t="e">
        <f t="shared" si="23"/>
        <v>#VALUE!</v>
      </c>
      <c r="ED657" s="2523"/>
      <c r="EE657" s="2523"/>
      <c r="EF657" s="2523"/>
      <c r="EG657" s="2523"/>
      <c r="EH657" s="2523" t="e">
        <f t="shared" si="24"/>
        <v>#VALUE!</v>
      </c>
      <c r="EI657" s="2523"/>
      <c r="EJ657" s="2523"/>
      <c r="EK657" s="2523"/>
      <c r="EL657" s="2523"/>
      <c r="EM657" s="2523" t="e">
        <f t="shared" si="25"/>
        <v>#VALUE!</v>
      </c>
      <c r="EN657" s="2523"/>
      <c r="EO657" s="2523"/>
      <c r="EP657" s="2523"/>
      <c r="EQ657" s="2523"/>
      <c r="ER657" s="2523" t="e">
        <f t="shared" si="26"/>
        <v>#VALUE!</v>
      </c>
      <c r="ES657" s="2523"/>
      <c r="ET657" s="2523"/>
      <c r="EU657" s="2523"/>
      <c r="EV657" s="2523"/>
      <c r="EW657" s="2523" t="e">
        <f t="shared" si="27"/>
        <v>#VALUE!</v>
      </c>
      <c r="EX657" s="2523"/>
      <c r="EY657" s="2523"/>
      <c r="EZ657" s="2523"/>
      <c r="FA657" s="2523"/>
    </row>
    <row r="658" spans="1:157" ht="12.75">
      <c r="A658" s="35"/>
      <c r="B658" s="12" t="s">
        <v>18</v>
      </c>
      <c r="H658" s="1974" t="s">
        <v>2609</v>
      </c>
      <c r="I658" s="1975"/>
      <c r="J658" s="1975"/>
      <c r="K658" s="1975"/>
      <c r="L658" s="1975"/>
      <c r="M658" s="1975"/>
      <c r="N658" s="1975"/>
      <c r="O658" s="1975"/>
      <c r="P658" s="1975"/>
      <c r="Q658" s="1975"/>
      <c r="R658" s="1975"/>
      <c r="S658" s="14"/>
      <c r="T658" s="35"/>
      <c r="U658" s="12" t="s">
        <v>18</v>
      </c>
      <c r="AA658" s="1974" t="s">
        <v>2610</v>
      </c>
      <c r="AB658" s="1975"/>
      <c r="AC658" s="1975"/>
      <c r="AD658" s="1975"/>
      <c r="AE658" s="1975"/>
      <c r="AF658" s="1975"/>
      <c r="AG658" s="1975"/>
      <c r="AH658" s="1975"/>
      <c r="AI658" s="1975"/>
      <c r="AJ658" s="1975"/>
      <c r="AK658" s="1975"/>
      <c r="AZ658" s="61"/>
      <c r="BA658" s="61"/>
      <c r="BB658" s="61"/>
      <c r="BC658" s="61"/>
      <c r="BD658" s="61"/>
      <c r="BE658" s="61"/>
      <c r="BF658" s="61"/>
      <c r="BG658" s="61"/>
      <c r="BH658" s="61"/>
      <c r="BI658" s="61"/>
      <c r="BJ658" s="61"/>
      <c r="BK658" s="61"/>
      <c r="BL658" s="61"/>
      <c r="BM658" s="61"/>
      <c r="BN658" s="1963">
        <f>SUM(BN648:BR657)</f>
        <v>0</v>
      </c>
      <c r="BO658" s="1964"/>
      <c r="BP658" s="1964"/>
      <c r="BQ658" s="1964"/>
      <c r="BR658" s="1965"/>
      <c r="BS658" s="1956">
        <f>SUM(BS648:BW657)</f>
        <v>0</v>
      </c>
      <c r="BT658" s="1957"/>
      <c r="BU658" s="1957"/>
      <c r="BV658" s="1957"/>
      <c r="BW658" s="1958"/>
      <c r="BX658" s="1956">
        <f>SUM(BX648:CB657)</f>
        <v>0</v>
      </c>
      <c r="BY658" s="1957"/>
      <c r="BZ658" s="1957"/>
      <c r="CA658" s="1957"/>
      <c r="CB658" s="1958"/>
      <c r="CC658" s="1956">
        <f>SUM(CC648:CG657)</f>
        <v>0</v>
      </c>
      <c r="CD658" s="1957"/>
      <c r="CE658" s="1957"/>
      <c r="CF658" s="1957"/>
      <c r="CG658" s="1958"/>
      <c r="CH658" s="1956">
        <f>SUM(CH648:CL657)</f>
        <v>0</v>
      </c>
      <c r="CI658" s="1957"/>
      <c r="CJ658" s="1957"/>
      <c r="CK658" s="1957"/>
      <c r="CL658" s="1958"/>
      <c r="CM658" s="1956">
        <f>SUM(CM648:CQ657)</f>
        <v>0</v>
      </c>
      <c r="CN658" s="1957"/>
      <c r="CO658" s="1957"/>
      <c r="CP658" s="1957"/>
      <c r="CQ658" s="1958"/>
      <c r="CR658" s="1708"/>
      <c r="CS658" s="2533">
        <f>SUM(CS648:CW657)</f>
        <v>0</v>
      </c>
      <c r="CT658" s="2533"/>
      <c r="CU658" s="2533"/>
      <c r="CV658" s="2533"/>
      <c r="CW658" s="2533"/>
      <c r="CX658" s="2533">
        <f>SUM(CX648:DB657)</f>
        <v>0</v>
      </c>
      <c r="CY658" s="2533"/>
      <c r="CZ658" s="2533"/>
      <c r="DA658" s="2533"/>
      <c r="DB658" s="2533"/>
      <c r="DC658" s="2533">
        <f>SUM(DC648:DG657)</f>
        <v>0</v>
      </c>
      <c r="DD658" s="2533"/>
      <c r="DE658" s="2533"/>
      <c r="DF658" s="2533"/>
      <c r="DG658" s="2533"/>
      <c r="DH658" s="2533">
        <f>SUM(DH648:DL657)</f>
        <v>0</v>
      </c>
      <c r="DI658" s="2533"/>
      <c r="DJ658" s="2533"/>
      <c r="DK658" s="2533"/>
      <c r="DL658" s="2533"/>
      <c r="DM658" s="2533">
        <f>SUM(DM648:DQ657)</f>
        <v>0</v>
      </c>
      <c r="DN658" s="2533"/>
      <c r="DO658" s="2533"/>
      <c r="DP658" s="2533"/>
      <c r="DQ658" s="2533"/>
      <c r="DR658" s="2533">
        <f>SUM(DR648:DV657)</f>
        <v>0</v>
      </c>
      <c r="DS658" s="2533"/>
      <c r="DT658" s="2533"/>
      <c r="DU658" s="2533"/>
      <c r="DV658" s="2533"/>
      <c r="DX658" s="2523" t="e">
        <f t="shared" si="22"/>
        <v>#VALUE!</v>
      </c>
      <c r="DY658" s="2523"/>
      <c r="DZ658" s="2523"/>
      <c r="EA658" s="2523"/>
      <c r="EB658" s="2523"/>
      <c r="EC658" s="2523" t="e">
        <f t="shared" si="23"/>
        <v>#VALUE!</v>
      </c>
      <c r="ED658" s="2523"/>
      <c r="EE658" s="2523"/>
      <c r="EF658" s="2523"/>
      <c r="EG658" s="2523"/>
      <c r="EH658" s="2523" t="e">
        <f t="shared" si="24"/>
        <v>#VALUE!</v>
      </c>
      <c r="EI658" s="2523"/>
      <c r="EJ658" s="2523"/>
      <c r="EK658" s="2523"/>
      <c r="EL658" s="2523"/>
      <c r="EM658" s="2523" t="e">
        <f t="shared" si="25"/>
        <v>#VALUE!</v>
      </c>
      <c r="EN658" s="2523"/>
      <c r="EO658" s="2523"/>
      <c r="EP658" s="2523"/>
      <c r="EQ658" s="2523"/>
      <c r="ER658" s="2523" t="e">
        <f t="shared" si="26"/>
        <v>#VALUE!</v>
      </c>
      <c r="ES658" s="2523"/>
      <c r="ET658" s="2523"/>
      <c r="EU658" s="2523"/>
      <c r="EV658" s="2523"/>
      <c r="EW658" s="2523" t="e">
        <f t="shared" si="27"/>
        <v>#VALUE!</v>
      </c>
      <c r="EX658" s="2523"/>
      <c r="EY658" s="2523"/>
      <c r="EZ658" s="2523"/>
      <c r="FA658" s="2523"/>
    </row>
    <row r="659" spans="1:157" ht="12.75">
      <c r="A659" s="35"/>
      <c r="B659" s="12" t="s">
        <v>20</v>
      </c>
      <c r="N659" s="1999" t="s">
        <v>577</v>
      </c>
      <c r="O659" s="1999"/>
      <c r="T659" s="35"/>
      <c r="U659" s="12" t="s">
        <v>20</v>
      </c>
      <c r="AG659" s="1999" t="s">
        <v>577</v>
      </c>
      <c r="AH659" s="1999"/>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3" t="e">
        <f t="shared" si="22"/>
        <v>#VALUE!</v>
      </c>
      <c r="DY659" s="2523"/>
      <c r="DZ659" s="2523"/>
      <c r="EA659" s="2523"/>
      <c r="EB659" s="2523"/>
      <c r="EC659" s="2523" t="e">
        <f t="shared" si="23"/>
        <v>#VALUE!</v>
      </c>
      <c r="ED659" s="2523"/>
      <c r="EE659" s="2523"/>
      <c r="EF659" s="2523"/>
      <c r="EG659" s="2523"/>
      <c r="EH659" s="2523" t="e">
        <f t="shared" si="24"/>
        <v>#VALUE!</v>
      </c>
      <c r="EI659" s="2523"/>
      <c r="EJ659" s="2523"/>
      <c r="EK659" s="2523"/>
      <c r="EL659" s="2523"/>
      <c r="EM659" s="2523" t="e">
        <f t="shared" si="25"/>
        <v>#VALUE!</v>
      </c>
      <c r="EN659" s="2523"/>
      <c r="EO659" s="2523"/>
      <c r="EP659" s="2523"/>
      <c r="EQ659" s="2523"/>
      <c r="ER659" s="2523" t="e">
        <f t="shared" si="26"/>
        <v>#VALUE!</v>
      </c>
      <c r="ES659" s="2523"/>
      <c r="ET659" s="2523"/>
      <c r="EU659" s="2523"/>
      <c r="EV659" s="2523"/>
      <c r="EW659" s="2523" t="e">
        <f t="shared" si="27"/>
        <v>#VALUE!</v>
      </c>
      <c r="EX659" s="2523"/>
      <c r="EY659" s="2523"/>
      <c r="EZ659" s="2523"/>
      <c r="FA659" s="2523"/>
    </row>
    <row r="660" spans="1:157" ht="12.75">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2316</v>
      </c>
      <c r="CU660" s="58"/>
      <c r="CV660" s="58"/>
      <c r="CW660" s="58"/>
      <c r="CX660" s="58"/>
      <c r="CY660" s="58"/>
      <c r="CZ660" s="58"/>
      <c r="DA660" s="58"/>
      <c r="DB660" s="58"/>
      <c r="DC660" s="58"/>
      <c r="DD660" s="58"/>
      <c r="DE660" s="58"/>
      <c r="DF660" s="58"/>
      <c r="DQ660" s="136" t="s">
        <v>2328</v>
      </c>
      <c r="DR660" s="2523">
        <f>SUM(CS658:DV658)</f>
        <v>0</v>
      </c>
      <c r="DS660" s="2523"/>
      <c r="DT660" s="2523"/>
      <c r="DU660" s="2523"/>
      <c r="DV660" s="2523"/>
      <c r="DX660" s="2523" t="e">
        <f t="shared" si="22"/>
        <v>#VALUE!</v>
      </c>
      <c r="DY660" s="2523"/>
      <c r="DZ660" s="2523"/>
      <c r="EA660" s="2523"/>
      <c r="EB660" s="2523"/>
      <c r="EC660" s="2523" t="e">
        <f t="shared" si="23"/>
        <v>#VALUE!</v>
      </c>
      <c r="ED660" s="2523"/>
      <c r="EE660" s="2523"/>
      <c r="EF660" s="2523"/>
      <c r="EG660" s="2523"/>
      <c r="EH660" s="2523" t="e">
        <f t="shared" si="24"/>
        <v>#VALUE!</v>
      </c>
      <c r="EI660" s="2523"/>
      <c r="EJ660" s="2523"/>
      <c r="EK660" s="2523"/>
      <c r="EL660" s="2523"/>
      <c r="EM660" s="2523" t="e">
        <f t="shared" si="25"/>
        <v>#VALUE!</v>
      </c>
      <c r="EN660" s="2523"/>
      <c r="EO660" s="2523"/>
      <c r="EP660" s="2523"/>
      <c r="EQ660" s="2523"/>
      <c r="ER660" s="2523" t="e">
        <f t="shared" si="26"/>
        <v>#VALUE!</v>
      </c>
      <c r="ES660" s="2523"/>
      <c r="ET660" s="2523"/>
      <c r="EU660" s="2523"/>
      <c r="EV660" s="2523"/>
      <c r="EW660" s="2523" t="e">
        <f t="shared" si="27"/>
        <v>#VALUE!</v>
      </c>
      <c r="EX660" s="2523"/>
      <c r="EY660" s="2523"/>
      <c r="EZ660" s="2523"/>
      <c r="FA660" s="2523"/>
    </row>
    <row r="661" spans="1:157" ht="12.75">
      <c r="A661" s="87" t="s">
        <v>124</v>
      </c>
      <c r="B661" s="12" t="s">
        <v>495</v>
      </c>
      <c r="G661" s="2000" t="str">
        <f>C639</f>
        <v>Deferred Developer Fee Note</v>
      </c>
      <c r="H661" s="2000"/>
      <c r="I661" s="2000"/>
      <c r="J661" s="2000"/>
      <c r="K661" s="2000"/>
      <c r="L661" s="2000"/>
      <c r="M661" s="2000"/>
      <c r="N661" s="2000"/>
      <c r="O661" s="2000"/>
      <c r="P661" s="2000"/>
      <c r="Q661" s="2000"/>
      <c r="R661" s="2000"/>
      <c r="T661" s="87" t="s">
        <v>615</v>
      </c>
      <c r="U661" s="12" t="s">
        <v>495</v>
      </c>
      <c r="Z661" s="2000" t="str">
        <f>C640</f>
        <v>Net Cash Flow During Lease-Up</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20">
        <f>BR659+BW659+CB659+CG659+CL659+CQ659</f>
        <v>0</v>
      </c>
      <c r="CT661" s="134" t="s">
        <v>1934</v>
      </c>
      <c r="CU661" s="58"/>
      <c r="CV661" s="58"/>
      <c r="CW661" s="58"/>
      <c r="CX661" s="58"/>
      <c r="CY661" s="58"/>
      <c r="CZ661" s="58"/>
      <c r="DA661" s="58"/>
      <c r="DB661" s="58"/>
      <c r="DC661" s="58"/>
      <c r="DD661" s="58"/>
      <c r="DE661" s="58"/>
      <c r="DF661" s="58"/>
      <c r="DX661" s="2523" t="e">
        <f t="shared" si="22"/>
        <v>#VALUE!</v>
      </c>
      <c r="DY661" s="2523"/>
      <c r="DZ661" s="2523"/>
      <c r="EA661" s="2523"/>
      <c r="EB661" s="2523"/>
      <c r="EC661" s="2523" t="e">
        <f t="shared" si="23"/>
        <v>#VALUE!</v>
      </c>
      <c r="ED661" s="2523"/>
      <c r="EE661" s="2523"/>
      <c r="EF661" s="2523"/>
      <c r="EG661" s="2523"/>
      <c r="EH661" s="2523" t="e">
        <f t="shared" si="24"/>
        <v>#VALUE!</v>
      </c>
      <c r="EI661" s="2523"/>
      <c r="EJ661" s="2523"/>
      <c r="EK661" s="2523"/>
      <c r="EL661" s="2523"/>
      <c r="EM661" s="2523" t="e">
        <f t="shared" si="25"/>
        <v>#VALUE!</v>
      </c>
      <c r="EN661" s="2523"/>
      <c r="EO661" s="2523"/>
      <c r="EP661" s="2523"/>
      <c r="EQ661" s="2523"/>
      <c r="ER661" s="2523" t="e">
        <f t="shared" si="26"/>
        <v>#VALUE!</v>
      </c>
      <c r="ES661" s="2523"/>
      <c r="ET661" s="2523"/>
      <c r="EU661" s="2523"/>
      <c r="EV661" s="2523"/>
      <c r="EW661" s="2523" t="e">
        <f t="shared" si="27"/>
        <v>#VALUE!</v>
      </c>
      <c r="EX661" s="2523"/>
      <c r="EY661" s="2523"/>
      <c r="EZ661" s="2523"/>
      <c r="FA661" s="2523"/>
    </row>
    <row r="662" spans="1:157" ht="12.75">
      <c r="A662" s="35"/>
      <c r="B662" s="12" t="s">
        <v>90</v>
      </c>
      <c r="G662" s="1974" t="s">
        <v>2508</v>
      </c>
      <c r="H662" s="1975"/>
      <c r="I662" s="1975"/>
      <c r="J662" s="1975"/>
      <c r="K662" s="1975"/>
      <c r="L662" s="1975"/>
      <c r="M662" s="1975"/>
      <c r="N662" s="1975"/>
      <c r="O662" s="1975"/>
      <c r="P662" s="1975"/>
      <c r="Q662" s="1975"/>
      <c r="R662" s="1975"/>
      <c r="T662" s="35"/>
      <c r="U662" s="12" t="s">
        <v>90</v>
      </c>
      <c r="Z662" s="1974" t="s">
        <v>2508</v>
      </c>
      <c r="AA662" s="1975"/>
      <c r="AB662" s="1975"/>
      <c r="AC662" s="1975"/>
      <c r="AD662" s="1975"/>
      <c r="AE662" s="1975"/>
      <c r="AF662" s="1975"/>
      <c r="AG662" s="1975"/>
      <c r="AH662" s="1975"/>
      <c r="AI662" s="1975"/>
      <c r="AJ662" s="1975"/>
      <c r="AK662" s="19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3" t="e">
        <f t="shared" si="22"/>
        <v>#VALUE!</v>
      </c>
      <c r="DY662" s="2523"/>
      <c r="DZ662" s="2523"/>
      <c r="EA662" s="2523"/>
      <c r="EB662" s="2523"/>
      <c r="EC662" s="2523" t="e">
        <f t="shared" si="23"/>
        <v>#VALUE!</v>
      </c>
      <c r="ED662" s="2523"/>
      <c r="EE662" s="2523"/>
      <c r="EF662" s="2523"/>
      <c r="EG662" s="2523"/>
      <c r="EH662" s="2523" t="e">
        <f t="shared" si="24"/>
        <v>#VALUE!</v>
      </c>
      <c r="EI662" s="2523"/>
      <c r="EJ662" s="2523"/>
      <c r="EK662" s="2523"/>
      <c r="EL662" s="2523"/>
      <c r="EM662" s="2523" t="e">
        <f t="shared" si="25"/>
        <v>#VALUE!</v>
      </c>
      <c r="EN662" s="2523"/>
      <c r="EO662" s="2523"/>
      <c r="EP662" s="2523"/>
      <c r="EQ662" s="2523"/>
      <c r="ER662" s="2523" t="e">
        <f t="shared" si="26"/>
        <v>#VALUE!</v>
      </c>
      <c r="ES662" s="2523"/>
      <c r="ET662" s="2523"/>
      <c r="EU662" s="2523"/>
      <c r="EV662" s="2523"/>
      <c r="EW662" s="2523" t="e">
        <f t="shared" si="27"/>
        <v>#VALUE!</v>
      </c>
      <c r="EX662" s="2523"/>
      <c r="EY662" s="2523"/>
      <c r="EZ662" s="2523"/>
      <c r="FA662" s="2523"/>
    </row>
    <row r="663" spans="1:157" ht="12.75">
      <c r="A663" s="35"/>
      <c r="B663" s="12" t="s">
        <v>614</v>
      </c>
      <c r="G663" s="2001" t="s">
        <v>2524</v>
      </c>
      <c r="H663" s="2002"/>
      <c r="I663" s="2002"/>
      <c r="J663" s="2002"/>
      <c r="K663" s="2002"/>
      <c r="L663" s="2002"/>
      <c r="M663" s="2002"/>
      <c r="N663" s="2002"/>
      <c r="O663" s="2002"/>
      <c r="P663" s="2002"/>
      <c r="Q663" s="2002"/>
      <c r="R663" s="2002"/>
      <c r="T663" s="35"/>
      <c r="U663" s="12" t="s">
        <v>614</v>
      </c>
      <c r="Z663" s="2001" t="s">
        <v>2524</v>
      </c>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56">
        <f>BN635+BN644+BN658</f>
        <v>0</v>
      </c>
      <c r="BO663" s="1957"/>
      <c r="BP663" s="1957"/>
      <c r="BQ663" s="1957"/>
      <c r="BR663" s="1958"/>
      <c r="BS663" s="1956">
        <f>BS635+BS644+BS658</f>
        <v>96</v>
      </c>
      <c r="BT663" s="1957"/>
      <c r="BU663" s="1957"/>
      <c r="BV663" s="1957"/>
      <c r="BW663" s="1958"/>
      <c r="BX663" s="1956">
        <f>BX635+BX644+BX658</f>
        <v>48</v>
      </c>
      <c r="BY663" s="1957"/>
      <c r="BZ663" s="1957"/>
      <c r="CA663" s="1957"/>
      <c r="CB663" s="1958"/>
      <c r="CC663" s="1956">
        <f>CC635+CC644+CC658</f>
        <v>50</v>
      </c>
      <c r="CD663" s="1957"/>
      <c r="CE663" s="1957"/>
      <c r="CF663" s="1957"/>
      <c r="CG663" s="1958"/>
      <c r="CH663" s="1956">
        <f>CH635+CH644+CH658</f>
        <v>0</v>
      </c>
      <c r="CI663" s="1957"/>
      <c r="CJ663" s="1957"/>
      <c r="CK663" s="1957"/>
      <c r="CL663" s="1958"/>
      <c r="CM663" s="1980">
        <f>CM658+CM644+CM635</f>
        <v>0</v>
      </c>
      <c r="CN663" s="2137"/>
      <c r="CO663" s="2137"/>
      <c r="CP663" s="2137"/>
      <c r="CQ663" s="1981"/>
      <c r="CR663" s="177"/>
      <c r="CS663" s="1420">
        <f>CS637+CS661</f>
        <v>336</v>
      </c>
      <c r="CT663" s="134" t="s">
        <v>2321</v>
      </c>
      <c r="CU663" s="58"/>
      <c r="CV663" s="58"/>
      <c r="CW663" s="58"/>
      <c r="CX663" s="58"/>
      <c r="CY663" s="58"/>
      <c r="CZ663" s="58"/>
      <c r="DA663" s="58"/>
      <c r="DB663" s="58"/>
      <c r="DC663" s="58"/>
      <c r="DD663" s="58"/>
      <c r="DE663" s="58"/>
      <c r="DF663" s="58"/>
      <c r="DX663" s="2523">
        <f>SUMIF(DX638:EB662,"&gt;0")</f>
        <v>0</v>
      </c>
      <c r="DY663" s="2523"/>
      <c r="DZ663" s="2523"/>
      <c r="EA663" s="2523"/>
      <c r="EB663" s="2523"/>
      <c r="EC663" s="2523">
        <f>SUMIF(EC638:EG662,"&gt;0")</f>
        <v>912.9375</v>
      </c>
      <c r="ED663" s="2523"/>
      <c r="EE663" s="2523"/>
      <c r="EF663" s="2523"/>
      <c r="EG663" s="2523"/>
      <c r="EH663" s="2523">
        <f>SUMIF(EH638:EL662,"&gt;0")</f>
        <v>1226.75</v>
      </c>
      <c r="EI663" s="2523"/>
      <c r="EJ663" s="2523"/>
      <c r="EK663" s="2523"/>
      <c r="EL663" s="2523"/>
      <c r="EM663" s="2523">
        <f>SUMIF(EM638:EQ662,"&gt;0")</f>
        <v>1463.625</v>
      </c>
      <c r="EN663" s="2523"/>
      <c r="EO663" s="2523"/>
      <c r="EP663" s="2523"/>
      <c r="EQ663" s="2523"/>
      <c r="ER663" s="2523">
        <f>SUMIF(ER638:EV662,"&gt;0")</f>
        <v>0</v>
      </c>
      <c r="ES663" s="2523"/>
      <c r="ET663" s="2523"/>
      <c r="EU663" s="2523"/>
      <c r="EV663" s="2523"/>
      <c r="EW663" s="2523">
        <f>SUMIF(EW638:FA662,"&gt;0")</f>
        <v>0</v>
      </c>
      <c r="EX663" s="2523"/>
      <c r="EY663" s="2523"/>
      <c r="EZ663" s="2523"/>
      <c r="FA663" s="2523"/>
    </row>
    <row r="664" spans="1:157" ht="12.75">
      <c r="A664" s="35"/>
      <c r="B664" s="12" t="s">
        <v>17</v>
      </c>
      <c r="G664" s="2001" t="s">
        <v>2495</v>
      </c>
      <c r="H664" s="2002"/>
      <c r="I664" s="2002"/>
      <c r="J664" s="2002"/>
      <c r="K664" s="2002"/>
      <c r="L664" s="2002"/>
      <c r="M664" s="2002"/>
      <c r="N664" s="2002"/>
      <c r="O664" s="2002"/>
      <c r="P664" s="2002"/>
      <c r="Q664" s="2002"/>
      <c r="R664" s="2002"/>
      <c r="T664" s="35"/>
      <c r="U664" s="12" t="s">
        <v>17</v>
      </c>
      <c r="Z664" s="2001" t="s">
        <v>2495</v>
      </c>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1966" t="s">
        <v>2510</v>
      </c>
      <c r="H665" s="1967"/>
      <c r="I665" s="1967"/>
      <c r="J665" s="1967"/>
      <c r="K665" s="1967"/>
      <c r="L665" s="1967"/>
      <c r="O665" s="137" t="s">
        <v>211</v>
      </c>
      <c r="P665" s="1976"/>
      <c r="Q665" s="1976"/>
      <c r="R665" s="1976"/>
      <c r="T665" s="35"/>
      <c r="U665" s="12" t="s">
        <v>324</v>
      </c>
      <c r="Z665" s="1966" t="s">
        <v>2510</v>
      </c>
      <c r="AA665" s="1967"/>
      <c r="AB665" s="1967"/>
      <c r="AC665" s="1967"/>
      <c r="AD665" s="1967"/>
      <c r="AE665" s="1967"/>
      <c r="AH665" s="137" t="s">
        <v>211</v>
      </c>
      <c r="AI665" s="1976"/>
      <c r="AJ665" s="1976"/>
      <c r="AK665" s="197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74" t="s">
        <v>2610</v>
      </c>
      <c r="I666" s="1975"/>
      <c r="J666" s="1975"/>
      <c r="K666" s="1975"/>
      <c r="L666" s="1975"/>
      <c r="M666" s="1975"/>
      <c r="N666" s="1975"/>
      <c r="O666" s="1975"/>
      <c r="P666" s="1975"/>
      <c r="Q666" s="1975"/>
      <c r="R666" s="1975"/>
      <c r="T666" s="35"/>
      <c r="U666" s="12" t="s">
        <v>18</v>
      </c>
      <c r="AA666" s="1974" t="s">
        <v>2611</v>
      </c>
      <c r="AB666" s="1975"/>
      <c r="AC666" s="1975"/>
      <c r="AD666" s="1975"/>
      <c r="AE666" s="1975"/>
      <c r="AF666" s="1975"/>
      <c r="AG666" s="1975"/>
      <c r="AH666" s="1975"/>
      <c r="AI666" s="1975"/>
      <c r="AJ666" s="1975"/>
      <c r="AK666" s="1975"/>
      <c r="AZ666" s="58"/>
      <c r="BA666" s="58"/>
      <c r="BB666" s="58"/>
      <c r="BC666" s="58"/>
      <c r="BD666" s="58"/>
      <c r="BE666" s="58"/>
      <c r="BF666" s="58"/>
      <c r="BG666" s="58"/>
      <c r="BH666" s="58"/>
      <c r="BI666" s="58"/>
      <c r="BJ666" s="58"/>
      <c r="BK666" s="58"/>
      <c r="BL666" s="58"/>
      <c r="BM666" s="58"/>
      <c r="BN666" s="58"/>
      <c r="BO666" s="58"/>
      <c r="BP666" s="306" t="s">
        <v>2418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9" t="s">
        <v>577</v>
      </c>
      <c r="O667" s="1999"/>
      <c r="T667" s="35"/>
      <c r="U667" s="12" t="s">
        <v>20</v>
      </c>
      <c r="AG667" s="1999" t="s">
        <v>577</v>
      </c>
      <c r="AH667" s="199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0" t="str">
        <f>C641</f>
        <v>Sponsor Loan</v>
      </c>
      <c r="H669" s="2000"/>
      <c r="I669" s="2000"/>
      <c r="J669" s="2000"/>
      <c r="K669" s="2000"/>
      <c r="L669" s="2000"/>
      <c r="M669" s="2000"/>
      <c r="N669" s="2000"/>
      <c r="O669" s="2000"/>
      <c r="P669" s="2000"/>
      <c r="Q669" s="2000"/>
      <c r="R669" s="2000"/>
      <c r="T669" s="87" t="s">
        <v>618</v>
      </c>
      <c r="U669" s="12" t="s">
        <v>495</v>
      </c>
      <c r="Z669" s="2000">
        <f>C642</f>
        <v>0</v>
      </c>
      <c r="AA669" s="2000"/>
      <c r="AB669" s="2000"/>
      <c r="AC669" s="2000"/>
      <c r="AD669" s="2000"/>
      <c r="AE669" s="2000"/>
      <c r="AF669" s="2000"/>
      <c r="AG669" s="2000"/>
      <c r="AH669" s="2000"/>
      <c r="AI669" s="2000"/>
      <c r="AJ669" s="2000"/>
      <c r="AK669" s="2000"/>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74" t="s">
        <v>2602</v>
      </c>
      <c r="H670" s="1975"/>
      <c r="I670" s="1975"/>
      <c r="J670" s="1975"/>
      <c r="K670" s="1975"/>
      <c r="L670" s="1975"/>
      <c r="M670" s="1975"/>
      <c r="N670" s="1975"/>
      <c r="O670" s="1975"/>
      <c r="P670" s="1975"/>
      <c r="Q670" s="1975"/>
      <c r="R670" s="1975"/>
      <c r="T670" s="35"/>
      <c r="U670" s="12" t="s">
        <v>90</v>
      </c>
      <c r="Z670" s="1975"/>
      <c r="AA670" s="1975"/>
      <c r="AB670" s="1975"/>
      <c r="AC670" s="1975"/>
      <c r="AD670" s="1975"/>
      <c r="AE670" s="1975"/>
      <c r="AF670" s="1975"/>
      <c r="AG670" s="1975"/>
      <c r="AH670" s="1975"/>
      <c r="AI670" s="1975"/>
      <c r="AJ670" s="1975"/>
      <c r="AK670" s="1975"/>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74" t="s">
        <v>2524</v>
      </c>
      <c r="H671" s="1975"/>
      <c r="I671" s="1975"/>
      <c r="J671" s="1975"/>
      <c r="K671" s="1975"/>
      <c r="L671" s="1975"/>
      <c r="M671" s="1975"/>
      <c r="N671" s="1975"/>
      <c r="O671" s="1975"/>
      <c r="P671" s="1975"/>
      <c r="Q671" s="1975"/>
      <c r="R671" s="1975"/>
      <c r="T671" s="35"/>
      <c r="U671" s="12" t="s">
        <v>614</v>
      </c>
      <c r="Z671" s="2002"/>
      <c r="AA671" s="2002"/>
      <c r="AB671" s="2002"/>
      <c r="AC671" s="2002"/>
      <c r="AD671" s="2002"/>
      <c r="AE671" s="2002"/>
      <c r="AF671" s="2002"/>
      <c r="AG671" s="2002"/>
      <c r="AH671" s="2002"/>
      <c r="AI671" s="2002"/>
      <c r="AJ671" s="2002"/>
      <c r="AK671" s="2002"/>
      <c r="AZ671" s="58"/>
      <c r="BA671" s="446">
        <f t="shared" si="40"/>
        <v>1700</v>
      </c>
      <c r="BB671" s="58"/>
      <c r="BC671" s="58"/>
      <c r="BD671" s="58"/>
      <c r="BE671" s="58"/>
      <c r="BF671" s="382"/>
      <c r="BG671" s="456">
        <f t="shared" ref="BG671:BG695" si="41">G728</f>
        <v>10</v>
      </c>
      <c r="BH671" s="460">
        <f>BG671/$BG$696</f>
        <v>5.2083333333333336E-2</v>
      </c>
      <c r="BI671" s="461">
        <f t="shared" ref="BI671:BI695" si="42">IF(BH671=0," ",BH671*AH728)</f>
        <v>1.5625E-2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74" t="s">
        <v>2495</v>
      </c>
      <c r="H672" s="1975"/>
      <c r="I672" s="1975"/>
      <c r="J672" s="1975"/>
      <c r="K672" s="1975"/>
      <c r="L672" s="1975"/>
      <c r="M672" s="1975"/>
      <c r="N672" s="1975"/>
      <c r="O672" s="1975"/>
      <c r="P672" s="1975"/>
      <c r="Q672" s="1975"/>
      <c r="R672" s="1975"/>
      <c r="T672" s="35"/>
      <c r="U672" s="12" t="s">
        <v>17</v>
      </c>
      <c r="Z672" s="2002"/>
      <c r="AA672" s="2002"/>
      <c r="AB672" s="2002"/>
      <c r="AC672" s="2002"/>
      <c r="AD672" s="2002"/>
      <c r="AE672" s="2002"/>
      <c r="AF672" s="2002"/>
      <c r="AG672" s="2002"/>
      <c r="AH672" s="2002"/>
      <c r="AI672" s="2002"/>
      <c r="AJ672" s="2002"/>
      <c r="AK672" s="2002"/>
      <c r="AZ672" s="58"/>
      <c r="BA672" s="446">
        <f t="shared" si="40"/>
        <v>1700</v>
      </c>
      <c r="BB672" s="58"/>
      <c r="BC672" s="58"/>
      <c r="BD672" s="58"/>
      <c r="BE672" s="58"/>
      <c r="BF672" s="382"/>
      <c r="BG672" s="457">
        <f t="shared" si="41"/>
        <v>30</v>
      </c>
      <c r="BH672" s="460">
        <f t="shared" ref="BH672:BH695" si="43">BG672/$BG$696</f>
        <v>0.15625</v>
      </c>
      <c r="BI672" s="461">
        <f t="shared" si="42"/>
        <v>7.8125E-2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1966" t="s">
        <v>2510</v>
      </c>
      <c r="H673" s="1967"/>
      <c r="I673" s="1967"/>
      <c r="J673" s="1967"/>
      <c r="K673" s="1967"/>
      <c r="L673" s="1967"/>
      <c r="O673" s="137" t="s">
        <v>211</v>
      </c>
      <c r="P673" s="1976"/>
      <c r="Q673" s="1976"/>
      <c r="R673" s="1976"/>
      <c r="T673" s="35"/>
      <c r="U673" s="12" t="s">
        <v>324</v>
      </c>
      <c r="Z673" s="1967"/>
      <c r="AA673" s="1967"/>
      <c r="AB673" s="1967"/>
      <c r="AC673" s="1967"/>
      <c r="AD673" s="1967"/>
      <c r="AE673" s="1967"/>
      <c r="AH673" s="137" t="s">
        <v>211</v>
      </c>
      <c r="AI673" s="1976"/>
      <c r="AJ673" s="1976"/>
      <c r="AK673" s="1976"/>
      <c r="AZ673" s="58"/>
      <c r="BA673" s="446">
        <f t="shared" si="40"/>
        <v>1700</v>
      </c>
      <c r="BB673" s="58"/>
      <c r="BC673" s="58"/>
      <c r="BD673" s="58"/>
      <c r="BE673" s="58"/>
      <c r="BF673" s="382"/>
      <c r="BG673" s="457">
        <f t="shared" si="41"/>
        <v>35</v>
      </c>
      <c r="BH673" s="460">
        <f t="shared" si="43"/>
        <v>0.18229166666666666</v>
      </c>
      <c r="BI673" s="461">
        <f t="shared" si="42"/>
        <v>0.10937499999999999</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74" t="s">
        <v>2610</v>
      </c>
      <c r="I674" s="1975"/>
      <c r="J674" s="1975"/>
      <c r="K674" s="1975"/>
      <c r="L674" s="1975"/>
      <c r="M674" s="1975"/>
      <c r="N674" s="1975"/>
      <c r="O674" s="1975"/>
      <c r="P674" s="1975"/>
      <c r="Q674" s="1975"/>
      <c r="R674" s="1975"/>
      <c r="T674" s="35"/>
      <c r="U674" s="12" t="s">
        <v>18</v>
      </c>
      <c r="AA674" s="1975"/>
      <c r="AB674" s="1975"/>
      <c r="AC674" s="1975"/>
      <c r="AD674" s="1975"/>
      <c r="AE674" s="1975"/>
      <c r="AF674" s="1975"/>
      <c r="AG674" s="1975"/>
      <c r="AH674" s="1975"/>
      <c r="AI674" s="1975"/>
      <c r="AJ674" s="1975"/>
      <c r="AK674" s="1975"/>
      <c r="AZ674" s="58"/>
      <c r="BA674" s="446">
        <f t="shared" si="40"/>
        <v>2040</v>
      </c>
      <c r="BB674" s="58"/>
      <c r="BC674" s="58"/>
      <c r="BD674" s="58"/>
      <c r="BE674" s="58"/>
      <c r="BF674" s="382"/>
      <c r="BG674" s="457">
        <f t="shared" si="41"/>
        <v>21</v>
      </c>
      <c r="BH674" s="460">
        <f t="shared" si="43"/>
        <v>0.109375</v>
      </c>
      <c r="BI674" s="461">
        <f t="shared" si="42"/>
        <v>7.6562499999999992E-2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9" t="s">
        <v>577</v>
      </c>
      <c r="O675" s="1999"/>
      <c r="T675" s="35"/>
      <c r="U675" s="12" t="s">
        <v>20</v>
      </c>
      <c r="AG675" s="1999" t="s">
        <v>705</v>
      </c>
      <c r="AH675" s="1999"/>
      <c r="AZ675" s="58"/>
      <c r="BA675" s="446">
        <f t="shared" si="40"/>
        <v>2040</v>
      </c>
      <c r="BB675" s="58"/>
      <c r="BC675" s="58"/>
      <c r="BD675" s="58"/>
      <c r="BE675" s="58"/>
      <c r="BF675" s="382"/>
      <c r="BG675" s="457">
        <f t="shared" si="41"/>
        <v>5</v>
      </c>
      <c r="BH675" s="460">
        <f t="shared" si="43"/>
        <v>2.6041666666666668E-2</v>
      </c>
      <c r="BI675" s="461">
        <f t="shared" si="42"/>
        <v>7.8125E-3</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5</v>
      </c>
      <c r="BH676" s="460">
        <f t="shared" si="43"/>
        <v>2.6041666666666668E-2</v>
      </c>
      <c r="BI676" s="461">
        <f t="shared" si="42"/>
        <v>1.3020833333333334E-2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0">
        <f>C643</f>
        <v>0</v>
      </c>
      <c r="H677" s="2000"/>
      <c r="I677" s="2000"/>
      <c r="J677" s="2000"/>
      <c r="K677" s="2000"/>
      <c r="L677" s="2000"/>
      <c r="M677" s="2000"/>
      <c r="N677" s="2000"/>
      <c r="O677" s="2000"/>
      <c r="P677" s="2000"/>
      <c r="Q677" s="2000"/>
      <c r="R677" s="2000"/>
      <c r="T677" s="87" t="s">
        <v>487</v>
      </c>
      <c r="U677" s="12" t="s">
        <v>495</v>
      </c>
      <c r="Z677" s="2000">
        <f>C644</f>
        <v>0</v>
      </c>
      <c r="AA677" s="2000"/>
      <c r="AB677" s="2000"/>
      <c r="AC677" s="2000"/>
      <c r="AD677" s="2000"/>
      <c r="AE677" s="2000"/>
      <c r="AF677" s="2000"/>
      <c r="AG677" s="2000"/>
      <c r="AH677" s="2000"/>
      <c r="AI677" s="2000"/>
      <c r="AJ677" s="2000"/>
      <c r="AK677" s="2000"/>
      <c r="AZ677" s="58"/>
      <c r="BA677" s="446">
        <f t="shared" si="40"/>
        <v>2040</v>
      </c>
      <c r="BB677" s="58"/>
      <c r="BC677" s="58"/>
      <c r="BD677" s="58"/>
      <c r="BE677" s="58"/>
      <c r="BF677" s="382"/>
      <c r="BG677" s="457">
        <f t="shared" si="41"/>
        <v>7</v>
      </c>
      <c r="BH677" s="460">
        <f t="shared" si="43"/>
        <v>3.6458333333333336E-2</v>
      </c>
      <c r="BI677" s="461">
        <f t="shared" si="42"/>
        <v>2.1875000000000002E-2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75"/>
      <c r="H678" s="1975"/>
      <c r="I678" s="1975"/>
      <c r="J678" s="1975"/>
      <c r="K678" s="1975"/>
      <c r="L678" s="1975"/>
      <c r="M678" s="1975"/>
      <c r="N678" s="1975"/>
      <c r="O678" s="1975"/>
      <c r="P678" s="1975"/>
      <c r="Q678" s="1975"/>
      <c r="R678" s="1975"/>
      <c r="T678" s="35"/>
      <c r="U678" s="12" t="s">
        <v>90</v>
      </c>
      <c r="Z678" s="1975"/>
      <c r="AA678" s="1975"/>
      <c r="AB678" s="1975"/>
      <c r="AC678" s="1975"/>
      <c r="AD678" s="1975"/>
      <c r="AE678" s="1975"/>
      <c r="AF678" s="1975"/>
      <c r="AG678" s="1975"/>
      <c r="AH678" s="1975"/>
      <c r="AI678" s="1975"/>
      <c r="AJ678" s="1975"/>
      <c r="AK678" s="1975"/>
      <c r="AZ678" s="58"/>
      <c r="BA678" s="446">
        <f t="shared" si="40"/>
        <v>2356</v>
      </c>
      <c r="BB678" s="58"/>
      <c r="BC678" s="58"/>
      <c r="BD678" s="58"/>
      <c r="BE678" s="58"/>
      <c r="BF678" s="382"/>
      <c r="BG678" s="457">
        <f t="shared" si="41"/>
        <v>31</v>
      </c>
      <c r="BH678" s="460">
        <f t="shared" si="43"/>
        <v>0.16145833333333334</v>
      </c>
      <c r="BI678" s="461">
        <f t="shared" si="42"/>
        <v>0.11302083333333333</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1975"/>
      <c r="H679" s="1975"/>
      <c r="I679" s="1975"/>
      <c r="J679" s="1975"/>
      <c r="K679" s="1975"/>
      <c r="L679" s="1975"/>
      <c r="M679" s="1975"/>
      <c r="N679" s="1975"/>
      <c r="O679" s="1975"/>
      <c r="P679" s="1975"/>
      <c r="Q679" s="1975"/>
      <c r="R679" s="1975"/>
      <c r="T679" s="35"/>
      <c r="U679" s="12" t="s">
        <v>614</v>
      </c>
      <c r="Z679" s="2002"/>
      <c r="AA679" s="2002"/>
      <c r="AB679" s="2002"/>
      <c r="AC679" s="2002"/>
      <c r="AD679" s="2002"/>
      <c r="AE679" s="2002"/>
      <c r="AF679" s="2002"/>
      <c r="AG679" s="2002"/>
      <c r="AH679" s="2002"/>
      <c r="AI679" s="2002"/>
      <c r="AJ679" s="2002"/>
      <c r="AK679" s="2002"/>
      <c r="AZ679" s="58"/>
      <c r="BA679" s="446">
        <f t="shared" si="40"/>
        <v>2356</v>
      </c>
      <c r="BB679" s="58"/>
      <c r="BC679" s="58"/>
      <c r="BD679" s="58"/>
      <c r="BE679" s="58"/>
      <c r="BF679" s="382"/>
      <c r="BG679" s="457">
        <f t="shared" si="41"/>
        <v>5</v>
      </c>
      <c r="BH679" s="460">
        <f t="shared" si="43"/>
        <v>2.6041666666666668E-2</v>
      </c>
      <c r="BI679" s="461">
        <f t="shared" si="42"/>
        <v>7.8125E-3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75"/>
      <c r="H680" s="1975"/>
      <c r="I680" s="1975"/>
      <c r="J680" s="1975"/>
      <c r="K680" s="1975"/>
      <c r="L680" s="1975"/>
      <c r="M680" s="1975"/>
      <c r="N680" s="1975"/>
      <c r="O680" s="1975"/>
      <c r="P680" s="1975"/>
      <c r="Q680" s="1975"/>
      <c r="R680" s="1975"/>
      <c r="T680" s="35"/>
      <c r="U680" s="12" t="s">
        <v>17</v>
      </c>
      <c r="Z680" s="2002"/>
      <c r="AA680" s="2002"/>
      <c r="AB680" s="2002"/>
      <c r="AC680" s="2002"/>
      <c r="AD680" s="2002"/>
      <c r="AE680" s="2002"/>
      <c r="AF680" s="2002"/>
      <c r="AG680" s="2002"/>
      <c r="AH680" s="2002"/>
      <c r="AI680" s="2002"/>
      <c r="AJ680" s="2002"/>
      <c r="AK680" s="2002"/>
      <c r="AZ680" s="58"/>
      <c r="BA680" s="446">
        <f t="shared" si="40"/>
        <v>2356</v>
      </c>
      <c r="BB680" s="58"/>
      <c r="BC680" s="58"/>
      <c r="BD680" s="58"/>
      <c r="BE680" s="58"/>
      <c r="BF680" s="382"/>
      <c r="BG680" s="457">
        <f t="shared" si="41"/>
        <v>4</v>
      </c>
      <c r="BH680" s="460">
        <f t="shared" si="43"/>
        <v>2.0833333333333332E-2</v>
      </c>
      <c r="BI680" s="461">
        <f t="shared" si="42"/>
        <v>1.0416666666666666E-2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1967"/>
      <c r="H681" s="1967"/>
      <c r="I681" s="1967"/>
      <c r="J681" s="1967"/>
      <c r="K681" s="1967"/>
      <c r="L681" s="1967"/>
      <c r="O681" s="137" t="s">
        <v>211</v>
      </c>
      <c r="P681" s="1976"/>
      <c r="Q681" s="1976"/>
      <c r="R681" s="1976"/>
      <c r="T681" s="35"/>
      <c r="U681" s="12" t="s">
        <v>324</v>
      </c>
      <c r="Z681" s="1967"/>
      <c r="AA681" s="1967"/>
      <c r="AB681" s="1967"/>
      <c r="AC681" s="1967"/>
      <c r="AD681" s="1967"/>
      <c r="AE681" s="1967"/>
      <c r="AH681" s="137" t="s">
        <v>211</v>
      </c>
      <c r="AI681" s="1976"/>
      <c r="AJ681" s="1976"/>
      <c r="AK681" s="1976"/>
      <c r="AZ681" s="58"/>
      <c r="BA681" s="446" t="str">
        <f t="shared" si="40"/>
        <v>N/A</v>
      </c>
      <c r="BB681" s="58"/>
      <c r="BC681" s="58"/>
      <c r="BD681" s="58"/>
      <c r="BE681" s="58"/>
      <c r="BF681" s="382"/>
      <c r="BG681" s="457">
        <f t="shared" si="41"/>
        <v>39</v>
      </c>
      <c r="BH681" s="460">
        <f t="shared" si="43"/>
        <v>0.203125</v>
      </c>
      <c r="BI681" s="461">
        <f t="shared" si="42"/>
        <v>0.14218749999999999</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75"/>
      <c r="I682" s="1975"/>
      <c r="J682" s="1975"/>
      <c r="K682" s="1975"/>
      <c r="L682" s="1975"/>
      <c r="M682" s="1975"/>
      <c r="N682" s="1975"/>
      <c r="O682" s="1975"/>
      <c r="P682" s="1975"/>
      <c r="Q682" s="1975"/>
      <c r="R682" s="1975"/>
      <c r="T682" s="35"/>
      <c r="U682" s="12" t="s">
        <v>18</v>
      </c>
      <c r="AA682" s="1975"/>
      <c r="AB682" s="1975"/>
      <c r="AC682" s="1975"/>
      <c r="AD682" s="1975"/>
      <c r="AE682" s="1975"/>
      <c r="AF682" s="1975"/>
      <c r="AG682" s="1975"/>
      <c r="AH682" s="1975"/>
      <c r="AI682" s="1975"/>
      <c r="AJ682" s="1975"/>
      <c r="AK682" s="197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9" t="s">
        <v>705</v>
      </c>
      <c r="O683" s="1999"/>
      <c r="T683" s="35"/>
      <c r="U683" s="12" t="s">
        <v>20</v>
      </c>
      <c r="AG683" s="1999" t="s">
        <v>705</v>
      </c>
      <c r="AH683" s="199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0">
        <f>C645</f>
        <v>0</v>
      </c>
      <c r="H685" s="2000"/>
      <c r="I685" s="2000"/>
      <c r="J685" s="2000"/>
      <c r="K685" s="2000"/>
      <c r="L685" s="2000"/>
      <c r="M685" s="2000"/>
      <c r="N685" s="2000"/>
      <c r="O685" s="2000"/>
      <c r="P685" s="2000"/>
      <c r="Q685" s="2000"/>
      <c r="R685" s="2000"/>
      <c r="T685" s="87" t="s">
        <v>680</v>
      </c>
      <c r="U685" s="12" t="s">
        <v>495</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75"/>
      <c r="H686" s="1975"/>
      <c r="I686" s="1975"/>
      <c r="J686" s="1975"/>
      <c r="K686" s="1975"/>
      <c r="L686" s="1975"/>
      <c r="M686" s="1975"/>
      <c r="N686" s="1975"/>
      <c r="O686" s="1975"/>
      <c r="P686" s="1975"/>
      <c r="Q686" s="1975"/>
      <c r="R686" s="1975"/>
      <c r="T686" s="35"/>
      <c r="U686" s="12" t="s">
        <v>90</v>
      </c>
      <c r="Z686" s="1975"/>
      <c r="AA686" s="1975"/>
      <c r="AB686" s="1975"/>
      <c r="AC686" s="1975"/>
      <c r="AD686" s="1975"/>
      <c r="AE686" s="1975"/>
      <c r="AF686" s="1975"/>
      <c r="AG686" s="1975"/>
      <c r="AH686" s="1975"/>
      <c r="AI686" s="1975"/>
      <c r="AJ686" s="1975"/>
      <c r="AK686" s="197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75"/>
      <c r="H687" s="1975"/>
      <c r="I687" s="1975"/>
      <c r="J687" s="1975"/>
      <c r="K687" s="1975"/>
      <c r="L687" s="1975"/>
      <c r="M687" s="1975"/>
      <c r="N687" s="1975"/>
      <c r="O687" s="1975"/>
      <c r="P687" s="1975"/>
      <c r="Q687" s="1975"/>
      <c r="R687" s="1975"/>
      <c r="T687" s="35"/>
      <c r="U687" s="12" t="s">
        <v>614</v>
      </c>
      <c r="Z687" s="2002"/>
      <c r="AA687" s="2002"/>
      <c r="AB687" s="2002"/>
      <c r="AC687" s="2002"/>
      <c r="AD687" s="2002"/>
      <c r="AE687" s="2002"/>
      <c r="AF687" s="2002"/>
      <c r="AG687" s="2002"/>
      <c r="AH687" s="2002"/>
      <c r="AI687" s="2002"/>
      <c r="AJ687" s="2002"/>
      <c r="AK687" s="200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75"/>
      <c r="H688" s="1975"/>
      <c r="I688" s="1975"/>
      <c r="J688" s="1975"/>
      <c r="K688" s="1975"/>
      <c r="L688" s="1975"/>
      <c r="M688" s="1975"/>
      <c r="N688" s="1975"/>
      <c r="O688" s="1975"/>
      <c r="P688" s="1975"/>
      <c r="Q688" s="1975"/>
      <c r="R688" s="1975"/>
      <c r="T688" s="35"/>
      <c r="U688" s="12" t="s">
        <v>17</v>
      </c>
      <c r="Z688" s="2002"/>
      <c r="AA688" s="2002"/>
      <c r="AB688" s="2002"/>
      <c r="AC688" s="2002"/>
      <c r="AD688" s="2002"/>
      <c r="AE688" s="2002"/>
      <c r="AF688" s="2002"/>
      <c r="AG688" s="2002"/>
      <c r="AH688" s="2002"/>
      <c r="AI688" s="2002"/>
      <c r="AJ688" s="2002"/>
      <c r="AK688" s="200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1967"/>
      <c r="H689" s="1967"/>
      <c r="I689" s="1967"/>
      <c r="J689" s="1967"/>
      <c r="K689" s="1967"/>
      <c r="L689" s="1967"/>
      <c r="O689" s="137" t="s">
        <v>211</v>
      </c>
      <c r="P689" s="1976"/>
      <c r="Q689" s="1976"/>
      <c r="R689" s="1976"/>
      <c r="T689" s="35"/>
      <c r="U689" s="12" t="s">
        <v>324</v>
      </c>
      <c r="Z689" s="1967"/>
      <c r="AA689" s="1967"/>
      <c r="AB689" s="1967"/>
      <c r="AC689" s="1967"/>
      <c r="AD689" s="1967"/>
      <c r="AE689" s="1967"/>
      <c r="AH689" s="137" t="s">
        <v>211</v>
      </c>
      <c r="AI689" s="1976"/>
      <c r="AJ689" s="1976"/>
      <c r="AK689" s="197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75"/>
      <c r="I690" s="1975"/>
      <c r="J690" s="1975"/>
      <c r="K690" s="1975"/>
      <c r="L690" s="1975"/>
      <c r="M690" s="1975"/>
      <c r="N690" s="1975"/>
      <c r="O690" s="1975"/>
      <c r="P690" s="1975"/>
      <c r="Q690" s="1975"/>
      <c r="R690" s="1975"/>
      <c r="T690" s="35"/>
      <c r="U690" s="12" t="s">
        <v>18</v>
      </c>
      <c r="AA690" s="1975"/>
      <c r="AB690" s="1975"/>
      <c r="AC690" s="1975"/>
      <c r="AD690" s="1975"/>
      <c r="AE690" s="1975"/>
      <c r="AF690" s="1975"/>
      <c r="AG690" s="1975"/>
      <c r="AH690" s="1975"/>
      <c r="AI690" s="1975"/>
      <c r="AJ690" s="1975"/>
      <c r="AK690" s="197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9" t="s">
        <v>705</v>
      </c>
      <c r="O691" s="1999"/>
      <c r="T691" s="35"/>
      <c r="U691" s="12" t="s">
        <v>20</v>
      </c>
      <c r="AG691" s="1999" t="s">
        <v>705</v>
      </c>
      <c r="AH691" s="199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0">
        <f>C647</f>
        <v>0</v>
      </c>
      <c r="H693" s="2000"/>
      <c r="I693" s="2000"/>
      <c r="J693" s="2000"/>
      <c r="K693" s="2000"/>
      <c r="L693" s="2000"/>
      <c r="M693" s="2000"/>
      <c r="N693" s="2000"/>
      <c r="O693" s="2000"/>
      <c r="P693" s="2000"/>
      <c r="Q693" s="2000"/>
      <c r="R693" s="2000"/>
      <c r="T693" s="87" t="s">
        <v>372</v>
      </c>
      <c r="U693" s="12" t="s">
        <v>495</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75"/>
      <c r="H694" s="1975"/>
      <c r="I694" s="1975"/>
      <c r="J694" s="1975"/>
      <c r="K694" s="1975"/>
      <c r="L694" s="1975"/>
      <c r="M694" s="1975"/>
      <c r="N694" s="1975"/>
      <c r="O694" s="1975"/>
      <c r="P694" s="1975"/>
      <c r="Q694" s="1975"/>
      <c r="R694" s="1975"/>
      <c r="T694" s="35"/>
      <c r="U694" s="12" t="s">
        <v>90</v>
      </c>
      <c r="Z694" s="1975"/>
      <c r="AA694" s="1975"/>
      <c r="AB694" s="1975"/>
      <c r="AC694" s="1975"/>
      <c r="AD694" s="1975"/>
      <c r="AE694" s="1975"/>
      <c r="AF694" s="1975"/>
      <c r="AG694" s="1975"/>
      <c r="AH694" s="1975"/>
      <c r="AI694" s="1975"/>
      <c r="AJ694" s="1975"/>
      <c r="AK694" s="197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75"/>
      <c r="H695" s="1975"/>
      <c r="I695" s="1975"/>
      <c r="J695" s="1975"/>
      <c r="K695" s="1975"/>
      <c r="L695" s="1975"/>
      <c r="M695" s="1975"/>
      <c r="N695" s="1975"/>
      <c r="O695" s="1975"/>
      <c r="P695" s="1975"/>
      <c r="Q695" s="1975"/>
      <c r="R695" s="1975"/>
      <c r="U695" s="12" t="s">
        <v>614</v>
      </c>
      <c r="Z695" s="2002"/>
      <c r="AA695" s="2002"/>
      <c r="AB695" s="2002"/>
      <c r="AC695" s="2002"/>
      <c r="AD695" s="2002"/>
      <c r="AE695" s="2002"/>
      <c r="AF695" s="2002"/>
      <c r="AG695" s="2002"/>
      <c r="AH695" s="2002"/>
      <c r="AI695" s="2002"/>
      <c r="AJ695" s="2002"/>
      <c r="AK695" s="200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75"/>
      <c r="H696" s="1975"/>
      <c r="I696" s="1975"/>
      <c r="J696" s="1975"/>
      <c r="K696" s="1975"/>
      <c r="L696" s="1975"/>
      <c r="M696" s="1975"/>
      <c r="N696" s="1975"/>
      <c r="O696" s="1975"/>
      <c r="P696" s="1975"/>
      <c r="Q696" s="1975"/>
      <c r="R696" s="1975"/>
      <c r="U696" s="12" t="s">
        <v>17</v>
      </c>
      <c r="Z696" s="2002"/>
      <c r="AA696" s="2002"/>
      <c r="AB696" s="2002"/>
      <c r="AC696" s="2002"/>
      <c r="AD696" s="2002"/>
      <c r="AE696" s="2002"/>
      <c r="AF696" s="2002"/>
      <c r="AG696" s="2002"/>
      <c r="AH696" s="2002"/>
      <c r="AI696" s="2002"/>
      <c r="AJ696" s="2002"/>
      <c r="AK696" s="2002"/>
      <c r="AZ696" s="58"/>
      <c r="BA696" s="58"/>
      <c r="BB696" s="58"/>
      <c r="BC696" s="58"/>
      <c r="BD696" s="58"/>
      <c r="BF696" s="453" t="s">
        <v>967</v>
      </c>
      <c r="BG696" s="462">
        <f>SUM(BG671:BG695)</f>
        <v>192</v>
      </c>
      <c r="BH696" s="463">
        <f>SUM(BH671:BH695)</f>
        <v>1</v>
      </c>
      <c r="BI696" s="463">
        <f>SUM(BI671:BI695)</f>
        <v>0.59583333333333333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1967"/>
      <c r="H697" s="1967"/>
      <c r="I697" s="1967"/>
      <c r="J697" s="1967"/>
      <c r="K697" s="1967"/>
      <c r="L697" s="1967"/>
      <c r="O697" s="137" t="s">
        <v>211</v>
      </c>
      <c r="P697" s="1976"/>
      <c r="Q697" s="1976"/>
      <c r="R697" s="1976"/>
      <c r="U697" s="12" t="s">
        <v>324</v>
      </c>
      <c r="Z697" s="1967"/>
      <c r="AA697" s="1967"/>
      <c r="AB697" s="1967"/>
      <c r="AC697" s="1967"/>
      <c r="AD697" s="1967"/>
      <c r="AE697" s="1967"/>
      <c r="AH697" s="137" t="s">
        <v>211</v>
      </c>
      <c r="AI697" s="1976"/>
      <c r="AJ697" s="1976"/>
      <c r="AK697" s="1976"/>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75"/>
      <c r="I698" s="1975"/>
      <c r="J698" s="1975"/>
      <c r="K698" s="1975"/>
      <c r="L698" s="1975"/>
      <c r="M698" s="1975"/>
      <c r="N698" s="1975"/>
      <c r="O698" s="1975"/>
      <c r="P698" s="1975"/>
      <c r="Q698" s="1975"/>
      <c r="R698" s="1975"/>
      <c r="U698" s="12" t="s">
        <v>18</v>
      </c>
      <c r="AA698" s="1975"/>
      <c r="AB698" s="1975"/>
      <c r="AC698" s="1975"/>
      <c r="AD698" s="1975"/>
      <c r="AE698" s="1975"/>
      <c r="AF698" s="1975"/>
      <c r="AG698" s="1975"/>
      <c r="AH698" s="1975"/>
      <c r="AI698" s="1975"/>
      <c r="AJ698" s="1975"/>
      <c r="AK698" s="197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9" t="s">
        <v>705</v>
      </c>
      <c r="O699" s="1999"/>
      <c r="U699" s="12" t="s">
        <v>20</v>
      </c>
      <c r="AG699" s="1999" t="s">
        <v>705</v>
      </c>
      <c r="AH699" s="199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1930</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577</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5.2083333333333336E-2</v>
      </c>
      <c r="BI703" s="461">
        <f t="shared" ref="BI703:BI727" si="45">IF(BH703=0," ",BH703*AM728)</f>
        <v>1.5625E-2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705</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30</v>
      </c>
      <c r="BH704" s="460">
        <f t="shared" ref="BH704:BH727" si="46">BG704/$BG$728</f>
        <v>0.15625</v>
      </c>
      <c r="BI704" s="461">
        <f t="shared" si="45"/>
        <v>7.8125E-2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0">
        <v>44636</v>
      </c>
      <c r="AF705" s="2170"/>
      <c r="AG705" s="2170"/>
      <c r="AH705" s="2170"/>
      <c r="AI705" s="217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35</v>
      </c>
      <c r="BH705" s="460">
        <f t="shared" si="46"/>
        <v>0.18229166666666666</v>
      </c>
      <c r="BI705" s="461">
        <f t="shared" si="45"/>
        <v>0.10937499999999999</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7">
        <v>44727</v>
      </c>
      <c r="AF706" s="2357"/>
      <c r="AG706" s="2357"/>
      <c r="AH706" s="2357"/>
      <c r="AI706" s="235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0.109375</v>
      </c>
      <c r="BI706" s="461">
        <f t="shared" si="45"/>
        <v>7.6562499999999992E-2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2.6041666666666668E-2</v>
      </c>
      <c r="BI707" s="461">
        <f t="shared" si="45"/>
        <v>7.8125E-3</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0">
        <v>44896</v>
      </c>
      <c r="AF708" s="2170"/>
      <c r="AG708" s="2170"/>
      <c r="AH708" s="2170"/>
      <c r="AI708" s="217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2.6041666666666668E-2</v>
      </c>
      <c r="BI708" s="461">
        <f t="shared" si="45"/>
        <v>1.3020833333333334E-2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3">
        <v>0.52500000000000002</v>
      </c>
      <c r="AF709" s="2323"/>
      <c r="AG709" s="2323"/>
      <c r="AH709" s="2323"/>
      <c r="AI709" s="23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3.6458333333333336E-2</v>
      </c>
      <c r="BI709" s="461">
        <f t="shared" si="45"/>
        <v>2.1875000000000002E-2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0" t="str">
        <f>H334</f>
        <v>CalHFA</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31</v>
      </c>
      <c r="BH710" s="460">
        <f t="shared" si="46"/>
        <v>0.16145833333333334</v>
      </c>
      <c r="BI710" s="461">
        <f t="shared" si="45"/>
        <v>0.11302083333333333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2.6041666666666668E-2</v>
      </c>
      <c r="BI711" s="461">
        <f t="shared" si="45"/>
        <v>7.814710667798529E-3</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705</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2.0833333333333332E-2</v>
      </c>
      <c r="BI712" s="461">
        <f t="shared" si="45"/>
        <v>1.0416666666666666E-2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75"/>
      <c r="X713" s="1975"/>
      <c r="Y713" s="1975"/>
      <c r="Z713" s="1975"/>
      <c r="AA713" s="1975"/>
      <c r="AB713" s="1975"/>
      <c r="AC713" s="1975"/>
      <c r="AD713" s="1975"/>
      <c r="AE713" s="1975"/>
      <c r="AF713" s="1975"/>
      <c r="AG713" s="1975"/>
      <c r="AH713" s="1975"/>
      <c r="AI713" s="1975"/>
      <c r="AJ713" s="1975"/>
      <c r="AK713" s="19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39</v>
      </c>
      <c r="BH713" s="460">
        <f t="shared" si="46"/>
        <v>0.203125</v>
      </c>
      <c r="BI713" s="461">
        <f t="shared" si="45"/>
        <v>0.14217025679117148</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75"/>
      <c r="K714" s="1975"/>
      <c r="L714" s="1975"/>
      <c r="M714" s="1975"/>
      <c r="N714" s="1975"/>
      <c r="O714" s="1975"/>
      <c r="P714" s="1975"/>
      <c r="Q714" s="1975"/>
      <c r="R714" s="1975"/>
      <c r="S714" s="1975"/>
      <c r="T714" s="1975"/>
      <c r="U714" s="1975"/>
      <c r="V714" s="1975"/>
      <c r="W714" s="1975"/>
      <c r="X714" s="19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1967"/>
      <c r="K715" s="1967"/>
      <c r="L715" s="1967"/>
      <c r="M715" s="1967"/>
      <c r="N715" s="1967"/>
      <c r="O715" s="1967"/>
      <c r="P715" s="7" t="s">
        <v>211</v>
      </c>
      <c r="Q715" s="7"/>
      <c r="R715" s="1976"/>
      <c r="S715" s="1976"/>
      <c r="T715" s="197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75" t="s">
        <v>315</v>
      </c>
      <c r="X716" s="1975"/>
      <c r="Y716" s="1975"/>
      <c r="Z716" s="1975"/>
      <c r="AA716" s="1975"/>
      <c r="AB716" s="1975"/>
      <c r="AC716" s="1975"/>
      <c r="AD716" s="1975"/>
      <c r="AE716" s="1975"/>
      <c r="AF716" s="1975"/>
      <c r="AG716" s="1975"/>
      <c r="AH716" s="1975"/>
      <c r="AI716" s="1975"/>
      <c r="AJ716" s="1975"/>
      <c r="AK716" s="19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75" t="s">
        <v>342</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1975"/>
      <c r="AD717" s="1975"/>
      <c r="AE717" s="1975"/>
      <c r="AF717" s="1975"/>
      <c r="AG717" s="1975"/>
      <c r="AH717" s="1975"/>
      <c r="AI717" s="1975"/>
      <c r="AJ717" s="1975"/>
      <c r="AK717" s="19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2" t="s">
        <v>406</v>
      </c>
      <c r="C724" s="2083"/>
      <c r="D724" s="2083"/>
      <c r="E724" s="2083"/>
      <c r="F724" s="2084"/>
      <c r="G724" s="2082" t="s">
        <v>290</v>
      </c>
      <c r="H724" s="2083"/>
      <c r="I724" s="2083"/>
      <c r="J724" s="2084"/>
      <c r="K724" s="2308" t="s">
        <v>2097</v>
      </c>
      <c r="L724" s="2309"/>
      <c r="M724" s="2309"/>
      <c r="N724" s="2310"/>
      <c r="O724" s="2082" t="s">
        <v>477</v>
      </c>
      <c r="P724" s="2083"/>
      <c r="Q724" s="2083"/>
      <c r="R724" s="2083"/>
      <c r="S724" s="2084"/>
      <c r="T724" s="2082" t="s">
        <v>291</v>
      </c>
      <c r="U724" s="2083"/>
      <c r="V724" s="2083"/>
      <c r="W724" s="2083"/>
      <c r="X724" s="2084"/>
      <c r="Y724" s="2082" t="s">
        <v>292</v>
      </c>
      <c r="Z724" s="2083"/>
      <c r="AA724" s="2083"/>
      <c r="AB724" s="2084"/>
      <c r="AC724" s="2082" t="s">
        <v>293</v>
      </c>
      <c r="AD724" s="2083"/>
      <c r="AE724" s="2083"/>
      <c r="AF724" s="2083"/>
      <c r="AG724" s="2084"/>
      <c r="AH724" s="2082" t="s">
        <v>407</v>
      </c>
      <c r="AI724" s="2083"/>
      <c r="AJ724" s="2083"/>
      <c r="AK724" s="2083"/>
      <c r="AL724" s="2084"/>
      <c r="AM724" s="2082" t="s">
        <v>681</v>
      </c>
      <c r="AN724" s="2083"/>
      <c r="AO724" s="208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5"/>
      <c r="C725" s="2086"/>
      <c r="D725" s="2086"/>
      <c r="E725" s="2086"/>
      <c r="F725" s="2087"/>
      <c r="G725" s="2085"/>
      <c r="H725" s="2086"/>
      <c r="I725" s="2086"/>
      <c r="J725" s="2087"/>
      <c r="K725" s="2311"/>
      <c r="L725" s="2312"/>
      <c r="M725" s="2312"/>
      <c r="N725" s="2313"/>
      <c r="O725" s="2085"/>
      <c r="P725" s="2086"/>
      <c r="Q725" s="2086"/>
      <c r="R725" s="2086"/>
      <c r="S725" s="2087"/>
      <c r="T725" s="2085"/>
      <c r="U725" s="2086"/>
      <c r="V725" s="2086"/>
      <c r="W725" s="2086"/>
      <c r="X725" s="2087"/>
      <c r="Y725" s="2085"/>
      <c r="Z725" s="2086"/>
      <c r="AA725" s="2086"/>
      <c r="AB725" s="2087"/>
      <c r="AC725" s="2085"/>
      <c r="AD725" s="2086"/>
      <c r="AE725" s="2086"/>
      <c r="AF725" s="2086"/>
      <c r="AG725" s="2087"/>
      <c r="AH725" s="2085"/>
      <c r="AI725" s="2086"/>
      <c r="AJ725" s="2086"/>
      <c r="AK725" s="2086"/>
      <c r="AL725" s="2087"/>
      <c r="AM725" s="2085"/>
      <c r="AN725" s="2086"/>
      <c r="AO725" s="208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5"/>
      <c r="C726" s="2086"/>
      <c r="D726" s="2086"/>
      <c r="E726" s="2086"/>
      <c r="F726" s="2087"/>
      <c r="G726" s="2085"/>
      <c r="H726" s="2086"/>
      <c r="I726" s="2086"/>
      <c r="J726" s="2087"/>
      <c r="K726" s="2311"/>
      <c r="L726" s="2312"/>
      <c r="M726" s="2312"/>
      <c r="N726" s="2313"/>
      <c r="O726" s="2085"/>
      <c r="P726" s="2086"/>
      <c r="Q726" s="2086"/>
      <c r="R726" s="2086"/>
      <c r="S726" s="2087"/>
      <c r="T726" s="2085"/>
      <c r="U726" s="2086"/>
      <c r="V726" s="2086"/>
      <c r="W726" s="2086"/>
      <c r="X726" s="2087"/>
      <c r="Y726" s="2085"/>
      <c r="Z726" s="2086"/>
      <c r="AA726" s="2086"/>
      <c r="AB726" s="2087"/>
      <c r="AC726" s="2085"/>
      <c r="AD726" s="2086"/>
      <c r="AE726" s="2086"/>
      <c r="AF726" s="2086"/>
      <c r="AG726" s="2087"/>
      <c r="AH726" s="2085"/>
      <c r="AI726" s="2086"/>
      <c r="AJ726" s="2086"/>
      <c r="AK726" s="2086"/>
      <c r="AL726" s="2087"/>
      <c r="AM726" s="2085"/>
      <c r="AN726" s="2086"/>
      <c r="AO726" s="208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8"/>
      <c r="C727" s="2089"/>
      <c r="D727" s="2089"/>
      <c r="E727" s="2089"/>
      <c r="F727" s="2090"/>
      <c r="G727" s="2088"/>
      <c r="H727" s="2089"/>
      <c r="I727" s="2089"/>
      <c r="J727" s="2090"/>
      <c r="K727" s="2311"/>
      <c r="L727" s="2312"/>
      <c r="M727" s="2312"/>
      <c r="N727" s="2313"/>
      <c r="O727" s="2088"/>
      <c r="P727" s="2089"/>
      <c r="Q727" s="2089"/>
      <c r="R727" s="2089"/>
      <c r="S727" s="2090"/>
      <c r="T727" s="2088"/>
      <c r="U727" s="2089"/>
      <c r="V727" s="2089"/>
      <c r="W727" s="2089"/>
      <c r="X727" s="2090"/>
      <c r="Y727" s="2088"/>
      <c r="Z727" s="2089"/>
      <c r="AA727" s="2089"/>
      <c r="AB727" s="2090"/>
      <c r="AC727" s="2088"/>
      <c r="AD727" s="2089"/>
      <c r="AE727" s="2089"/>
      <c r="AF727" s="2089"/>
      <c r="AG727" s="2090"/>
      <c r="AH727" s="2088"/>
      <c r="AI727" s="2089"/>
      <c r="AJ727" s="2089"/>
      <c r="AK727" s="2089"/>
      <c r="AL727" s="2090"/>
      <c r="AM727" s="2088"/>
      <c r="AN727" s="2089"/>
      <c r="AO727" s="2090"/>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9" t="s">
        <v>333</v>
      </c>
      <c r="C728" s="2030"/>
      <c r="D728" s="2030"/>
      <c r="E728" s="2030"/>
      <c r="F728" s="2240"/>
      <c r="G728" s="2314">
        <v>10</v>
      </c>
      <c r="H728" s="2315"/>
      <c r="I728" s="2315"/>
      <c r="J728" s="2316"/>
      <c r="K728" s="2044">
        <v>620</v>
      </c>
      <c r="L728" s="2045"/>
      <c r="M728" s="2045"/>
      <c r="N728" s="2046"/>
      <c r="O728" s="2305">
        <v>472</v>
      </c>
      <c r="P728" s="2306"/>
      <c r="Q728" s="2306"/>
      <c r="R728" s="2306"/>
      <c r="S728" s="2307"/>
      <c r="T728" s="2112">
        <f t="shared" ref="T728:T752" si="47">G728*O728</f>
        <v>4720</v>
      </c>
      <c r="U728" s="2113"/>
      <c r="V728" s="2113"/>
      <c r="W728" s="2113"/>
      <c r="X728" s="2114"/>
      <c r="Y728" s="2305">
        <v>38</v>
      </c>
      <c r="Z728" s="2306"/>
      <c r="AA728" s="2306"/>
      <c r="AB728" s="2307"/>
      <c r="AC728" s="2112">
        <f t="shared" ref="AC728:AC752" si="48">O728+Y728</f>
        <v>510</v>
      </c>
      <c r="AD728" s="2113"/>
      <c r="AE728" s="2113"/>
      <c r="AF728" s="2113"/>
      <c r="AG728" s="2114"/>
      <c r="AH728" s="2320">
        <v>0.3</v>
      </c>
      <c r="AI728" s="2321"/>
      <c r="AJ728" s="2321"/>
      <c r="AK728" s="2321"/>
      <c r="AL728" s="2322"/>
      <c r="AM728" s="2317">
        <f t="shared" ref="AM728:AM752" si="49">IF($AH728&gt;0,($AC728/$BA670), " ")</f>
        <v>0.3</v>
      </c>
      <c r="AN728" s="2318"/>
      <c r="AO728" s="2319"/>
      <c r="AP728" s="239"/>
      <c r="AQ728" s="239"/>
      <c r="AR728" s="239"/>
      <c r="AS728" s="239"/>
      <c r="AT728" s="239"/>
      <c r="AU728" s="239"/>
      <c r="AV728" s="239"/>
      <c r="AW728" s="239"/>
      <c r="AX728" s="239"/>
      <c r="AY728" s="239"/>
      <c r="AZ728" s="58"/>
      <c r="BA728" s="58"/>
      <c r="BB728" s="58"/>
      <c r="BC728" s="58"/>
      <c r="BD728" s="58"/>
      <c r="BE728" s="58"/>
      <c r="BF728" s="58"/>
      <c r="BG728" s="1417">
        <f>SUM(BG703:BG727)</f>
        <v>192</v>
      </c>
      <c r="BH728" s="463">
        <f>SUM(BH703:BH727)</f>
        <v>1</v>
      </c>
      <c r="BI728" s="463">
        <f>SUM(BI703:BI727)</f>
        <v>0.59581830079230336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9" t="s">
        <v>333</v>
      </c>
      <c r="C729" s="2030"/>
      <c r="D729" s="2030"/>
      <c r="E729" s="2030"/>
      <c r="F729" s="2240"/>
      <c r="G729" s="2314">
        <v>30</v>
      </c>
      <c r="H729" s="2315"/>
      <c r="I729" s="2315"/>
      <c r="J729" s="2316"/>
      <c r="K729" s="2044">
        <v>620</v>
      </c>
      <c r="L729" s="2045"/>
      <c r="M729" s="2045"/>
      <c r="N729" s="2046"/>
      <c r="O729" s="2305">
        <v>812</v>
      </c>
      <c r="P729" s="2306"/>
      <c r="Q729" s="2306"/>
      <c r="R729" s="2306"/>
      <c r="S729" s="2307"/>
      <c r="T729" s="2112">
        <f t="shared" si="47"/>
        <v>24360</v>
      </c>
      <c r="U729" s="2113"/>
      <c r="V729" s="2113"/>
      <c r="W729" s="2113"/>
      <c r="X729" s="2114"/>
      <c r="Y729" s="2305">
        <v>38</v>
      </c>
      <c r="Z729" s="2306"/>
      <c r="AA729" s="2306"/>
      <c r="AB729" s="2307"/>
      <c r="AC729" s="2112">
        <f t="shared" si="48"/>
        <v>850</v>
      </c>
      <c r="AD729" s="2113"/>
      <c r="AE729" s="2113"/>
      <c r="AF729" s="2113"/>
      <c r="AG729" s="2114"/>
      <c r="AH729" s="2320">
        <v>0.5</v>
      </c>
      <c r="AI729" s="2321"/>
      <c r="AJ729" s="2321"/>
      <c r="AK729" s="2321"/>
      <c r="AL729" s="2322"/>
      <c r="AM729" s="2317">
        <f t="shared" si="49"/>
        <v>0.5</v>
      </c>
      <c r="AN729" s="2318"/>
      <c r="AO729" s="231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9" t="s">
        <v>333</v>
      </c>
      <c r="C730" s="2030"/>
      <c r="D730" s="2030"/>
      <c r="E730" s="2030"/>
      <c r="F730" s="2240"/>
      <c r="G730" s="2314">
        <v>35</v>
      </c>
      <c r="H730" s="2315"/>
      <c r="I730" s="2315"/>
      <c r="J730" s="2316"/>
      <c r="K730" s="2044">
        <v>620</v>
      </c>
      <c r="L730" s="2045"/>
      <c r="M730" s="2045"/>
      <c r="N730" s="2046"/>
      <c r="O730" s="2305">
        <v>982</v>
      </c>
      <c r="P730" s="2306"/>
      <c r="Q730" s="2306"/>
      <c r="R730" s="2306"/>
      <c r="S730" s="2307"/>
      <c r="T730" s="2112">
        <f t="shared" si="47"/>
        <v>34370</v>
      </c>
      <c r="U730" s="2113"/>
      <c r="V730" s="2113"/>
      <c r="W730" s="2113"/>
      <c r="X730" s="2114"/>
      <c r="Y730" s="2305">
        <v>38</v>
      </c>
      <c r="Z730" s="2306"/>
      <c r="AA730" s="2306"/>
      <c r="AB730" s="2307"/>
      <c r="AC730" s="2112">
        <f t="shared" si="48"/>
        <v>1020</v>
      </c>
      <c r="AD730" s="2113"/>
      <c r="AE730" s="2113"/>
      <c r="AF730" s="2113"/>
      <c r="AG730" s="2114"/>
      <c r="AH730" s="2320">
        <v>0.6</v>
      </c>
      <c r="AI730" s="2321"/>
      <c r="AJ730" s="2321"/>
      <c r="AK730" s="2321"/>
      <c r="AL730" s="2322"/>
      <c r="AM730" s="2317">
        <f t="shared" si="49"/>
        <v>0.6</v>
      </c>
      <c r="AN730" s="2318"/>
      <c r="AO730" s="231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9" t="s">
        <v>333</v>
      </c>
      <c r="C731" s="2030"/>
      <c r="D731" s="2030"/>
      <c r="E731" s="2030"/>
      <c r="F731" s="2240"/>
      <c r="G731" s="2314">
        <v>21</v>
      </c>
      <c r="H731" s="2315"/>
      <c r="I731" s="2315"/>
      <c r="J731" s="2316"/>
      <c r="K731" s="2044">
        <v>620</v>
      </c>
      <c r="L731" s="2045"/>
      <c r="M731" s="2045"/>
      <c r="N731" s="2046"/>
      <c r="O731" s="2305">
        <v>1152</v>
      </c>
      <c r="P731" s="2306"/>
      <c r="Q731" s="2306"/>
      <c r="R731" s="2306"/>
      <c r="S731" s="2307"/>
      <c r="T731" s="2112">
        <f t="shared" si="47"/>
        <v>24192</v>
      </c>
      <c r="U731" s="2113"/>
      <c r="V731" s="2113"/>
      <c r="W731" s="2113"/>
      <c r="X731" s="2114"/>
      <c r="Y731" s="2305">
        <v>38</v>
      </c>
      <c r="Z731" s="2306"/>
      <c r="AA731" s="2306"/>
      <c r="AB731" s="2307"/>
      <c r="AC731" s="2112">
        <f t="shared" si="48"/>
        <v>1190</v>
      </c>
      <c r="AD731" s="2113"/>
      <c r="AE731" s="2113"/>
      <c r="AF731" s="2113"/>
      <c r="AG731" s="2114"/>
      <c r="AH731" s="2320">
        <v>0.7</v>
      </c>
      <c r="AI731" s="2321"/>
      <c r="AJ731" s="2321"/>
      <c r="AK731" s="2321"/>
      <c r="AL731" s="2322"/>
      <c r="AM731" s="2317">
        <f t="shared" si="49"/>
        <v>0.7</v>
      </c>
      <c r="AN731" s="2318"/>
      <c r="AO731" s="231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9" t="s">
        <v>168</v>
      </c>
      <c r="C732" s="2030"/>
      <c r="D732" s="2030"/>
      <c r="E732" s="2030"/>
      <c r="F732" s="2240"/>
      <c r="G732" s="2314">
        <v>5</v>
      </c>
      <c r="H732" s="2315"/>
      <c r="I732" s="2315"/>
      <c r="J732" s="2316"/>
      <c r="K732" s="2044">
        <v>853</v>
      </c>
      <c r="L732" s="2045"/>
      <c r="M732" s="2045"/>
      <c r="N732" s="2046"/>
      <c r="O732" s="2305">
        <v>568</v>
      </c>
      <c r="P732" s="2306"/>
      <c r="Q732" s="2306"/>
      <c r="R732" s="2306"/>
      <c r="S732" s="2307"/>
      <c r="T732" s="2112">
        <f t="shared" si="47"/>
        <v>2840</v>
      </c>
      <c r="U732" s="2113"/>
      <c r="V732" s="2113"/>
      <c r="W732" s="2113"/>
      <c r="X732" s="2114"/>
      <c r="Y732" s="2305">
        <v>44</v>
      </c>
      <c r="Z732" s="2306"/>
      <c r="AA732" s="2306"/>
      <c r="AB732" s="2307"/>
      <c r="AC732" s="2112">
        <f t="shared" si="48"/>
        <v>612</v>
      </c>
      <c r="AD732" s="2113"/>
      <c r="AE732" s="2113"/>
      <c r="AF732" s="2113"/>
      <c r="AG732" s="2114"/>
      <c r="AH732" s="2320">
        <v>0.3</v>
      </c>
      <c r="AI732" s="2321"/>
      <c r="AJ732" s="2321"/>
      <c r="AK732" s="2321"/>
      <c r="AL732" s="2322"/>
      <c r="AM732" s="2317">
        <f t="shared" si="49"/>
        <v>0.3</v>
      </c>
      <c r="AN732" s="2318"/>
      <c r="AO732" s="231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9" t="s">
        <v>168</v>
      </c>
      <c r="C733" s="2030"/>
      <c r="D733" s="2030"/>
      <c r="E733" s="2030"/>
      <c r="F733" s="2240"/>
      <c r="G733" s="2314">
        <v>5</v>
      </c>
      <c r="H733" s="2315"/>
      <c r="I733" s="2315"/>
      <c r="J733" s="2316"/>
      <c r="K733" s="2044">
        <v>853</v>
      </c>
      <c r="L733" s="2045"/>
      <c r="M733" s="2045"/>
      <c r="N733" s="2046"/>
      <c r="O733" s="2305">
        <v>976</v>
      </c>
      <c r="P733" s="2306"/>
      <c r="Q733" s="2306"/>
      <c r="R733" s="2306"/>
      <c r="S733" s="2307"/>
      <c r="T733" s="2112">
        <f t="shared" si="47"/>
        <v>4880</v>
      </c>
      <c r="U733" s="2113"/>
      <c r="V733" s="2113"/>
      <c r="W733" s="2113"/>
      <c r="X733" s="2114"/>
      <c r="Y733" s="2305">
        <v>44</v>
      </c>
      <c r="Z733" s="2306"/>
      <c r="AA733" s="2306"/>
      <c r="AB733" s="2307"/>
      <c r="AC733" s="2112">
        <f t="shared" si="48"/>
        <v>1020</v>
      </c>
      <c r="AD733" s="2113"/>
      <c r="AE733" s="2113"/>
      <c r="AF733" s="2113"/>
      <c r="AG733" s="2114"/>
      <c r="AH733" s="2320">
        <v>0.5</v>
      </c>
      <c r="AI733" s="2321"/>
      <c r="AJ733" s="2321"/>
      <c r="AK733" s="2321"/>
      <c r="AL733" s="2322"/>
      <c r="AM733" s="2317">
        <f t="shared" si="49"/>
        <v>0.5</v>
      </c>
      <c r="AN733" s="2318"/>
      <c r="AO733" s="231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9" t="s">
        <v>168</v>
      </c>
      <c r="C734" s="2030"/>
      <c r="D734" s="2030"/>
      <c r="E734" s="2030"/>
      <c r="F734" s="2240"/>
      <c r="G734" s="2314">
        <v>7</v>
      </c>
      <c r="H734" s="2315"/>
      <c r="I734" s="2315"/>
      <c r="J734" s="2316"/>
      <c r="K734" s="2044">
        <v>853</v>
      </c>
      <c r="L734" s="2045"/>
      <c r="M734" s="2045"/>
      <c r="N734" s="2046"/>
      <c r="O734" s="2305">
        <v>1180</v>
      </c>
      <c r="P734" s="2306"/>
      <c r="Q734" s="2306"/>
      <c r="R734" s="2306"/>
      <c r="S734" s="2307"/>
      <c r="T734" s="2112">
        <f t="shared" si="47"/>
        <v>8260</v>
      </c>
      <c r="U734" s="2113"/>
      <c r="V734" s="2113"/>
      <c r="W734" s="2113"/>
      <c r="X734" s="2114"/>
      <c r="Y734" s="2305">
        <v>44</v>
      </c>
      <c r="Z734" s="2306"/>
      <c r="AA734" s="2306"/>
      <c r="AB734" s="2307"/>
      <c r="AC734" s="2112">
        <f t="shared" si="48"/>
        <v>1224</v>
      </c>
      <c r="AD734" s="2113"/>
      <c r="AE734" s="2113"/>
      <c r="AF734" s="2113"/>
      <c r="AG734" s="2114"/>
      <c r="AH734" s="2320">
        <v>0.6</v>
      </c>
      <c r="AI734" s="2321"/>
      <c r="AJ734" s="2321"/>
      <c r="AK734" s="2321"/>
      <c r="AL734" s="2322"/>
      <c r="AM734" s="2317">
        <f t="shared" si="49"/>
        <v>0.6</v>
      </c>
      <c r="AN734" s="2318"/>
      <c r="AO734" s="231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9" t="s">
        <v>168</v>
      </c>
      <c r="C735" s="2030"/>
      <c r="D735" s="2030"/>
      <c r="E735" s="2030"/>
      <c r="F735" s="2240"/>
      <c r="G735" s="2314">
        <v>31</v>
      </c>
      <c r="H735" s="2315"/>
      <c r="I735" s="2315"/>
      <c r="J735" s="2316"/>
      <c r="K735" s="2044">
        <v>853</v>
      </c>
      <c r="L735" s="2045"/>
      <c r="M735" s="2045"/>
      <c r="N735" s="2046"/>
      <c r="O735" s="2305">
        <v>1384</v>
      </c>
      <c r="P735" s="2306"/>
      <c r="Q735" s="2306"/>
      <c r="R735" s="2306"/>
      <c r="S735" s="2307"/>
      <c r="T735" s="2112">
        <f t="shared" si="47"/>
        <v>42904</v>
      </c>
      <c r="U735" s="2113"/>
      <c r="V735" s="2113"/>
      <c r="W735" s="2113"/>
      <c r="X735" s="2114"/>
      <c r="Y735" s="2305">
        <v>44</v>
      </c>
      <c r="Z735" s="2306"/>
      <c r="AA735" s="2306"/>
      <c r="AB735" s="2307"/>
      <c r="AC735" s="2112">
        <f t="shared" si="48"/>
        <v>1428</v>
      </c>
      <c r="AD735" s="2113"/>
      <c r="AE735" s="2113"/>
      <c r="AF735" s="2113"/>
      <c r="AG735" s="2114"/>
      <c r="AH735" s="2320">
        <v>0.7</v>
      </c>
      <c r="AI735" s="2321"/>
      <c r="AJ735" s="2321"/>
      <c r="AK735" s="2321"/>
      <c r="AL735" s="2322"/>
      <c r="AM735" s="2317">
        <f t="shared" si="49"/>
        <v>0.7</v>
      </c>
      <c r="AN735" s="2318"/>
      <c r="AO735" s="231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9" t="s">
        <v>169</v>
      </c>
      <c r="C736" s="2030"/>
      <c r="D736" s="2030"/>
      <c r="E736" s="2030"/>
      <c r="F736" s="2240"/>
      <c r="G736" s="2314">
        <v>5</v>
      </c>
      <c r="H736" s="2315"/>
      <c r="I736" s="2315"/>
      <c r="J736" s="2316"/>
      <c r="K736" s="2044">
        <v>1080</v>
      </c>
      <c r="L736" s="2045"/>
      <c r="M736" s="2045"/>
      <c r="N736" s="2046"/>
      <c r="O736" s="2305">
        <v>659</v>
      </c>
      <c r="P736" s="2306"/>
      <c r="Q736" s="2306"/>
      <c r="R736" s="2306"/>
      <c r="S736" s="2307"/>
      <c r="T736" s="2112">
        <f t="shared" si="47"/>
        <v>3295</v>
      </c>
      <c r="U736" s="2113"/>
      <c r="V736" s="2113"/>
      <c r="W736" s="2113"/>
      <c r="X736" s="2114"/>
      <c r="Y736" s="2305">
        <v>48</v>
      </c>
      <c r="Z736" s="2306"/>
      <c r="AA736" s="2306"/>
      <c r="AB736" s="2307"/>
      <c r="AC736" s="2112">
        <f t="shared" si="48"/>
        <v>707</v>
      </c>
      <c r="AD736" s="2113"/>
      <c r="AE736" s="2113"/>
      <c r="AF736" s="2113"/>
      <c r="AG736" s="2114"/>
      <c r="AH736" s="2320">
        <v>0.3</v>
      </c>
      <c r="AI736" s="2321"/>
      <c r="AJ736" s="2321"/>
      <c r="AK736" s="2321"/>
      <c r="AL736" s="2322"/>
      <c r="AM736" s="2317">
        <f t="shared" si="49"/>
        <v>0.30008488964346347</v>
      </c>
      <c r="AN736" s="2318"/>
      <c r="AO736" s="231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9" t="s">
        <v>169</v>
      </c>
      <c r="C737" s="2030"/>
      <c r="D737" s="2030"/>
      <c r="E737" s="2030"/>
      <c r="F737" s="2240"/>
      <c r="G737" s="2314">
        <v>4</v>
      </c>
      <c r="H737" s="2315"/>
      <c r="I737" s="2315"/>
      <c r="J737" s="2316"/>
      <c r="K737" s="2044">
        <v>1080</v>
      </c>
      <c r="L737" s="2045"/>
      <c r="M737" s="2045"/>
      <c r="N737" s="2046"/>
      <c r="O737" s="2305">
        <v>1130</v>
      </c>
      <c r="P737" s="2306"/>
      <c r="Q737" s="2306"/>
      <c r="R737" s="2306"/>
      <c r="S737" s="2307"/>
      <c r="T737" s="2112">
        <f t="shared" si="47"/>
        <v>4520</v>
      </c>
      <c r="U737" s="2113"/>
      <c r="V737" s="2113"/>
      <c r="W737" s="2113"/>
      <c r="X737" s="2114"/>
      <c r="Y737" s="2305">
        <v>48</v>
      </c>
      <c r="Z737" s="2306"/>
      <c r="AA737" s="2306"/>
      <c r="AB737" s="2307"/>
      <c r="AC737" s="2112">
        <f t="shared" si="48"/>
        <v>1178</v>
      </c>
      <c r="AD737" s="2113"/>
      <c r="AE737" s="2113"/>
      <c r="AF737" s="2113"/>
      <c r="AG737" s="2114"/>
      <c r="AH737" s="2320">
        <v>0.5</v>
      </c>
      <c r="AI737" s="2321"/>
      <c r="AJ737" s="2321"/>
      <c r="AK737" s="2321"/>
      <c r="AL737" s="2322"/>
      <c r="AM737" s="2317">
        <f t="shared" si="49"/>
        <v>0.5</v>
      </c>
      <c r="AN737" s="2318"/>
      <c r="AO737" s="231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9" t="s">
        <v>169</v>
      </c>
      <c r="C738" s="2030"/>
      <c r="D738" s="2030"/>
      <c r="E738" s="2030"/>
      <c r="F738" s="2240"/>
      <c r="G738" s="2314">
        <v>39</v>
      </c>
      <c r="H738" s="2315"/>
      <c r="I738" s="2315"/>
      <c r="J738" s="2316"/>
      <c r="K738" s="2044">
        <v>1080</v>
      </c>
      <c r="L738" s="2045"/>
      <c r="M738" s="2045"/>
      <c r="N738" s="2046"/>
      <c r="O738" s="2305">
        <v>1601</v>
      </c>
      <c r="P738" s="2306"/>
      <c r="Q738" s="2306"/>
      <c r="R738" s="2306"/>
      <c r="S738" s="2307"/>
      <c r="T738" s="2112">
        <f t="shared" si="47"/>
        <v>62439</v>
      </c>
      <c r="U738" s="2113"/>
      <c r="V738" s="2113"/>
      <c r="W738" s="2113"/>
      <c r="X738" s="2114"/>
      <c r="Y738" s="2305">
        <v>48</v>
      </c>
      <c r="Z738" s="2306"/>
      <c r="AA738" s="2306"/>
      <c r="AB738" s="2307"/>
      <c r="AC738" s="2112">
        <f t="shared" si="48"/>
        <v>1649</v>
      </c>
      <c r="AD738" s="2113"/>
      <c r="AE738" s="2113"/>
      <c r="AF738" s="2113"/>
      <c r="AG738" s="2114"/>
      <c r="AH738" s="2320">
        <v>0.7</v>
      </c>
      <c r="AI738" s="2321"/>
      <c r="AJ738" s="2321"/>
      <c r="AK738" s="2321"/>
      <c r="AL738" s="2322"/>
      <c r="AM738" s="2317">
        <f t="shared" si="49"/>
        <v>0.69991511035653653</v>
      </c>
      <c r="AN738" s="2318"/>
      <c r="AO738" s="231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9"/>
      <c r="C739" s="2030"/>
      <c r="D739" s="2030"/>
      <c r="E739" s="2030"/>
      <c r="F739" s="2240"/>
      <c r="G739" s="2314"/>
      <c r="H739" s="2315"/>
      <c r="I739" s="2315"/>
      <c r="J739" s="2316"/>
      <c r="K739" s="2044"/>
      <c r="L739" s="2045"/>
      <c r="M739" s="2045"/>
      <c r="N739" s="2046"/>
      <c r="O739" s="2305"/>
      <c r="P739" s="2306"/>
      <c r="Q739" s="2306"/>
      <c r="R739" s="2306"/>
      <c r="S739" s="2307"/>
      <c r="T739" s="2112">
        <f t="shared" si="47"/>
        <v>0</v>
      </c>
      <c r="U739" s="2113"/>
      <c r="V739" s="2113"/>
      <c r="W739" s="2113"/>
      <c r="X739" s="2114"/>
      <c r="Y739" s="2305"/>
      <c r="Z739" s="2306"/>
      <c r="AA739" s="2306"/>
      <c r="AB739" s="2307"/>
      <c r="AC739" s="2112">
        <f t="shared" si="48"/>
        <v>0</v>
      </c>
      <c r="AD739" s="2113"/>
      <c r="AE739" s="2113"/>
      <c r="AF739" s="2113"/>
      <c r="AG739" s="2114"/>
      <c r="AH739" s="2320"/>
      <c r="AI739" s="2321"/>
      <c r="AJ739" s="2321"/>
      <c r="AK739" s="2321"/>
      <c r="AL739" s="2322"/>
      <c r="AM739" s="2317" t="str">
        <f t="shared" si="49"/>
        <v xml:space="preserve"> </v>
      </c>
      <c r="AN739" s="2318"/>
      <c r="AO739" s="231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20"/>
      <c r="C740" s="2021"/>
      <c r="D740" s="2021"/>
      <c r="E740" s="2021"/>
      <c r="F740" s="2022"/>
      <c r="G740" s="2236"/>
      <c r="H740" s="2237"/>
      <c r="I740" s="2237"/>
      <c r="J740" s="2238"/>
      <c r="K740" s="2044"/>
      <c r="L740" s="2045"/>
      <c r="M740" s="2045"/>
      <c r="N740" s="2046"/>
      <c r="O740" s="2035"/>
      <c r="P740" s="2036"/>
      <c r="Q740" s="2036"/>
      <c r="R740" s="2036"/>
      <c r="S740" s="2037"/>
      <c r="T740" s="2112">
        <f t="shared" si="47"/>
        <v>0</v>
      </c>
      <c r="U740" s="2113"/>
      <c r="V740" s="2113"/>
      <c r="W740" s="2113"/>
      <c r="X740" s="2114"/>
      <c r="Y740" s="2035"/>
      <c r="Z740" s="2036"/>
      <c r="AA740" s="2036"/>
      <c r="AB740" s="2037"/>
      <c r="AC740" s="2112">
        <f t="shared" si="48"/>
        <v>0</v>
      </c>
      <c r="AD740" s="2113"/>
      <c r="AE740" s="2113"/>
      <c r="AF740" s="2113"/>
      <c r="AG740" s="2114"/>
      <c r="AH740" s="2281">
        <v>0</v>
      </c>
      <c r="AI740" s="2282"/>
      <c r="AJ740" s="2282"/>
      <c r="AK740" s="2282"/>
      <c r="AL740" s="2283"/>
      <c r="AM740" s="2317" t="str">
        <f t="shared" si="49"/>
        <v xml:space="preserve"> </v>
      </c>
      <c r="AN740" s="2318"/>
      <c r="AO740" s="231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20"/>
      <c r="C741" s="2021"/>
      <c r="D741" s="2021"/>
      <c r="E741" s="2021"/>
      <c r="F741" s="2022"/>
      <c r="G741" s="2236"/>
      <c r="H741" s="2237"/>
      <c r="I741" s="2237"/>
      <c r="J741" s="2238"/>
      <c r="K741" s="2044"/>
      <c r="L741" s="2045"/>
      <c r="M741" s="2045"/>
      <c r="N741" s="2046"/>
      <c r="O741" s="2035"/>
      <c r="P741" s="2036"/>
      <c r="Q741" s="2036"/>
      <c r="R741" s="2036"/>
      <c r="S741" s="2037"/>
      <c r="T741" s="2112">
        <f t="shared" si="47"/>
        <v>0</v>
      </c>
      <c r="U741" s="2113"/>
      <c r="V741" s="2113"/>
      <c r="W741" s="2113"/>
      <c r="X741" s="2114"/>
      <c r="Y741" s="2035"/>
      <c r="Z741" s="2036"/>
      <c r="AA741" s="2036"/>
      <c r="AB741" s="2037"/>
      <c r="AC741" s="2112">
        <f t="shared" si="48"/>
        <v>0</v>
      </c>
      <c r="AD741" s="2113"/>
      <c r="AE741" s="2113"/>
      <c r="AF741" s="2113"/>
      <c r="AG741" s="2114"/>
      <c r="AH741" s="2281">
        <v>0</v>
      </c>
      <c r="AI741" s="2282"/>
      <c r="AJ741" s="2282"/>
      <c r="AK741" s="2282"/>
      <c r="AL741" s="2283"/>
      <c r="AM741" s="2317" t="str">
        <f t="shared" si="49"/>
        <v xml:space="preserve"> </v>
      </c>
      <c r="AN741" s="2318"/>
      <c r="AO741" s="231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20"/>
      <c r="C742" s="2021"/>
      <c r="D742" s="2021"/>
      <c r="E742" s="2021"/>
      <c r="F742" s="2022"/>
      <c r="G742" s="2236"/>
      <c r="H742" s="2237"/>
      <c r="I742" s="2237"/>
      <c r="J742" s="2238"/>
      <c r="K742" s="2044"/>
      <c r="L742" s="2045"/>
      <c r="M742" s="2045"/>
      <c r="N742" s="2046"/>
      <c r="O742" s="2035"/>
      <c r="P742" s="2036"/>
      <c r="Q742" s="2036"/>
      <c r="R742" s="2036"/>
      <c r="S742" s="2037"/>
      <c r="T742" s="2112">
        <f t="shared" si="47"/>
        <v>0</v>
      </c>
      <c r="U742" s="2113"/>
      <c r="V742" s="2113"/>
      <c r="W742" s="2113"/>
      <c r="X742" s="2114"/>
      <c r="Y742" s="2035"/>
      <c r="Z742" s="2036"/>
      <c r="AA742" s="2036"/>
      <c r="AB742" s="2037"/>
      <c r="AC742" s="2112">
        <f t="shared" si="48"/>
        <v>0</v>
      </c>
      <c r="AD742" s="2113"/>
      <c r="AE742" s="2113"/>
      <c r="AF742" s="2113"/>
      <c r="AG742" s="2114"/>
      <c r="AH742" s="2281">
        <v>0</v>
      </c>
      <c r="AI742" s="2282"/>
      <c r="AJ742" s="2282"/>
      <c r="AK742" s="2282"/>
      <c r="AL742" s="2283"/>
      <c r="AM742" s="2317" t="str">
        <f t="shared" si="49"/>
        <v xml:space="preserve"> </v>
      </c>
      <c r="AN742" s="2318"/>
      <c r="AO742" s="231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20"/>
      <c r="C743" s="2021"/>
      <c r="D743" s="2021"/>
      <c r="E743" s="2021"/>
      <c r="F743" s="2022"/>
      <c r="G743" s="2236"/>
      <c r="H743" s="2237"/>
      <c r="I743" s="2237"/>
      <c r="J743" s="2238"/>
      <c r="K743" s="2044"/>
      <c r="L743" s="2045"/>
      <c r="M743" s="2045"/>
      <c r="N743" s="2046"/>
      <c r="O743" s="2035"/>
      <c r="P743" s="2036"/>
      <c r="Q743" s="2036"/>
      <c r="R743" s="2036"/>
      <c r="S743" s="2037"/>
      <c r="T743" s="2112">
        <f t="shared" si="47"/>
        <v>0</v>
      </c>
      <c r="U743" s="2113"/>
      <c r="V743" s="2113"/>
      <c r="W743" s="2113"/>
      <c r="X743" s="2114"/>
      <c r="Y743" s="2035"/>
      <c r="Z743" s="2036"/>
      <c r="AA743" s="2036"/>
      <c r="AB743" s="2037"/>
      <c r="AC743" s="2112">
        <f t="shared" si="48"/>
        <v>0</v>
      </c>
      <c r="AD743" s="2113"/>
      <c r="AE743" s="2113"/>
      <c r="AF743" s="2113"/>
      <c r="AG743" s="2114"/>
      <c r="AH743" s="2281">
        <v>0</v>
      </c>
      <c r="AI743" s="2282"/>
      <c r="AJ743" s="2282"/>
      <c r="AK743" s="2282"/>
      <c r="AL743" s="2283"/>
      <c r="AM743" s="2317" t="str">
        <f t="shared" si="49"/>
        <v xml:space="preserve"> </v>
      </c>
      <c r="AN743" s="2318"/>
      <c r="AO743" s="231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20"/>
      <c r="C744" s="2021"/>
      <c r="D744" s="2021"/>
      <c r="E744" s="2021"/>
      <c r="F744" s="2022"/>
      <c r="G744" s="2236"/>
      <c r="H744" s="2237"/>
      <c r="I744" s="2237"/>
      <c r="J744" s="2238"/>
      <c r="K744" s="2044"/>
      <c r="L744" s="2045"/>
      <c r="M744" s="2045"/>
      <c r="N744" s="2046"/>
      <c r="O744" s="2035"/>
      <c r="P744" s="2036"/>
      <c r="Q744" s="2036"/>
      <c r="R744" s="2036"/>
      <c r="S744" s="2037"/>
      <c r="T744" s="2112">
        <f t="shared" si="47"/>
        <v>0</v>
      </c>
      <c r="U744" s="2113"/>
      <c r="V744" s="2113"/>
      <c r="W744" s="2113"/>
      <c r="X744" s="2114"/>
      <c r="Y744" s="2035"/>
      <c r="Z744" s="2036"/>
      <c r="AA744" s="2036"/>
      <c r="AB744" s="2037"/>
      <c r="AC744" s="2112">
        <f t="shared" si="48"/>
        <v>0</v>
      </c>
      <c r="AD744" s="2113"/>
      <c r="AE744" s="2113"/>
      <c r="AF744" s="2113"/>
      <c r="AG744" s="2114"/>
      <c r="AH744" s="2281">
        <v>0</v>
      </c>
      <c r="AI744" s="2282"/>
      <c r="AJ744" s="2282"/>
      <c r="AK744" s="2282"/>
      <c r="AL744" s="2283"/>
      <c r="AM744" s="2317" t="str">
        <f t="shared" si="49"/>
        <v xml:space="preserve"> </v>
      </c>
      <c r="AN744" s="2318"/>
      <c r="AO744" s="231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20"/>
      <c r="C745" s="2021"/>
      <c r="D745" s="2021"/>
      <c r="E745" s="2021"/>
      <c r="F745" s="2022"/>
      <c r="G745" s="2236"/>
      <c r="H745" s="2237"/>
      <c r="I745" s="2237"/>
      <c r="J745" s="2238"/>
      <c r="K745" s="2044"/>
      <c r="L745" s="2045"/>
      <c r="M745" s="2045"/>
      <c r="N745" s="2046"/>
      <c r="O745" s="2035"/>
      <c r="P745" s="2036"/>
      <c r="Q745" s="2036"/>
      <c r="R745" s="2036"/>
      <c r="S745" s="2037"/>
      <c r="T745" s="2112">
        <f t="shared" si="47"/>
        <v>0</v>
      </c>
      <c r="U745" s="2113"/>
      <c r="V745" s="2113"/>
      <c r="W745" s="2113"/>
      <c r="X745" s="2114"/>
      <c r="Y745" s="2035"/>
      <c r="Z745" s="2036"/>
      <c r="AA745" s="2036"/>
      <c r="AB745" s="2037"/>
      <c r="AC745" s="2112">
        <f t="shared" si="48"/>
        <v>0</v>
      </c>
      <c r="AD745" s="2113"/>
      <c r="AE745" s="2113"/>
      <c r="AF745" s="2113"/>
      <c r="AG745" s="2114"/>
      <c r="AH745" s="2281">
        <v>0</v>
      </c>
      <c r="AI745" s="2282"/>
      <c r="AJ745" s="2282"/>
      <c r="AK745" s="2282"/>
      <c r="AL745" s="2283"/>
      <c r="AM745" s="2317" t="str">
        <f t="shared" si="49"/>
        <v xml:space="preserve"> </v>
      </c>
      <c r="AN745" s="2318"/>
      <c r="AO745" s="231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20"/>
      <c r="C746" s="2021"/>
      <c r="D746" s="2021"/>
      <c r="E746" s="2021"/>
      <c r="F746" s="2022"/>
      <c r="G746" s="2236"/>
      <c r="H746" s="2237"/>
      <c r="I746" s="2237"/>
      <c r="J746" s="2238"/>
      <c r="K746" s="2044"/>
      <c r="L746" s="2045"/>
      <c r="M746" s="2045"/>
      <c r="N746" s="2046"/>
      <c r="O746" s="2035"/>
      <c r="P746" s="2036"/>
      <c r="Q746" s="2036"/>
      <c r="R746" s="2036"/>
      <c r="S746" s="2037"/>
      <c r="T746" s="2112">
        <f t="shared" si="47"/>
        <v>0</v>
      </c>
      <c r="U746" s="2113"/>
      <c r="V746" s="2113"/>
      <c r="W746" s="2113"/>
      <c r="X746" s="2114"/>
      <c r="Y746" s="2035"/>
      <c r="Z746" s="2036"/>
      <c r="AA746" s="2036"/>
      <c r="AB746" s="2037"/>
      <c r="AC746" s="2112">
        <f t="shared" si="48"/>
        <v>0</v>
      </c>
      <c r="AD746" s="2113"/>
      <c r="AE746" s="2113"/>
      <c r="AF746" s="2113"/>
      <c r="AG746" s="2114"/>
      <c r="AH746" s="2281">
        <v>0</v>
      </c>
      <c r="AI746" s="2282"/>
      <c r="AJ746" s="2282"/>
      <c r="AK746" s="2282"/>
      <c r="AL746" s="2283"/>
      <c r="AM746" s="2317" t="str">
        <f t="shared" si="49"/>
        <v xml:space="preserve"> </v>
      </c>
      <c r="AN746" s="2318"/>
      <c r="AO746" s="231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20"/>
      <c r="C747" s="2021"/>
      <c r="D747" s="2021"/>
      <c r="E747" s="2021"/>
      <c r="F747" s="2022"/>
      <c r="G747" s="2236"/>
      <c r="H747" s="2237"/>
      <c r="I747" s="2237"/>
      <c r="J747" s="2238"/>
      <c r="K747" s="2044"/>
      <c r="L747" s="2045"/>
      <c r="M747" s="2045"/>
      <c r="N747" s="2046"/>
      <c r="O747" s="2035"/>
      <c r="P747" s="2036"/>
      <c r="Q747" s="2036"/>
      <c r="R747" s="2036"/>
      <c r="S747" s="2037"/>
      <c r="T747" s="2112">
        <f t="shared" si="47"/>
        <v>0</v>
      </c>
      <c r="U747" s="2113"/>
      <c r="V747" s="2113"/>
      <c r="W747" s="2113"/>
      <c r="X747" s="2114"/>
      <c r="Y747" s="2035"/>
      <c r="Z747" s="2036"/>
      <c r="AA747" s="2036"/>
      <c r="AB747" s="2037"/>
      <c r="AC747" s="2112">
        <f t="shared" si="48"/>
        <v>0</v>
      </c>
      <c r="AD747" s="2113"/>
      <c r="AE747" s="2113"/>
      <c r="AF747" s="2113"/>
      <c r="AG747" s="2114"/>
      <c r="AH747" s="2281">
        <v>0</v>
      </c>
      <c r="AI747" s="2282"/>
      <c r="AJ747" s="2282"/>
      <c r="AK747" s="2282"/>
      <c r="AL747" s="2283"/>
      <c r="AM747" s="2317" t="str">
        <f t="shared" si="49"/>
        <v xml:space="preserve"> </v>
      </c>
      <c r="AN747" s="2318"/>
      <c r="AO747" s="231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20"/>
      <c r="C748" s="2021"/>
      <c r="D748" s="2021"/>
      <c r="E748" s="2021"/>
      <c r="F748" s="2022"/>
      <c r="G748" s="2236"/>
      <c r="H748" s="2237"/>
      <c r="I748" s="2237"/>
      <c r="J748" s="2238"/>
      <c r="K748" s="2044"/>
      <c r="L748" s="2045"/>
      <c r="M748" s="2045"/>
      <c r="N748" s="2046"/>
      <c r="O748" s="2035"/>
      <c r="P748" s="2036"/>
      <c r="Q748" s="2036"/>
      <c r="R748" s="2036"/>
      <c r="S748" s="2037"/>
      <c r="T748" s="2112">
        <f t="shared" si="47"/>
        <v>0</v>
      </c>
      <c r="U748" s="2113"/>
      <c r="V748" s="2113"/>
      <c r="W748" s="2113"/>
      <c r="X748" s="2114"/>
      <c r="Y748" s="2035"/>
      <c r="Z748" s="2036"/>
      <c r="AA748" s="2036"/>
      <c r="AB748" s="2037"/>
      <c r="AC748" s="2112">
        <f t="shared" si="48"/>
        <v>0</v>
      </c>
      <c r="AD748" s="2113"/>
      <c r="AE748" s="2113"/>
      <c r="AF748" s="2113"/>
      <c r="AG748" s="2114"/>
      <c r="AH748" s="2281">
        <v>0</v>
      </c>
      <c r="AI748" s="2282"/>
      <c r="AJ748" s="2282"/>
      <c r="AK748" s="2282"/>
      <c r="AL748" s="2283"/>
      <c r="AM748" s="2317" t="str">
        <f t="shared" si="49"/>
        <v xml:space="preserve"> </v>
      </c>
      <c r="AN748" s="2318"/>
      <c r="AO748" s="231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20"/>
      <c r="C749" s="2021"/>
      <c r="D749" s="2021"/>
      <c r="E749" s="2021"/>
      <c r="F749" s="2022"/>
      <c r="G749" s="2236"/>
      <c r="H749" s="2237"/>
      <c r="I749" s="2237"/>
      <c r="J749" s="2238"/>
      <c r="K749" s="2044"/>
      <c r="L749" s="2045"/>
      <c r="M749" s="2045"/>
      <c r="N749" s="2046"/>
      <c r="O749" s="2035"/>
      <c r="P749" s="2036"/>
      <c r="Q749" s="2036"/>
      <c r="R749" s="2036"/>
      <c r="S749" s="2037"/>
      <c r="T749" s="2112">
        <f t="shared" si="47"/>
        <v>0</v>
      </c>
      <c r="U749" s="2113"/>
      <c r="V749" s="2113"/>
      <c r="W749" s="2113"/>
      <c r="X749" s="2114"/>
      <c r="Y749" s="2035"/>
      <c r="Z749" s="2036"/>
      <c r="AA749" s="2036"/>
      <c r="AB749" s="2037"/>
      <c r="AC749" s="2112">
        <f t="shared" si="48"/>
        <v>0</v>
      </c>
      <c r="AD749" s="2113"/>
      <c r="AE749" s="2113"/>
      <c r="AF749" s="2113"/>
      <c r="AG749" s="2114"/>
      <c r="AH749" s="2281">
        <v>0</v>
      </c>
      <c r="AI749" s="2282"/>
      <c r="AJ749" s="2282"/>
      <c r="AK749" s="2282"/>
      <c r="AL749" s="2283"/>
      <c r="AM749" s="2317" t="str">
        <f t="shared" si="49"/>
        <v xml:space="preserve"> </v>
      </c>
      <c r="AN749" s="2318"/>
      <c r="AO749" s="231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0"/>
      <c r="C750" s="2021"/>
      <c r="D750" s="2021"/>
      <c r="E750" s="2021"/>
      <c r="F750" s="2022"/>
      <c r="G750" s="2236"/>
      <c r="H750" s="2237"/>
      <c r="I750" s="2237"/>
      <c r="J750" s="2238"/>
      <c r="K750" s="2044"/>
      <c r="L750" s="2045"/>
      <c r="M750" s="2045"/>
      <c r="N750" s="2046"/>
      <c r="O750" s="2035"/>
      <c r="P750" s="2036"/>
      <c r="Q750" s="2036"/>
      <c r="R750" s="2036"/>
      <c r="S750" s="2037"/>
      <c r="T750" s="2112">
        <f t="shared" si="47"/>
        <v>0</v>
      </c>
      <c r="U750" s="2113"/>
      <c r="V750" s="2113"/>
      <c r="W750" s="2113"/>
      <c r="X750" s="2114"/>
      <c r="Y750" s="2035"/>
      <c r="Z750" s="2036"/>
      <c r="AA750" s="2036"/>
      <c r="AB750" s="2037"/>
      <c r="AC750" s="2112">
        <f t="shared" si="48"/>
        <v>0</v>
      </c>
      <c r="AD750" s="2113"/>
      <c r="AE750" s="2113"/>
      <c r="AF750" s="2113"/>
      <c r="AG750" s="2114"/>
      <c r="AH750" s="2281">
        <v>0</v>
      </c>
      <c r="AI750" s="2282"/>
      <c r="AJ750" s="2282"/>
      <c r="AK750" s="2282"/>
      <c r="AL750" s="2283"/>
      <c r="AM750" s="2317" t="str">
        <f t="shared" si="49"/>
        <v xml:space="preserve"> </v>
      </c>
      <c r="AN750" s="2318"/>
      <c r="AO750" s="231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0"/>
      <c r="C751" s="2021"/>
      <c r="D751" s="2021"/>
      <c r="E751" s="2021"/>
      <c r="F751" s="2022"/>
      <c r="G751" s="2236"/>
      <c r="H751" s="2237"/>
      <c r="I751" s="2237"/>
      <c r="J751" s="2238"/>
      <c r="K751" s="2044"/>
      <c r="L751" s="2045"/>
      <c r="M751" s="2045"/>
      <c r="N751" s="2046"/>
      <c r="O751" s="2035"/>
      <c r="P751" s="2036"/>
      <c r="Q751" s="2036"/>
      <c r="R751" s="2036"/>
      <c r="S751" s="2037"/>
      <c r="T751" s="2112">
        <f t="shared" si="47"/>
        <v>0</v>
      </c>
      <c r="U751" s="2113"/>
      <c r="V751" s="2113"/>
      <c r="W751" s="2113"/>
      <c r="X751" s="2114"/>
      <c r="Y751" s="2035"/>
      <c r="Z751" s="2036"/>
      <c r="AA751" s="2036"/>
      <c r="AB751" s="2037"/>
      <c r="AC751" s="2112">
        <f t="shared" si="48"/>
        <v>0</v>
      </c>
      <c r="AD751" s="2113"/>
      <c r="AE751" s="2113"/>
      <c r="AF751" s="2113"/>
      <c r="AG751" s="2114"/>
      <c r="AH751" s="2281">
        <v>0</v>
      </c>
      <c r="AI751" s="2282"/>
      <c r="AJ751" s="2282"/>
      <c r="AK751" s="2282"/>
      <c r="AL751" s="2283"/>
      <c r="AM751" s="2317" t="str">
        <f t="shared" si="49"/>
        <v xml:space="preserve"> </v>
      </c>
      <c r="AN751" s="2318"/>
      <c r="AO751" s="231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20"/>
      <c r="C752" s="2021"/>
      <c r="D752" s="2021"/>
      <c r="E752" s="2021"/>
      <c r="F752" s="2022"/>
      <c r="G752" s="2236"/>
      <c r="H752" s="2237"/>
      <c r="I752" s="2237"/>
      <c r="J752" s="2238"/>
      <c r="K752" s="2044"/>
      <c r="L752" s="2045"/>
      <c r="M752" s="2045"/>
      <c r="N752" s="2046"/>
      <c r="O752" s="2035"/>
      <c r="P752" s="2036"/>
      <c r="Q752" s="2036"/>
      <c r="R752" s="2036"/>
      <c r="S752" s="2037"/>
      <c r="T752" s="2112">
        <f t="shared" si="47"/>
        <v>0</v>
      </c>
      <c r="U752" s="2113"/>
      <c r="V752" s="2113"/>
      <c r="W752" s="2113"/>
      <c r="X752" s="2114"/>
      <c r="Y752" s="2035"/>
      <c r="Z752" s="2036"/>
      <c r="AA752" s="2036"/>
      <c r="AB752" s="2037"/>
      <c r="AC752" s="2112">
        <f t="shared" si="48"/>
        <v>0</v>
      </c>
      <c r="AD752" s="2113"/>
      <c r="AE752" s="2113"/>
      <c r="AF752" s="2113"/>
      <c r="AG752" s="2114"/>
      <c r="AH752" s="2281">
        <v>0</v>
      </c>
      <c r="AI752" s="2282"/>
      <c r="AJ752" s="2282"/>
      <c r="AK752" s="2282"/>
      <c r="AL752" s="2283"/>
      <c r="AM752" s="2317" t="str">
        <f t="shared" si="49"/>
        <v xml:space="preserve"> </v>
      </c>
      <c r="AN752" s="2318"/>
      <c r="AO752" s="231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1977" t="s">
        <v>130</v>
      </c>
      <c r="C753" s="1978"/>
      <c r="D753" s="1978"/>
      <c r="E753" s="1978"/>
      <c r="F753" s="1979"/>
      <c r="G753" s="2222">
        <f>SUM(G728:J752)</f>
        <v>192</v>
      </c>
      <c r="H753" s="2223"/>
      <c r="I753" s="2223"/>
      <c r="J753" s="2224"/>
      <c r="O753" s="1490" t="s">
        <v>129</v>
      </c>
      <c r="P753" s="1491"/>
      <c r="Q753" s="1491"/>
      <c r="R753" s="1491"/>
      <c r="S753" s="1492"/>
      <c r="T753" s="2112">
        <f>SUM(T728:X752)</f>
        <v>216780</v>
      </c>
      <c r="U753" s="2113"/>
      <c r="V753" s="2113"/>
      <c r="W753" s="2113"/>
      <c r="X753" s="2114"/>
      <c r="AC753" s="1494" t="s">
        <v>968</v>
      </c>
      <c r="AD753" s="1493"/>
      <c r="AE753" s="1493"/>
      <c r="AF753" s="1493"/>
      <c r="AG753" s="1495"/>
      <c r="AH753" s="2324">
        <f>BI696</f>
        <v>0.59583333333333333</v>
      </c>
      <c r="AI753" s="2325"/>
      <c r="AJ753" s="2325"/>
      <c r="AK753" s="2325"/>
      <c r="AL753" s="2326"/>
      <c r="AM753" s="2324">
        <f>BI728</f>
        <v>0.59581830079230336</v>
      </c>
      <c r="AN753" s="2325"/>
      <c r="AO753" s="2326"/>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21" t="s">
        <v>2467</v>
      </c>
      <c r="C754" s="2221"/>
      <c r="D754" s="2221"/>
      <c r="E754" s="2221"/>
      <c r="F754" s="2221"/>
      <c r="G754" s="2221"/>
      <c r="H754" s="2221"/>
      <c r="I754" s="2221"/>
      <c r="J754" s="2221"/>
      <c r="K754" s="2221"/>
      <c r="L754" s="2221"/>
      <c r="M754" s="2221"/>
      <c r="N754" s="2221"/>
      <c r="O754" s="2221"/>
      <c r="P754" s="2221"/>
      <c r="Q754" s="2221"/>
      <c r="R754" s="2221"/>
      <c r="S754" s="2221"/>
      <c r="T754" s="2221"/>
      <c r="U754" s="2221"/>
      <c r="V754" s="2221"/>
      <c r="W754" s="2221"/>
      <c r="X754" s="2221"/>
      <c r="Y754" s="2221"/>
      <c r="Z754" s="2221"/>
      <c r="AA754" s="2221"/>
      <c r="AB754" s="2221"/>
      <c r="AC754" s="2221"/>
      <c r="AD754" s="2221"/>
      <c r="AE754" s="2221"/>
      <c r="AF754" s="2221"/>
      <c r="AG754" s="2221"/>
      <c r="AH754" s="222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21"/>
      <c r="C755" s="2221"/>
      <c r="D755" s="2221"/>
      <c r="E755" s="2221"/>
      <c r="F755" s="2221"/>
      <c r="G755" s="2221"/>
      <c r="H755" s="2221"/>
      <c r="I755" s="2221"/>
      <c r="J755" s="2221"/>
      <c r="K755" s="2221"/>
      <c r="L755" s="2221"/>
      <c r="M755" s="2221"/>
      <c r="N755" s="2221"/>
      <c r="O755" s="2221"/>
      <c r="P755" s="2221"/>
      <c r="Q755" s="2221"/>
      <c r="R755" s="2221"/>
      <c r="S755" s="2221"/>
      <c r="T755" s="2221"/>
      <c r="U755" s="2221"/>
      <c r="V755" s="2221"/>
      <c r="W755" s="2221"/>
      <c r="X755" s="2221"/>
      <c r="Y755" s="2221"/>
      <c r="Z755" s="2221"/>
      <c r="AA755" s="2221"/>
      <c r="AB755" s="2221"/>
      <c r="AC755" s="2221"/>
      <c r="AD755" s="2221"/>
      <c r="AE755" s="2221"/>
      <c r="AF755" s="2221"/>
      <c r="AG755" s="2221"/>
      <c r="AH755" s="2221"/>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2465</v>
      </c>
      <c r="D756" s="1757"/>
      <c r="E756" s="1757"/>
      <c r="F756" s="1757"/>
      <c r="G756" s="1758"/>
      <c r="H756" s="1758"/>
      <c r="I756" s="1758"/>
      <c r="J756" s="1758"/>
      <c r="K756" s="1757"/>
      <c r="L756" s="1757"/>
      <c r="M756" s="1757"/>
      <c r="N756" s="1757"/>
      <c r="O756" s="2138">
        <f>CS637</f>
        <v>336</v>
      </c>
      <c r="P756" s="2138"/>
      <c r="Q756" s="2138"/>
      <c r="R756" s="2138"/>
      <c r="S756" s="1759"/>
      <c r="T756" s="1759"/>
      <c r="U756" s="179" t="s">
        <v>2466</v>
      </c>
      <c r="V756" s="1757"/>
      <c r="W756" s="1757"/>
      <c r="X756" s="1757"/>
      <c r="Y756" s="1758"/>
      <c r="Z756" s="1758"/>
      <c r="AA756" s="1758"/>
      <c r="AB756" s="1758"/>
      <c r="AC756" s="1757"/>
      <c r="AD756" s="1757"/>
      <c r="AE756" s="1757"/>
      <c r="AF756" s="1757"/>
      <c r="AG756" s="2231">
        <v>0</v>
      </c>
      <c r="AH756" s="2231"/>
      <c r="AI756" s="2231"/>
      <c r="AJ756" s="223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2463</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407" t="s">
        <v>625</v>
      </c>
      <c r="AE758" s="2407"/>
      <c r="AF758" s="2407"/>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2464</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181</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60"/>
      <c r="C762" s="2220" t="s">
        <v>2468</v>
      </c>
      <c r="D762" s="2220"/>
      <c r="E762" s="2220"/>
      <c r="F762" s="2220"/>
      <c r="G762" s="2220"/>
      <c r="H762" s="2220"/>
      <c r="I762" s="2220"/>
      <c r="J762" s="2220"/>
      <c r="K762" s="2220"/>
      <c r="L762" s="2220"/>
      <c r="M762" s="2220"/>
      <c r="N762" s="2220"/>
      <c r="O762" s="2220"/>
      <c r="P762" s="2220"/>
      <c r="Q762" s="2220"/>
      <c r="R762" s="2220"/>
      <c r="S762" s="2220"/>
      <c r="T762" s="2220"/>
      <c r="U762" s="2220"/>
      <c r="V762" s="2220"/>
      <c r="W762" s="2220"/>
      <c r="X762" s="2220"/>
      <c r="Y762" s="2220"/>
      <c r="Z762" s="2220"/>
      <c r="AA762" s="2220"/>
      <c r="AB762" s="2220"/>
      <c r="AC762" s="2220"/>
      <c r="AD762" s="2220"/>
      <c r="AE762" s="2220"/>
      <c r="AF762" s="2220"/>
      <c r="AG762" s="2220"/>
      <c r="AH762" s="2220"/>
      <c r="AI762" s="2220"/>
      <c r="AJ762" s="2220"/>
      <c r="AK762" s="2220"/>
      <c r="AL762" s="2220"/>
      <c r="AM762" s="2220"/>
      <c r="AN762" s="2220"/>
      <c r="AO762" s="2220"/>
      <c r="AP762" s="2220"/>
      <c r="AQ762" s="2220"/>
      <c r="AR762" s="2220"/>
      <c r="AS762" s="239"/>
      <c r="AT762" s="239"/>
      <c r="AU762" s="239"/>
      <c r="AV762" s="239"/>
      <c r="AW762" s="239"/>
      <c r="AX762" s="239"/>
      <c r="AY762" s="239"/>
      <c r="CR762" s="177"/>
    </row>
    <row r="763" spans="1:16383" s="58" customFormat="1" ht="12.75" customHeight="1">
      <c r="A763" s="239"/>
      <c r="B763" s="1760"/>
      <c r="C763" s="2220"/>
      <c r="D763" s="2220"/>
      <c r="E763" s="2220"/>
      <c r="F763" s="2220"/>
      <c r="G763" s="2220"/>
      <c r="H763" s="2220"/>
      <c r="I763" s="2220"/>
      <c r="J763" s="2220"/>
      <c r="K763" s="2220"/>
      <c r="L763" s="2220"/>
      <c r="M763" s="2220"/>
      <c r="N763" s="2220"/>
      <c r="O763" s="2220"/>
      <c r="P763" s="2220"/>
      <c r="Q763" s="2220"/>
      <c r="R763" s="2220"/>
      <c r="S763" s="2220"/>
      <c r="T763" s="2220"/>
      <c r="U763" s="2220"/>
      <c r="V763" s="2220"/>
      <c r="W763" s="2220"/>
      <c r="X763" s="2220"/>
      <c r="Y763" s="2220"/>
      <c r="Z763" s="2220"/>
      <c r="AA763" s="2220"/>
      <c r="AB763" s="2220"/>
      <c r="AC763" s="2220"/>
      <c r="AD763" s="2220"/>
      <c r="AE763" s="2220"/>
      <c r="AF763" s="2220"/>
      <c r="AG763" s="2220"/>
      <c r="AH763" s="2220"/>
      <c r="AI763" s="2220"/>
      <c r="AJ763" s="2220"/>
      <c r="AK763" s="2220"/>
      <c r="AL763" s="2220"/>
      <c r="AM763" s="2220"/>
      <c r="AN763" s="2220"/>
      <c r="AO763" s="2220"/>
      <c r="AP763" s="2220"/>
      <c r="AQ763" s="2220"/>
      <c r="AR763" s="2220"/>
      <c r="AS763" s="239"/>
      <c r="AT763" s="239"/>
      <c r="AU763" s="239"/>
      <c r="AV763" s="239"/>
      <c r="AW763" s="239"/>
      <c r="AX763" s="239"/>
      <c r="AY763" s="239"/>
      <c r="CR763" s="177"/>
    </row>
    <row r="764" spans="1:16383" s="58" customFormat="1" ht="12.75" customHeight="1">
      <c r="B764" s="1760"/>
      <c r="C764" s="2220"/>
      <c r="D764" s="2220"/>
      <c r="E764" s="2220"/>
      <c r="F764" s="2220"/>
      <c r="G764" s="2220"/>
      <c r="H764" s="2220"/>
      <c r="I764" s="2220"/>
      <c r="J764" s="2220"/>
      <c r="K764" s="2220"/>
      <c r="L764" s="2220"/>
      <c r="M764" s="2220"/>
      <c r="N764" s="2220"/>
      <c r="O764" s="2220"/>
      <c r="P764" s="2220"/>
      <c r="Q764" s="2220"/>
      <c r="R764" s="2220"/>
      <c r="S764" s="2220"/>
      <c r="T764" s="2220"/>
      <c r="U764" s="2220"/>
      <c r="V764" s="2220"/>
      <c r="W764" s="2220"/>
      <c r="X764" s="2220"/>
      <c r="Y764" s="2220"/>
      <c r="Z764" s="2220"/>
      <c r="AA764" s="2220"/>
      <c r="AB764" s="2220"/>
      <c r="AC764" s="2220"/>
      <c r="AD764" s="2220"/>
      <c r="AE764" s="2220"/>
      <c r="AF764" s="2220"/>
      <c r="AG764" s="2220"/>
      <c r="AH764" s="2220"/>
      <c r="AI764" s="2220"/>
      <c r="AJ764" s="2220"/>
      <c r="AK764" s="2220"/>
      <c r="AL764" s="2220"/>
      <c r="AM764" s="2220"/>
      <c r="AN764" s="2220"/>
      <c r="AO764" s="2220"/>
      <c r="AP764" s="2220"/>
      <c r="AQ764" s="2220"/>
      <c r="AR764" s="2220"/>
      <c r="AS764" s="239"/>
      <c r="AT764" s="239"/>
      <c r="AU764" s="239"/>
      <c r="AV764" s="239"/>
      <c r="AW764" s="239"/>
      <c r="AX764" s="239"/>
      <c r="AY764" s="239"/>
      <c r="CR764" s="177"/>
    </row>
    <row r="765" spans="1:16383" s="58" customFormat="1" ht="12.75" customHeight="1">
      <c r="B765" s="1760"/>
      <c r="C765" s="2220" t="s">
        <v>2469</v>
      </c>
      <c r="D765" s="2220"/>
      <c r="E765" s="2220"/>
      <c r="F765" s="2220"/>
      <c r="G765" s="2220"/>
      <c r="H765" s="2220"/>
      <c r="I765" s="2220"/>
      <c r="J765" s="2220"/>
      <c r="K765" s="2220"/>
      <c r="L765" s="2220"/>
      <c r="M765" s="2220"/>
      <c r="N765" s="2220"/>
      <c r="O765" s="2220"/>
      <c r="P765" s="2220"/>
      <c r="Q765" s="2220"/>
      <c r="R765" s="2220"/>
      <c r="S765" s="2220"/>
      <c r="T765" s="2220"/>
      <c r="U765" s="2220"/>
      <c r="V765" s="2220"/>
      <c r="W765" s="2220"/>
      <c r="X765" s="2220"/>
      <c r="Y765" s="2220"/>
      <c r="Z765" s="2220"/>
      <c r="AA765" s="2220"/>
      <c r="AB765" s="2220"/>
      <c r="AC765" s="2220"/>
      <c r="AD765" s="2220"/>
      <c r="AE765" s="2220"/>
      <c r="AF765" s="2220"/>
      <c r="AG765" s="2220"/>
      <c r="AH765" s="2220"/>
      <c r="AI765" s="2220"/>
      <c r="AJ765" s="2220"/>
      <c r="AK765" s="2220"/>
      <c r="AL765" s="2220"/>
      <c r="AM765" s="2220"/>
      <c r="AN765" s="2220"/>
      <c r="AO765" s="2220"/>
      <c r="AP765" s="2220"/>
      <c r="AQ765" s="2220"/>
      <c r="AR765" s="2220"/>
      <c r="AS765" s="239"/>
      <c r="AT765" s="239"/>
      <c r="AU765" s="239"/>
      <c r="AV765" s="239"/>
      <c r="AW765" s="239"/>
      <c r="AX765" s="239"/>
      <c r="AY765" s="239"/>
      <c r="CR765" s="177"/>
    </row>
    <row r="766" spans="1:16383" s="58" customFormat="1" ht="12.75" customHeight="1">
      <c r="B766" s="1760"/>
      <c r="C766" s="2220"/>
      <c r="D766" s="2220"/>
      <c r="E766" s="2220"/>
      <c r="F766" s="2220"/>
      <c r="G766" s="2220"/>
      <c r="H766" s="2220"/>
      <c r="I766" s="2220"/>
      <c r="J766" s="2220"/>
      <c r="K766" s="2220"/>
      <c r="L766" s="2220"/>
      <c r="M766" s="2220"/>
      <c r="N766" s="2220"/>
      <c r="O766" s="2220"/>
      <c r="P766" s="2220"/>
      <c r="Q766" s="2220"/>
      <c r="R766" s="2220"/>
      <c r="S766" s="2220"/>
      <c r="T766" s="2220"/>
      <c r="U766" s="2220"/>
      <c r="V766" s="2220"/>
      <c r="W766" s="2220"/>
      <c r="X766" s="2220"/>
      <c r="Y766" s="2220"/>
      <c r="Z766" s="2220"/>
      <c r="AA766" s="2220"/>
      <c r="AB766" s="2220"/>
      <c r="AC766" s="2220"/>
      <c r="AD766" s="2220"/>
      <c r="AE766" s="2220"/>
      <c r="AF766" s="2220"/>
      <c r="AG766" s="2220"/>
      <c r="AH766" s="2220"/>
      <c r="AI766" s="2220"/>
      <c r="AJ766" s="2220"/>
      <c r="AK766" s="2220"/>
      <c r="AL766" s="2220"/>
      <c r="AM766" s="2220"/>
      <c r="AN766" s="2220"/>
      <c r="AO766" s="2220"/>
      <c r="AP766" s="2220"/>
      <c r="AQ766" s="2220"/>
      <c r="AR766" s="2220"/>
      <c r="AS766" s="239"/>
      <c r="AT766" s="239"/>
      <c r="AU766" s="239"/>
      <c r="AV766" s="239"/>
      <c r="AW766" s="239"/>
      <c r="AX766" s="239"/>
      <c r="AY766" s="239"/>
      <c r="CR766" s="177"/>
    </row>
    <row r="767" spans="1:16383" s="58" customFormat="1" ht="12.75" customHeight="1">
      <c r="B767" s="1760"/>
      <c r="C767" s="2220"/>
      <c r="D767" s="2220"/>
      <c r="E767" s="2220"/>
      <c r="F767" s="2220"/>
      <c r="G767" s="2220"/>
      <c r="H767" s="2220"/>
      <c r="I767" s="2220"/>
      <c r="J767" s="2220"/>
      <c r="K767" s="2220"/>
      <c r="L767" s="2220"/>
      <c r="M767" s="2220"/>
      <c r="N767" s="2220"/>
      <c r="O767" s="2220"/>
      <c r="P767" s="2220"/>
      <c r="Q767" s="2220"/>
      <c r="R767" s="2220"/>
      <c r="S767" s="2220"/>
      <c r="T767" s="2220"/>
      <c r="U767" s="2220"/>
      <c r="V767" s="2220"/>
      <c r="W767" s="2220"/>
      <c r="X767" s="2220"/>
      <c r="Y767" s="2220"/>
      <c r="Z767" s="2220"/>
      <c r="AA767" s="2220"/>
      <c r="AB767" s="2220"/>
      <c r="AC767" s="2220"/>
      <c r="AD767" s="2220"/>
      <c r="AE767" s="2220"/>
      <c r="AF767" s="2220"/>
      <c r="AG767" s="2220"/>
      <c r="AH767" s="2220"/>
      <c r="AI767" s="2220"/>
      <c r="AJ767" s="2220"/>
      <c r="AK767" s="2220"/>
      <c r="AL767" s="2220"/>
      <c r="AM767" s="2220"/>
      <c r="AN767" s="2220"/>
      <c r="AO767" s="2220"/>
      <c r="AP767" s="2220"/>
      <c r="AQ767" s="2220"/>
      <c r="AR767" s="2220"/>
      <c r="AS767" s="239"/>
      <c r="AT767" s="239"/>
      <c r="AU767" s="239"/>
      <c r="AV767" s="239"/>
      <c r="AW767" s="239"/>
      <c r="AX767" s="239"/>
      <c r="AY767" s="239"/>
      <c r="CR767" s="177"/>
    </row>
    <row r="768" spans="1:16383" ht="12.75" customHeight="1">
      <c r="J768" s="2082" t="s">
        <v>406</v>
      </c>
      <c r="K768" s="2083"/>
      <c r="L768" s="2083"/>
      <c r="M768" s="2083"/>
      <c r="N768" s="2084"/>
      <c r="O768" s="2230" t="s">
        <v>290</v>
      </c>
      <c r="P768" s="2230"/>
      <c r="Q768" s="2230"/>
      <c r="R768" s="2230"/>
      <c r="S768" s="2230"/>
      <c r="T768" s="2308" t="s">
        <v>2097</v>
      </c>
      <c r="U768" s="2309"/>
      <c r="V768" s="2309"/>
      <c r="W768" s="2310"/>
      <c r="X768" s="2082" t="s">
        <v>477</v>
      </c>
      <c r="Y768" s="2083"/>
      <c r="Z768" s="2083"/>
      <c r="AA768" s="2083"/>
      <c r="AB768" s="2084"/>
      <c r="AC768" s="2082" t="s">
        <v>291</v>
      </c>
      <c r="AD768" s="2083"/>
      <c r="AE768" s="2083"/>
      <c r="AF768" s="2083"/>
      <c r="AG768" s="2084"/>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5"/>
      <c r="K769" s="2086"/>
      <c r="L769" s="2086"/>
      <c r="M769" s="2086"/>
      <c r="N769" s="2087"/>
      <c r="O769" s="2230"/>
      <c r="P769" s="2230"/>
      <c r="Q769" s="2230"/>
      <c r="R769" s="2230"/>
      <c r="S769" s="2230"/>
      <c r="T769" s="2311"/>
      <c r="U769" s="2312"/>
      <c r="V769" s="2312"/>
      <c r="W769" s="2313"/>
      <c r="X769" s="2085"/>
      <c r="Y769" s="2086"/>
      <c r="Z769" s="2086"/>
      <c r="AA769" s="2086"/>
      <c r="AB769" s="2087"/>
      <c r="AC769" s="2085"/>
      <c r="AD769" s="2086"/>
      <c r="AE769" s="2086"/>
      <c r="AF769" s="2086"/>
      <c r="AG769" s="2087"/>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5"/>
      <c r="K770" s="2086"/>
      <c r="L770" s="2086"/>
      <c r="M770" s="2086"/>
      <c r="N770" s="2087"/>
      <c r="O770" s="2230"/>
      <c r="P770" s="2230"/>
      <c r="Q770" s="2230"/>
      <c r="R770" s="2230"/>
      <c r="S770" s="2230"/>
      <c r="T770" s="2311"/>
      <c r="U770" s="2312"/>
      <c r="V770" s="2312"/>
      <c r="W770" s="2313"/>
      <c r="X770" s="2085"/>
      <c r="Y770" s="2086"/>
      <c r="Z770" s="2086"/>
      <c r="AA770" s="2086"/>
      <c r="AB770" s="2087"/>
      <c r="AC770" s="2085"/>
      <c r="AD770" s="2086"/>
      <c r="AE770" s="2086"/>
      <c r="AF770" s="2086"/>
      <c r="AG770" s="2087"/>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8"/>
      <c r="K771" s="2089"/>
      <c r="L771" s="2089"/>
      <c r="M771" s="2089"/>
      <c r="N771" s="2090"/>
      <c r="O771" s="2230"/>
      <c r="P771" s="2230"/>
      <c r="Q771" s="2230"/>
      <c r="R771" s="2230"/>
      <c r="S771" s="2230"/>
      <c r="T771" s="2404"/>
      <c r="U771" s="2405"/>
      <c r="V771" s="2405"/>
      <c r="W771" s="2406"/>
      <c r="X771" s="2088"/>
      <c r="Y771" s="2089"/>
      <c r="Z771" s="2089"/>
      <c r="AA771" s="2089"/>
      <c r="AB771" s="2090"/>
      <c r="AC771" s="2088"/>
      <c r="AD771" s="2089"/>
      <c r="AE771" s="2089"/>
      <c r="AF771" s="2089"/>
      <c r="AG771" s="2090"/>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9" t="s">
        <v>169</v>
      </c>
      <c r="K772" s="2030"/>
      <c r="L772" s="2030"/>
      <c r="M772" s="2030"/>
      <c r="N772" s="2240"/>
      <c r="O772" s="2241">
        <v>2</v>
      </c>
      <c r="P772" s="2241"/>
      <c r="Q772" s="2241"/>
      <c r="R772" s="2241"/>
      <c r="S772" s="2241"/>
      <c r="T772" s="2044">
        <v>1144</v>
      </c>
      <c r="U772" s="2045"/>
      <c r="V772" s="2045"/>
      <c r="W772" s="2046"/>
      <c r="X772" s="2035"/>
      <c r="Y772" s="2036"/>
      <c r="Z772" s="2036"/>
      <c r="AA772" s="2036"/>
      <c r="AB772" s="2037"/>
      <c r="AC772" s="2112">
        <f>X772*O772</f>
        <v>0</v>
      </c>
      <c r="AD772" s="2113"/>
      <c r="AE772" s="2113"/>
      <c r="AF772" s="2113"/>
      <c r="AG772" s="211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0"/>
      <c r="K773" s="2021"/>
      <c r="L773" s="2021"/>
      <c r="M773" s="2021"/>
      <c r="N773" s="2022"/>
      <c r="O773" s="2051"/>
      <c r="P773" s="2051"/>
      <c r="Q773" s="2051"/>
      <c r="R773" s="2051"/>
      <c r="S773" s="2051"/>
      <c r="T773" s="2044"/>
      <c r="U773" s="2045"/>
      <c r="V773" s="2045"/>
      <c r="W773" s="2046"/>
      <c r="X773" s="2035"/>
      <c r="Y773" s="2036"/>
      <c r="Z773" s="2036"/>
      <c r="AA773" s="2036"/>
      <c r="AB773" s="2037"/>
      <c r="AC773" s="2112">
        <f>X773*O773</f>
        <v>0</v>
      </c>
      <c r="AD773" s="2113"/>
      <c r="AE773" s="2113"/>
      <c r="AF773" s="2113"/>
      <c r="AG773" s="211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0"/>
      <c r="K774" s="2021"/>
      <c r="L774" s="2021"/>
      <c r="M774" s="2021"/>
      <c r="N774" s="2022"/>
      <c r="O774" s="2051"/>
      <c r="P774" s="2051"/>
      <c r="Q774" s="2051"/>
      <c r="R774" s="2051"/>
      <c r="S774" s="2051"/>
      <c r="T774" s="2044"/>
      <c r="U774" s="2045"/>
      <c r="V774" s="2045"/>
      <c r="W774" s="2046"/>
      <c r="X774" s="2035"/>
      <c r="Y774" s="2036"/>
      <c r="Z774" s="2036"/>
      <c r="AA774" s="2036"/>
      <c r="AB774" s="2037"/>
      <c r="AC774" s="2112">
        <f>X774*O774</f>
        <v>0</v>
      </c>
      <c r="AD774" s="2113"/>
      <c r="AE774" s="2113"/>
      <c r="AF774" s="2113"/>
      <c r="AG774" s="211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0"/>
      <c r="K775" s="2021"/>
      <c r="L775" s="2021"/>
      <c r="M775" s="2021"/>
      <c r="N775" s="2022"/>
      <c r="O775" s="2051"/>
      <c r="P775" s="2051"/>
      <c r="Q775" s="2051"/>
      <c r="R775" s="2051"/>
      <c r="S775" s="2051"/>
      <c r="T775" s="2044"/>
      <c r="U775" s="2045"/>
      <c r="V775" s="2045"/>
      <c r="W775" s="2046"/>
      <c r="X775" s="2035"/>
      <c r="Y775" s="2036"/>
      <c r="Z775" s="2036"/>
      <c r="AA775" s="2036"/>
      <c r="AB775" s="2037"/>
      <c r="AC775" s="2112">
        <f>X775*O775</f>
        <v>0</v>
      </c>
      <c r="AD775" s="2113"/>
      <c r="AE775" s="2113"/>
      <c r="AF775" s="2113"/>
      <c r="AG775" s="211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1977" t="s">
        <v>130</v>
      </c>
      <c r="K776" s="1978"/>
      <c r="L776" s="1978"/>
      <c r="M776" s="1978"/>
      <c r="N776" s="1979"/>
      <c r="O776" s="2353">
        <f>SUM(O772:S775)</f>
        <v>2</v>
      </c>
      <c r="P776" s="2354"/>
      <c r="Q776" s="2354"/>
      <c r="R776" s="2354"/>
      <c r="S776" s="2355"/>
      <c r="X776" s="2401" t="s">
        <v>129</v>
      </c>
      <c r="Y776" s="2402"/>
      <c r="Z776" s="2402"/>
      <c r="AA776" s="2402"/>
      <c r="AB776" s="2403"/>
      <c r="AC776" s="2112">
        <f>SUM(AC772:AG775)</f>
        <v>0</v>
      </c>
      <c r="AD776" s="2113"/>
      <c r="AE776" s="2113"/>
      <c r="AF776" s="2113"/>
      <c r="AG776" s="211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6" t="s">
        <v>705</v>
      </c>
      <c r="K778" s="201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2" t="s">
        <v>406</v>
      </c>
      <c r="K782" s="2083"/>
      <c r="L782" s="2083"/>
      <c r="M782" s="2083"/>
      <c r="N782" s="2084"/>
      <c r="O782" s="2230" t="s">
        <v>290</v>
      </c>
      <c r="P782" s="2230"/>
      <c r="Q782" s="2230"/>
      <c r="R782" s="2230"/>
      <c r="S782" s="2230"/>
      <c r="T782" s="2308" t="s">
        <v>2097</v>
      </c>
      <c r="U782" s="2309"/>
      <c r="V782" s="2309"/>
      <c r="W782" s="2310"/>
      <c r="X782" s="2082" t="s">
        <v>477</v>
      </c>
      <c r="Y782" s="2083"/>
      <c r="Z782" s="2083"/>
      <c r="AA782" s="2083"/>
      <c r="AB782" s="2084"/>
      <c r="AC782" s="2082" t="s">
        <v>291</v>
      </c>
      <c r="AD782" s="2083"/>
      <c r="AE782" s="2083"/>
      <c r="AF782" s="2083"/>
      <c r="AG782" s="2084"/>
      <c r="AH782" s="2327" t="s">
        <v>2326</v>
      </c>
      <c r="AI782" s="2083"/>
      <c r="AJ782" s="2083"/>
      <c r="AK782" s="2083"/>
      <c r="AL782" s="208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5"/>
      <c r="K783" s="2086"/>
      <c r="L783" s="2086"/>
      <c r="M783" s="2086"/>
      <c r="N783" s="2087"/>
      <c r="O783" s="2230"/>
      <c r="P783" s="2230"/>
      <c r="Q783" s="2230"/>
      <c r="R783" s="2230"/>
      <c r="S783" s="2230"/>
      <c r="T783" s="2311"/>
      <c r="U783" s="2312"/>
      <c r="V783" s="2312"/>
      <c r="W783" s="2313"/>
      <c r="X783" s="2085"/>
      <c r="Y783" s="2086"/>
      <c r="Z783" s="2086"/>
      <c r="AA783" s="2086"/>
      <c r="AB783" s="2087"/>
      <c r="AC783" s="2085"/>
      <c r="AD783" s="2086"/>
      <c r="AE783" s="2086"/>
      <c r="AF783" s="2086"/>
      <c r="AG783" s="2087"/>
      <c r="AH783" s="2085"/>
      <c r="AI783" s="2086"/>
      <c r="AJ783" s="2086"/>
      <c r="AK783" s="2086"/>
      <c r="AL783" s="208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5"/>
      <c r="K784" s="2086"/>
      <c r="L784" s="2086"/>
      <c r="M784" s="2086"/>
      <c r="N784" s="2087"/>
      <c r="O784" s="2230"/>
      <c r="P784" s="2230"/>
      <c r="Q784" s="2230"/>
      <c r="R784" s="2230"/>
      <c r="S784" s="2230"/>
      <c r="T784" s="2311"/>
      <c r="U784" s="2312"/>
      <c r="V784" s="2312"/>
      <c r="W784" s="2313"/>
      <c r="X784" s="2085"/>
      <c r="Y784" s="2086"/>
      <c r="Z784" s="2086"/>
      <c r="AA784" s="2086"/>
      <c r="AB784" s="2087"/>
      <c r="AC784" s="2085"/>
      <c r="AD784" s="2086"/>
      <c r="AE784" s="2086"/>
      <c r="AF784" s="2086"/>
      <c r="AG784" s="2087"/>
      <c r="AH784" s="2085"/>
      <c r="AI784" s="2086"/>
      <c r="AJ784" s="2086"/>
      <c r="AK784" s="2086"/>
      <c r="AL784" s="208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8"/>
      <c r="K785" s="2089"/>
      <c r="L785" s="2089"/>
      <c r="M785" s="2089"/>
      <c r="N785" s="2090"/>
      <c r="O785" s="2230"/>
      <c r="P785" s="2230"/>
      <c r="Q785" s="2230"/>
      <c r="R785" s="2230"/>
      <c r="S785" s="2230"/>
      <c r="T785" s="2404"/>
      <c r="U785" s="2405"/>
      <c r="V785" s="2405"/>
      <c r="W785" s="2406"/>
      <c r="X785" s="2088"/>
      <c r="Y785" s="2089"/>
      <c r="Z785" s="2089"/>
      <c r="AA785" s="2089"/>
      <c r="AB785" s="2090"/>
      <c r="AC785" s="2088"/>
      <c r="AD785" s="2089"/>
      <c r="AE785" s="2089"/>
      <c r="AF785" s="2089"/>
      <c r="AG785" s="2090"/>
      <c r="AH785" s="2088"/>
      <c r="AI785" s="2089"/>
      <c r="AJ785" s="2089"/>
      <c r="AK785" s="2089"/>
      <c r="AL785" s="209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0"/>
      <c r="K786" s="2021"/>
      <c r="L786" s="2021"/>
      <c r="M786" s="2021"/>
      <c r="N786" s="2022"/>
      <c r="O786" s="2051"/>
      <c r="P786" s="2051"/>
      <c r="Q786" s="2051"/>
      <c r="R786" s="2051"/>
      <c r="S786" s="2051"/>
      <c r="T786" s="2044"/>
      <c r="U786" s="2045"/>
      <c r="V786" s="2045"/>
      <c r="W786" s="2046"/>
      <c r="X786" s="2035"/>
      <c r="Y786" s="2036"/>
      <c r="Z786" s="2036"/>
      <c r="AA786" s="2036"/>
      <c r="AB786" s="2037"/>
      <c r="AC786" s="2112">
        <f t="shared" ref="AC786:AC795" si="50">X786*O786</f>
        <v>0</v>
      </c>
      <c r="AD786" s="2113"/>
      <c r="AE786" s="2113"/>
      <c r="AF786" s="2113"/>
      <c r="AG786" s="2114"/>
      <c r="AH786" s="2281"/>
      <c r="AI786" s="2282"/>
      <c r="AJ786" s="2282"/>
      <c r="AK786" s="2282"/>
      <c r="AL786" s="228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0"/>
      <c r="K787" s="2021"/>
      <c r="L787" s="2021"/>
      <c r="M787" s="2021"/>
      <c r="N787" s="2022"/>
      <c r="O787" s="2051"/>
      <c r="P787" s="2051"/>
      <c r="Q787" s="2051"/>
      <c r="R787" s="2051"/>
      <c r="S787" s="2051"/>
      <c r="T787" s="2044"/>
      <c r="U787" s="2045"/>
      <c r="V787" s="2045"/>
      <c r="W787" s="2046"/>
      <c r="X787" s="2035"/>
      <c r="Y787" s="2036"/>
      <c r="Z787" s="2036"/>
      <c r="AA787" s="2036"/>
      <c r="AB787" s="2037"/>
      <c r="AC787" s="2112">
        <f t="shared" si="50"/>
        <v>0</v>
      </c>
      <c r="AD787" s="2113"/>
      <c r="AE787" s="2113"/>
      <c r="AF787" s="2113"/>
      <c r="AG787" s="2114"/>
      <c r="AH787" s="2281"/>
      <c r="AI787" s="2282"/>
      <c r="AJ787" s="2282"/>
      <c r="AK787" s="2282"/>
      <c r="AL787" s="228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0"/>
      <c r="K788" s="2021"/>
      <c r="L788" s="2021"/>
      <c r="M788" s="2021"/>
      <c r="N788" s="2022"/>
      <c r="O788" s="2051"/>
      <c r="P788" s="2051"/>
      <c r="Q788" s="2051"/>
      <c r="R788" s="2051"/>
      <c r="S788" s="2051"/>
      <c r="T788" s="2044"/>
      <c r="U788" s="2045"/>
      <c r="V788" s="2045"/>
      <c r="W788" s="2046"/>
      <c r="X788" s="2035"/>
      <c r="Y788" s="2036"/>
      <c r="Z788" s="2036"/>
      <c r="AA788" s="2036"/>
      <c r="AB788" s="2037"/>
      <c r="AC788" s="2112">
        <f t="shared" si="50"/>
        <v>0</v>
      </c>
      <c r="AD788" s="2113"/>
      <c r="AE788" s="2113"/>
      <c r="AF788" s="2113"/>
      <c r="AG788" s="2114"/>
      <c r="AH788" s="2281"/>
      <c r="AI788" s="2282"/>
      <c r="AJ788" s="2282"/>
      <c r="AK788" s="2282"/>
      <c r="AL788" s="228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0"/>
      <c r="K789" s="2021"/>
      <c r="L789" s="2021"/>
      <c r="M789" s="2021"/>
      <c r="N789" s="2022"/>
      <c r="O789" s="2051"/>
      <c r="P789" s="2051"/>
      <c r="Q789" s="2051"/>
      <c r="R789" s="2051"/>
      <c r="S789" s="2051"/>
      <c r="T789" s="2044"/>
      <c r="U789" s="2045"/>
      <c r="V789" s="2045"/>
      <c r="W789" s="2046"/>
      <c r="X789" s="2035"/>
      <c r="Y789" s="2036"/>
      <c r="Z789" s="2036"/>
      <c r="AA789" s="2036"/>
      <c r="AB789" s="2037"/>
      <c r="AC789" s="2112">
        <f t="shared" si="50"/>
        <v>0</v>
      </c>
      <c r="AD789" s="2113"/>
      <c r="AE789" s="2113"/>
      <c r="AF789" s="2113"/>
      <c r="AG789" s="2114"/>
      <c r="AH789" s="2281"/>
      <c r="AI789" s="2282"/>
      <c r="AJ789" s="2282"/>
      <c r="AK789" s="2282"/>
      <c r="AL789" s="228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0"/>
      <c r="K790" s="2021"/>
      <c r="L790" s="2021"/>
      <c r="M790" s="2021"/>
      <c r="N790" s="2022"/>
      <c r="O790" s="2051"/>
      <c r="P790" s="2051"/>
      <c r="Q790" s="2051"/>
      <c r="R790" s="2051"/>
      <c r="S790" s="2051"/>
      <c r="T790" s="2044"/>
      <c r="U790" s="2045"/>
      <c r="V790" s="2045"/>
      <c r="W790" s="2046"/>
      <c r="X790" s="2035"/>
      <c r="Y790" s="2036"/>
      <c r="Z790" s="2036"/>
      <c r="AA790" s="2036"/>
      <c r="AB790" s="2037"/>
      <c r="AC790" s="2112">
        <f t="shared" si="50"/>
        <v>0</v>
      </c>
      <c r="AD790" s="2113"/>
      <c r="AE790" s="2113"/>
      <c r="AF790" s="2113"/>
      <c r="AG790" s="2114"/>
      <c r="AH790" s="2281"/>
      <c r="AI790" s="2282"/>
      <c r="AJ790" s="2282"/>
      <c r="AK790" s="2282"/>
      <c r="AL790" s="228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0"/>
      <c r="K791" s="2021"/>
      <c r="L791" s="2021"/>
      <c r="M791" s="2021"/>
      <c r="N791" s="2022"/>
      <c r="O791" s="2051"/>
      <c r="P791" s="2051"/>
      <c r="Q791" s="2051"/>
      <c r="R791" s="2051"/>
      <c r="S791" s="2051"/>
      <c r="T791" s="2044"/>
      <c r="U791" s="2045"/>
      <c r="V791" s="2045"/>
      <c r="W791" s="2046"/>
      <c r="X791" s="2035"/>
      <c r="Y791" s="2036"/>
      <c r="Z791" s="2036"/>
      <c r="AA791" s="2036"/>
      <c r="AB791" s="2037"/>
      <c r="AC791" s="2112">
        <f t="shared" si="50"/>
        <v>0</v>
      </c>
      <c r="AD791" s="2113"/>
      <c r="AE791" s="2113"/>
      <c r="AF791" s="2113"/>
      <c r="AG791" s="2114"/>
      <c r="AH791" s="2281"/>
      <c r="AI791" s="2282"/>
      <c r="AJ791" s="2282"/>
      <c r="AK791" s="2282"/>
      <c r="AL791" s="228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0"/>
      <c r="K792" s="2021"/>
      <c r="L792" s="2021"/>
      <c r="M792" s="2021"/>
      <c r="N792" s="2022"/>
      <c r="O792" s="2051"/>
      <c r="P792" s="2051"/>
      <c r="Q792" s="2051"/>
      <c r="R792" s="2051"/>
      <c r="S792" s="2051"/>
      <c r="T792" s="2044"/>
      <c r="U792" s="2045"/>
      <c r="V792" s="2045"/>
      <c r="W792" s="2046"/>
      <c r="X792" s="2035"/>
      <c r="Y792" s="2036"/>
      <c r="Z792" s="2036"/>
      <c r="AA792" s="2036"/>
      <c r="AB792" s="2037"/>
      <c r="AC792" s="2112">
        <f t="shared" si="50"/>
        <v>0</v>
      </c>
      <c r="AD792" s="2113"/>
      <c r="AE792" s="2113"/>
      <c r="AF792" s="2113"/>
      <c r="AG792" s="2114"/>
      <c r="AH792" s="2281"/>
      <c r="AI792" s="2282"/>
      <c r="AJ792" s="2282"/>
      <c r="AK792" s="2282"/>
      <c r="AL792" s="228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0"/>
      <c r="K793" s="2021"/>
      <c r="L793" s="2021"/>
      <c r="M793" s="2021"/>
      <c r="N793" s="2022"/>
      <c r="O793" s="2051"/>
      <c r="P793" s="2051"/>
      <c r="Q793" s="2051"/>
      <c r="R793" s="2051"/>
      <c r="S793" s="2051"/>
      <c r="T793" s="2044"/>
      <c r="U793" s="2045"/>
      <c r="V793" s="2045"/>
      <c r="W793" s="2046"/>
      <c r="X793" s="2035"/>
      <c r="Y793" s="2036"/>
      <c r="Z793" s="2036"/>
      <c r="AA793" s="2036"/>
      <c r="AB793" s="2037"/>
      <c r="AC793" s="2112">
        <f t="shared" si="50"/>
        <v>0</v>
      </c>
      <c r="AD793" s="2113"/>
      <c r="AE793" s="2113"/>
      <c r="AF793" s="2113"/>
      <c r="AG793" s="2114"/>
      <c r="AH793" s="2281"/>
      <c r="AI793" s="2282"/>
      <c r="AJ793" s="2282"/>
      <c r="AK793" s="2282"/>
      <c r="AL793" s="228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0"/>
      <c r="K794" s="2021"/>
      <c r="L794" s="2021"/>
      <c r="M794" s="2021"/>
      <c r="N794" s="2022"/>
      <c r="O794" s="2051"/>
      <c r="P794" s="2051"/>
      <c r="Q794" s="2051"/>
      <c r="R794" s="2051"/>
      <c r="S794" s="2051"/>
      <c r="T794" s="2044"/>
      <c r="U794" s="2045"/>
      <c r="V794" s="2045"/>
      <c r="W794" s="2046"/>
      <c r="X794" s="2035"/>
      <c r="Y794" s="2036"/>
      <c r="Z794" s="2036"/>
      <c r="AA794" s="2036"/>
      <c r="AB794" s="2037"/>
      <c r="AC794" s="2112">
        <f t="shared" si="50"/>
        <v>0</v>
      </c>
      <c r="AD794" s="2113"/>
      <c r="AE794" s="2113"/>
      <c r="AF794" s="2113"/>
      <c r="AG794" s="2114"/>
      <c r="AH794" s="2281"/>
      <c r="AI794" s="2282"/>
      <c r="AJ794" s="2282"/>
      <c r="AK794" s="2282"/>
      <c r="AL794" s="228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0"/>
      <c r="K795" s="2021"/>
      <c r="L795" s="2021"/>
      <c r="M795" s="2021"/>
      <c r="N795" s="2022"/>
      <c r="O795" s="2051"/>
      <c r="P795" s="2051"/>
      <c r="Q795" s="2051"/>
      <c r="R795" s="2051"/>
      <c r="S795" s="2051"/>
      <c r="T795" s="2044"/>
      <c r="U795" s="2045"/>
      <c r="V795" s="2045"/>
      <c r="W795" s="2046"/>
      <c r="X795" s="2035"/>
      <c r="Y795" s="2036"/>
      <c r="Z795" s="2036"/>
      <c r="AA795" s="2036"/>
      <c r="AB795" s="2037"/>
      <c r="AC795" s="2112">
        <f t="shared" si="50"/>
        <v>0</v>
      </c>
      <c r="AD795" s="2113"/>
      <c r="AE795" s="2113"/>
      <c r="AF795" s="2113"/>
      <c r="AG795" s="2114"/>
      <c r="AH795" s="2281"/>
      <c r="AI795" s="2282"/>
      <c r="AJ795" s="2282"/>
      <c r="AK795" s="2282"/>
      <c r="AL795" s="228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1977" t="s">
        <v>130</v>
      </c>
      <c r="K796" s="1978"/>
      <c r="L796" s="1978"/>
      <c r="M796" s="1978"/>
      <c r="N796" s="1979"/>
      <c r="O796" s="2219">
        <f>SUM(O786:S795)</f>
        <v>0</v>
      </c>
      <c r="P796" s="2219"/>
      <c r="Q796" s="2219"/>
      <c r="R796" s="2219"/>
      <c r="S796" s="2219"/>
      <c r="X796" s="1507" t="s">
        <v>129</v>
      </c>
      <c r="Y796" s="1508"/>
      <c r="Z796" s="1508"/>
      <c r="AA796" s="1508"/>
      <c r="AB796" s="1509"/>
      <c r="AC796" s="2112">
        <f>SUM(AC786:AG795)</f>
        <v>0</v>
      </c>
      <c r="AD796" s="2113"/>
      <c r="AE796" s="2113"/>
      <c r="AF796" s="2113"/>
      <c r="AG796" s="21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5">
        <f>T753+AC776+AC796</f>
        <v>216780</v>
      </c>
      <c r="Z798" s="2105"/>
      <c r="AA798" s="2105"/>
      <c r="AB798" s="2105"/>
      <c r="AC798" s="21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5">
        <f>(T753+AC776+AC796)*12</f>
        <v>2601360</v>
      </c>
      <c r="Z799" s="2105"/>
      <c r="AA799" s="2105"/>
      <c r="AB799" s="2105"/>
      <c r="AC799" s="2105"/>
      <c r="AZ799" s="58"/>
      <c r="BA799" s="51" t="s">
        <v>666</v>
      </c>
      <c r="BB799" s="51"/>
      <c r="BC799" s="51"/>
      <c r="BD799" s="51"/>
      <c r="BE799" s="51"/>
      <c r="BF799" s="51"/>
      <c r="BG799" s="51"/>
      <c r="BH799" s="51"/>
      <c r="BI799" s="51"/>
      <c r="BJ799" s="51"/>
      <c r="BK799" s="51"/>
      <c r="BL799" s="51"/>
      <c r="BM799" s="51"/>
      <c r="BN799" s="2346" t="s">
        <v>501</v>
      </c>
      <c r="BO799" s="2347"/>
      <c r="BP799" s="58"/>
      <c r="BQ799" s="58"/>
      <c r="BR799" s="58"/>
      <c r="BS799" s="51" t="s">
        <v>668</v>
      </c>
      <c r="BT799" s="51"/>
      <c r="BU799" s="51"/>
      <c r="BV799" s="51"/>
      <c r="BW799" s="51"/>
      <c r="BX799" s="51"/>
      <c r="BY799" s="51"/>
      <c r="BZ799" s="51"/>
      <c r="CA799" s="51"/>
      <c r="CB799" s="2343" t="str">
        <f>T189</f>
        <v>Sacramento</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2489</v>
      </c>
      <c r="BP802" s="54"/>
      <c r="BQ802" s="54"/>
      <c r="BR802" s="54"/>
      <c r="BS802" s="54"/>
      <c r="BT802" s="54"/>
      <c r="BV802" s="53" t="s">
        <v>2490</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25"/>
      <c r="AA804" s="2226"/>
      <c r="AB804" s="2226"/>
      <c r="AC804" s="2226"/>
      <c r="AD804" s="2226"/>
      <c r="AE804" s="22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28"/>
      <c r="AA805" s="2226"/>
      <c r="AB805" s="2226"/>
      <c r="AC805" s="2226"/>
      <c r="AD805" s="2226"/>
      <c r="AE805" s="22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2">
        <v>0</v>
      </c>
      <c r="AA806" s="2272"/>
      <c r="AB806" s="2272"/>
      <c r="AC806" s="2272"/>
      <c r="AD806" s="2272"/>
      <c r="AE806" s="227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6">
        <f>'Subsidy Contract Calculation'!I30</f>
        <v>0</v>
      </c>
      <c r="AA807" s="2107"/>
      <c r="AB807" s="2107"/>
      <c r="AC807" s="2107"/>
      <c r="AD807" s="2107"/>
      <c r="AE807" s="210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v>37481</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8" t="s">
        <v>2612</v>
      </c>
      <c r="Q814" s="2275"/>
      <c r="R814" s="2275"/>
      <c r="S814" s="2275"/>
      <c r="T814" s="2275"/>
      <c r="U814" s="2275"/>
      <c r="V814" s="2275"/>
      <c r="W814" s="2275"/>
      <c r="X814" s="2275"/>
      <c r="Y814" s="2276"/>
      <c r="Z814" s="1993">
        <v>24768</v>
      </c>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6">
        <f>SUM(Z811:AE814)</f>
        <v>62249</v>
      </c>
      <c r="AA815" s="2107"/>
      <c r="AB815" s="2107"/>
      <c r="AC815" s="2107"/>
      <c r="AD815" s="2107"/>
      <c r="AE815" s="210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6">
        <f>Z815+Y799+Z807</f>
        <v>2663609</v>
      </c>
      <c r="AA816" s="2107"/>
      <c r="AB816" s="2107"/>
      <c r="AC816" s="2107"/>
      <c r="AD816" s="2107"/>
      <c r="AE816" s="210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2" t="s">
        <v>131</v>
      </c>
      <c r="N821" s="2232"/>
      <c r="O821" s="2232"/>
      <c r="P821" s="2233"/>
      <c r="Q821" s="2229" t="s">
        <v>297</v>
      </c>
      <c r="R821" s="2229"/>
      <c r="S821" s="2229"/>
      <c r="T821" s="2229"/>
      <c r="U821" s="2229" t="s">
        <v>298</v>
      </c>
      <c r="V821" s="2229"/>
      <c r="W821" s="2229"/>
      <c r="X821" s="2229"/>
      <c r="Y821" s="2229" t="s">
        <v>299</v>
      </c>
      <c r="Z821" s="2229"/>
      <c r="AA821" s="2229"/>
      <c r="AB821" s="2229"/>
      <c r="AC821" s="2229" t="s">
        <v>370</v>
      </c>
      <c r="AD821" s="2229"/>
      <c r="AE821" s="2229"/>
      <c r="AF821" s="2229"/>
      <c r="AG821" s="2396" t="s">
        <v>343</v>
      </c>
      <c r="AH821" s="2396"/>
      <c r="AI821" s="2396"/>
      <c r="AJ821" s="23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4"/>
      <c r="N822" s="2234"/>
      <c r="O822" s="2234"/>
      <c r="P822" s="2235"/>
      <c r="Q822" s="2229"/>
      <c r="R822" s="2229"/>
      <c r="S822" s="2229"/>
      <c r="T822" s="2229"/>
      <c r="U822" s="2229"/>
      <c r="V822" s="2229"/>
      <c r="W822" s="2229"/>
      <c r="X822" s="2229"/>
      <c r="Y822" s="2229"/>
      <c r="Z822" s="2229"/>
      <c r="AA822" s="2229"/>
      <c r="AB822" s="2229"/>
      <c r="AC822" s="2229"/>
      <c r="AD822" s="2229"/>
      <c r="AE822" s="2229"/>
      <c r="AF822" s="2229"/>
      <c r="AG822" s="2396"/>
      <c r="AH822" s="2396"/>
      <c r="AI822" s="2396"/>
      <c r="AJ822" s="23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02" t="s">
        <v>43</v>
      </c>
      <c r="D823" s="2303"/>
      <c r="E823" s="2303"/>
      <c r="F823" s="2303"/>
      <c r="G823" s="2303"/>
      <c r="H823" s="2303"/>
      <c r="I823" s="80"/>
      <c r="J823" s="80"/>
      <c r="K823" s="80"/>
      <c r="L823" s="81"/>
      <c r="M823" s="2218"/>
      <c r="N823" s="2218"/>
      <c r="O823" s="2218"/>
      <c r="P823" s="2218"/>
      <c r="Q823" s="2218">
        <v>4.03</v>
      </c>
      <c r="R823" s="2218"/>
      <c r="S823" s="2218"/>
      <c r="T823" s="2218"/>
      <c r="U823" s="2218">
        <v>7.63</v>
      </c>
      <c r="V823" s="2218"/>
      <c r="W823" s="2218"/>
      <c r="X823" s="2218"/>
      <c r="Y823" s="2218">
        <v>8.75</v>
      </c>
      <c r="Z823" s="2218"/>
      <c r="AA823" s="2218"/>
      <c r="AB823" s="2218"/>
      <c r="AC823" s="2208"/>
      <c r="AD823" s="2209"/>
      <c r="AE823" s="2209"/>
      <c r="AF823" s="2210"/>
      <c r="AG823" s="2208"/>
      <c r="AH823" s="2209"/>
      <c r="AI823" s="2209"/>
      <c r="AJ823" s="221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0" t="s">
        <v>44</v>
      </c>
      <c r="D824" s="2038"/>
      <c r="E824" s="2038"/>
      <c r="F824" s="2038"/>
      <c r="G824" s="2038"/>
      <c r="H824" s="2038"/>
      <c r="I824" s="77"/>
      <c r="J824" s="77"/>
      <c r="K824" s="77"/>
      <c r="L824" s="78"/>
      <c r="M824" s="2218"/>
      <c r="N824" s="2218"/>
      <c r="O824" s="2218"/>
      <c r="P824" s="2218"/>
      <c r="Q824" s="2218"/>
      <c r="R824" s="2218"/>
      <c r="S824" s="2218"/>
      <c r="T824" s="2218"/>
      <c r="U824" s="2218"/>
      <c r="V824" s="2218"/>
      <c r="W824" s="2218"/>
      <c r="X824" s="2218"/>
      <c r="Y824" s="2218"/>
      <c r="Z824" s="2218"/>
      <c r="AA824" s="2218"/>
      <c r="AB824" s="2218"/>
      <c r="AC824" s="2208"/>
      <c r="AD824" s="2209"/>
      <c r="AE824" s="2209"/>
      <c r="AF824" s="2210"/>
      <c r="AG824" s="2208"/>
      <c r="AH824" s="2209"/>
      <c r="AI824" s="2209"/>
      <c r="AJ824" s="221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0" t="s">
        <v>45</v>
      </c>
      <c r="D825" s="2038"/>
      <c r="E825" s="2038"/>
      <c r="F825" s="2038"/>
      <c r="G825" s="2038"/>
      <c r="H825" s="2038"/>
      <c r="I825" s="96"/>
      <c r="J825" s="96"/>
      <c r="K825" s="96"/>
      <c r="L825" s="97"/>
      <c r="M825" s="2218"/>
      <c r="N825" s="2218"/>
      <c r="O825" s="2218"/>
      <c r="P825" s="2218"/>
      <c r="Q825" s="2218">
        <v>7.55</v>
      </c>
      <c r="R825" s="2218"/>
      <c r="S825" s="2218"/>
      <c r="T825" s="2218"/>
      <c r="U825" s="2218">
        <v>8.0399999999999991</v>
      </c>
      <c r="V825" s="2218"/>
      <c r="W825" s="2218"/>
      <c r="X825" s="2218"/>
      <c r="Y825" s="2218">
        <v>8.5500000000000007</v>
      </c>
      <c r="Z825" s="2218"/>
      <c r="AA825" s="2218"/>
      <c r="AB825" s="2218"/>
      <c r="AC825" s="2208"/>
      <c r="AD825" s="2209"/>
      <c r="AE825" s="2209"/>
      <c r="AF825" s="2210"/>
      <c r="AG825" s="2208"/>
      <c r="AH825" s="2209"/>
      <c r="AI825" s="2209"/>
      <c r="AJ825" s="221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0" t="s">
        <v>819</v>
      </c>
      <c r="D826" s="2038"/>
      <c r="E826" s="2038"/>
      <c r="F826" s="2038"/>
      <c r="G826" s="2038"/>
      <c r="H826" s="2038"/>
      <c r="I826" s="96"/>
      <c r="J826" s="96"/>
      <c r="K826" s="96"/>
      <c r="L826" s="97"/>
      <c r="M826" s="2218"/>
      <c r="N826" s="2218"/>
      <c r="O826" s="2218"/>
      <c r="P826" s="2218"/>
      <c r="Q826" s="2218">
        <v>4.79</v>
      </c>
      <c r="R826" s="2218"/>
      <c r="S826" s="2218"/>
      <c r="T826" s="2218"/>
      <c r="U826" s="2218">
        <v>5.3</v>
      </c>
      <c r="V826" s="2218"/>
      <c r="W826" s="2218"/>
      <c r="X826" s="2218"/>
      <c r="Y826" s="2218">
        <v>6.15</v>
      </c>
      <c r="Z826" s="2218"/>
      <c r="AA826" s="2218"/>
      <c r="AB826" s="2218"/>
      <c r="AC826" s="2208"/>
      <c r="AD826" s="2209"/>
      <c r="AE826" s="2209"/>
      <c r="AF826" s="2210"/>
      <c r="AG826" s="2208"/>
      <c r="AH826" s="2209"/>
      <c r="AI826" s="2209"/>
      <c r="AJ826" s="221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0" t="s">
        <v>491</v>
      </c>
      <c r="D827" s="2038"/>
      <c r="E827" s="2038"/>
      <c r="F827" s="2038"/>
      <c r="G827" s="2038"/>
      <c r="H827" s="2038"/>
      <c r="I827" s="96"/>
      <c r="J827" s="96"/>
      <c r="K827" s="96"/>
      <c r="L827" s="97"/>
      <c r="M827" s="2218"/>
      <c r="N827" s="2218"/>
      <c r="O827" s="2218"/>
      <c r="P827" s="2218"/>
      <c r="Q827" s="2218">
        <v>19.3</v>
      </c>
      <c r="R827" s="2218"/>
      <c r="S827" s="2218"/>
      <c r="T827" s="2218"/>
      <c r="U827" s="2218">
        <v>20.62</v>
      </c>
      <c r="V827" s="2218"/>
      <c r="W827" s="2218"/>
      <c r="X827" s="2218"/>
      <c r="Y827" s="2218">
        <v>22.39</v>
      </c>
      <c r="Z827" s="2218"/>
      <c r="AA827" s="2218"/>
      <c r="AB827" s="2218"/>
      <c r="AC827" s="2208"/>
      <c r="AD827" s="2209"/>
      <c r="AE827" s="2209"/>
      <c r="AF827" s="2210"/>
      <c r="AG827" s="2208"/>
      <c r="AH827" s="2209"/>
      <c r="AI827" s="2209"/>
      <c r="AJ827" s="221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49" t="s">
        <v>840</v>
      </c>
      <c r="D828" s="2038"/>
      <c r="E828" s="2038"/>
      <c r="F828" s="2038"/>
      <c r="G828" s="2038"/>
      <c r="H828" s="2038"/>
      <c r="I828" s="96"/>
      <c r="J828" s="96"/>
      <c r="K828" s="96"/>
      <c r="L828" s="97"/>
      <c r="M828" s="2218"/>
      <c r="N828" s="2218"/>
      <c r="O828" s="2218"/>
      <c r="P828" s="2218"/>
      <c r="Q828" s="2218"/>
      <c r="R828" s="2218"/>
      <c r="S828" s="2218"/>
      <c r="T828" s="2218"/>
      <c r="U828" s="2218"/>
      <c r="V828" s="2218"/>
      <c r="W828" s="2218"/>
      <c r="X828" s="2218"/>
      <c r="Y828" s="2218"/>
      <c r="Z828" s="2218"/>
      <c r="AA828" s="2218"/>
      <c r="AB828" s="2218"/>
      <c r="AC828" s="2208"/>
      <c r="AD828" s="2209"/>
      <c r="AE828" s="2209"/>
      <c r="AF828" s="2210"/>
      <c r="AG828" s="2208"/>
      <c r="AH828" s="2209"/>
      <c r="AI828" s="2209"/>
      <c r="AJ828" s="221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1971" t="s">
        <v>2613</v>
      </c>
      <c r="G829" s="2247"/>
      <c r="H829" s="2247"/>
      <c r="I829" s="2247"/>
      <c r="J829" s="2247"/>
      <c r="K829" s="2247"/>
      <c r="L829" s="2248"/>
      <c r="M829" s="2218"/>
      <c r="N829" s="2218"/>
      <c r="O829" s="2218"/>
      <c r="P829" s="2218"/>
      <c r="Q829" s="2218">
        <v>2.4300000000000002</v>
      </c>
      <c r="R829" s="2218"/>
      <c r="S829" s="2218"/>
      <c r="T829" s="2218"/>
      <c r="U829" s="2218">
        <v>2.59</v>
      </c>
      <c r="V829" s="2218"/>
      <c r="W829" s="2218"/>
      <c r="X829" s="2218"/>
      <c r="Y829" s="2218">
        <v>2.08</v>
      </c>
      <c r="Z829" s="2218"/>
      <c r="AA829" s="2218"/>
      <c r="AB829" s="2218"/>
      <c r="AC829" s="2208"/>
      <c r="AD829" s="2209"/>
      <c r="AE829" s="2209"/>
      <c r="AF829" s="2210"/>
      <c r="AG829" s="2208"/>
      <c r="AH829" s="2209"/>
      <c r="AI829" s="2209"/>
      <c r="AJ829" s="221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1977" t="s">
        <v>129</v>
      </c>
      <c r="D830" s="1978"/>
      <c r="E830" s="1978"/>
      <c r="F830" s="1978"/>
      <c r="G830" s="1978"/>
      <c r="H830" s="1978"/>
      <c r="I830" s="1978"/>
      <c r="J830" s="1978"/>
      <c r="K830" s="1978"/>
      <c r="L830" s="1979"/>
      <c r="M830" s="2243">
        <f>SUM(M823:P829)</f>
        <v>0</v>
      </c>
      <c r="N830" s="2243"/>
      <c r="O830" s="2243"/>
      <c r="P830" s="2243"/>
      <c r="Q830" s="2243">
        <f>SUM(Q823:T829)</f>
        <v>38.1</v>
      </c>
      <c r="R830" s="2243"/>
      <c r="S830" s="2243"/>
      <c r="T830" s="2243"/>
      <c r="U830" s="2243">
        <f>SUM(U823:X829)</f>
        <v>44.180000000000007</v>
      </c>
      <c r="V830" s="2243"/>
      <c r="W830" s="2243"/>
      <c r="X830" s="2243"/>
      <c r="Y830" s="2243">
        <f>SUM(Y823:AB829)</f>
        <v>47.92</v>
      </c>
      <c r="Z830" s="2243"/>
      <c r="AA830" s="2243"/>
      <c r="AB830" s="2243"/>
      <c r="AC830" s="2243">
        <f>SUM(AC823:AF829)</f>
        <v>0</v>
      </c>
      <c r="AD830" s="2243"/>
      <c r="AE830" s="2243"/>
      <c r="AF830" s="2243"/>
      <c r="AG830" s="2243">
        <f>SUM(AG823:AJ829)</f>
        <v>0</v>
      </c>
      <c r="AH830" s="2243"/>
      <c r="AI830" s="2243"/>
      <c r="AJ830" s="224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84" t="s">
        <v>2539</v>
      </c>
      <c r="D835" s="2285"/>
      <c r="E835" s="2285"/>
      <c r="F835" s="2285"/>
      <c r="G835" s="2285"/>
      <c r="H835" s="2285"/>
      <c r="I835" s="2285"/>
      <c r="J835" s="2285"/>
      <c r="K835" s="2285"/>
      <c r="L835" s="2285"/>
      <c r="M835" s="2285"/>
      <c r="N835" s="2285"/>
      <c r="O835" s="2285"/>
      <c r="P835" s="2285"/>
      <c r="Q835" s="2285"/>
      <c r="R835" s="2285"/>
      <c r="S835" s="2285"/>
      <c r="T835" s="2285"/>
      <c r="U835" s="2285"/>
      <c r="V835" s="2285"/>
      <c r="W835" s="2285"/>
      <c r="X835" s="2285"/>
      <c r="Y835" s="2285"/>
      <c r="Z835" s="2285"/>
      <c r="AA835" s="2285"/>
      <c r="AB835" s="2285"/>
      <c r="AC835" s="2285"/>
      <c r="AD835" s="2285"/>
      <c r="AE835" s="2285"/>
      <c r="AF835" s="2285"/>
      <c r="AG835" s="2285"/>
      <c r="AH835" s="2285"/>
      <c r="AI835" s="2285"/>
      <c r="AJ835" s="228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4">
        <v>25414</v>
      </c>
      <c r="X840" s="2104"/>
      <c r="Y840" s="2104"/>
      <c r="Z840" s="2104"/>
      <c r="AA840" s="2104"/>
      <c r="AB840" s="2104"/>
      <c r="AC840" s="21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4"/>
      <c r="X841" s="2104"/>
      <c r="Y841" s="2104"/>
      <c r="Z841" s="2104"/>
      <c r="AA841" s="2104"/>
      <c r="AB841" s="2104"/>
      <c r="AC841" s="21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4"/>
      <c r="X842" s="2104"/>
      <c r="Y842" s="2104"/>
      <c r="Z842" s="2104"/>
      <c r="AA842" s="2104"/>
      <c r="AB842" s="2104"/>
      <c r="AC842" s="21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4"/>
      <c r="X843" s="2104"/>
      <c r="Y843" s="2104"/>
      <c r="Z843" s="2104"/>
      <c r="AA843" s="2104"/>
      <c r="AB843" s="2104"/>
      <c r="AC843" s="21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1971" t="s">
        <v>2614</v>
      </c>
      <c r="N844" s="2247"/>
      <c r="O844" s="2247"/>
      <c r="P844" s="2247"/>
      <c r="Q844" s="2247"/>
      <c r="R844" s="2247"/>
      <c r="S844" s="2247"/>
      <c r="T844" s="2247"/>
      <c r="U844" s="2247"/>
      <c r="V844" s="2248"/>
      <c r="W844" s="2104">
        <v>37830</v>
      </c>
      <c r="X844" s="2104"/>
      <c r="Y844" s="2104"/>
      <c r="Z844" s="2104"/>
      <c r="AA844" s="2104"/>
      <c r="AB844" s="2104"/>
      <c r="AC844" s="21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6">
        <f>ROUNDDOWN(BC932*2,2)</f>
        <v>0</v>
      </c>
      <c r="BJ844" s="2356"/>
      <c r="BK844" s="2356"/>
      <c r="BL844" s="2356"/>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6">
        <f>SUM(W840:AC844)</f>
        <v>63244</v>
      </c>
      <c r="X845" s="2107"/>
      <c r="Y845" s="2107"/>
      <c r="Z845" s="2107"/>
      <c r="AA845" s="2107"/>
      <c r="AB845" s="2107"/>
      <c r="AC845" s="210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1977" t="s">
        <v>354</v>
      </c>
      <c r="K847" s="1978"/>
      <c r="L847" s="1978"/>
      <c r="M847" s="1978"/>
      <c r="N847" s="1978"/>
      <c r="O847" s="1978"/>
      <c r="P847" s="1978"/>
      <c r="Q847" s="1978"/>
      <c r="R847" s="1978"/>
      <c r="S847" s="1978"/>
      <c r="T847" s="1978"/>
      <c r="U847" s="1978"/>
      <c r="V847" s="1979"/>
      <c r="W847" s="1993">
        <v>106544</v>
      </c>
      <c r="X847" s="1994"/>
      <c r="Y847" s="1994"/>
      <c r="Z847" s="1994"/>
      <c r="AA847" s="1994"/>
      <c r="AB847" s="1994"/>
      <c r="AC847" s="1995"/>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44"/>
      <c r="X849" s="2244"/>
      <c r="Y849" s="2244"/>
      <c r="Z849" s="2244"/>
      <c r="AA849" s="2244"/>
      <c r="AB849" s="2244"/>
      <c r="AC849" s="224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44">
        <v>20000</v>
      </c>
      <c r="X850" s="2244"/>
      <c r="Y850" s="2244"/>
      <c r="Z850" s="2244"/>
      <c r="AA850" s="2244"/>
      <c r="AB850" s="2244"/>
      <c r="AC850" s="224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44">
        <v>40000</v>
      </c>
      <c r="X851" s="2244"/>
      <c r="Y851" s="2244"/>
      <c r="Z851" s="2244"/>
      <c r="AA851" s="2244"/>
      <c r="AB851" s="2244"/>
      <c r="AC851" s="224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55"/>
      <c r="BH851" s="2255"/>
      <c r="BI851" s="2255"/>
      <c r="BJ851" s="2255"/>
      <c r="BK851" s="2255"/>
      <c r="BL851" s="225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44">
        <f>245798-W851-W850</f>
        <v>185798</v>
      </c>
      <c r="X852" s="2244"/>
      <c r="Y852" s="2244"/>
      <c r="Z852" s="2244"/>
      <c r="AA852" s="2244"/>
      <c r="AB852" s="2244"/>
      <c r="AC852" s="224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50">
        <f>SUM(W849:AC852)</f>
        <v>245798</v>
      </c>
      <c r="X853" s="2250"/>
      <c r="Y853" s="2250"/>
      <c r="Z853" s="2250"/>
      <c r="AA853" s="2250"/>
      <c r="AB853" s="2250"/>
      <c r="AC853" s="22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45">
        <f>SUM(AZ821:AZ849)</f>
        <v>0</v>
      </c>
      <c r="BA854" s="2245"/>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09">
        <v>80000</v>
      </c>
      <c r="X855" s="2110"/>
      <c r="Y855" s="2110"/>
      <c r="Z855" s="2110"/>
      <c r="AA855" s="2110"/>
      <c r="AB855" s="2110"/>
      <c r="AC855" s="2111"/>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1963</v>
      </c>
      <c r="K856" s="77"/>
      <c r="L856" s="77"/>
      <c r="M856" s="77"/>
      <c r="N856" s="77"/>
      <c r="O856" s="77"/>
      <c r="P856" s="77"/>
      <c r="Q856" s="77"/>
      <c r="R856" s="77"/>
      <c r="S856" s="77"/>
      <c r="T856" s="2291">
        <v>2</v>
      </c>
      <c r="U856" s="2142"/>
      <c r="V856" s="2292"/>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9">
        <v>77219</v>
      </c>
      <c r="X857" s="2110"/>
      <c r="Y857" s="2110"/>
      <c r="Z857" s="2110"/>
      <c r="AA857" s="2110"/>
      <c r="AB857" s="2110"/>
      <c r="AC857" s="2111"/>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1964</v>
      </c>
      <c r="K858" s="77"/>
      <c r="L858" s="77"/>
      <c r="M858" s="77"/>
      <c r="N858" s="77"/>
      <c r="O858" s="77"/>
      <c r="P858" s="77"/>
      <c r="Q858" s="77"/>
      <c r="R858" s="77"/>
      <c r="S858" s="77"/>
      <c r="T858" s="2291">
        <v>2</v>
      </c>
      <c r="U858" s="2142"/>
      <c r="V858" s="2292"/>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1971" t="s">
        <v>2615</v>
      </c>
      <c r="N859" s="2247"/>
      <c r="O859" s="2247"/>
      <c r="P859" s="2247"/>
      <c r="Q859" s="2247"/>
      <c r="R859" s="2247"/>
      <c r="S859" s="2247"/>
      <c r="T859" s="2247"/>
      <c r="U859" s="2247"/>
      <c r="V859" s="2248"/>
      <c r="W859" s="2109">
        <f>247156-W857-W855</f>
        <v>89937</v>
      </c>
      <c r="X859" s="2110"/>
      <c r="Y859" s="2110"/>
      <c r="Z859" s="2110"/>
      <c r="AA859" s="2110"/>
      <c r="AB859" s="2110"/>
      <c r="AC859" s="2111"/>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7">
        <f>SUM(W855:AC859)</f>
        <v>247156</v>
      </c>
      <c r="X860" s="2398"/>
      <c r="Y860" s="2398"/>
      <c r="Z860" s="2398"/>
      <c r="AA860" s="2398"/>
      <c r="AB860" s="2398"/>
      <c r="AC860" s="2399"/>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9">
        <v>71198</v>
      </c>
      <c r="X861" s="2110"/>
      <c r="Y861" s="2110"/>
      <c r="Z861" s="2110"/>
      <c r="AA861" s="2110"/>
      <c r="AB861" s="2110"/>
      <c r="AC861" s="211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4"/>
      <c r="X863" s="2104"/>
      <c r="Y863" s="2104"/>
      <c r="Z863" s="2104"/>
      <c r="AA863" s="2104"/>
      <c r="AB863" s="2104"/>
      <c r="AC863" s="210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4">
        <v>38024</v>
      </c>
      <c r="X864" s="2104"/>
      <c r="Y864" s="2104"/>
      <c r="Z864" s="2104"/>
      <c r="AA864" s="2104"/>
      <c r="AB864" s="2104"/>
      <c r="AC864" s="210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4"/>
      <c r="X865" s="2104"/>
      <c r="Y865" s="2104"/>
      <c r="Z865" s="2104"/>
      <c r="AA865" s="2104"/>
      <c r="AB865" s="2104"/>
      <c r="AC865" s="210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4"/>
      <c r="X866" s="2104"/>
      <c r="Y866" s="2104"/>
      <c r="Z866" s="2104"/>
      <c r="AA866" s="2104"/>
      <c r="AB866" s="2104"/>
      <c r="AC866" s="2104"/>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4">
        <v>26384</v>
      </c>
      <c r="X867" s="2104"/>
      <c r="Y867" s="2104"/>
      <c r="Z867" s="2104"/>
      <c r="AA867" s="2104"/>
      <c r="AB867" s="2104"/>
      <c r="AC867" s="21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4"/>
      <c r="X868" s="2104"/>
      <c r="Y868" s="2104"/>
      <c r="Z868" s="2104"/>
      <c r="AA868" s="2104"/>
      <c r="AB868" s="2104"/>
      <c r="AC868" s="21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1971" t="s">
        <v>2616</v>
      </c>
      <c r="N869" s="2247"/>
      <c r="O869" s="2247"/>
      <c r="P869" s="2247"/>
      <c r="Q869" s="2247"/>
      <c r="R869" s="2247"/>
      <c r="S869" s="2247"/>
      <c r="T869" s="2247"/>
      <c r="U869" s="2247"/>
      <c r="V869" s="2248"/>
      <c r="W869" s="2104">
        <v>27354</v>
      </c>
      <c r="X869" s="2104"/>
      <c r="Y869" s="2104"/>
      <c r="Z869" s="2104"/>
      <c r="AA869" s="2104"/>
      <c r="AB869" s="2104"/>
      <c r="AC869" s="2104"/>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5">
        <f>SUM(W863:AC869)</f>
        <v>91762</v>
      </c>
      <c r="X870" s="2105"/>
      <c r="Y870" s="2105"/>
      <c r="Z870" s="2105"/>
      <c r="AA870" s="2105"/>
      <c r="AB870" s="2105"/>
      <c r="AC870" s="21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1457</v>
      </c>
      <c r="J872" s="76" t="s">
        <v>174</v>
      </c>
      <c r="K872" s="77"/>
      <c r="L872" s="77"/>
      <c r="M872" s="1971" t="s">
        <v>2617</v>
      </c>
      <c r="N872" s="2247"/>
      <c r="O872" s="2247"/>
      <c r="P872" s="2247"/>
      <c r="Q872" s="2247"/>
      <c r="R872" s="2247"/>
      <c r="S872" s="2247"/>
      <c r="T872" s="2247"/>
      <c r="U872" s="2247"/>
      <c r="V872" s="2248"/>
      <c r="W872" s="1993">
        <v>36472</v>
      </c>
      <c r="X872" s="1994"/>
      <c r="Y872" s="1994"/>
      <c r="Z872" s="1994"/>
      <c r="AA872" s="1994"/>
      <c r="AB872" s="1994"/>
      <c r="AC872" s="1995"/>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1458</v>
      </c>
      <c r="J873" s="76" t="s">
        <v>174</v>
      </c>
      <c r="K873" s="77"/>
      <c r="L873" s="77"/>
      <c r="M873" s="2246" t="s">
        <v>342</v>
      </c>
      <c r="N873" s="2247"/>
      <c r="O873" s="2247"/>
      <c r="P873" s="2247"/>
      <c r="Q873" s="2247"/>
      <c r="R873" s="2247"/>
      <c r="S873" s="2247"/>
      <c r="T873" s="2247"/>
      <c r="U873" s="2247"/>
      <c r="V873" s="2248"/>
      <c r="W873" s="1993"/>
      <c r="X873" s="1994"/>
      <c r="Y873" s="1994"/>
      <c r="Z873" s="1994"/>
      <c r="AA873" s="1994"/>
      <c r="AB873" s="1994"/>
      <c r="AC873" s="1995"/>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46" t="s">
        <v>342</v>
      </c>
      <c r="N874" s="2247"/>
      <c r="O874" s="2247"/>
      <c r="P874" s="2247"/>
      <c r="Q874" s="2247"/>
      <c r="R874" s="2247"/>
      <c r="S874" s="2247"/>
      <c r="T874" s="2247"/>
      <c r="U874" s="2247"/>
      <c r="V874" s="2248"/>
      <c r="W874" s="1993"/>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46" t="s">
        <v>342</v>
      </c>
      <c r="N875" s="2247"/>
      <c r="O875" s="2247"/>
      <c r="P875" s="2247"/>
      <c r="Q875" s="2247"/>
      <c r="R875" s="2247"/>
      <c r="S875" s="2247"/>
      <c r="T875" s="2247"/>
      <c r="U875" s="2247"/>
      <c r="V875" s="2248"/>
      <c r="W875" s="1993"/>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46" t="s">
        <v>342</v>
      </c>
      <c r="N876" s="2247"/>
      <c r="O876" s="2247"/>
      <c r="P876" s="2247"/>
      <c r="Q876" s="2247"/>
      <c r="R876" s="2247"/>
      <c r="S876" s="2247"/>
      <c r="T876" s="2247"/>
      <c r="U876" s="2247"/>
      <c r="V876" s="2248"/>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6">
        <f>SUM(W872:AC876)</f>
        <v>36472</v>
      </c>
      <c r="X877" s="2107"/>
      <c r="Y877" s="2107"/>
      <c r="Z877" s="2107"/>
      <c r="AA877" s="2107"/>
      <c r="AB877" s="2107"/>
      <c r="AC877" s="210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182</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282</v>
      </c>
      <c r="AC881" s="2107">
        <f>W845+W853+W860+W861+W870+W877+W847</f>
        <v>862174</v>
      </c>
      <c r="AD881" s="2107"/>
      <c r="AE881" s="2107"/>
      <c r="AF881" s="2107"/>
      <c r="AG881" s="2107"/>
      <c r="AH881" s="210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543</v>
      </c>
      <c r="AC882" s="2289">
        <f>O796+O776+G753</f>
        <v>194</v>
      </c>
      <c r="AD882" s="2289"/>
      <c r="AE882" s="2289"/>
      <c r="AF882" s="2289"/>
      <c r="AG882" s="2289"/>
      <c r="AH882" s="22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287" t="s">
        <v>33</v>
      </c>
      <c r="F883" s="2287"/>
      <c r="G883" s="2287"/>
      <c r="H883" s="2287"/>
      <c r="I883" s="2287"/>
      <c r="J883" s="2287"/>
      <c r="K883" s="2287"/>
      <c r="L883" s="2287"/>
      <c r="M883" s="2287"/>
      <c r="N883" s="2287"/>
      <c r="O883" s="2287"/>
      <c r="P883" s="2287"/>
      <c r="Q883" s="2287"/>
      <c r="R883" s="2287"/>
      <c r="S883" s="2287"/>
      <c r="T883" s="2287"/>
      <c r="U883" s="2287"/>
      <c r="V883" s="2287"/>
      <c r="W883" s="2287"/>
      <c r="X883" s="2287"/>
      <c r="Y883" s="2287"/>
      <c r="Z883" s="2287"/>
      <c r="AA883" s="2287"/>
      <c r="AB883" s="2288"/>
      <c r="AC883" s="2105">
        <f>IF(ISERROR((ROUNDDOWN(AC881/AC882,0))),0,(ROUNDDOWN(AC881/AC882,0)))</f>
        <v>4444</v>
      </c>
      <c r="AD883" s="2105"/>
      <c r="AE883" s="2105"/>
      <c r="AF883" s="2105"/>
      <c r="AG883" s="2105"/>
      <c r="AH883" s="21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818</v>
      </c>
      <c r="AC884" s="2299">
        <v>583255</v>
      </c>
      <c r="AD884" s="2300"/>
      <c r="AE884" s="2300"/>
      <c r="AF884" s="2300"/>
      <c r="AG884" s="2300"/>
      <c r="AH884" s="230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1351</v>
      </c>
      <c r="AC885" s="1995"/>
      <c r="AD885" s="2104"/>
      <c r="AE885" s="2104"/>
      <c r="AF885" s="2104"/>
      <c r="AG885" s="2104"/>
      <c r="AH885" s="21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542</v>
      </c>
      <c r="AC886" s="1994">
        <v>20016</v>
      </c>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94">
        <v>48500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2096</v>
      </c>
      <c r="AC888" s="2208">
        <v>12725</v>
      </c>
      <c r="AD888" s="2209"/>
      <c r="AE888" s="2209"/>
      <c r="AF888" s="2209"/>
      <c r="AG888" s="2209"/>
      <c r="AH888" s="221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94">
        <v>75282</v>
      </c>
      <c r="AD889" s="1994"/>
      <c r="AE889" s="1994"/>
      <c r="AF889" s="1994"/>
      <c r="AG889" s="1994"/>
      <c r="AH889" s="199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1965</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8" t="s">
        <v>1034</v>
      </c>
      <c r="D891" s="2099"/>
      <c r="E891" s="2099"/>
      <c r="F891" s="2099"/>
      <c r="G891" s="2099"/>
      <c r="H891" s="2099"/>
      <c r="I891" s="2099"/>
      <c r="J891" s="2099"/>
      <c r="K891" s="2099"/>
      <c r="L891" s="2099"/>
      <c r="M891" s="2099"/>
      <c r="N891" s="2099"/>
      <c r="O891" s="2099"/>
      <c r="P891" s="2099"/>
      <c r="Q891" s="2099"/>
      <c r="R891" s="2099"/>
      <c r="S891" s="2099"/>
      <c r="T891" s="2099"/>
      <c r="U891" s="2099"/>
      <c r="V891" s="2099"/>
      <c r="W891" s="2099"/>
      <c r="X891" s="2099"/>
      <c r="Y891" s="2099"/>
      <c r="Z891" s="2099"/>
      <c r="AA891" s="2099"/>
      <c r="AB891" s="2100"/>
      <c r="AC891" s="2104"/>
      <c r="AD891" s="2104"/>
      <c r="AE891" s="2104"/>
      <c r="AF891" s="2104"/>
      <c r="AG891" s="2104"/>
      <c r="AH891" s="21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098" t="s">
        <v>1034</v>
      </c>
      <c r="D892" s="2099"/>
      <c r="E892" s="2099"/>
      <c r="F892" s="2099"/>
      <c r="G892" s="2099"/>
      <c r="H892" s="2099"/>
      <c r="I892" s="2099"/>
      <c r="J892" s="2099"/>
      <c r="K892" s="2099"/>
      <c r="L892" s="2099"/>
      <c r="M892" s="2099"/>
      <c r="N892" s="2099"/>
      <c r="O892" s="2099"/>
      <c r="P892" s="2099"/>
      <c r="Q892" s="2099"/>
      <c r="R892" s="2099"/>
      <c r="S892" s="2099"/>
      <c r="T892" s="2099"/>
      <c r="U892" s="2099"/>
      <c r="V892" s="2099"/>
      <c r="W892" s="2099"/>
      <c r="X892" s="2099"/>
      <c r="Y892" s="2099"/>
      <c r="Z892" s="2099"/>
      <c r="AA892" s="2099"/>
      <c r="AB892" s="2100"/>
      <c r="AC892" s="2104"/>
      <c r="AD892" s="2104"/>
      <c r="AE892" s="2104"/>
      <c r="AF892" s="2104"/>
      <c r="AG892" s="2104"/>
      <c r="AH892" s="21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6">
        <f>Z896-(Z897+Z898)</f>
        <v>0</v>
      </c>
      <c r="AA899" s="2107"/>
      <c r="AB899" s="2107"/>
      <c r="AC899" s="2107"/>
      <c r="AD899" s="2107"/>
      <c r="AE899" s="2108"/>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252"/>
      <c r="BE901" s="2252"/>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254"/>
      <c r="BE902" s="2254"/>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53"/>
      <c r="BE903" s="2253"/>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53"/>
      <c r="BE904" s="2253"/>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53"/>
      <c r="BE905" s="2253"/>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252"/>
      <c r="BE906" s="2253"/>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052" t="s">
        <v>101</v>
      </c>
      <c r="B907" s="2052"/>
      <c r="C907" s="2052"/>
      <c r="D907" s="2052"/>
      <c r="E907" s="2052"/>
      <c r="F907" s="2052"/>
      <c r="G907" s="2052"/>
      <c r="H907" s="2052"/>
      <c r="I907" s="2052"/>
      <c r="J907" s="2052"/>
      <c r="K907" s="2052"/>
      <c r="L907" s="2052"/>
      <c r="M907" s="2052"/>
      <c r="N907" s="2052"/>
      <c r="O907" s="2052"/>
      <c r="P907" s="2052"/>
      <c r="Q907" s="2052"/>
      <c r="R907" s="2052"/>
      <c r="S907" s="2052"/>
      <c r="T907" s="2052"/>
      <c r="U907" s="2052"/>
      <c r="V907" s="2052"/>
      <c r="W907" s="2052"/>
      <c r="X907" s="2052"/>
      <c r="Y907" s="2052"/>
      <c r="Z907" s="2052"/>
      <c r="AA907" s="2052"/>
      <c r="AB907" s="2052"/>
      <c r="AC907" s="2052"/>
      <c r="AD907" s="2052"/>
      <c r="AE907" s="2052"/>
      <c r="AF907" s="2052"/>
      <c r="AG907" s="2052"/>
      <c r="AH907" s="2052"/>
      <c r="AI907" s="2052"/>
      <c r="AJ907" s="2052"/>
      <c r="AK907" s="2052"/>
      <c r="AL907" s="2052"/>
      <c r="AM907" s="144"/>
      <c r="AN907" s="144"/>
      <c r="AO907" s="144"/>
      <c r="AP907" s="144"/>
      <c r="AQ907" s="144"/>
      <c r="AR907" s="144"/>
      <c r="AS907" s="144"/>
      <c r="AT907" s="144"/>
      <c r="AU907" s="144"/>
      <c r="AV907" s="144"/>
      <c r="AW907" s="144"/>
      <c r="AX907" s="144"/>
      <c r="AY907" s="144"/>
      <c r="AZ907" s="61"/>
      <c r="BA907" s="25"/>
      <c r="BB907" s="127"/>
      <c r="BC907" s="1512"/>
      <c r="BD907" s="2251"/>
      <c r="BE907" s="2251"/>
      <c r="BF907" s="2251"/>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053"/>
      <c r="B908" s="2053"/>
      <c r="C908" s="2053"/>
      <c r="D908" s="2053"/>
      <c r="E908" s="2053"/>
      <c r="F908" s="2053"/>
      <c r="G908" s="2053"/>
      <c r="H908" s="2053"/>
      <c r="I908" s="2053"/>
      <c r="J908" s="2053"/>
      <c r="K908" s="2053"/>
      <c r="L908" s="2053"/>
      <c r="M908" s="2053"/>
      <c r="N908" s="2053"/>
      <c r="O908" s="2053"/>
      <c r="P908" s="2053"/>
      <c r="Q908" s="2053"/>
      <c r="R908" s="2053"/>
      <c r="S908" s="2053"/>
      <c r="T908" s="2053"/>
      <c r="U908" s="2053"/>
      <c r="V908" s="2053"/>
      <c r="W908" s="2053"/>
      <c r="X908" s="2053"/>
      <c r="Y908" s="2053"/>
      <c r="Z908" s="2053"/>
      <c r="AA908" s="2053"/>
      <c r="AB908" s="2053"/>
      <c r="AC908" s="2053"/>
      <c r="AD908" s="2053"/>
      <c r="AE908" s="2053"/>
      <c r="AF908" s="2053"/>
      <c r="AG908" s="2053"/>
      <c r="AH908" s="2053"/>
      <c r="AI908" s="2053"/>
      <c r="AJ908" s="2053"/>
      <c r="AK908" s="2053"/>
      <c r="AL908" s="2053"/>
      <c r="AM908" s="144"/>
      <c r="AN908" s="144"/>
      <c r="AO908" s="144"/>
      <c r="AP908" s="144"/>
      <c r="AQ908" s="144"/>
      <c r="AR908" s="144"/>
      <c r="AS908" s="144"/>
      <c r="AT908" s="144"/>
      <c r="AU908" s="144"/>
      <c r="AV908" s="144"/>
      <c r="AW908" s="144"/>
      <c r="AX908" s="144"/>
      <c r="AY908" s="144"/>
      <c r="AZ908" s="61"/>
      <c r="BA908" s="25"/>
      <c r="BB908" s="127"/>
      <c r="BC908" s="1512"/>
      <c r="BD908" s="2242"/>
      <c r="BE908" s="2242"/>
      <c r="BF908" s="2242"/>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53"/>
      <c r="BE909" s="2253"/>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252"/>
      <c r="BE910" s="2253"/>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69" t="s">
        <v>849</v>
      </c>
      <c r="G912" s="2470"/>
      <c r="H912" s="2470"/>
      <c r="I912" s="2470"/>
      <c r="J912" s="2470"/>
      <c r="K912" s="2470"/>
      <c r="L912" s="2470"/>
      <c r="M912" s="2470"/>
      <c r="N912" s="2470"/>
      <c r="O912" s="2470"/>
      <c r="P912" s="2470"/>
      <c r="Q912" s="2470"/>
      <c r="R912" s="2470"/>
      <c r="S912" s="2470"/>
      <c r="T912" s="2471"/>
      <c r="U912" s="2201" t="s">
        <v>32</v>
      </c>
      <c r="V912" s="2004"/>
      <c r="W912" s="2004"/>
      <c r="X912" s="2004"/>
      <c r="Y912" s="2004"/>
      <c r="Z912" s="2004"/>
      <c r="AA912" s="73"/>
      <c r="AB912" s="161"/>
      <c r="AC912" s="161"/>
      <c r="AD912" s="161"/>
      <c r="AE912" s="161"/>
      <c r="AF912" s="162"/>
      <c r="AZ912" s="61"/>
      <c r="BA912" s="1511"/>
      <c r="BB912" s="127"/>
      <c r="BC912" s="127"/>
      <c r="BD912" s="2252"/>
      <c r="BE912" s="2253"/>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202" t="s">
        <v>878</v>
      </c>
      <c r="G913" s="2203"/>
      <c r="H913" s="2203"/>
      <c r="I913" s="2203"/>
      <c r="J913" s="2203"/>
      <c r="K913" s="2203"/>
      <c r="L913" s="2203"/>
      <c r="M913" s="2203"/>
      <c r="N913" s="2203"/>
      <c r="O913" s="2203"/>
      <c r="P913" s="2203"/>
      <c r="Q913" s="2203"/>
      <c r="R913" s="2203"/>
      <c r="S913" s="2203"/>
      <c r="T913" s="2204"/>
      <c r="U913" s="2202"/>
      <c r="V913" s="2203"/>
      <c r="W913" s="2203"/>
      <c r="X913" s="2203"/>
      <c r="Y913" s="2203"/>
      <c r="Z913" s="2203"/>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205"/>
      <c r="G914" s="2206"/>
      <c r="H914" s="2206"/>
      <c r="I914" s="2206"/>
      <c r="J914" s="2206"/>
      <c r="K914" s="2206"/>
      <c r="L914" s="2206"/>
      <c r="M914" s="2206"/>
      <c r="N914" s="2206"/>
      <c r="O914" s="2206"/>
      <c r="P914" s="2206"/>
      <c r="Q914" s="2206"/>
      <c r="R914" s="2206"/>
      <c r="S914" s="2206"/>
      <c r="T914" s="2207"/>
      <c r="U914" s="2205"/>
      <c r="V914" s="2206"/>
      <c r="W914" s="2206"/>
      <c r="X914" s="2206"/>
      <c r="Y914" s="2206"/>
      <c r="Z914" s="2206"/>
      <c r="AA914" s="164"/>
      <c r="AB914" s="2277" t="s">
        <v>409</v>
      </c>
      <c r="AC914" s="2277"/>
      <c r="AD914" s="2277"/>
      <c r="AE914" s="2277"/>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61" t="s">
        <v>577</v>
      </c>
      <c r="V915" s="2013"/>
      <c r="W915" s="2013"/>
      <c r="X915" s="2013"/>
      <c r="Y915" s="2013"/>
      <c r="Z915" s="2014"/>
      <c r="AA915" s="2256">
        <v>33646558</v>
      </c>
      <c r="AB915" s="2017"/>
      <c r="AC915" s="2017"/>
      <c r="AD915" s="2017"/>
      <c r="AE915" s="2017"/>
      <c r="AF915" s="225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61" t="s">
        <v>705</v>
      </c>
      <c r="V916" s="2013"/>
      <c r="W916" s="2013"/>
      <c r="X916" s="2013"/>
      <c r="Y916" s="2013"/>
      <c r="Z916" s="2014"/>
      <c r="AA916" s="2256">
        <v>10534860</v>
      </c>
      <c r="AB916" s="2017"/>
      <c r="AC916" s="2017"/>
      <c r="AD916" s="2017"/>
      <c r="AE916" s="2017"/>
      <c r="AF916" s="225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61" t="s">
        <v>625</v>
      </c>
      <c r="V917" s="2013"/>
      <c r="W917" s="2013"/>
      <c r="X917" s="2013"/>
      <c r="Y917" s="2013"/>
      <c r="Z917" s="2014"/>
      <c r="AA917" s="2256"/>
      <c r="AB917" s="2017"/>
      <c r="AC917" s="2017"/>
      <c r="AD917" s="2017"/>
      <c r="AE917" s="2017"/>
      <c r="AF917" s="225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61" t="s">
        <v>625</v>
      </c>
      <c r="V918" s="2013"/>
      <c r="W918" s="2013"/>
      <c r="X918" s="2013"/>
      <c r="Y918" s="2013"/>
      <c r="Z918" s="2014"/>
      <c r="AA918" s="2256"/>
      <c r="AB918" s="2017"/>
      <c r="AC918" s="2017"/>
      <c r="AD918" s="2017"/>
      <c r="AE918" s="2017"/>
      <c r="AF918" s="225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61" t="s">
        <v>625</v>
      </c>
      <c r="V919" s="2013"/>
      <c r="W919" s="2013"/>
      <c r="X919" s="2013"/>
      <c r="Y919" s="2013"/>
      <c r="Z919" s="2014"/>
      <c r="AA919" s="2256"/>
      <c r="AB919" s="2017"/>
      <c r="AC919" s="2017"/>
      <c r="AD919" s="2017"/>
      <c r="AE919" s="2017"/>
      <c r="AF919" s="225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61" t="s">
        <v>625</v>
      </c>
      <c r="V920" s="2013"/>
      <c r="W920" s="2013"/>
      <c r="X920" s="2013"/>
      <c r="Y920" s="2013"/>
      <c r="Z920" s="2014"/>
      <c r="AA920" s="2256"/>
      <c r="AB920" s="2017"/>
      <c r="AC920" s="2017"/>
      <c r="AD920" s="2017"/>
      <c r="AE920" s="2017"/>
      <c r="AF920" s="225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61" t="s">
        <v>625</v>
      </c>
      <c r="V921" s="2013"/>
      <c r="W921" s="2013"/>
      <c r="X921" s="2013"/>
      <c r="Y921" s="2013"/>
      <c r="Z921" s="2014"/>
      <c r="AA921" s="2256"/>
      <c r="AB921" s="2017"/>
      <c r="AC921" s="2017"/>
      <c r="AD921" s="2017"/>
      <c r="AE921" s="2017"/>
      <c r="AF921" s="225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61" t="s">
        <v>625</v>
      </c>
      <c r="V922" s="2013"/>
      <c r="W922" s="2013"/>
      <c r="X922" s="2013"/>
      <c r="Y922" s="2013"/>
      <c r="Z922" s="2014"/>
      <c r="AA922" s="2256"/>
      <c r="AB922" s="2017"/>
      <c r="AC922" s="2017"/>
      <c r="AD922" s="2017"/>
      <c r="AE922" s="2017"/>
      <c r="AF922" s="225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61" t="s">
        <v>625</v>
      </c>
      <c r="V923" s="2013"/>
      <c r="W923" s="2013"/>
      <c r="X923" s="2013"/>
      <c r="Y923" s="2013"/>
      <c r="Z923" s="2014"/>
      <c r="AA923" s="2256"/>
      <c r="AB923" s="2017"/>
      <c r="AC923" s="2017"/>
      <c r="AD923" s="2017"/>
      <c r="AE923" s="2017"/>
      <c r="AF923" s="225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61" t="s">
        <v>625</v>
      </c>
      <c r="V924" s="2013"/>
      <c r="W924" s="2013"/>
      <c r="X924" s="2013"/>
      <c r="Y924" s="2013"/>
      <c r="Z924" s="2014"/>
      <c r="AA924" s="2256"/>
      <c r="AB924" s="2017"/>
      <c r="AC924" s="2017"/>
      <c r="AD924" s="2017"/>
      <c r="AE924" s="2017"/>
      <c r="AF924" s="225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261" t="s">
        <v>705</v>
      </c>
      <c r="V925" s="2013"/>
      <c r="W925" s="2013"/>
      <c r="X925" s="2013"/>
      <c r="Y925" s="2013"/>
      <c r="Z925" s="2014"/>
      <c r="AA925" s="2256">
        <v>8000000</v>
      </c>
      <c r="AB925" s="2017"/>
      <c r="AC925" s="2017"/>
      <c r="AD925" s="2017"/>
      <c r="AE925" s="2017"/>
      <c r="AF925" s="225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61" t="s">
        <v>625</v>
      </c>
      <c r="V926" s="2013"/>
      <c r="W926" s="2013"/>
      <c r="X926" s="2013"/>
      <c r="Y926" s="2013"/>
      <c r="Z926" s="2014"/>
      <c r="AA926" s="2256"/>
      <c r="AB926" s="2017"/>
      <c r="AC926" s="2017"/>
      <c r="AD926" s="2017"/>
      <c r="AE926" s="2017"/>
      <c r="AF926" s="225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61" t="s">
        <v>625</v>
      </c>
      <c r="V927" s="2013"/>
      <c r="W927" s="2013"/>
      <c r="X927" s="2013"/>
      <c r="Y927" s="2013"/>
      <c r="Z927" s="2014"/>
      <c r="AA927" s="2256"/>
      <c r="AB927" s="2017"/>
      <c r="AC927" s="2017"/>
      <c r="AD927" s="2017"/>
      <c r="AE927" s="2017"/>
      <c r="AF927" s="225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1489</v>
      </c>
      <c r="G928" s="148"/>
      <c r="H928" s="148"/>
      <c r="I928" s="148"/>
      <c r="J928" s="148"/>
      <c r="K928" s="148"/>
      <c r="L928" s="148"/>
      <c r="M928" s="148"/>
      <c r="N928" s="148"/>
      <c r="O928" s="148"/>
      <c r="P928" s="148"/>
      <c r="Q928" s="148"/>
      <c r="R928" s="148"/>
      <c r="S928" s="148"/>
      <c r="T928" s="336"/>
      <c r="U928" s="2261" t="s">
        <v>625</v>
      </c>
      <c r="V928" s="2013"/>
      <c r="W928" s="2013"/>
      <c r="X928" s="2013"/>
      <c r="Y928" s="2013"/>
      <c r="Z928" s="2014"/>
      <c r="AA928" s="2256"/>
      <c r="AB928" s="2017"/>
      <c r="AC928" s="2017"/>
      <c r="AD928" s="2017"/>
      <c r="AE928" s="2017"/>
      <c r="AF928" s="225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1490</v>
      </c>
      <c r="G929" s="77"/>
      <c r="H929" s="77"/>
      <c r="I929" s="77"/>
      <c r="J929" s="77"/>
      <c r="K929" s="77"/>
      <c r="L929" s="77"/>
      <c r="M929" s="77"/>
      <c r="N929" s="77"/>
      <c r="O929" s="77"/>
      <c r="P929" s="148"/>
      <c r="Q929" s="148"/>
      <c r="R929" s="148"/>
      <c r="S929" s="148"/>
      <c r="T929" s="336"/>
      <c r="U929" s="2261" t="s">
        <v>625</v>
      </c>
      <c r="V929" s="2013"/>
      <c r="W929" s="2013"/>
      <c r="X929" s="2013"/>
      <c r="Y929" s="2013"/>
      <c r="Z929" s="2014"/>
      <c r="AA929" s="2256"/>
      <c r="AB929" s="2017"/>
      <c r="AC929" s="2017"/>
      <c r="AD929" s="2017"/>
      <c r="AE929" s="2017"/>
      <c r="AF929" s="225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61" t="s">
        <v>705</v>
      </c>
      <c r="Q930" s="2013"/>
      <c r="R930" s="2013"/>
      <c r="S930" s="2013"/>
      <c r="T930" s="2014"/>
      <c r="U930" s="2261" t="s">
        <v>625</v>
      </c>
      <c r="V930" s="2013"/>
      <c r="W930" s="2013"/>
      <c r="X930" s="2013"/>
      <c r="Y930" s="2013"/>
      <c r="Z930" s="2014"/>
      <c r="AA930" s="2256"/>
      <c r="AB930" s="2017"/>
      <c r="AC930" s="2017"/>
      <c r="AD930" s="2017"/>
      <c r="AE930" s="2017"/>
      <c r="AF930" s="225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8" t="s">
        <v>342</v>
      </c>
      <c r="J931" s="2467"/>
      <c r="K931" s="2467"/>
      <c r="L931" s="2467"/>
      <c r="M931" s="2467"/>
      <c r="N931" s="2467"/>
      <c r="O931" s="2467"/>
      <c r="P931" s="2467"/>
      <c r="Q931" s="2467"/>
      <c r="R931" s="2467"/>
      <c r="S931" s="2467"/>
      <c r="T931" s="2468"/>
      <c r="U931" s="2261" t="s">
        <v>625</v>
      </c>
      <c r="V931" s="2013"/>
      <c r="W931" s="2013"/>
      <c r="X931" s="2013"/>
      <c r="Y931" s="2013"/>
      <c r="Z931" s="2014"/>
      <c r="AA931" s="2256"/>
      <c r="AB931" s="2017"/>
      <c r="AC931" s="2017"/>
      <c r="AD931" s="2017"/>
      <c r="AE931" s="2017"/>
      <c r="AF931" s="225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4" t="s">
        <v>342</v>
      </c>
      <c r="J932" s="2275"/>
      <c r="K932" s="2275"/>
      <c r="L932" s="2275"/>
      <c r="M932" s="2275"/>
      <c r="N932" s="2275"/>
      <c r="O932" s="2275"/>
      <c r="P932" s="2275"/>
      <c r="Q932" s="2275"/>
      <c r="R932" s="2275"/>
      <c r="S932" s="2275"/>
      <c r="T932" s="2276"/>
      <c r="U932" s="2261" t="s">
        <v>625</v>
      </c>
      <c r="V932" s="2013"/>
      <c r="W932" s="2013"/>
      <c r="X932" s="2013"/>
      <c r="Y932" s="2013"/>
      <c r="Z932" s="2014"/>
      <c r="AA932" s="2256"/>
      <c r="AB932" s="2017"/>
      <c r="AC932" s="2017"/>
      <c r="AD932" s="2017"/>
      <c r="AE932" s="2017"/>
      <c r="AF932" s="225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74" t="s">
        <v>342</v>
      </c>
      <c r="J933" s="2275"/>
      <c r="K933" s="2275"/>
      <c r="L933" s="2275"/>
      <c r="M933" s="2275"/>
      <c r="N933" s="2275"/>
      <c r="O933" s="2275"/>
      <c r="P933" s="2275"/>
      <c r="Q933" s="2275"/>
      <c r="R933" s="2275"/>
      <c r="S933" s="2275"/>
      <c r="T933" s="2276"/>
      <c r="U933" s="2261" t="s">
        <v>625</v>
      </c>
      <c r="V933" s="2013"/>
      <c r="W933" s="2013"/>
      <c r="X933" s="2013"/>
      <c r="Y933" s="2013"/>
      <c r="Z933" s="2014"/>
      <c r="AA933" s="2256"/>
      <c r="AB933" s="2017"/>
      <c r="AC933" s="2017"/>
      <c r="AD933" s="2017"/>
      <c r="AE933" s="2017"/>
      <c r="AF933" s="225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74" t="s">
        <v>342</v>
      </c>
      <c r="J934" s="2275"/>
      <c r="K934" s="2275"/>
      <c r="L934" s="2275"/>
      <c r="M934" s="2275"/>
      <c r="N934" s="2275"/>
      <c r="O934" s="2275"/>
      <c r="P934" s="2275"/>
      <c r="Q934" s="2275"/>
      <c r="R934" s="2275"/>
      <c r="S934" s="2275"/>
      <c r="T934" s="2276"/>
      <c r="U934" s="2261" t="s">
        <v>625</v>
      </c>
      <c r="V934" s="2013"/>
      <c r="W934" s="2013"/>
      <c r="X934" s="2013"/>
      <c r="Y934" s="2013"/>
      <c r="Z934" s="2014"/>
      <c r="AA934" s="2256"/>
      <c r="AB934" s="2017"/>
      <c r="AC934" s="2017"/>
      <c r="AD934" s="2017"/>
      <c r="AE934" s="2017"/>
      <c r="AF934" s="225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71"/>
      <c r="N939" s="2272"/>
      <c r="O939" s="2272"/>
      <c r="P939" s="2272"/>
      <c r="Q939" s="2272"/>
      <c r="R939" s="2272"/>
      <c r="S939" s="2273"/>
      <c r="U939" s="103" t="s">
        <v>11</v>
      </c>
      <c r="V939" s="77"/>
      <c r="W939" s="77"/>
      <c r="X939" s="77"/>
      <c r="Y939" s="77"/>
      <c r="Z939" s="77"/>
      <c r="AA939" s="77"/>
      <c r="AB939" s="77"/>
      <c r="AC939" s="77"/>
      <c r="AD939" s="78"/>
      <c r="AE939" s="2271"/>
      <c r="AF939" s="2272"/>
      <c r="AG939" s="2272"/>
      <c r="AH939" s="2272"/>
      <c r="AI939" s="2272"/>
      <c r="AJ939" s="2272"/>
      <c r="AK939" s="227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58"/>
      <c r="N940" s="2259"/>
      <c r="O940" s="2259"/>
      <c r="P940" s="2259"/>
      <c r="Q940" s="2259"/>
      <c r="R940" s="2259"/>
      <c r="S940" s="2260"/>
      <c r="U940" s="103" t="s">
        <v>12</v>
      </c>
      <c r="V940" s="77"/>
      <c r="W940" s="77"/>
      <c r="X940" s="77"/>
      <c r="Y940" s="77"/>
      <c r="Z940" s="77"/>
      <c r="AA940" s="77"/>
      <c r="AB940" s="77"/>
      <c r="AC940" s="77"/>
      <c r="AD940" s="78"/>
      <c r="AE940" s="2258"/>
      <c r="AF940" s="2259"/>
      <c r="AG940" s="2259"/>
      <c r="AH940" s="2259"/>
      <c r="AI940" s="2259"/>
      <c r="AJ940" s="2259"/>
      <c r="AK940" s="226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62" t="s">
        <v>315</v>
      </c>
      <c r="K941" s="2263"/>
      <c r="L941" s="2263"/>
      <c r="M941" s="2263"/>
      <c r="N941" s="2263"/>
      <c r="O941" s="2263"/>
      <c r="P941" s="2263"/>
      <c r="Q941" s="2263"/>
      <c r="R941" s="2263"/>
      <c r="S941" s="2264"/>
      <c r="U941" s="103" t="s">
        <v>944</v>
      </c>
      <c r="V941" s="77"/>
      <c r="W941" s="77"/>
      <c r="AB941" s="2262" t="s">
        <v>315</v>
      </c>
      <c r="AC941" s="2263"/>
      <c r="AD941" s="2263"/>
      <c r="AE941" s="2263"/>
      <c r="AF941" s="2263"/>
      <c r="AG941" s="2263"/>
      <c r="AH941" s="2263"/>
      <c r="AI941" s="2263"/>
      <c r="AJ941" s="2263"/>
      <c r="AK941" s="226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9"/>
      <c r="N942" s="2297"/>
      <c r="O942" s="2297"/>
      <c r="P942" s="2297"/>
      <c r="Q942" s="2297"/>
      <c r="R942" s="2297"/>
      <c r="S942" s="2298"/>
      <c r="U942" s="103" t="s">
        <v>13</v>
      </c>
      <c r="V942" s="77"/>
      <c r="W942" s="77"/>
      <c r="X942" s="77"/>
      <c r="Y942" s="77"/>
      <c r="Z942" s="77"/>
      <c r="AA942" s="77"/>
      <c r="AB942" s="77"/>
      <c r="AC942" s="77"/>
      <c r="AD942" s="78"/>
      <c r="AE942" s="2296"/>
      <c r="AF942" s="2297"/>
      <c r="AG942" s="2297"/>
      <c r="AH942" s="2297"/>
      <c r="AI942" s="2297"/>
      <c r="AJ942" s="2297"/>
      <c r="AK942" s="22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5"/>
      <c r="N943" s="2226"/>
      <c r="O943" s="2226"/>
      <c r="P943" s="2226"/>
      <c r="Q943" s="2226"/>
      <c r="R943" s="2226"/>
      <c r="S943" s="2227"/>
      <c r="U943" s="103" t="s">
        <v>14</v>
      </c>
      <c r="V943" s="77"/>
      <c r="W943" s="77"/>
      <c r="X943" s="77"/>
      <c r="Y943" s="77"/>
      <c r="Z943" s="77"/>
      <c r="AA943" s="77"/>
      <c r="AB943" s="77"/>
      <c r="AC943" s="77"/>
      <c r="AD943" s="78"/>
      <c r="AE943" s="2225"/>
      <c r="AF943" s="2226"/>
      <c r="AG943" s="2226"/>
      <c r="AH943" s="2226"/>
      <c r="AI943" s="2226"/>
      <c r="AJ943" s="2226"/>
      <c r="AK943" s="22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56"/>
      <c r="N944" s="2017"/>
      <c r="O944" s="2017"/>
      <c r="P944" s="2017"/>
      <c r="Q944" s="2017"/>
      <c r="R944" s="2017"/>
      <c r="S944" s="2257"/>
      <c r="U944" s="103" t="s">
        <v>15</v>
      </c>
      <c r="V944" s="77"/>
      <c r="W944" s="77"/>
      <c r="X944" s="77"/>
      <c r="Y944" s="77"/>
      <c r="Z944" s="77"/>
      <c r="AA944" s="77"/>
      <c r="AB944" s="77"/>
      <c r="AC944" s="77"/>
      <c r="AD944" s="78"/>
      <c r="AE944" s="2256"/>
      <c r="AF944" s="2017"/>
      <c r="AG944" s="2017"/>
      <c r="AH944" s="2017"/>
      <c r="AI944" s="2017"/>
      <c r="AJ944" s="2017"/>
      <c r="AK944" s="225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56"/>
      <c r="N945" s="2017"/>
      <c r="O945" s="2017"/>
      <c r="P945" s="2017"/>
      <c r="Q945" s="2017"/>
      <c r="R945" s="2017"/>
      <c r="S945" s="2257"/>
      <c r="U945" s="103" t="s">
        <v>16</v>
      </c>
      <c r="V945" s="77"/>
      <c r="W945" s="77"/>
      <c r="X945" s="77"/>
      <c r="Y945" s="77"/>
      <c r="Z945" s="77"/>
      <c r="AA945" s="77"/>
      <c r="AB945" s="77"/>
      <c r="AC945" s="77"/>
      <c r="AD945" s="78"/>
      <c r="AE945" s="2256"/>
      <c r="AF945" s="2017"/>
      <c r="AG945" s="2017"/>
      <c r="AH945" s="2017"/>
      <c r="AI945" s="2017"/>
      <c r="AJ945" s="2017"/>
      <c r="AK945" s="225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93"/>
      <c r="N946" s="2294"/>
      <c r="O946" s="2294"/>
      <c r="P946" s="2294"/>
      <c r="Q946" s="2294"/>
      <c r="R946" s="2294"/>
      <c r="S946" s="2295"/>
      <c r="U946" s="103" t="s">
        <v>604</v>
      </c>
      <c r="V946" s="77"/>
      <c r="W946" s="77"/>
      <c r="X946" s="77"/>
      <c r="Y946" s="77"/>
      <c r="Z946" s="77"/>
      <c r="AA946" s="77"/>
      <c r="AB946" s="77"/>
      <c r="AC946" s="77"/>
      <c r="AD946" s="78"/>
      <c r="AE946" s="2293"/>
      <c r="AF946" s="2294"/>
      <c r="AG946" s="2294"/>
      <c r="AH946" s="2294"/>
      <c r="AI946" s="2294"/>
      <c r="AJ946" s="2294"/>
      <c r="AK946" s="22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65"/>
      <c r="N951" s="2266"/>
      <c r="O951" s="2266"/>
      <c r="P951" s="2266"/>
      <c r="Q951" s="2266"/>
      <c r="R951" s="2266"/>
      <c r="S951" s="2267"/>
      <c r="T951" s="103" t="s">
        <v>847</v>
      </c>
      <c r="U951" s="77"/>
      <c r="V951" s="77"/>
      <c r="W951" s="77"/>
      <c r="X951" s="77"/>
      <c r="Y951" s="77"/>
      <c r="Z951" s="78"/>
      <c r="AA951" s="2265"/>
      <c r="AB951" s="2266"/>
      <c r="AC951" s="2266"/>
      <c r="AD951" s="2266"/>
      <c r="AE951" s="2266"/>
      <c r="AF951" s="2266"/>
      <c r="AG951" s="226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65"/>
      <c r="N952" s="2266"/>
      <c r="O952" s="2266"/>
      <c r="P952" s="2266"/>
      <c r="Q952" s="2266"/>
      <c r="R952" s="2266"/>
      <c r="S952" s="2267"/>
      <c r="T952" s="103" t="s">
        <v>846</v>
      </c>
      <c r="U952" s="77"/>
      <c r="V952" s="77"/>
      <c r="W952" s="77"/>
      <c r="X952" s="77"/>
      <c r="Y952" s="77"/>
      <c r="Z952" s="78"/>
      <c r="AA952" s="2265"/>
      <c r="AB952" s="2266"/>
      <c r="AC952" s="2266"/>
      <c r="AD952" s="2266"/>
      <c r="AE952" s="2266"/>
      <c r="AF952" s="2266"/>
      <c r="AG952" s="226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73" t="s">
        <v>625</v>
      </c>
      <c r="N953" s="2474"/>
      <c r="O953" s="2474"/>
      <c r="P953" s="2474"/>
      <c r="Q953" s="2474"/>
      <c r="R953" s="2474"/>
      <c r="S953" s="2475"/>
      <c r="T953" s="76" t="s">
        <v>345</v>
      </c>
      <c r="U953" s="77"/>
      <c r="V953" s="77"/>
      <c r="W953" s="77"/>
      <c r="X953" s="77"/>
      <c r="Y953" s="77"/>
      <c r="Z953" s="78"/>
      <c r="AA953" s="2265"/>
      <c r="AB953" s="2266"/>
      <c r="AC953" s="2266"/>
      <c r="AD953" s="2266"/>
      <c r="AE953" s="2266"/>
      <c r="AF953" s="2266"/>
      <c r="AG953" s="226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65"/>
      <c r="N954" s="2266"/>
      <c r="O954" s="2266"/>
      <c r="P954" s="2266"/>
      <c r="Q954" s="2266"/>
      <c r="R954" s="2266"/>
      <c r="S954" s="2267"/>
      <c r="T954" s="76" t="s">
        <v>346</v>
      </c>
      <c r="U954" s="77"/>
      <c r="V954" s="77"/>
      <c r="W954" s="77"/>
      <c r="X954" s="77"/>
      <c r="Y954" s="77"/>
      <c r="Z954" s="78"/>
      <c r="AA954" s="2265"/>
      <c r="AB954" s="2266"/>
      <c r="AC954" s="2266"/>
      <c r="AD954" s="2266"/>
      <c r="AE954" s="2266"/>
      <c r="AF954" s="2266"/>
      <c r="AG954" s="226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65"/>
      <c r="N955" s="2266"/>
      <c r="O955" s="2266"/>
      <c r="P955" s="2266"/>
      <c r="Q955" s="2266"/>
      <c r="R955" s="2266"/>
      <c r="S955" s="2267"/>
      <c r="T955" s="76" t="s">
        <v>393</v>
      </c>
      <c r="U955" s="77"/>
      <c r="V955" s="77"/>
      <c r="W955" s="77"/>
      <c r="X955" s="77"/>
      <c r="Y955" s="77"/>
      <c r="Z955" s="78"/>
      <c r="AA955" s="2265"/>
      <c r="AB955" s="2266"/>
      <c r="AC955" s="2266"/>
      <c r="AD955" s="2266"/>
      <c r="AE955" s="2266"/>
      <c r="AF955" s="2266"/>
      <c r="AG955" s="226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78" t="s">
        <v>315</v>
      </c>
      <c r="N956" s="2279"/>
      <c r="O956" s="2279"/>
      <c r="P956" s="2279"/>
      <c r="Q956" s="2279"/>
      <c r="R956" s="2279"/>
      <c r="S956" s="2280"/>
      <c r="T956" s="2268"/>
      <c r="U956" s="2269"/>
      <c r="V956" s="2269"/>
      <c r="W956" s="2269"/>
      <c r="X956" s="2269"/>
      <c r="Y956" s="2269"/>
      <c r="Z956" s="2270"/>
      <c r="AA956" s="2265"/>
      <c r="AB956" s="2266"/>
      <c r="AC956" s="2266"/>
      <c r="AD956" s="2266"/>
      <c r="AE956" s="2266"/>
      <c r="AF956" s="2266"/>
      <c r="AG956" s="226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65"/>
      <c r="N957" s="2266"/>
      <c r="O957" s="2266"/>
      <c r="P957" s="2266"/>
      <c r="Q957" s="2266"/>
      <c r="R957" s="2266"/>
      <c r="S957" s="2267"/>
      <c r="T957" s="2268"/>
      <c r="U957" s="2269"/>
      <c r="V957" s="2269"/>
      <c r="W957" s="2269"/>
      <c r="X957" s="2269"/>
      <c r="Y957" s="2269"/>
      <c r="Z957" s="2270"/>
      <c r="AA957" s="2265"/>
      <c r="AB957" s="2266"/>
      <c r="AC957" s="2266"/>
      <c r="AD957" s="2266"/>
      <c r="AE957" s="2266"/>
      <c r="AF957" s="2266"/>
      <c r="AG957" s="226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0" t="s">
        <v>705</v>
      </c>
      <c r="P958" s="2081"/>
      <c r="Q958" s="139"/>
      <c r="R958" s="139"/>
      <c r="S958" s="140"/>
      <c r="T958" s="71" t="s">
        <v>174</v>
      </c>
      <c r="U958" s="72"/>
      <c r="V958" s="72"/>
      <c r="W958" s="2246" t="s">
        <v>342</v>
      </c>
      <c r="X958" s="2247"/>
      <c r="Y958" s="2247"/>
      <c r="Z958" s="2247"/>
      <c r="AA958" s="2247"/>
      <c r="AB958" s="2247"/>
      <c r="AC958" s="2247"/>
      <c r="AD958" s="2247"/>
      <c r="AE958" s="2247"/>
      <c r="AF958" s="2247"/>
      <c r="AG958" s="224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302" t="s">
        <v>34</v>
      </c>
      <c r="G959" s="2303"/>
      <c r="H959" s="2303"/>
      <c r="I959" s="2303"/>
      <c r="J959" s="2303"/>
      <c r="K959" s="2303"/>
      <c r="L959" s="2303"/>
      <c r="M959" s="2265"/>
      <c r="N959" s="2266"/>
      <c r="O959" s="2266"/>
      <c r="P959" s="2266"/>
      <c r="Q959" s="2266"/>
      <c r="R959" s="2266"/>
      <c r="S959" s="2267"/>
      <c r="T959" s="79"/>
      <c r="U959" s="80"/>
      <c r="V959" s="80"/>
      <c r="W959" s="80"/>
      <c r="X959" s="80"/>
      <c r="Y959" s="80"/>
      <c r="Z959" s="188" t="s">
        <v>139</v>
      </c>
      <c r="AA959" s="2464"/>
      <c r="AB959" s="2465"/>
      <c r="AC959" s="2465"/>
      <c r="AD959" s="2465"/>
      <c r="AE959" s="2465"/>
      <c r="AF959" s="2465"/>
      <c r="AG959" s="24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400" t="s">
        <v>580</v>
      </c>
      <c r="B963" s="2400"/>
      <c r="C963" s="2400"/>
      <c r="D963" s="2400"/>
      <c r="E963" s="2400"/>
      <c r="F963" s="2400"/>
      <c r="G963" s="2400"/>
      <c r="H963" s="2400"/>
      <c r="I963" s="2400"/>
      <c r="J963" s="2400"/>
      <c r="K963" s="2400"/>
      <c r="L963" s="2400"/>
      <c r="M963" s="2400"/>
      <c r="N963" s="2400"/>
      <c r="O963" s="2400"/>
      <c r="P963" s="2400"/>
      <c r="Q963" s="2400"/>
      <c r="R963" s="2400"/>
      <c r="S963" s="2400"/>
      <c r="T963" s="2400"/>
      <c r="U963" s="2400"/>
      <c r="V963" s="2400"/>
      <c r="W963" s="2400"/>
      <c r="X963" s="2400"/>
      <c r="Y963" s="2400"/>
      <c r="Z963" s="2400"/>
      <c r="AA963" s="2400"/>
      <c r="AB963" s="2400"/>
      <c r="AC963" s="2400"/>
      <c r="AD963" s="2400"/>
      <c r="AE963" s="2400"/>
      <c r="AF963" s="2400"/>
      <c r="AG963" s="2400"/>
      <c r="AH963" s="2400"/>
      <c r="AI963" s="2400"/>
      <c r="AJ963" s="2400"/>
      <c r="AK963" s="2400"/>
      <c r="AL963" s="2400"/>
      <c r="AM963" s="2400"/>
      <c r="AN963" s="2400"/>
      <c r="AO963" s="2400"/>
      <c r="AP963" s="2400"/>
      <c r="AQ963" s="2400"/>
      <c r="AR963" s="2400"/>
      <c r="AS963" s="24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400"/>
      <c r="B964" s="2400"/>
      <c r="C964" s="2400"/>
      <c r="D964" s="2400"/>
      <c r="E964" s="2400"/>
      <c r="F964" s="2400"/>
      <c r="G964" s="2400"/>
      <c r="H964" s="2400"/>
      <c r="I964" s="2400"/>
      <c r="J964" s="2400"/>
      <c r="K964" s="2400"/>
      <c r="L964" s="2400"/>
      <c r="M964" s="2400"/>
      <c r="N964" s="2400"/>
      <c r="O964" s="2400"/>
      <c r="P964" s="2400"/>
      <c r="Q964" s="2400"/>
      <c r="R964" s="2400"/>
      <c r="S964" s="2400"/>
      <c r="T964" s="2400"/>
      <c r="U964" s="2400"/>
      <c r="V964" s="2400"/>
      <c r="W964" s="2400"/>
      <c r="X964" s="2400"/>
      <c r="Y964" s="2400"/>
      <c r="Z964" s="2400"/>
      <c r="AA964" s="2400"/>
      <c r="AB964" s="2400"/>
      <c r="AC964" s="2400"/>
      <c r="AD964" s="2400"/>
      <c r="AE964" s="2400"/>
      <c r="AF964" s="2400"/>
      <c r="AG964" s="2400"/>
      <c r="AH964" s="2400"/>
      <c r="AI964" s="2400"/>
      <c r="AJ964" s="2400"/>
      <c r="AK964" s="2400"/>
      <c r="AL964" s="2400"/>
      <c r="AM964" s="2400"/>
      <c r="AN964" s="2400"/>
      <c r="AO964" s="2400"/>
      <c r="AP964" s="2400"/>
      <c r="AQ964" s="2400"/>
      <c r="AR964" s="2400"/>
      <c r="AS964" s="24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55"/>
      <c r="BH965" s="2255"/>
      <c r="BI965" s="2255"/>
      <c r="BJ965" s="2255"/>
      <c r="BK965" s="2255"/>
      <c r="BL965" s="2255"/>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1"/>
      <c r="D968" s="2390" t="s">
        <v>672</v>
      </c>
      <c r="E968" s="2391"/>
      <c r="F968" s="2391"/>
      <c r="G968" s="2391"/>
      <c r="H968" s="2391"/>
      <c r="I968" s="2391"/>
      <c r="J968" s="2391"/>
      <c r="K968" s="2391"/>
      <c r="L968" s="2391"/>
      <c r="M968" s="2391"/>
      <c r="N968" s="2391"/>
      <c r="O968" s="2391"/>
      <c r="P968" s="2391"/>
      <c r="Q968" s="2392"/>
      <c r="R968" s="2390" t="s">
        <v>673</v>
      </c>
      <c r="S968" s="2391"/>
      <c r="T968" s="2391"/>
      <c r="U968" s="2391"/>
      <c r="V968" s="2391"/>
      <c r="W968" s="2391"/>
      <c r="X968" s="2391"/>
      <c r="Y968" s="2391"/>
      <c r="Z968" s="2391"/>
      <c r="AA968" s="2392"/>
      <c r="AB968" s="2390" t="s">
        <v>674</v>
      </c>
      <c r="AC968" s="2391"/>
      <c r="AD968" s="2391"/>
      <c r="AE968" s="2391"/>
      <c r="AF968" s="2391"/>
      <c r="AG968" s="2391"/>
      <c r="AH968" s="2391"/>
      <c r="AI968" s="2392"/>
      <c r="AJ968" s="2390" t="s">
        <v>675</v>
      </c>
      <c r="AK968" s="2391"/>
      <c r="AL968" s="2391"/>
      <c r="AM968" s="2391"/>
      <c r="AN968" s="2391"/>
      <c r="AO968" s="2391"/>
      <c r="AP968" s="2391"/>
      <c r="AQ968" s="2392"/>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75">
      <c r="B969" s="110"/>
      <c r="C969" s="1532"/>
      <c r="D969" s="2334" t="s">
        <v>667</v>
      </c>
      <c r="E969" s="2335"/>
      <c r="F969" s="2335"/>
      <c r="G969" s="2335"/>
      <c r="H969" s="2335"/>
      <c r="I969" s="2335"/>
      <c r="J969" s="2335"/>
      <c r="K969" s="2335"/>
      <c r="L969" s="2335"/>
      <c r="M969" s="2335"/>
      <c r="N969" s="2335"/>
      <c r="O969" s="2335"/>
      <c r="P969" s="2335"/>
      <c r="Q969" s="2336"/>
      <c r="R969" s="2304">
        <f>IF(ISNA(IF($BN$799="4%",(INDEX($BP$809:$BT$866,MATCH($CB$799,$BO$809:$BO$866,0),MATCH(D969,$BP$808:$BT$808,0))),(INDEX($BW$809:$CA$866,MATCH($CB$799,$BV$809:$BV$866,0),MATCH(D969,$BW$808:$CA$808,0))))),0,IF($BN$799="4%",(INDEX($BP$809:$BT$866,MATCH($CB$799,$BO$809:$BO$866,0),MATCH(D969,$BP$808:$BT$808,0))),(INDEX($BW$809:$CA$866,MATCH($CB$799,$BV$809:$BV$866,0),MATCH(D969,$BW$808:$CA$808,0)))))</f>
        <v>278397</v>
      </c>
      <c r="S969" s="2304"/>
      <c r="T969" s="2304"/>
      <c r="U969" s="2304"/>
      <c r="V969" s="2304"/>
      <c r="W969" s="2304"/>
      <c r="X969" s="2304"/>
      <c r="Y969" s="2304"/>
      <c r="Z969" s="2304"/>
      <c r="AA969" s="2304"/>
      <c r="AB969" s="2393">
        <f>BN663</f>
        <v>0</v>
      </c>
      <c r="AC969" s="2394"/>
      <c r="AD969" s="2394"/>
      <c r="AE969" s="2394"/>
      <c r="AF969" s="2394"/>
      <c r="AG969" s="2394"/>
      <c r="AH969" s="2394"/>
      <c r="AI969" s="2395"/>
      <c r="AJ969" s="2358">
        <f>IF(ISERROR((R969*AB969)),0,(R969*AB969))</f>
        <v>0</v>
      </c>
      <c r="AK969" s="2359"/>
      <c r="AL969" s="2359"/>
      <c r="AM969" s="2359"/>
      <c r="AN969" s="2359"/>
      <c r="AO969" s="2359"/>
      <c r="AP969" s="2359"/>
      <c r="AQ969" s="2360"/>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75">
      <c r="B970" s="110"/>
      <c r="C970" s="1533"/>
      <c r="D970" s="2334" t="s">
        <v>333</v>
      </c>
      <c r="E970" s="2335"/>
      <c r="F970" s="2335"/>
      <c r="G970" s="2335"/>
      <c r="H970" s="2335"/>
      <c r="I970" s="2335"/>
      <c r="J970" s="2335"/>
      <c r="K970" s="2335"/>
      <c r="L970" s="2335"/>
      <c r="M970" s="2335"/>
      <c r="N970" s="2335"/>
      <c r="O970" s="2335"/>
      <c r="P970" s="2335"/>
      <c r="Q970" s="2336"/>
      <c r="R970" s="2304">
        <f>IF(ISNA(IF($BN$799="4%",(INDEX($BP$809:$BT$866,MATCH($CB$799,$BO$809:$BO$866,0),MATCH(D970,$BP$808:$BT$808,0))),(INDEX($BW$809:$CA$866,MATCH($CB$799,$BV$809:$BV$866,0),MATCH(D970,$BW$808:$CA$808,0))))),0,IF($BN$799="4%",(INDEX($BP$809:$BT$866,MATCH($CB$799,$BO$809:$BO$866,0),MATCH(D970,$BP$808:$BT$808,0))),(INDEX($BW$809:$CA$866,MATCH($CB$799,$BV$809:$BV$866,0),MATCH(D970,$BW$808:$CA$808,0)))))</f>
        <v>320989</v>
      </c>
      <c r="S970" s="2304"/>
      <c r="T970" s="2304"/>
      <c r="U970" s="2304"/>
      <c r="V970" s="2304"/>
      <c r="W970" s="2304"/>
      <c r="X970" s="2304"/>
      <c r="Y970" s="2304"/>
      <c r="Z970" s="2304"/>
      <c r="AA970" s="2304"/>
      <c r="AB970" s="2393">
        <f>BS663</f>
        <v>96</v>
      </c>
      <c r="AC970" s="2394"/>
      <c r="AD970" s="2394"/>
      <c r="AE970" s="2394"/>
      <c r="AF970" s="2394"/>
      <c r="AG970" s="2394"/>
      <c r="AH970" s="2394"/>
      <c r="AI970" s="2395"/>
      <c r="AJ970" s="2358">
        <f>IF(ISERROR((R970*AB970)),0,(R970*AB970))</f>
        <v>30814944</v>
      </c>
      <c r="AK970" s="2359"/>
      <c r="AL970" s="2359"/>
      <c r="AM970" s="2359"/>
      <c r="AN970" s="2359"/>
      <c r="AO970" s="2359"/>
      <c r="AP970" s="2359"/>
      <c r="AQ970" s="2360"/>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334" t="s">
        <v>168</v>
      </c>
      <c r="E971" s="2335"/>
      <c r="F971" s="2335"/>
      <c r="G971" s="2335"/>
      <c r="H971" s="2335"/>
      <c r="I971" s="2335"/>
      <c r="J971" s="2335"/>
      <c r="K971" s="2335"/>
      <c r="L971" s="2335"/>
      <c r="M971" s="2335"/>
      <c r="N971" s="2335"/>
      <c r="O971" s="2335"/>
      <c r="P971" s="2335"/>
      <c r="Q971" s="2336"/>
      <c r="R971" s="2304">
        <f>IF(ISNA(IF($BN$799="4%",(INDEX($BP$809:$BT$866,MATCH($CB$799,$BO$809:$BO$866,0),MATCH(D971,$BP$808:$BT$808,0))),(INDEX($BW$809:$CA$866,MATCH($CB$799,$BV$809:$BV$866,0),MATCH(D971,$BW$808:$CA$808,0))))),0,IF($BN$799="4%",(INDEX($BP$809:$BT$866,MATCH($CB$799,$BO$809:$BO$866,0),MATCH(D971,$BP$808:$BT$808,0))),(INDEX($BW$809:$CA$866,MATCH($CB$799,$BV$809:$BV$866,0),MATCH(D971,$BW$808:$CA$808,0)))))</f>
        <v>387200</v>
      </c>
      <c r="S971" s="2304"/>
      <c r="T971" s="2304"/>
      <c r="U971" s="2304"/>
      <c r="V971" s="2304"/>
      <c r="W971" s="2304"/>
      <c r="X971" s="2304"/>
      <c r="Y971" s="2304"/>
      <c r="Z971" s="2304"/>
      <c r="AA971" s="2304"/>
      <c r="AB971" s="2393">
        <f>BX663</f>
        <v>48</v>
      </c>
      <c r="AC971" s="2394"/>
      <c r="AD971" s="2394"/>
      <c r="AE971" s="2394"/>
      <c r="AF971" s="2394"/>
      <c r="AG971" s="2394"/>
      <c r="AH971" s="2394"/>
      <c r="AI971" s="2395"/>
      <c r="AJ971" s="2358">
        <f>IF(ISERROR((R971*AB971)),0,(R971*AB971))</f>
        <v>18585600</v>
      </c>
      <c r="AK971" s="2359"/>
      <c r="AL971" s="2359"/>
      <c r="AM971" s="2359"/>
      <c r="AN971" s="2359"/>
      <c r="AO971" s="2359"/>
      <c r="AP971" s="2359"/>
      <c r="AQ971" s="2360"/>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75">
      <c r="B972" s="110"/>
      <c r="C972" s="1533"/>
      <c r="D972" s="2334" t="s">
        <v>169</v>
      </c>
      <c r="E972" s="2335"/>
      <c r="F972" s="2335"/>
      <c r="G972" s="2335"/>
      <c r="H972" s="2335"/>
      <c r="I972" s="2335"/>
      <c r="J972" s="2335"/>
      <c r="K972" s="2335"/>
      <c r="L972" s="2335"/>
      <c r="M972" s="2335"/>
      <c r="N972" s="2335"/>
      <c r="O972" s="2335"/>
      <c r="P972" s="2335"/>
      <c r="Q972" s="2336"/>
      <c r="R972" s="2304">
        <f>IF(ISNA(IF($BN$799="4%",(INDEX($BP$809:$BT$866,MATCH($CB$799,$BO$809:$BO$866,0),MATCH(D972,$BP$808:$BT$808,0))),(INDEX($BW$809:$CA$866,MATCH($CB$799,$BV$809:$BV$866,0),MATCH(D972,$BW$808:$CA$808,0))))),0,IF($BN$799="4%",(INDEX($BP$809:$BT$866,MATCH($CB$799,$BO$809:$BO$866,0),MATCH(D972,$BP$808:$BT$808,0))),(INDEX($BW$809:$CA$866,MATCH($CB$799,$BV$809:$BV$866,0),MATCH(D972,$BW$808:$CA$808,0)))))</f>
        <v>495616</v>
      </c>
      <c r="S972" s="2304"/>
      <c r="T972" s="2304"/>
      <c r="U972" s="2304"/>
      <c r="V972" s="2304"/>
      <c r="W972" s="2304"/>
      <c r="X972" s="2304"/>
      <c r="Y972" s="2304"/>
      <c r="Z972" s="2304"/>
      <c r="AA972" s="2304"/>
      <c r="AB972" s="2393">
        <f>CC663</f>
        <v>50</v>
      </c>
      <c r="AC972" s="2394"/>
      <c r="AD972" s="2394"/>
      <c r="AE972" s="2394"/>
      <c r="AF972" s="2394"/>
      <c r="AG972" s="2394"/>
      <c r="AH972" s="2394"/>
      <c r="AI972" s="2395"/>
      <c r="AJ972" s="2358">
        <f>IF(ISERROR((R972*AB972)),0,(R972*AB972))</f>
        <v>24780800</v>
      </c>
      <c r="AK972" s="2359"/>
      <c r="AL972" s="2359"/>
      <c r="AM972" s="2359"/>
      <c r="AN972" s="2359"/>
      <c r="AO972" s="2359"/>
      <c r="AP972" s="2359"/>
      <c r="AQ972" s="2360"/>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334" t="s">
        <v>492</v>
      </c>
      <c r="E973" s="2335"/>
      <c r="F973" s="2335"/>
      <c r="G973" s="2335"/>
      <c r="H973" s="2335"/>
      <c r="I973" s="2335"/>
      <c r="J973" s="2335"/>
      <c r="K973" s="2335"/>
      <c r="L973" s="2335"/>
      <c r="M973" s="2335"/>
      <c r="N973" s="2335"/>
      <c r="O973" s="2335"/>
      <c r="P973" s="2335"/>
      <c r="Q973" s="2336"/>
      <c r="R973" s="2304">
        <f>IF(ISNA(IF($BN$799="4%",(INDEX($BP$809:$BT$866,MATCH($CB$799,$BO$809:$BO$866,0),MATCH(D973,$BP$808:$BT$808,0))),(INDEX($BW$809:$CA$866,MATCH($CB$799,$BV$809:$BV$866,0),MATCH(D973,$BW$808:$CA$808,0))))),0,IF($BN$799="4%",(INDEX($BP$809:$BT$866,MATCH($CB$799,$BO$809:$BO$866,0),MATCH(D973,$BP$808:$BT$808,0))),(INDEX($BW$809:$CA$866,MATCH($CB$799,$BV$809:$BV$866,0),MATCH(D973,$BW$808:$CA$808,0)))))</f>
        <v>552147</v>
      </c>
      <c r="S973" s="2304"/>
      <c r="T973" s="2304"/>
      <c r="U973" s="2304"/>
      <c r="V973" s="2304"/>
      <c r="W973" s="2304"/>
      <c r="X973" s="2304"/>
      <c r="Y973" s="2304"/>
      <c r="Z973" s="2304"/>
      <c r="AA973" s="2304"/>
      <c r="AB973" s="2393">
        <f>CM663+CH663</f>
        <v>0</v>
      </c>
      <c r="AC973" s="2394"/>
      <c r="AD973" s="2394"/>
      <c r="AE973" s="2394"/>
      <c r="AF973" s="2394"/>
      <c r="AG973" s="2394"/>
      <c r="AH973" s="2394"/>
      <c r="AI973" s="2395"/>
      <c r="AJ973" s="2358">
        <f>IF(ISERROR((R973*AB973)),0,(R973*AB973))</f>
        <v>0</v>
      </c>
      <c r="AK973" s="2359"/>
      <c r="AL973" s="2359"/>
      <c r="AM973" s="2359"/>
      <c r="AN973" s="2359"/>
      <c r="AO973" s="2359"/>
      <c r="AP973" s="2359"/>
      <c r="AQ973" s="2360"/>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485" t="s">
        <v>848</v>
      </c>
      <c r="C974" s="2486"/>
      <c r="D974" s="2486"/>
      <c r="E974" s="2486"/>
      <c r="F974" s="2486"/>
      <c r="G974" s="2486"/>
      <c r="H974" s="2486"/>
      <c r="I974" s="2486"/>
      <c r="J974" s="2486"/>
      <c r="K974" s="2486"/>
      <c r="L974" s="2486"/>
      <c r="M974" s="2486"/>
      <c r="N974" s="2486"/>
      <c r="O974" s="2486"/>
      <c r="P974" s="2486"/>
      <c r="Q974" s="2486"/>
      <c r="R974" s="2486"/>
      <c r="S974" s="2486"/>
      <c r="T974" s="2486"/>
      <c r="U974" s="2486"/>
      <c r="V974" s="2486"/>
      <c r="W974" s="2486"/>
      <c r="X974" s="2486"/>
      <c r="Y974" s="2486"/>
      <c r="Z974" s="2486"/>
      <c r="AA974" s="2487"/>
      <c r="AB974" s="2393">
        <f>SUM(AB969:AI973)</f>
        <v>194</v>
      </c>
      <c r="AC974" s="2394"/>
      <c r="AD974" s="2394"/>
      <c r="AE974" s="2394"/>
      <c r="AF974" s="2394"/>
      <c r="AG974" s="2394"/>
      <c r="AH974" s="2394"/>
      <c r="AI974" s="2395"/>
      <c r="AJ974" s="2358"/>
      <c r="AK974" s="2359"/>
      <c r="AL974" s="2359"/>
      <c r="AM974" s="2359"/>
      <c r="AN974" s="2359"/>
      <c r="AO974" s="2359"/>
      <c r="AP974" s="2359"/>
      <c r="AQ974" s="2360"/>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461" t="s">
        <v>544</v>
      </c>
      <c r="C975" s="2462"/>
      <c r="D975" s="2462"/>
      <c r="E975" s="2462"/>
      <c r="F975" s="2462"/>
      <c r="G975" s="2462"/>
      <c r="H975" s="2462"/>
      <c r="I975" s="2462"/>
      <c r="J975" s="2462"/>
      <c r="K975" s="2462"/>
      <c r="L975" s="2462"/>
      <c r="M975" s="2462"/>
      <c r="N975" s="2462"/>
      <c r="O975" s="2462"/>
      <c r="P975" s="2462"/>
      <c r="Q975" s="2462"/>
      <c r="R975" s="2462"/>
      <c r="S975" s="2462"/>
      <c r="T975" s="2462"/>
      <c r="U975" s="2462"/>
      <c r="V975" s="2462"/>
      <c r="W975" s="2462"/>
      <c r="X975" s="2462"/>
      <c r="Y975" s="2462"/>
      <c r="Z975" s="2462"/>
      <c r="AA975" s="2462"/>
      <c r="AB975" s="2462"/>
      <c r="AC975" s="2462"/>
      <c r="AD975" s="2462"/>
      <c r="AE975" s="2462"/>
      <c r="AF975" s="2462"/>
      <c r="AG975" s="2462"/>
      <c r="AH975" s="2462"/>
      <c r="AI975" s="2463"/>
      <c r="AJ975" s="2358">
        <f>SUM(AJ969:AQ973)</f>
        <v>74181344</v>
      </c>
      <c r="AK975" s="2359"/>
      <c r="AL975" s="2359"/>
      <c r="AM975" s="2359"/>
      <c r="AN975" s="2359"/>
      <c r="AO975" s="2359"/>
      <c r="AP975" s="2359"/>
      <c r="AQ975" s="2360"/>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455"/>
      <c r="C976" s="2456"/>
      <c r="D976" s="2456"/>
      <c r="E976" s="2456"/>
      <c r="F976" s="2456"/>
      <c r="G976" s="2456"/>
      <c r="H976" s="2456"/>
      <c r="I976" s="2456"/>
      <c r="J976" s="2456"/>
      <c r="K976" s="2456"/>
      <c r="L976" s="2456"/>
      <c r="M976" s="2456"/>
      <c r="N976" s="2456"/>
      <c r="O976" s="2456"/>
      <c r="P976" s="2456"/>
      <c r="Q976" s="2456"/>
      <c r="R976" s="2456"/>
      <c r="S976" s="2456"/>
      <c r="T976" s="2456"/>
      <c r="U976" s="2456"/>
      <c r="V976" s="2456"/>
      <c r="W976" s="2456"/>
      <c r="X976" s="2456"/>
      <c r="Y976" s="2456"/>
      <c r="Z976" s="2456"/>
      <c r="AA976" s="2456"/>
      <c r="AB976" s="2456"/>
      <c r="AC976" s="2456"/>
      <c r="AD976" s="2456"/>
      <c r="AE976" s="2457"/>
      <c r="AF976" s="2518" t="s">
        <v>702</v>
      </c>
      <c r="AG976" s="2519"/>
      <c r="AH976" s="2519"/>
      <c r="AI976" s="2520"/>
      <c r="AJ976" s="2455"/>
      <c r="AK976" s="2456"/>
      <c r="AL976" s="2456"/>
      <c r="AM976" s="2456"/>
      <c r="AN976" s="2456"/>
      <c r="AO976" s="2456"/>
      <c r="AP976" s="2456"/>
      <c r="AQ976" s="2457"/>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704</v>
      </c>
      <c r="D977" s="2458" t="s">
        <v>1427</v>
      </c>
      <c r="E977" s="2459"/>
      <c r="F977" s="2459"/>
      <c r="G977" s="2459"/>
      <c r="H977" s="2459"/>
      <c r="I977" s="2459"/>
      <c r="J977" s="2459"/>
      <c r="K977" s="2459"/>
      <c r="L977" s="2459"/>
      <c r="M977" s="2459"/>
      <c r="N977" s="2459"/>
      <c r="O977" s="2459"/>
      <c r="P977" s="2459"/>
      <c r="Q977" s="2459"/>
      <c r="R977" s="2459"/>
      <c r="S977" s="2459"/>
      <c r="T977" s="2459"/>
      <c r="U977" s="2459"/>
      <c r="V977" s="2459"/>
      <c r="W977" s="2459"/>
      <c r="X977" s="2459"/>
      <c r="Y977" s="2459"/>
      <c r="Z977" s="2459"/>
      <c r="AA977" s="2459"/>
      <c r="AB977" s="2459"/>
      <c r="AC977" s="2459"/>
      <c r="AD977" s="2459"/>
      <c r="AE977" s="2460"/>
      <c r="AF977" s="117"/>
      <c r="AG977" s="2521" t="s">
        <v>705</v>
      </c>
      <c r="AH977" s="2522"/>
      <c r="AI977" s="125"/>
      <c r="AJ977" s="2447">
        <f>ROUND(IF(AND(AG977="yes",D979&gt;0),AJ975*0.2,0),0)</f>
        <v>0</v>
      </c>
      <c r="AK977" s="2448"/>
      <c r="AL977" s="2448"/>
      <c r="AM977" s="2448"/>
      <c r="AN977" s="2448"/>
      <c r="AO977" s="2448"/>
      <c r="AP977" s="2448"/>
      <c r="AQ977" s="2449"/>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488" t="s">
        <v>1428</v>
      </c>
      <c r="E978" s="2489"/>
      <c r="F978" s="2489"/>
      <c r="G978" s="2489"/>
      <c r="H978" s="2489"/>
      <c r="I978" s="2489"/>
      <c r="J978" s="2489"/>
      <c r="K978" s="2489"/>
      <c r="L978" s="2489"/>
      <c r="M978" s="2489"/>
      <c r="N978" s="2489"/>
      <c r="O978" s="2489"/>
      <c r="P978" s="2489"/>
      <c r="Q978" s="2489"/>
      <c r="R978" s="2489"/>
      <c r="S978" s="2489"/>
      <c r="T978" s="2489"/>
      <c r="U978" s="2489"/>
      <c r="V978" s="2489"/>
      <c r="W978" s="2489"/>
      <c r="X978" s="2489"/>
      <c r="Y978" s="2489"/>
      <c r="Z978" s="2489"/>
      <c r="AA978" s="2489"/>
      <c r="AB978" s="2489"/>
      <c r="AC978" s="2489"/>
      <c r="AD978" s="2489"/>
      <c r="AE978" s="2490"/>
      <c r="AF978" s="110"/>
      <c r="AG978" s="112"/>
      <c r="AH978" s="112"/>
      <c r="AI978" s="121"/>
      <c r="AJ978" s="2450"/>
      <c r="AK978" s="2115"/>
      <c r="AL978" s="2115"/>
      <c r="AM978" s="2115"/>
      <c r="AN978" s="2115"/>
      <c r="AO978" s="2115"/>
      <c r="AP978" s="2115"/>
      <c r="AQ978" s="2451"/>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491"/>
      <c r="E979" s="2492"/>
      <c r="F979" s="2492"/>
      <c r="G979" s="2492"/>
      <c r="H979" s="2492"/>
      <c r="I979" s="2492"/>
      <c r="J979" s="2492"/>
      <c r="K979" s="2492"/>
      <c r="L979" s="2492"/>
      <c r="M979" s="2492"/>
      <c r="N979" s="2492"/>
      <c r="O979" s="2492"/>
      <c r="P979" s="2492"/>
      <c r="Q979" s="2492"/>
      <c r="R979" s="2492"/>
      <c r="S979" s="2492"/>
      <c r="T979" s="2492"/>
      <c r="U979" s="2492"/>
      <c r="V979" s="2492"/>
      <c r="W979" s="2492"/>
      <c r="X979" s="2492"/>
      <c r="Y979" s="2492"/>
      <c r="Z979" s="2492"/>
      <c r="AA979" s="2492"/>
      <c r="AB979" s="2492"/>
      <c r="AC979" s="2492"/>
      <c r="AD979" s="2492"/>
      <c r="AE979" s="2493"/>
      <c r="AF979" s="115"/>
      <c r="AG979" s="11"/>
      <c r="AH979" s="11"/>
      <c r="AI979" s="116"/>
      <c r="AJ979" s="2452"/>
      <c r="AK979" s="2453"/>
      <c r="AL979" s="2453"/>
      <c r="AM979" s="2453"/>
      <c r="AN979" s="2453"/>
      <c r="AO979" s="2453"/>
      <c r="AP979" s="2453"/>
      <c r="AQ979" s="2454"/>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410" t="s">
        <v>1526</v>
      </c>
      <c r="E980" s="2411"/>
      <c r="F980" s="2411"/>
      <c r="G980" s="2411"/>
      <c r="H980" s="2411"/>
      <c r="I980" s="2411"/>
      <c r="J980" s="2411"/>
      <c r="K980" s="2411"/>
      <c r="L980" s="2411"/>
      <c r="M980" s="2411"/>
      <c r="N980" s="2411"/>
      <c r="O980" s="2411"/>
      <c r="P980" s="2411"/>
      <c r="Q980" s="2411"/>
      <c r="R980" s="2411"/>
      <c r="S980" s="2411"/>
      <c r="T980" s="2411"/>
      <c r="U980" s="2411"/>
      <c r="V980" s="2411"/>
      <c r="W980" s="2411"/>
      <c r="X980" s="2411"/>
      <c r="Y980" s="2411"/>
      <c r="Z980" s="2411"/>
      <c r="AA980" s="2411"/>
      <c r="AB980" s="2411"/>
      <c r="AC980" s="2411"/>
      <c r="AD980" s="2411"/>
      <c r="AE980" s="2412"/>
      <c r="AF980" s="117"/>
      <c r="AG980" s="2422" t="s">
        <v>705</v>
      </c>
      <c r="AH980" s="2423"/>
      <c r="AI980" s="125"/>
      <c r="AJ980" s="2447">
        <f>ROUND(IF(AG980="yes",AJ975*0.05,0),0)</f>
        <v>0</v>
      </c>
      <c r="AK980" s="2448"/>
      <c r="AL980" s="2448"/>
      <c r="AM980" s="2448"/>
      <c r="AN980" s="2448"/>
      <c r="AO980" s="2448"/>
      <c r="AP980" s="2448"/>
      <c r="AQ980" s="2449"/>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488" t="s">
        <v>1524</v>
      </c>
      <c r="E981" s="2489"/>
      <c r="F981" s="2489"/>
      <c r="G981" s="2489"/>
      <c r="H981" s="2489"/>
      <c r="I981" s="2489"/>
      <c r="J981" s="2489"/>
      <c r="K981" s="2489"/>
      <c r="L981" s="2489"/>
      <c r="M981" s="2489"/>
      <c r="N981" s="2489"/>
      <c r="O981" s="2489"/>
      <c r="P981" s="2489"/>
      <c r="Q981" s="2489"/>
      <c r="R981" s="2489"/>
      <c r="S981" s="2489"/>
      <c r="T981" s="2489"/>
      <c r="U981" s="2489"/>
      <c r="V981" s="2489"/>
      <c r="W981" s="2489"/>
      <c r="X981" s="2489"/>
      <c r="Y981" s="2489"/>
      <c r="Z981" s="2489"/>
      <c r="AA981" s="2489"/>
      <c r="AB981" s="2489"/>
      <c r="AC981" s="2489"/>
      <c r="AD981" s="2489"/>
      <c r="AE981" s="2490"/>
      <c r="AF981" s="110"/>
      <c r="AG981" s="112"/>
      <c r="AH981" s="112"/>
      <c r="AI981" s="121"/>
      <c r="AJ981" s="2450"/>
      <c r="AK981" s="2115"/>
      <c r="AL981" s="2115"/>
      <c r="AM981" s="2115"/>
      <c r="AN981" s="2115"/>
      <c r="AO981" s="2115"/>
      <c r="AP981" s="2115"/>
      <c r="AQ981" s="2451"/>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488"/>
      <c r="E982" s="2489"/>
      <c r="F982" s="2489"/>
      <c r="G982" s="2489"/>
      <c r="H982" s="2489"/>
      <c r="I982" s="2489"/>
      <c r="J982" s="2489"/>
      <c r="K982" s="2489"/>
      <c r="L982" s="2489"/>
      <c r="M982" s="2489"/>
      <c r="N982" s="2489"/>
      <c r="O982" s="2489"/>
      <c r="P982" s="2489"/>
      <c r="Q982" s="2489"/>
      <c r="R982" s="2489"/>
      <c r="S982" s="2489"/>
      <c r="T982" s="2489"/>
      <c r="U982" s="2489"/>
      <c r="V982" s="2489"/>
      <c r="W982" s="2489"/>
      <c r="X982" s="2489"/>
      <c r="Y982" s="2489"/>
      <c r="Z982" s="2489"/>
      <c r="AA982" s="2489"/>
      <c r="AB982" s="2489"/>
      <c r="AC982" s="2489"/>
      <c r="AD982" s="2489"/>
      <c r="AE982" s="2490"/>
      <c r="AF982" s="110"/>
      <c r="AG982" s="112"/>
      <c r="AH982" s="112"/>
      <c r="AI982" s="121"/>
      <c r="AJ982" s="2450"/>
      <c r="AK982" s="2115"/>
      <c r="AL982" s="2115"/>
      <c r="AM982" s="2115"/>
      <c r="AN982" s="2115"/>
      <c r="AO982" s="2115"/>
      <c r="AP982" s="2115"/>
      <c r="AQ982" s="2451"/>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8"/>
      <c r="E983" s="2489"/>
      <c r="F983" s="2489"/>
      <c r="G983" s="2489"/>
      <c r="H983" s="2489"/>
      <c r="I983" s="2489"/>
      <c r="J983" s="2489"/>
      <c r="K983" s="2489"/>
      <c r="L983" s="2489"/>
      <c r="M983" s="2489"/>
      <c r="N983" s="2489"/>
      <c r="O983" s="2489"/>
      <c r="P983" s="2489"/>
      <c r="Q983" s="2489"/>
      <c r="R983" s="2489"/>
      <c r="S983" s="2489"/>
      <c r="T983" s="2489"/>
      <c r="U983" s="2489"/>
      <c r="V983" s="2489"/>
      <c r="W983" s="2489"/>
      <c r="X983" s="2489"/>
      <c r="Y983" s="2489"/>
      <c r="Z983" s="2489"/>
      <c r="AA983" s="2489"/>
      <c r="AB983" s="2489"/>
      <c r="AC983" s="2489"/>
      <c r="AD983" s="2489"/>
      <c r="AE983" s="2490"/>
      <c r="AF983" s="110"/>
      <c r="AG983" s="112"/>
      <c r="AH983" s="112"/>
      <c r="AI983" s="121"/>
      <c r="AJ983" s="2450"/>
      <c r="AK983" s="2115"/>
      <c r="AL983" s="2115"/>
      <c r="AM983" s="2115"/>
      <c r="AN983" s="2115"/>
      <c r="AO983" s="2115"/>
      <c r="AP983" s="2115"/>
      <c r="AQ983" s="2451"/>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8"/>
      <c r="E984" s="2489"/>
      <c r="F984" s="2489"/>
      <c r="G984" s="2489"/>
      <c r="H984" s="2489"/>
      <c r="I984" s="2489"/>
      <c r="J984" s="2489"/>
      <c r="K984" s="2489"/>
      <c r="L984" s="2489"/>
      <c r="M984" s="2489"/>
      <c r="N984" s="2489"/>
      <c r="O984" s="2489"/>
      <c r="P984" s="2489"/>
      <c r="Q984" s="2489"/>
      <c r="R984" s="2489"/>
      <c r="S984" s="2489"/>
      <c r="T984" s="2489"/>
      <c r="U984" s="2489"/>
      <c r="V984" s="2489"/>
      <c r="W984" s="2489"/>
      <c r="X984" s="2489"/>
      <c r="Y984" s="2489"/>
      <c r="Z984" s="2489"/>
      <c r="AA984" s="2489"/>
      <c r="AB984" s="2489"/>
      <c r="AC984" s="2489"/>
      <c r="AD984" s="2489"/>
      <c r="AE984" s="2490"/>
      <c r="AF984" s="110"/>
      <c r="AG984" s="112"/>
      <c r="AH984" s="112"/>
      <c r="AI984" s="121"/>
      <c r="AJ984" s="2450"/>
      <c r="AK984" s="2115"/>
      <c r="AL984" s="2115"/>
      <c r="AM984" s="2115"/>
      <c r="AN984" s="2115"/>
      <c r="AO984" s="2115"/>
      <c r="AP984" s="2115"/>
      <c r="AQ984" s="2451"/>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4"/>
      <c r="E985" s="2495"/>
      <c r="F985" s="2495"/>
      <c r="G985" s="2495"/>
      <c r="H985" s="2495"/>
      <c r="I985" s="2495"/>
      <c r="J985" s="2495"/>
      <c r="K985" s="2495"/>
      <c r="L985" s="2495"/>
      <c r="M985" s="2495"/>
      <c r="N985" s="2495"/>
      <c r="O985" s="2495"/>
      <c r="P985" s="2495"/>
      <c r="Q985" s="2495"/>
      <c r="R985" s="2495"/>
      <c r="S985" s="2495"/>
      <c r="T985" s="2495"/>
      <c r="U985" s="2495"/>
      <c r="V985" s="2495"/>
      <c r="W985" s="2495"/>
      <c r="X985" s="2495"/>
      <c r="Y985" s="2495"/>
      <c r="Z985" s="2495"/>
      <c r="AA985" s="2495"/>
      <c r="AB985" s="2495"/>
      <c r="AC985" s="2495"/>
      <c r="AD985" s="2495"/>
      <c r="AE985" s="2496"/>
      <c r="AF985" s="115"/>
      <c r="AG985" s="11"/>
      <c r="AH985" s="11"/>
      <c r="AI985" s="116"/>
      <c r="AJ985" s="2452"/>
      <c r="AK985" s="2453"/>
      <c r="AL985" s="2453"/>
      <c r="AM985" s="2453"/>
      <c r="AN985" s="2453"/>
      <c r="AO985" s="2453"/>
      <c r="AP985" s="2453"/>
      <c r="AQ985" s="2454"/>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10" t="s">
        <v>2104</v>
      </c>
      <c r="E986" s="2411"/>
      <c r="F986" s="2411"/>
      <c r="G986" s="2411"/>
      <c r="H986" s="2411"/>
      <c r="I986" s="2411"/>
      <c r="J986" s="2411"/>
      <c r="K986" s="2411"/>
      <c r="L986" s="2411"/>
      <c r="M986" s="2411"/>
      <c r="N986" s="2411"/>
      <c r="O986" s="2411"/>
      <c r="P986" s="2411"/>
      <c r="Q986" s="2411"/>
      <c r="R986" s="2411"/>
      <c r="S986" s="2411"/>
      <c r="T986" s="2411"/>
      <c r="U986" s="2411"/>
      <c r="V986" s="2411"/>
      <c r="W986" s="2411"/>
      <c r="X986" s="2411"/>
      <c r="Y986" s="2411"/>
      <c r="Z986" s="2411"/>
      <c r="AA986" s="2411"/>
      <c r="AB986" s="2411"/>
      <c r="AC986" s="2411"/>
      <c r="AD986" s="2411"/>
      <c r="AE986" s="2412"/>
      <c r="AF986" s="124"/>
      <c r="AG986" s="2422" t="s">
        <v>705</v>
      </c>
      <c r="AH986" s="2423"/>
      <c r="AI986" s="125"/>
      <c r="AJ986" s="2447">
        <f>ROUND(IF(AG986="yes",AJ975*0.1,0),0)</f>
        <v>0</v>
      </c>
      <c r="AK986" s="2448"/>
      <c r="AL986" s="2448"/>
      <c r="AM986" s="2448"/>
      <c r="AN986" s="2448"/>
      <c r="AO986" s="2448"/>
      <c r="AP986" s="2448"/>
      <c r="AQ986" s="2449"/>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413" t="s">
        <v>1525</v>
      </c>
      <c r="E987" s="2414"/>
      <c r="F987" s="2414"/>
      <c r="G987" s="2414"/>
      <c r="H987" s="2414"/>
      <c r="I987" s="2414"/>
      <c r="J987" s="2414"/>
      <c r="K987" s="2414"/>
      <c r="L987" s="2414"/>
      <c r="M987" s="2414"/>
      <c r="N987" s="2414"/>
      <c r="O987" s="2414"/>
      <c r="P987" s="2414"/>
      <c r="Q987" s="2414"/>
      <c r="R987" s="2414"/>
      <c r="S987" s="2414"/>
      <c r="T987" s="2414"/>
      <c r="U987" s="2414"/>
      <c r="V987" s="2414"/>
      <c r="W987" s="2414"/>
      <c r="X987" s="2414"/>
      <c r="Y987" s="2414"/>
      <c r="Z987" s="2414"/>
      <c r="AA987" s="2414"/>
      <c r="AB987" s="2414"/>
      <c r="AC987" s="2414"/>
      <c r="AD987" s="2414"/>
      <c r="AE987" s="2415"/>
      <c r="AF987" s="110"/>
      <c r="AG987" s="25"/>
      <c r="AH987" s="25"/>
      <c r="AI987" s="121"/>
      <c r="AJ987" s="2450"/>
      <c r="AK987" s="2115"/>
      <c r="AL987" s="2115"/>
      <c r="AM987" s="2115"/>
      <c r="AN987" s="2115"/>
      <c r="AO987" s="2115"/>
      <c r="AP987" s="2115"/>
      <c r="AQ987" s="2451"/>
      <c r="AR987" s="1488"/>
      <c r="AS987" s="1488"/>
      <c r="AT987" s="1488"/>
      <c r="AU987" s="1488"/>
      <c r="AV987" s="1488"/>
      <c r="AW987" s="1488"/>
      <c r="AX987" s="1488"/>
      <c r="AY987" s="1488"/>
      <c r="AZ987" s="61"/>
      <c r="BA987" s="1517">
        <f>G753+O796</f>
        <v>192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413"/>
      <c r="E988" s="2414"/>
      <c r="F988" s="2414"/>
      <c r="G988" s="2414"/>
      <c r="H988" s="2414"/>
      <c r="I988" s="2414"/>
      <c r="J988" s="2414"/>
      <c r="K988" s="2414"/>
      <c r="L988" s="2414"/>
      <c r="M988" s="2414"/>
      <c r="N988" s="2414"/>
      <c r="O988" s="2414"/>
      <c r="P988" s="2414"/>
      <c r="Q988" s="2414"/>
      <c r="R988" s="2414"/>
      <c r="S988" s="2414"/>
      <c r="T988" s="2414"/>
      <c r="U988" s="2414"/>
      <c r="V988" s="2414"/>
      <c r="W988" s="2414"/>
      <c r="X988" s="2414"/>
      <c r="Y988" s="2414"/>
      <c r="Z988" s="2414"/>
      <c r="AA988" s="2414"/>
      <c r="AB988" s="2414"/>
      <c r="AC988" s="2414"/>
      <c r="AD988" s="2414"/>
      <c r="AE988" s="2415"/>
      <c r="AF988" s="110"/>
      <c r="AG988" s="112"/>
      <c r="AH988" s="112"/>
      <c r="AI988" s="121"/>
      <c r="AJ988" s="2450"/>
      <c r="AK988" s="2115"/>
      <c r="AL988" s="2115"/>
      <c r="AM988" s="2115"/>
      <c r="AN988" s="2115"/>
      <c r="AO988" s="2115"/>
      <c r="AP988" s="2115"/>
      <c r="AQ988" s="2451"/>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426"/>
      <c r="E989" s="2427"/>
      <c r="F989" s="2427"/>
      <c r="G989" s="2427"/>
      <c r="H989" s="2427"/>
      <c r="I989" s="2427"/>
      <c r="J989" s="2427"/>
      <c r="K989" s="2427"/>
      <c r="L989" s="2427"/>
      <c r="M989" s="2427"/>
      <c r="N989" s="2427"/>
      <c r="O989" s="2427"/>
      <c r="P989" s="2427"/>
      <c r="Q989" s="2427"/>
      <c r="R989" s="2427"/>
      <c r="S989" s="2427"/>
      <c r="T989" s="2427"/>
      <c r="U989" s="2427"/>
      <c r="V989" s="2427"/>
      <c r="W989" s="2427"/>
      <c r="X989" s="2427"/>
      <c r="Y989" s="2427"/>
      <c r="Z989" s="2427"/>
      <c r="AA989" s="2427"/>
      <c r="AB989" s="2427"/>
      <c r="AC989" s="2427"/>
      <c r="AD989" s="2427"/>
      <c r="AE989" s="2428"/>
      <c r="AF989" s="115"/>
      <c r="AG989" s="11"/>
      <c r="AH989" s="11"/>
      <c r="AI989" s="116"/>
      <c r="AJ989" s="2452"/>
      <c r="AK989" s="2453"/>
      <c r="AL989" s="2453"/>
      <c r="AM989" s="2453"/>
      <c r="AN989" s="2453"/>
      <c r="AO989" s="2453"/>
      <c r="AP989" s="2453"/>
      <c r="AQ989" s="2454"/>
      <c r="AR989" s="1488"/>
      <c r="AS989" s="1488"/>
      <c r="AT989" s="1488"/>
      <c r="AU989" s="1488"/>
      <c r="AV989" s="1488"/>
      <c r="AW989" s="1488"/>
      <c r="AX989" s="1488"/>
      <c r="AY989" s="1488"/>
      <c r="AZ989" s="61"/>
      <c r="BA989" s="1516">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10" t="s">
        <v>1527</v>
      </c>
      <c r="E990" s="2411"/>
      <c r="F990" s="2411"/>
      <c r="G990" s="2411"/>
      <c r="H990" s="2411"/>
      <c r="I990" s="2411"/>
      <c r="J990" s="2411"/>
      <c r="K990" s="2411"/>
      <c r="L990" s="2411"/>
      <c r="M990" s="2411"/>
      <c r="N990" s="2411"/>
      <c r="O990" s="2411"/>
      <c r="P990" s="2411"/>
      <c r="Q990" s="2411"/>
      <c r="R990" s="2411"/>
      <c r="S990" s="2411"/>
      <c r="T990" s="2411"/>
      <c r="U990" s="2411"/>
      <c r="V990" s="2411"/>
      <c r="W990" s="2411"/>
      <c r="X990" s="2411"/>
      <c r="Y990" s="2411"/>
      <c r="Z990" s="2411"/>
      <c r="AA990" s="2411"/>
      <c r="AB990" s="2411"/>
      <c r="AC990" s="2411"/>
      <c r="AD990" s="2411"/>
      <c r="AE990" s="2412"/>
      <c r="AF990" s="117"/>
      <c r="AG990" s="2422" t="s">
        <v>705</v>
      </c>
      <c r="AH990" s="2423"/>
      <c r="AI990" s="125"/>
      <c r="AJ990" s="2447">
        <f>ROUND(IF(AG990="yes",AJ975*0.02,0),0)</f>
        <v>0</v>
      </c>
      <c r="AK990" s="2448"/>
      <c r="AL990" s="2448"/>
      <c r="AM990" s="2448"/>
      <c r="AN990" s="2448"/>
      <c r="AO990" s="2448"/>
      <c r="AP990" s="2448"/>
      <c r="AQ990" s="2449"/>
      <c r="AR990" s="1488"/>
      <c r="AS990" s="1488"/>
      <c r="AT990" s="1488"/>
      <c r="AU990" s="1488"/>
      <c r="AV990" s="1488"/>
      <c r="AW990" s="1488"/>
      <c r="AX990" s="1488"/>
      <c r="AY990" s="1488"/>
      <c r="AZ990" s="61"/>
      <c r="BA990" s="1516">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6" t="s">
        <v>1528</v>
      </c>
      <c r="E991" s="2427"/>
      <c r="F991" s="2427"/>
      <c r="G991" s="2427"/>
      <c r="H991" s="2427"/>
      <c r="I991" s="2427"/>
      <c r="J991" s="2427"/>
      <c r="K991" s="2427"/>
      <c r="L991" s="2427"/>
      <c r="M991" s="2427"/>
      <c r="N991" s="2427"/>
      <c r="O991" s="2427"/>
      <c r="P991" s="2427"/>
      <c r="Q991" s="2427"/>
      <c r="R991" s="2427"/>
      <c r="S991" s="2427"/>
      <c r="T991" s="2427"/>
      <c r="U991" s="2427"/>
      <c r="V991" s="2427"/>
      <c r="W991" s="2427"/>
      <c r="X991" s="2427"/>
      <c r="Y991" s="2427"/>
      <c r="Z991" s="2427"/>
      <c r="AA991" s="2427"/>
      <c r="AB991" s="2427"/>
      <c r="AC991" s="2427"/>
      <c r="AD991" s="2427"/>
      <c r="AE991" s="2428"/>
      <c r="AF991" s="115"/>
      <c r="AG991" s="11"/>
      <c r="AH991" s="11"/>
      <c r="AI991" s="116"/>
      <c r="AJ991" s="2452"/>
      <c r="AK991" s="2453"/>
      <c r="AL991" s="2453"/>
      <c r="AM991" s="2453"/>
      <c r="AN991" s="2453"/>
      <c r="AO991" s="2453"/>
      <c r="AP991" s="2453"/>
      <c r="AQ991" s="2454"/>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220</v>
      </c>
      <c r="D992" s="2410" t="s">
        <v>1529</v>
      </c>
      <c r="E992" s="2411"/>
      <c r="F992" s="2411"/>
      <c r="G992" s="2411"/>
      <c r="H992" s="2411"/>
      <c r="I992" s="2411"/>
      <c r="J992" s="2411"/>
      <c r="K992" s="2411"/>
      <c r="L992" s="2411"/>
      <c r="M992" s="2411"/>
      <c r="N992" s="2411"/>
      <c r="O992" s="2411"/>
      <c r="P992" s="2411"/>
      <c r="Q992" s="2411"/>
      <c r="R992" s="2411"/>
      <c r="S992" s="2411"/>
      <c r="T992" s="2411"/>
      <c r="U992" s="2411"/>
      <c r="V992" s="2411"/>
      <c r="W992" s="2411"/>
      <c r="X992" s="2411"/>
      <c r="Y992" s="2411"/>
      <c r="Z992" s="2411"/>
      <c r="AA992" s="2411"/>
      <c r="AB992" s="2411"/>
      <c r="AC992" s="2411"/>
      <c r="AD992" s="2411"/>
      <c r="AE992" s="2412"/>
      <c r="AF992" s="117"/>
      <c r="AG992" s="2422" t="s">
        <v>705</v>
      </c>
      <c r="AH992" s="2423"/>
      <c r="AI992" s="117"/>
      <c r="AJ992" s="2447">
        <f>ROUND(IF(AG992="yes",AJ975*0.02,0),0)</f>
        <v>0</v>
      </c>
      <c r="AK992" s="2448"/>
      <c r="AL992" s="2448"/>
      <c r="AM992" s="2448"/>
      <c r="AN992" s="2448"/>
      <c r="AO992" s="2448"/>
      <c r="AP992" s="2448"/>
      <c r="AQ992" s="2449"/>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413" t="s">
        <v>1530</v>
      </c>
      <c r="E993" s="2414"/>
      <c r="F993" s="2414"/>
      <c r="G993" s="2414"/>
      <c r="H993" s="2414"/>
      <c r="I993" s="2414"/>
      <c r="J993" s="2414"/>
      <c r="K993" s="2414"/>
      <c r="L993" s="2414"/>
      <c r="M993" s="2414"/>
      <c r="N993" s="2414"/>
      <c r="O993" s="2414"/>
      <c r="P993" s="2414"/>
      <c r="Q993" s="2414"/>
      <c r="R993" s="2414"/>
      <c r="S993" s="2414"/>
      <c r="T993" s="2414"/>
      <c r="U993" s="2414"/>
      <c r="V993" s="2414"/>
      <c r="W993" s="2414"/>
      <c r="X993" s="2414"/>
      <c r="Y993" s="2414"/>
      <c r="Z993" s="2414"/>
      <c r="AA993" s="2414"/>
      <c r="AB993" s="2414"/>
      <c r="AC993" s="2414"/>
      <c r="AD993" s="2414"/>
      <c r="AE993" s="2415"/>
      <c r="AF993" s="110"/>
      <c r="AG993" s="25"/>
      <c r="AH993" s="25"/>
      <c r="AI993" s="112"/>
      <c r="AJ993" s="2450"/>
      <c r="AK993" s="2115"/>
      <c r="AL993" s="2115"/>
      <c r="AM993" s="2115"/>
      <c r="AN993" s="2115"/>
      <c r="AO993" s="2115"/>
      <c r="AP993" s="2115"/>
      <c r="AQ993" s="2451"/>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426"/>
      <c r="E994" s="2427"/>
      <c r="F994" s="2427"/>
      <c r="G994" s="2427"/>
      <c r="H994" s="2427"/>
      <c r="I994" s="2427"/>
      <c r="J994" s="2427"/>
      <c r="K994" s="2427"/>
      <c r="L994" s="2427"/>
      <c r="M994" s="2427"/>
      <c r="N994" s="2427"/>
      <c r="O994" s="2427"/>
      <c r="P994" s="2427"/>
      <c r="Q994" s="2427"/>
      <c r="R994" s="2427"/>
      <c r="S994" s="2427"/>
      <c r="T994" s="2427"/>
      <c r="U994" s="2427"/>
      <c r="V994" s="2427"/>
      <c r="W994" s="2427"/>
      <c r="X994" s="2427"/>
      <c r="Y994" s="2427"/>
      <c r="Z994" s="2427"/>
      <c r="AA994" s="2427"/>
      <c r="AB994" s="2427"/>
      <c r="AC994" s="2427"/>
      <c r="AD994" s="2427"/>
      <c r="AE994" s="2428"/>
      <c r="AF994" s="115"/>
      <c r="AG994" s="11"/>
      <c r="AH994" s="11"/>
      <c r="AI994" s="116"/>
      <c r="AJ994" s="2452"/>
      <c r="AK994" s="2453"/>
      <c r="AL994" s="2453"/>
      <c r="AM994" s="2453"/>
      <c r="AN994" s="2453"/>
      <c r="AO994" s="2453"/>
      <c r="AP994" s="2453"/>
      <c r="AQ994" s="2454"/>
      <c r="AR994" s="1488"/>
      <c r="AS994" s="1488"/>
      <c r="AT994" s="1488"/>
      <c r="AU994" s="1488"/>
      <c r="AV994" s="1488"/>
      <c r="AW994" s="1488"/>
      <c r="AX994" s="1488"/>
      <c r="AY994" s="1488"/>
    </row>
    <row r="995" spans="1:96" s="717" customFormat="1" ht="12.75" customHeight="1">
      <c r="A995" s="51"/>
      <c r="B995" s="117"/>
      <c r="C995" s="118" t="s">
        <v>223</v>
      </c>
      <c r="D995" s="2458" t="s">
        <v>1531</v>
      </c>
      <c r="E995" s="2459"/>
      <c r="F995" s="2459"/>
      <c r="G995" s="2459"/>
      <c r="H995" s="2459"/>
      <c r="I995" s="2459"/>
      <c r="J995" s="2459"/>
      <c r="K995" s="2459"/>
      <c r="L995" s="2459"/>
      <c r="M995" s="2459"/>
      <c r="N995" s="2459"/>
      <c r="O995" s="2459"/>
      <c r="P995" s="2459"/>
      <c r="Q995" s="2459"/>
      <c r="R995" s="2459"/>
      <c r="S995" s="2459"/>
      <c r="T995" s="2459"/>
      <c r="U995" s="2459"/>
      <c r="V995" s="2459"/>
      <c r="W995" s="2459"/>
      <c r="X995" s="2459"/>
      <c r="Y995" s="2459"/>
      <c r="Z995" s="2459"/>
      <c r="AA995" s="2459"/>
      <c r="AB995" s="2459"/>
      <c r="AC995" s="2459"/>
      <c r="AD995" s="2459"/>
      <c r="AE995" s="2460"/>
      <c r="AF995" s="117"/>
      <c r="AG995" s="2422" t="s">
        <v>705</v>
      </c>
      <c r="AH995" s="2423"/>
      <c r="AI995" s="125"/>
      <c r="AJ995" s="2447">
        <f>IF(AG995="yes",AJ975*BA995,0)</f>
        <v>0</v>
      </c>
      <c r="AK995" s="2448"/>
      <c r="AL995" s="2448"/>
      <c r="AM995" s="2448"/>
      <c r="AN995" s="2448"/>
      <c r="AO995" s="2448"/>
      <c r="AP995" s="2448"/>
      <c r="AQ995" s="2449"/>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413" t="s">
        <v>1532</v>
      </c>
      <c r="E996" s="2414"/>
      <c r="F996" s="2414"/>
      <c r="G996" s="2414"/>
      <c r="H996" s="2414"/>
      <c r="I996" s="2414"/>
      <c r="J996" s="2414"/>
      <c r="K996" s="2414"/>
      <c r="L996" s="2414"/>
      <c r="M996" s="2414"/>
      <c r="N996" s="2414"/>
      <c r="O996" s="2414"/>
      <c r="P996" s="2414"/>
      <c r="Q996" s="2414"/>
      <c r="R996" s="2414"/>
      <c r="S996" s="2414"/>
      <c r="T996" s="2414"/>
      <c r="U996" s="2414"/>
      <c r="V996" s="2414"/>
      <c r="W996" s="2414"/>
      <c r="X996" s="2414"/>
      <c r="Y996" s="2414"/>
      <c r="Z996" s="2414"/>
      <c r="AA996" s="2414"/>
      <c r="AB996" s="2414"/>
      <c r="AC996" s="2414"/>
      <c r="AD996" s="2414"/>
      <c r="AE996" s="2415"/>
      <c r="AF996" s="110"/>
      <c r="AG996" s="112"/>
      <c r="AH996" s="112"/>
      <c r="AI996" s="121"/>
      <c r="AJ996" s="2450"/>
      <c r="AK996" s="2115"/>
      <c r="AL996" s="2115"/>
      <c r="AM996" s="2115"/>
      <c r="AN996" s="2115"/>
      <c r="AO996" s="2115"/>
      <c r="AP996" s="2115"/>
      <c r="AQ996" s="2451"/>
      <c r="AR996" s="1488"/>
      <c r="AS996" s="1488"/>
      <c r="AT996" s="1488"/>
      <c r="AU996" s="1488"/>
      <c r="AV996" s="1488"/>
      <c r="AW996" s="1488"/>
      <c r="AX996" s="1488"/>
      <c r="AY996" s="1488"/>
    </row>
    <row r="997" spans="1:96" ht="12.75" customHeight="1">
      <c r="A997" s="51"/>
      <c r="B997" s="110"/>
      <c r="C997" s="111"/>
      <c r="D997" s="2413"/>
      <c r="E997" s="2414"/>
      <c r="F997" s="2414"/>
      <c r="G997" s="2414"/>
      <c r="H997" s="2414"/>
      <c r="I997" s="2414"/>
      <c r="J997" s="2414"/>
      <c r="K997" s="2414"/>
      <c r="L997" s="2414"/>
      <c r="M997" s="2414"/>
      <c r="N997" s="2414"/>
      <c r="O997" s="2414"/>
      <c r="P997" s="2414"/>
      <c r="Q997" s="2414"/>
      <c r="R997" s="2414"/>
      <c r="S997" s="2414"/>
      <c r="T997" s="2414"/>
      <c r="U997" s="2414"/>
      <c r="V997" s="2414"/>
      <c r="W997" s="2414"/>
      <c r="X997" s="2414"/>
      <c r="Y997" s="2414"/>
      <c r="Z997" s="2414"/>
      <c r="AA997" s="2414"/>
      <c r="AB997" s="2414"/>
      <c r="AC997" s="2414"/>
      <c r="AD997" s="2414"/>
      <c r="AE997" s="2415"/>
      <c r="AF997" s="110"/>
      <c r="AG997" s="112"/>
      <c r="AH997" s="112"/>
      <c r="AI997" s="121"/>
      <c r="AJ997" s="2450"/>
      <c r="AK997" s="2115"/>
      <c r="AL997" s="2115"/>
      <c r="AM997" s="2115"/>
      <c r="AN997" s="2115"/>
      <c r="AO997" s="2115"/>
      <c r="AP997" s="2115"/>
      <c r="AQ997" s="2451"/>
      <c r="AR997" s="1488"/>
      <c r="AS997" s="1488"/>
      <c r="AT997" s="1488"/>
      <c r="AU997" s="1488"/>
      <c r="AV997" s="1488"/>
      <c r="AW997" s="1488"/>
      <c r="AX997" s="1488"/>
      <c r="AY997" s="1488"/>
      <c r="BA997" s="320">
        <f>IF(A1044="Yes",0.05,0)</f>
        <v>0</v>
      </c>
    </row>
    <row r="998" spans="1:96" ht="15" customHeight="1">
      <c r="A998" s="51"/>
      <c r="B998" s="119"/>
      <c r="C998" s="120"/>
      <c r="D998" s="2426"/>
      <c r="E998" s="2427"/>
      <c r="F998" s="2427"/>
      <c r="G998" s="2427"/>
      <c r="H998" s="2427"/>
      <c r="I998" s="2427"/>
      <c r="J998" s="2427"/>
      <c r="K998" s="2427"/>
      <c r="L998" s="2427"/>
      <c r="M998" s="2427"/>
      <c r="N998" s="2427"/>
      <c r="O998" s="2427"/>
      <c r="P998" s="2427"/>
      <c r="Q998" s="2427"/>
      <c r="R998" s="2427"/>
      <c r="S998" s="2427"/>
      <c r="T998" s="2427"/>
      <c r="U998" s="2427"/>
      <c r="V998" s="2427"/>
      <c r="W998" s="2427"/>
      <c r="X998" s="2427"/>
      <c r="Y998" s="2427"/>
      <c r="Z998" s="2427"/>
      <c r="AA998" s="2427"/>
      <c r="AB998" s="2427"/>
      <c r="AC998" s="2427"/>
      <c r="AD998" s="2427"/>
      <c r="AE998" s="2428"/>
      <c r="AF998" s="115"/>
      <c r="AG998" s="11"/>
      <c r="AH998" s="11"/>
      <c r="AI998" s="116"/>
      <c r="AJ998" s="2452"/>
      <c r="AK998" s="2453"/>
      <c r="AL998" s="2453"/>
      <c r="AM998" s="2453"/>
      <c r="AN998" s="2453"/>
      <c r="AO998" s="2453"/>
      <c r="AP998" s="2453"/>
      <c r="AQ998" s="2454"/>
      <c r="AR998" s="1488"/>
      <c r="AS998" s="1488"/>
      <c r="AT998" s="1488"/>
      <c r="AU998" s="1488"/>
      <c r="AV998" s="1488"/>
      <c r="AW998" s="1488"/>
      <c r="AX998" s="1488"/>
      <c r="AY998" s="1488"/>
      <c r="BA998" s="320">
        <f>IF(A1050="Yes",0.02,0)</f>
        <v>0</v>
      </c>
    </row>
    <row r="999" spans="1:96" s="717" customFormat="1" ht="15" customHeight="1">
      <c r="A999" s="51"/>
      <c r="B999" s="117"/>
      <c r="C999" s="118" t="s">
        <v>228</v>
      </c>
      <c r="D999" s="2509" t="s">
        <v>1533</v>
      </c>
      <c r="E999" s="2510"/>
      <c r="F999" s="2510"/>
      <c r="G999" s="2510"/>
      <c r="H999" s="2510"/>
      <c r="I999" s="2510"/>
      <c r="J999" s="2510"/>
      <c r="K999" s="2510"/>
      <c r="L999" s="2510"/>
      <c r="M999" s="2510"/>
      <c r="N999" s="2510"/>
      <c r="O999" s="2510"/>
      <c r="P999" s="2510"/>
      <c r="Q999" s="2510"/>
      <c r="R999" s="2510"/>
      <c r="S999" s="2510"/>
      <c r="T999" s="2510"/>
      <c r="U999" s="2510"/>
      <c r="V999" s="2510"/>
      <c r="W999" s="2510"/>
      <c r="X999" s="2510"/>
      <c r="Y999" s="2510"/>
      <c r="Z999" s="2510"/>
      <c r="AA999" s="2510"/>
      <c r="AB999" s="2510"/>
      <c r="AC999" s="2510"/>
      <c r="AD999" s="2510"/>
      <c r="AE999" s="2511"/>
      <c r="AF999" s="117"/>
      <c r="AG999" s="2422" t="s">
        <v>705</v>
      </c>
      <c r="AH999" s="2423"/>
      <c r="AI999" s="125"/>
      <c r="AJ999" s="2476"/>
      <c r="AK999" s="2477"/>
      <c r="AL999" s="2477"/>
      <c r="AM999" s="2477"/>
      <c r="AN999" s="2477"/>
      <c r="AO999" s="2477"/>
      <c r="AP999" s="2477"/>
      <c r="AQ999" s="2478"/>
      <c r="AR999" s="1488"/>
      <c r="AS999" s="1488"/>
      <c r="AT999" s="1488"/>
      <c r="AU999" s="1488"/>
      <c r="AV999" s="1488"/>
      <c r="AW999" s="1488"/>
      <c r="AX999" s="1488"/>
      <c r="AY999" s="1488"/>
      <c r="BA999" s="320">
        <f>IF(A1056="Yes",0.04,0)</f>
        <v>0</v>
      </c>
      <c r="CR999" s="25"/>
    </row>
    <row r="1000" spans="1:96" ht="12.75">
      <c r="A1000" s="51"/>
      <c r="B1000" s="119"/>
      <c r="C1000" s="122"/>
      <c r="D1000" s="2512"/>
      <c r="E1000" s="2513"/>
      <c r="F1000" s="2513"/>
      <c r="G1000" s="2513"/>
      <c r="H1000" s="2513"/>
      <c r="I1000" s="2513"/>
      <c r="J1000" s="2513"/>
      <c r="K1000" s="2513"/>
      <c r="L1000" s="2513"/>
      <c r="M1000" s="2513"/>
      <c r="N1000" s="2513"/>
      <c r="O1000" s="2513"/>
      <c r="P1000" s="2513"/>
      <c r="Q1000" s="2513"/>
      <c r="R1000" s="2513"/>
      <c r="S1000" s="2513"/>
      <c r="T1000" s="2513"/>
      <c r="U1000" s="2513"/>
      <c r="V1000" s="2513"/>
      <c r="W1000" s="2513"/>
      <c r="X1000" s="2513"/>
      <c r="Y1000" s="2513"/>
      <c r="Z1000" s="2513"/>
      <c r="AA1000" s="2513"/>
      <c r="AB1000" s="2513"/>
      <c r="AC1000" s="2513"/>
      <c r="AD1000" s="2513"/>
      <c r="AE1000" s="2514"/>
      <c r="AF1000" s="2497">
        <f>IF(AG999="yes","Please Select Type and Enter Amount:",0)</f>
        <v>0</v>
      </c>
      <c r="AG1000" s="2498"/>
      <c r="AH1000" s="2498"/>
      <c r="AI1000" s="2499"/>
      <c r="AJ1000" s="2479"/>
      <c r="AK1000" s="2480"/>
      <c r="AL1000" s="2480"/>
      <c r="AM1000" s="2480"/>
      <c r="AN1000" s="2480"/>
      <c r="AO1000" s="2480"/>
      <c r="AP1000" s="2480"/>
      <c r="AQ1000" s="2481"/>
      <c r="AR1000" s="1488"/>
      <c r="AS1000" s="1488"/>
      <c r="AT1000" s="1488"/>
      <c r="AU1000" s="1488"/>
      <c r="AV1000" s="1488"/>
      <c r="AW1000" s="1488"/>
      <c r="AX1000" s="1488"/>
      <c r="AY1000" s="1488"/>
      <c r="BA1000" s="320">
        <f>IF(A1063="Yes",0.04,0)</f>
        <v>0</v>
      </c>
    </row>
    <row r="1001" spans="1:96" ht="12.75" customHeight="1">
      <c r="A1001" s="51"/>
      <c r="B1001" s="119"/>
      <c r="C1001" s="122"/>
      <c r="D1001" s="2413" t="s">
        <v>1534</v>
      </c>
      <c r="E1001" s="2414"/>
      <c r="F1001" s="2414"/>
      <c r="G1001" s="2414"/>
      <c r="H1001" s="2414"/>
      <c r="I1001" s="2414"/>
      <c r="J1001" s="2414"/>
      <c r="K1001" s="2414"/>
      <c r="L1001" s="2414"/>
      <c r="M1001" s="2414"/>
      <c r="N1001" s="2414"/>
      <c r="O1001" s="2414"/>
      <c r="P1001" s="2414"/>
      <c r="Q1001" s="2414"/>
      <c r="R1001" s="2414"/>
      <c r="S1001" s="2414"/>
      <c r="T1001" s="2414"/>
      <c r="U1001" s="2414"/>
      <c r="V1001" s="2414"/>
      <c r="W1001" s="2414"/>
      <c r="X1001" s="2414"/>
      <c r="Y1001" s="2414"/>
      <c r="Z1001" s="2414"/>
      <c r="AA1001" s="2414"/>
      <c r="AB1001" s="2414"/>
      <c r="AC1001" s="2414"/>
      <c r="AD1001" s="2414"/>
      <c r="AE1001" s="2415"/>
      <c r="AF1001" s="2497"/>
      <c r="AG1001" s="2498"/>
      <c r="AH1001" s="2498"/>
      <c r="AI1001" s="2499"/>
      <c r="AJ1001" s="2479"/>
      <c r="AK1001" s="2480"/>
      <c r="AL1001" s="2480"/>
      <c r="AM1001" s="2480"/>
      <c r="AN1001" s="2480"/>
      <c r="AO1001" s="2480"/>
      <c r="AP1001" s="2480"/>
      <c r="AQ1001" s="2481"/>
      <c r="AR1001" s="1488"/>
      <c r="AS1001" s="1488"/>
      <c r="AT1001" s="1488"/>
      <c r="AU1001" s="1488"/>
      <c r="AV1001" s="1488"/>
      <c r="AW1001" s="1488"/>
      <c r="AX1001" s="1488"/>
      <c r="AY1001" s="1488"/>
      <c r="BA1001" s="320">
        <f>IF(A1066="Yes",0.01,0)</f>
        <v>0</v>
      </c>
    </row>
    <row r="1002" spans="1:96" ht="12.75" customHeight="1">
      <c r="A1002" s="51"/>
      <c r="B1002" s="119"/>
      <c r="C1002" s="122"/>
      <c r="D1002" s="2413"/>
      <c r="E1002" s="2414"/>
      <c r="F1002" s="2414"/>
      <c r="G1002" s="2414"/>
      <c r="H1002" s="2414"/>
      <c r="I1002" s="2414"/>
      <c r="J1002" s="2414"/>
      <c r="K1002" s="2414"/>
      <c r="L1002" s="2414"/>
      <c r="M1002" s="2414"/>
      <c r="N1002" s="2414"/>
      <c r="O1002" s="2414"/>
      <c r="P1002" s="2414"/>
      <c r="Q1002" s="2414"/>
      <c r="R1002" s="2414"/>
      <c r="S1002" s="2414"/>
      <c r="T1002" s="2414"/>
      <c r="U1002" s="2414"/>
      <c r="V1002" s="2414"/>
      <c r="W1002" s="2414"/>
      <c r="X1002" s="2414"/>
      <c r="Y1002" s="2414"/>
      <c r="Z1002" s="2414"/>
      <c r="AA1002" s="2414"/>
      <c r="AB1002" s="2414"/>
      <c r="AC1002" s="2414"/>
      <c r="AD1002" s="2414"/>
      <c r="AE1002" s="2415"/>
      <c r="AF1002" s="2497"/>
      <c r="AG1002" s="2498"/>
      <c r="AH1002" s="2498"/>
      <c r="AI1002" s="2499"/>
      <c r="AJ1002" s="2479"/>
      <c r="AK1002" s="2480"/>
      <c r="AL1002" s="2480"/>
      <c r="AM1002" s="2480"/>
      <c r="AN1002" s="2480"/>
      <c r="AO1002" s="2480"/>
      <c r="AP1002" s="2480"/>
      <c r="AQ1002" s="2481"/>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368</v>
      </c>
      <c r="E1003" s="133"/>
      <c r="F1003" s="133"/>
      <c r="G1003" s="160"/>
      <c r="H1003" s="160"/>
      <c r="I1003" s="81"/>
      <c r="J1003" s="2515" t="s">
        <v>625</v>
      </c>
      <c r="K1003" s="2516"/>
      <c r="L1003" s="2516"/>
      <c r="M1003" s="2516"/>
      <c r="N1003" s="2516"/>
      <c r="O1003" s="2516"/>
      <c r="P1003" s="2516"/>
      <c r="Q1003" s="2516"/>
      <c r="R1003" s="2516"/>
      <c r="S1003" s="2516"/>
      <c r="T1003" s="2516"/>
      <c r="U1003" s="2516"/>
      <c r="V1003" s="2516"/>
      <c r="W1003" s="2516"/>
      <c r="X1003" s="2516"/>
      <c r="Y1003" s="2516"/>
      <c r="Z1003" s="2516"/>
      <c r="AA1003" s="2516"/>
      <c r="AB1003" s="2516"/>
      <c r="AC1003" s="2516"/>
      <c r="AD1003" s="2516"/>
      <c r="AE1003" s="2517"/>
      <c r="AF1003" s="2500"/>
      <c r="AG1003" s="2501"/>
      <c r="AH1003" s="2501"/>
      <c r="AI1003" s="2502"/>
      <c r="AJ1003" s="2482"/>
      <c r="AK1003" s="2483"/>
      <c r="AL1003" s="2483"/>
      <c r="AM1003" s="2483"/>
      <c r="AN1003" s="2483"/>
      <c r="AO1003" s="2483"/>
      <c r="AP1003" s="2483"/>
      <c r="AQ1003" s="2484"/>
      <c r="AR1003" s="1488"/>
      <c r="AS1003" s="1488"/>
      <c r="AT1003" s="1488"/>
      <c r="AU1003" s="1488"/>
      <c r="AV1003" s="1488"/>
      <c r="AW1003" s="1488"/>
      <c r="AX1003" s="1488"/>
      <c r="AY1003" s="1488"/>
      <c r="BA1003" s="320">
        <f>IF(A1074="Yes",0.01,0)</f>
        <v>0</v>
      </c>
      <c r="CR1003" s="25"/>
    </row>
    <row r="1004" spans="1:96" ht="12.75" customHeight="1">
      <c r="A1004" s="51"/>
      <c r="B1004" s="117"/>
      <c r="C1004" s="118" t="s">
        <v>234</v>
      </c>
      <c r="D1004" s="2410" t="s">
        <v>1535</v>
      </c>
      <c r="E1004" s="2411"/>
      <c r="F1004" s="2411"/>
      <c r="G1004" s="2411"/>
      <c r="H1004" s="2411"/>
      <c r="I1004" s="2411"/>
      <c r="J1004" s="2411"/>
      <c r="K1004" s="2411"/>
      <c r="L1004" s="2411"/>
      <c r="M1004" s="2411"/>
      <c r="N1004" s="2411"/>
      <c r="O1004" s="2411"/>
      <c r="P1004" s="2411"/>
      <c r="Q1004" s="2411"/>
      <c r="R1004" s="2411"/>
      <c r="S1004" s="2411"/>
      <c r="T1004" s="2411"/>
      <c r="U1004" s="2411"/>
      <c r="V1004" s="2411"/>
      <c r="W1004" s="2411"/>
      <c r="X1004" s="2411"/>
      <c r="Y1004" s="2411"/>
      <c r="Z1004" s="2411"/>
      <c r="AA1004" s="2411"/>
      <c r="AB1004" s="2411"/>
      <c r="AC1004" s="2411"/>
      <c r="AD1004" s="2411"/>
      <c r="AE1004" s="2412"/>
      <c r="AF1004" s="117"/>
      <c r="AG1004" s="2422" t="s">
        <v>705</v>
      </c>
      <c r="AH1004" s="2423"/>
      <c r="AI1004" s="125"/>
      <c r="AJ1004" s="2476"/>
      <c r="AK1004" s="2477"/>
      <c r="AL1004" s="2477"/>
      <c r="AM1004" s="2477"/>
      <c r="AN1004" s="2477"/>
      <c r="AO1004" s="2477"/>
      <c r="AP1004" s="2477"/>
      <c r="AQ1004" s="2478"/>
      <c r="AR1004" s="1488"/>
      <c r="AS1004" s="1488"/>
      <c r="AT1004" s="1488"/>
      <c r="AU1004" s="1488"/>
      <c r="AV1004" s="1488"/>
      <c r="AW1004" s="1488"/>
      <c r="AX1004" s="1488"/>
      <c r="AY1004" s="1488"/>
      <c r="BA1004" s="320">
        <f>IF(A1078="Yes",0.02,0)</f>
        <v>0</v>
      </c>
    </row>
    <row r="1005" spans="1:96" ht="12.75" customHeight="1">
      <c r="A1005" s="51"/>
      <c r="B1005" s="110"/>
      <c r="C1005" s="111"/>
      <c r="D1005" s="2413" t="s">
        <v>2111</v>
      </c>
      <c r="E1005" s="2414"/>
      <c r="F1005" s="2414"/>
      <c r="G1005" s="2414"/>
      <c r="H1005" s="2414"/>
      <c r="I1005" s="2414"/>
      <c r="J1005" s="2414"/>
      <c r="K1005" s="2414"/>
      <c r="L1005" s="2414"/>
      <c r="M1005" s="2414"/>
      <c r="N1005" s="2414"/>
      <c r="O1005" s="2414"/>
      <c r="P1005" s="2414"/>
      <c r="Q1005" s="2414"/>
      <c r="R1005" s="2414"/>
      <c r="S1005" s="2414"/>
      <c r="T1005" s="2414"/>
      <c r="U1005" s="2414"/>
      <c r="V1005" s="2414"/>
      <c r="W1005" s="2414"/>
      <c r="X1005" s="2414"/>
      <c r="Y1005" s="2414"/>
      <c r="Z1005" s="2414"/>
      <c r="AA1005" s="2414"/>
      <c r="AB1005" s="2414"/>
      <c r="AC1005" s="2414"/>
      <c r="AD1005" s="2414"/>
      <c r="AE1005" s="2415"/>
      <c r="AF1005" s="2503">
        <f>IF(AG1004="yes","Please Enter Amount:",0)</f>
        <v>0</v>
      </c>
      <c r="AG1005" s="2504"/>
      <c r="AH1005" s="2504"/>
      <c r="AI1005" s="2505"/>
      <c r="AJ1005" s="2479"/>
      <c r="AK1005" s="2480"/>
      <c r="AL1005" s="2480"/>
      <c r="AM1005" s="2480"/>
      <c r="AN1005" s="2480"/>
      <c r="AO1005" s="2480"/>
      <c r="AP1005" s="2480"/>
      <c r="AQ1005" s="2481"/>
      <c r="AR1005" s="1488"/>
      <c r="AS1005" s="1488"/>
      <c r="AT1005" s="1488"/>
      <c r="AU1005" s="1488"/>
      <c r="AV1005" s="1488"/>
      <c r="AW1005" s="1488"/>
      <c r="AX1005" s="1488"/>
      <c r="AY1005" s="1488"/>
      <c r="BA1005" s="321">
        <f>IF(A1082="Yes",0.02,0)</f>
        <v>0</v>
      </c>
    </row>
    <row r="1006" spans="1:96" ht="12.75" customHeight="1">
      <c r="A1006" s="51"/>
      <c r="B1006" s="110"/>
      <c r="C1006" s="111"/>
      <c r="D1006" s="2413"/>
      <c r="E1006" s="2414"/>
      <c r="F1006" s="2414"/>
      <c r="G1006" s="2414"/>
      <c r="H1006" s="2414"/>
      <c r="I1006" s="2414"/>
      <c r="J1006" s="2414"/>
      <c r="K1006" s="2414"/>
      <c r="L1006" s="2414"/>
      <c r="M1006" s="2414"/>
      <c r="N1006" s="2414"/>
      <c r="O1006" s="2414"/>
      <c r="P1006" s="2414"/>
      <c r="Q1006" s="2414"/>
      <c r="R1006" s="2414"/>
      <c r="S1006" s="2414"/>
      <c r="T1006" s="2414"/>
      <c r="U1006" s="2414"/>
      <c r="V1006" s="2414"/>
      <c r="W1006" s="2414"/>
      <c r="X1006" s="2414"/>
      <c r="Y1006" s="2414"/>
      <c r="Z1006" s="2414"/>
      <c r="AA1006" s="2414"/>
      <c r="AB1006" s="2414"/>
      <c r="AC1006" s="2414"/>
      <c r="AD1006" s="2414"/>
      <c r="AE1006" s="2415"/>
      <c r="AF1006" s="2503"/>
      <c r="AG1006" s="2504"/>
      <c r="AH1006" s="2504"/>
      <c r="AI1006" s="2505"/>
      <c r="AJ1006" s="2479"/>
      <c r="AK1006" s="2480"/>
      <c r="AL1006" s="2480"/>
      <c r="AM1006" s="2480"/>
      <c r="AN1006" s="2480"/>
      <c r="AO1006" s="2480"/>
      <c r="AP1006" s="2480"/>
      <c r="AQ1006" s="2481"/>
      <c r="AR1006" s="1488"/>
      <c r="AS1006" s="1488"/>
      <c r="AT1006" s="1488"/>
      <c r="AU1006" s="1488"/>
      <c r="AV1006" s="1488"/>
      <c r="AW1006" s="1488"/>
      <c r="AX1006" s="1488"/>
      <c r="AY1006" s="1488"/>
    </row>
    <row r="1007" spans="1:96" ht="12.75" customHeight="1">
      <c r="A1007" s="51"/>
      <c r="B1007" s="123"/>
      <c r="C1007" s="122"/>
      <c r="D1007" s="2426"/>
      <c r="E1007" s="2427"/>
      <c r="F1007" s="2427"/>
      <c r="G1007" s="2427"/>
      <c r="H1007" s="2427"/>
      <c r="I1007" s="2427"/>
      <c r="J1007" s="2427"/>
      <c r="K1007" s="2427"/>
      <c r="L1007" s="2427"/>
      <c r="M1007" s="2427"/>
      <c r="N1007" s="2427"/>
      <c r="O1007" s="2427"/>
      <c r="P1007" s="2427"/>
      <c r="Q1007" s="2427"/>
      <c r="R1007" s="2427"/>
      <c r="S1007" s="2427"/>
      <c r="T1007" s="2427"/>
      <c r="U1007" s="2427"/>
      <c r="V1007" s="2427"/>
      <c r="W1007" s="2427"/>
      <c r="X1007" s="2427"/>
      <c r="Y1007" s="2427"/>
      <c r="Z1007" s="2427"/>
      <c r="AA1007" s="2427"/>
      <c r="AB1007" s="2427"/>
      <c r="AC1007" s="2427"/>
      <c r="AD1007" s="2427"/>
      <c r="AE1007" s="2428"/>
      <c r="AF1007" s="2506"/>
      <c r="AG1007" s="2507"/>
      <c r="AH1007" s="2507"/>
      <c r="AI1007" s="2508"/>
      <c r="AJ1007" s="2482"/>
      <c r="AK1007" s="2483"/>
      <c r="AL1007" s="2483"/>
      <c r="AM1007" s="2483"/>
      <c r="AN1007" s="2483"/>
      <c r="AO1007" s="2483"/>
      <c r="AP1007" s="2483"/>
      <c r="AQ1007" s="2484"/>
      <c r="AR1007" s="1488"/>
      <c r="AS1007" s="1488"/>
      <c r="AT1007" s="1488"/>
      <c r="AU1007" s="1488"/>
      <c r="AV1007" s="1488"/>
      <c r="AW1007" s="1488"/>
      <c r="AX1007" s="1488"/>
      <c r="AY1007" s="1488"/>
    </row>
    <row r="1008" spans="1:96" s="717" customFormat="1" ht="12.75" customHeight="1">
      <c r="A1008" s="51"/>
      <c r="B1008" s="117"/>
      <c r="C1008" s="118" t="s">
        <v>239</v>
      </c>
      <c r="D1008" s="2458" t="s">
        <v>1536</v>
      </c>
      <c r="E1008" s="2459"/>
      <c r="F1008" s="2459"/>
      <c r="G1008" s="2459"/>
      <c r="H1008" s="2459"/>
      <c r="I1008" s="2459"/>
      <c r="J1008" s="2459"/>
      <c r="K1008" s="2459"/>
      <c r="L1008" s="2459"/>
      <c r="M1008" s="2459"/>
      <c r="N1008" s="2459"/>
      <c r="O1008" s="2459"/>
      <c r="P1008" s="2459"/>
      <c r="Q1008" s="2459"/>
      <c r="R1008" s="2459"/>
      <c r="S1008" s="2459"/>
      <c r="T1008" s="2459"/>
      <c r="U1008" s="2459"/>
      <c r="V1008" s="2459"/>
      <c r="W1008" s="2459"/>
      <c r="X1008" s="2459"/>
      <c r="Y1008" s="2459"/>
      <c r="Z1008" s="2459"/>
      <c r="AA1008" s="2459"/>
      <c r="AB1008" s="2459"/>
      <c r="AC1008" s="2459"/>
      <c r="AD1008" s="2459"/>
      <c r="AE1008" s="2460"/>
      <c r="AF1008" s="117"/>
      <c r="AG1008" s="2422" t="s">
        <v>705</v>
      </c>
      <c r="AH1008" s="2423"/>
      <c r="AI1008" s="125"/>
      <c r="AJ1008" s="2447">
        <f>ROUND(IF(AG1008="yes",(AJ975*0.1),0),0)</f>
        <v>0</v>
      </c>
      <c r="AK1008" s="2448"/>
      <c r="AL1008" s="2448"/>
      <c r="AM1008" s="2448"/>
      <c r="AN1008" s="2448"/>
      <c r="AO1008" s="2448"/>
      <c r="AP1008" s="2448"/>
      <c r="AQ1008" s="2449"/>
      <c r="AR1008" s="1488"/>
      <c r="AS1008" s="1488"/>
      <c r="AT1008" s="1488"/>
      <c r="AU1008" s="1488"/>
      <c r="AV1008" s="1488"/>
      <c r="AW1008" s="1488"/>
      <c r="AX1008" s="1488"/>
      <c r="AY1008" s="1488"/>
      <c r="CR1008" s="25"/>
    </row>
    <row r="1009" spans="1:96" ht="12.75" customHeight="1">
      <c r="A1009" s="51"/>
      <c r="B1009" s="110"/>
      <c r="C1009" s="111"/>
      <c r="D1009" s="2413" t="s">
        <v>1537</v>
      </c>
      <c r="E1009" s="2414"/>
      <c r="F1009" s="2414"/>
      <c r="G1009" s="2414"/>
      <c r="H1009" s="2414"/>
      <c r="I1009" s="2414"/>
      <c r="J1009" s="2414"/>
      <c r="K1009" s="2414"/>
      <c r="L1009" s="2414"/>
      <c r="M1009" s="2414"/>
      <c r="N1009" s="2414"/>
      <c r="O1009" s="2414"/>
      <c r="P1009" s="2414"/>
      <c r="Q1009" s="2414"/>
      <c r="R1009" s="2414"/>
      <c r="S1009" s="2414"/>
      <c r="T1009" s="2414"/>
      <c r="U1009" s="2414"/>
      <c r="V1009" s="2414"/>
      <c r="W1009" s="2414"/>
      <c r="X1009" s="2414"/>
      <c r="Y1009" s="2414"/>
      <c r="Z1009" s="2414"/>
      <c r="AA1009" s="2414"/>
      <c r="AB1009" s="2414"/>
      <c r="AC1009" s="2414"/>
      <c r="AD1009" s="2414"/>
      <c r="AE1009" s="2415"/>
      <c r="AF1009" s="110"/>
      <c r="AG1009" s="112"/>
      <c r="AH1009" s="112"/>
      <c r="AI1009" s="121"/>
      <c r="AJ1009" s="2450"/>
      <c r="AK1009" s="2115"/>
      <c r="AL1009" s="2115"/>
      <c r="AM1009" s="2115"/>
      <c r="AN1009" s="2115"/>
      <c r="AO1009" s="2115"/>
      <c r="AP1009" s="2115"/>
      <c r="AQ1009" s="2451"/>
      <c r="AR1009" s="1488"/>
      <c r="AS1009" s="1488"/>
      <c r="AT1009" s="1488"/>
      <c r="AU1009" s="1488"/>
      <c r="AV1009" s="1488"/>
      <c r="AW1009" s="1488"/>
      <c r="AX1009" s="1488"/>
      <c r="AY1009" s="1488"/>
    </row>
    <row r="1010" spans="1:96" ht="12.75" customHeight="1">
      <c r="A1010" s="51"/>
      <c r="B1010" s="115"/>
      <c r="C1010" s="111"/>
      <c r="D1010" s="2426"/>
      <c r="E1010" s="2427"/>
      <c r="F1010" s="2427"/>
      <c r="G1010" s="2427"/>
      <c r="H1010" s="2427"/>
      <c r="I1010" s="2427"/>
      <c r="J1010" s="2427"/>
      <c r="K1010" s="2427"/>
      <c r="L1010" s="2427"/>
      <c r="M1010" s="2427"/>
      <c r="N1010" s="2427"/>
      <c r="O1010" s="2427"/>
      <c r="P1010" s="2427"/>
      <c r="Q1010" s="2427"/>
      <c r="R1010" s="2427"/>
      <c r="S1010" s="2427"/>
      <c r="T1010" s="2427"/>
      <c r="U1010" s="2427"/>
      <c r="V1010" s="2427"/>
      <c r="W1010" s="2427"/>
      <c r="X1010" s="2427"/>
      <c r="Y1010" s="2427"/>
      <c r="Z1010" s="2427"/>
      <c r="AA1010" s="2427"/>
      <c r="AB1010" s="2427"/>
      <c r="AC1010" s="2427"/>
      <c r="AD1010" s="2427"/>
      <c r="AE1010" s="2428"/>
      <c r="AF1010" s="110"/>
      <c r="AG1010" s="112"/>
      <c r="AH1010" s="112"/>
      <c r="AI1010" s="121"/>
      <c r="AJ1010" s="2452"/>
      <c r="AK1010" s="2453"/>
      <c r="AL1010" s="2453"/>
      <c r="AM1010" s="2453"/>
      <c r="AN1010" s="2453"/>
      <c r="AO1010" s="2453"/>
      <c r="AP1010" s="2453"/>
      <c r="AQ1010" s="2454"/>
      <c r="AR1010" s="1488"/>
      <c r="AS1010" s="1488"/>
      <c r="AT1010" s="1488"/>
      <c r="AU1010" s="1488"/>
      <c r="AV1010" s="1488"/>
      <c r="AW1010" s="1488"/>
      <c r="AX1010" s="1488"/>
      <c r="AY1010" s="1488"/>
    </row>
    <row r="1011" spans="1:96" s="717" customFormat="1" ht="12.75" customHeight="1">
      <c r="A1011" s="51"/>
      <c r="B1011" s="110"/>
      <c r="C1011" s="529" t="s">
        <v>724</v>
      </c>
      <c r="D1011" s="2410" t="s">
        <v>2107</v>
      </c>
      <c r="E1011" s="2411"/>
      <c r="F1011" s="2411"/>
      <c r="G1011" s="2411"/>
      <c r="H1011" s="2411"/>
      <c r="I1011" s="2411"/>
      <c r="J1011" s="2411"/>
      <c r="K1011" s="2411"/>
      <c r="L1011" s="2411"/>
      <c r="M1011" s="2411"/>
      <c r="N1011" s="2411"/>
      <c r="O1011" s="2411"/>
      <c r="P1011" s="2411"/>
      <c r="Q1011" s="2411"/>
      <c r="R1011" s="2411"/>
      <c r="S1011" s="2411"/>
      <c r="T1011" s="2411"/>
      <c r="U1011" s="2411"/>
      <c r="V1011" s="2411"/>
      <c r="W1011" s="2411"/>
      <c r="X1011" s="2411"/>
      <c r="Y1011" s="2411"/>
      <c r="Z1011" s="2411"/>
      <c r="AA1011" s="2411"/>
      <c r="AB1011" s="2411"/>
      <c r="AC1011" s="2411"/>
      <c r="AD1011" s="2411"/>
      <c r="AE1011" s="2412"/>
      <c r="AF1011" s="117"/>
      <c r="AG1011" s="2422" t="s">
        <v>705</v>
      </c>
      <c r="AH1011" s="2423"/>
      <c r="AI1011" s="125"/>
      <c r="AJ1011" s="2447">
        <f>ROUND(IF(AG1011="yes",(AJ975*0.15),0),0)</f>
        <v>0</v>
      </c>
      <c r="AK1011" s="2448"/>
      <c r="AL1011" s="2448"/>
      <c r="AM1011" s="2448"/>
      <c r="AN1011" s="2448"/>
      <c r="AO1011" s="2448"/>
      <c r="AP1011" s="2448"/>
      <c r="AQ1011" s="2449"/>
      <c r="AR1011" s="1488"/>
      <c r="AS1011" s="1488"/>
      <c r="AT1011" s="1488"/>
      <c r="AU1011" s="1488"/>
      <c r="AV1011" s="1488"/>
      <c r="AW1011" s="1488"/>
      <c r="AX1011" s="1488"/>
      <c r="AY1011" s="1488"/>
      <c r="CR1011" s="25"/>
    </row>
    <row r="1012" spans="1:96" s="717" customFormat="1" ht="12.75" customHeight="1">
      <c r="A1012" s="51"/>
      <c r="B1012" s="110"/>
      <c r="C1012" s="111"/>
      <c r="D1012" s="2441" t="s">
        <v>2108</v>
      </c>
      <c r="E1012" s="2442"/>
      <c r="F1012" s="2442"/>
      <c r="G1012" s="2442"/>
      <c r="H1012" s="2442"/>
      <c r="I1012" s="2442"/>
      <c r="J1012" s="2442"/>
      <c r="K1012" s="2442"/>
      <c r="L1012" s="2442"/>
      <c r="M1012" s="2442"/>
      <c r="N1012" s="2442"/>
      <c r="O1012" s="2442"/>
      <c r="P1012" s="2442"/>
      <c r="Q1012" s="2442"/>
      <c r="R1012" s="2442"/>
      <c r="S1012" s="2442"/>
      <c r="T1012" s="2442"/>
      <c r="U1012" s="2442"/>
      <c r="V1012" s="2442"/>
      <c r="W1012" s="2442"/>
      <c r="X1012" s="2442"/>
      <c r="Y1012" s="2442"/>
      <c r="Z1012" s="2442"/>
      <c r="AA1012" s="2442"/>
      <c r="AB1012" s="2442"/>
      <c r="AC1012" s="2442"/>
      <c r="AD1012" s="2442"/>
      <c r="AE1012" s="2443"/>
      <c r="AF1012" s="1518"/>
      <c r="AG1012" s="1519"/>
      <c r="AH1012" s="1519"/>
      <c r="AI1012" s="1520"/>
      <c r="AJ1012" s="2450"/>
      <c r="AK1012" s="2115"/>
      <c r="AL1012" s="2115"/>
      <c r="AM1012" s="2115"/>
      <c r="AN1012" s="2115"/>
      <c r="AO1012" s="2115"/>
      <c r="AP1012" s="2115"/>
      <c r="AQ1012" s="2451"/>
      <c r="AR1012" s="1488"/>
      <c r="AS1012" s="1488"/>
      <c r="AT1012" s="1488"/>
      <c r="AU1012" s="1488"/>
      <c r="AV1012" s="1488"/>
      <c r="AW1012" s="1488"/>
      <c r="AX1012" s="1488"/>
      <c r="AY1012" s="1488"/>
      <c r="CR1012" s="25"/>
    </row>
    <row r="1013" spans="1:96" s="717" customFormat="1" ht="12.75" customHeight="1">
      <c r="A1013" s="51"/>
      <c r="B1013" s="110"/>
      <c r="C1013" s="111"/>
      <c r="D1013" s="2441"/>
      <c r="E1013" s="2442"/>
      <c r="F1013" s="2442"/>
      <c r="G1013" s="2442"/>
      <c r="H1013" s="2442"/>
      <c r="I1013" s="2442"/>
      <c r="J1013" s="2442"/>
      <c r="K1013" s="2442"/>
      <c r="L1013" s="2442"/>
      <c r="M1013" s="2442"/>
      <c r="N1013" s="2442"/>
      <c r="O1013" s="2442"/>
      <c r="P1013" s="2442"/>
      <c r="Q1013" s="2442"/>
      <c r="R1013" s="2442"/>
      <c r="S1013" s="2442"/>
      <c r="T1013" s="2442"/>
      <c r="U1013" s="2442"/>
      <c r="V1013" s="2442"/>
      <c r="W1013" s="2442"/>
      <c r="X1013" s="2442"/>
      <c r="Y1013" s="2442"/>
      <c r="Z1013" s="2442"/>
      <c r="AA1013" s="2442"/>
      <c r="AB1013" s="2442"/>
      <c r="AC1013" s="2442"/>
      <c r="AD1013" s="2442"/>
      <c r="AE1013" s="2443"/>
      <c r="AF1013" s="1518"/>
      <c r="AG1013" s="1519"/>
      <c r="AH1013" s="1519"/>
      <c r="AI1013" s="1520"/>
      <c r="AJ1013" s="2450"/>
      <c r="AK1013" s="2115"/>
      <c r="AL1013" s="2115"/>
      <c r="AM1013" s="2115"/>
      <c r="AN1013" s="2115"/>
      <c r="AO1013" s="2115"/>
      <c r="AP1013" s="2115"/>
      <c r="AQ1013" s="2451"/>
      <c r="AR1013" s="1488"/>
      <c r="AS1013" s="1488"/>
      <c r="AT1013" s="1488"/>
      <c r="AU1013" s="1488"/>
      <c r="AV1013" s="1488"/>
      <c r="AW1013" s="1488"/>
      <c r="AX1013" s="1488"/>
      <c r="AY1013" s="1488"/>
      <c r="CR1013" s="25"/>
    </row>
    <row r="1014" spans="1:96" s="717" customFormat="1" ht="12.75" customHeight="1">
      <c r="A1014" s="51"/>
      <c r="B1014" s="110"/>
      <c r="C1014" s="111"/>
      <c r="D1014" s="2444"/>
      <c r="E1014" s="2445"/>
      <c r="F1014" s="2445"/>
      <c r="G1014" s="2445"/>
      <c r="H1014" s="2445"/>
      <c r="I1014" s="2445"/>
      <c r="J1014" s="2445"/>
      <c r="K1014" s="2445"/>
      <c r="L1014" s="2445"/>
      <c r="M1014" s="2445"/>
      <c r="N1014" s="2445"/>
      <c r="O1014" s="2445"/>
      <c r="P1014" s="2445"/>
      <c r="Q1014" s="2445"/>
      <c r="R1014" s="2445"/>
      <c r="S1014" s="2445"/>
      <c r="T1014" s="2445"/>
      <c r="U1014" s="2445"/>
      <c r="V1014" s="2445"/>
      <c r="W1014" s="2445"/>
      <c r="X1014" s="2445"/>
      <c r="Y1014" s="2445"/>
      <c r="Z1014" s="2445"/>
      <c r="AA1014" s="2445"/>
      <c r="AB1014" s="2445"/>
      <c r="AC1014" s="2445"/>
      <c r="AD1014" s="2445"/>
      <c r="AE1014" s="2446"/>
      <c r="AF1014" s="1521"/>
      <c r="AG1014" s="1522"/>
      <c r="AH1014" s="1522"/>
      <c r="AI1014" s="1523"/>
      <c r="AJ1014" s="2452"/>
      <c r="AK1014" s="2453"/>
      <c r="AL1014" s="2453"/>
      <c r="AM1014" s="2453"/>
      <c r="AN1014" s="2453"/>
      <c r="AO1014" s="2453"/>
      <c r="AP1014" s="2453"/>
      <c r="AQ1014" s="2454"/>
      <c r="AR1014" s="1488"/>
      <c r="AS1014" s="1488"/>
      <c r="AT1014" s="1488"/>
      <c r="AU1014" s="1488"/>
      <c r="AV1014" s="1488"/>
      <c r="AW1014" s="1488"/>
      <c r="AX1014" s="1488"/>
      <c r="AY1014" s="1488"/>
      <c r="CR1014" s="25"/>
    </row>
    <row r="1015" spans="1:96" s="717" customFormat="1" ht="12.75" customHeight="1">
      <c r="A1015" s="51"/>
      <c r="B1015" s="110"/>
      <c r="C1015" s="529" t="s">
        <v>724</v>
      </c>
      <c r="D1015" s="2458" t="s">
        <v>2109</v>
      </c>
      <c r="E1015" s="2459"/>
      <c r="F1015" s="2459"/>
      <c r="G1015" s="2459"/>
      <c r="H1015" s="2459"/>
      <c r="I1015" s="2459"/>
      <c r="J1015" s="2459"/>
      <c r="K1015" s="2459"/>
      <c r="L1015" s="2459"/>
      <c r="M1015" s="2459"/>
      <c r="N1015" s="2459"/>
      <c r="O1015" s="2459"/>
      <c r="P1015" s="2459"/>
      <c r="Q1015" s="2459"/>
      <c r="R1015" s="2459"/>
      <c r="S1015" s="2459"/>
      <c r="T1015" s="2459"/>
      <c r="U1015" s="2459"/>
      <c r="V1015" s="2459"/>
      <c r="W1015" s="2459"/>
      <c r="X1015" s="2459"/>
      <c r="Y1015" s="2459"/>
      <c r="Z1015" s="2459"/>
      <c r="AA1015" s="2459"/>
      <c r="AB1015" s="2459"/>
      <c r="AC1015" s="2459"/>
      <c r="AD1015" s="2459"/>
      <c r="AE1015" s="2460"/>
      <c r="AF1015" s="110"/>
      <c r="AG1015" s="2424" t="s">
        <v>705</v>
      </c>
      <c r="AH1015" s="2425"/>
      <c r="AI1015" s="121"/>
      <c r="AJ1015" s="2447">
        <f>ROUND(IF(AG1015="yes",(AJ975*0.1),0),0)</f>
        <v>0</v>
      </c>
      <c r="AK1015" s="2448"/>
      <c r="AL1015" s="2448"/>
      <c r="AM1015" s="2448"/>
      <c r="AN1015" s="2448"/>
      <c r="AO1015" s="2448"/>
      <c r="AP1015" s="2448"/>
      <c r="AQ1015" s="2449"/>
      <c r="AR1015" s="1488"/>
      <c r="AS1015" s="1488"/>
      <c r="AT1015" s="1488"/>
      <c r="AU1015" s="1488"/>
      <c r="AV1015" s="1488"/>
      <c r="AW1015" s="1488"/>
      <c r="AX1015" s="1488"/>
      <c r="AY1015" s="1488"/>
      <c r="CR1015" s="25"/>
    </row>
    <row r="1016" spans="1:96" s="717" customFormat="1" ht="12.75" customHeight="1">
      <c r="A1016" s="51"/>
      <c r="B1016" s="110"/>
      <c r="C1016" s="111"/>
      <c r="D1016" s="2441" t="s">
        <v>2110</v>
      </c>
      <c r="E1016" s="2442"/>
      <c r="F1016" s="2442"/>
      <c r="G1016" s="2442"/>
      <c r="H1016" s="2442"/>
      <c r="I1016" s="2442"/>
      <c r="J1016" s="2442"/>
      <c r="K1016" s="2442"/>
      <c r="L1016" s="2442"/>
      <c r="M1016" s="2442"/>
      <c r="N1016" s="2442"/>
      <c r="O1016" s="2442"/>
      <c r="P1016" s="2442"/>
      <c r="Q1016" s="2442"/>
      <c r="R1016" s="2442"/>
      <c r="S1016" s="2442"/>
      <c r="T1016" s="2442"/>
      <c r="U1016" s="2442"/>
      <c r="V1016" s="2442"/>
      <c r="W1016" s="2442"/>
      <c r="X1016" s="2442"/>
      <c r="Y1016" s="2442"/>
      <c r="Z1016" s="2442"/>
      <c r="AA1016" s="2442"/>
      <c r="AB1016" s="2442"/>
      <c r="AC1016" s="2442"/>
      <c r="AD1016" s="2442"/>
      <c r="AE1016" s="2443"/>
      <c r="AF1016" s="110"/>
      <c r="AG1016" s="112"/>
      <c r="AH1016" s="112"/>
      <c r="AI1016" s="121"/>
      <c r="AJ1016" s="2450"/>
      <c r="AK1016" s="2115"/>
      <c r="AL1016" s="2115"/>
      <c r="AM1016" s="2115"/>
      <c r="AN1016" s="2115"/>
      <c r="AO1016" s="2115"/>
      <c r="AP1016" s="2115"/>
      <c r="AQ1016" s="2451"/>
      <c r="AR1016" s="1488"/>
      <c r="AS1016" s="1488"/>
      <c r="AT1016" s="1488"/>
      <c r="AU1016" s="1488"/>
      <c r="AV1016" s="1488"/>
      <c r="AW1016" s="1488"/>
      <c r="AX1016" s="1488"/>
      <c r="AY1016" s="1488"/>
      <c r="CR1016" s="25"/>
    </row>
    <row r="1017" spans="1:96" s="717" customFormat="1" ht="12.75" customHeight="1">
      <c r="A1017" s="51"/>
      <c r="B1017" s="110"/>
      <c r="C1017" s="111"/>
      <c r="D1017" s="2441"/>
      <c r="E1017" s="2442"/>
      <c r="F1017" s="2442"/>
      <c r="G1017" s="2442"/>
      <c r="H1017" s="2442"/>
      <c r="I1017" s="2442"/>
      <c r="J1017" s="2442"/>
      <c r="K1017" s="2442"/>
      <c r="L1017" s="2442"/>
      <c r="M1017" s="2442"/>
      <c r="N1017" s="2442"/>
      <c r="O1017" s="2442"/>
      <c r="P1017" s="2442"/>
      <c r="Q1017" s="2442"/>
      <c r="R1017" s="2442"/>
      <c r="S1017" s="2442"/>
      <c r="T1017" s="2442"/>
      <c r="U1017" s="2442"/>
      <c r="V1017" s="2442"/>
      <c r="W1017" s="2442"/>
      <c r="X1017" s="2442"/>
      <c r="Y1017" s="2442"/>
      <c r="Z1017" s="2442"/>
      <c r="AA1017" s="2442"/>
      <c r="AB1017" s="2442"/>
      <c r="AC1017" s="2442"/>
      <c r="AD1017" s="2442"/>
      <c r="AE1017" s="2443"/>
      <c r="AF1017" s="110"/>
      <c r="AG1017" s="112"/>
      <c r="AH1017" s="112"/>
      <c r="AI1017" s="121"/>
      <c r="AJ1017" s="2450"/>
      <c r="AK1017" s="2115"/>
      <c r="AL1017" s="2115"/>
      <c r="AM1017" s="2115"/>
      <c r="AN1017" s="2115"/>
      <c r="AO1017" s="2115"/>
      <c r="AP1017" s="2115"/>
      <c r="AQ1017" s="2451"/>
      <c r="AR1017" s="1488"/>
      <c r="AS1017" s="1488"/>
      <c r="AT1017" s="1488"/>
      <c r="AU1017" s="1488"/>
      <c r="AV1017" s="1488"/>
      <c r="AW1017" s="1488"/>
      <c r="AX1017" s="1488"/>
      <c r="AY1017" s="1488"/>
      <c r="CR1017" s="25"/>
    </row>
    <row r="1018" spans="1:96" s="717" customFormat="1" ht="12.75" customHeight="1">
      <c r="A1018" s="51"/>
      <c r="B1018" s="110"/>
      <c r="C1018" s="111"/>
      <c r="D1018" s="2441"/>
      <c r="E1018" s="2442"/>
      <c r="F1018" s="2442"/>
      <c r="G1018" s="2442"/>
      <c r="H1018" s="2442"/>
      <c r="I1018" s="2442"/>
      <c r="J1018" s="2442"/>
      <c r="K1018" s="2442"/>
      <c r="L1018" s="2442"/>
      <c r="M1018" s="2442"/>
      <c r="N1018" s="2442"/>
      <c r="O1018" s="2442"/>
      <c r="P1018" s="2442"/>
      <c r="Q1018" s="2442"/>
      <c r="R1018" s="2442"/>
      <c r="S1018" s="2442"/>
      <c r="T1018" s="2442"/>
      <c r="U1018" s="2442"/>
      <c r="V1018" s="2442"/>
      <c r="W1018" s="2442"/>
      <c r="X1018" s="2442"/>
      <c r="Y1018" s="2442"/>
      <c r="Z1018" s="2442"/>
      <c r="AA1018" s="2442"/>
      <c r="AB1018" s="2442"/>
      <c r="AC1018" s="2442"/>
      <c r="AD1018" s="2442"/>
      <c r="AE1018" s="2443"/>
      <c r="AF1018" s="110"/>
      <c r="AG1018" s="112"/>
      <c r="AH1018" s="112"/>
      <c r="AI1018" s="121"/>
      <c r="AJ1018" s="2450"/>
      <c r="AK1018" s="2115"/>
      <c r="AL1018" s="2115"/>
      <c r="AM1018" s="2115"/>
      <c r="AN1018" s="2115"/>
      <c r="AO1018" s="2115"/>
      <c r="AP1018" s="2115"/>
      <c r="AQ1018" s="2451"/>
      <c r="AR1018" s="1488"/>
      <c r="AS1018" s="1488"/>
      <c r="AT1018" s="1488"/>
      <c r="AU1018" s="1488"/>
      <c r="AV1018" s="1488"/>
      <c r="AW1018" s="1488"/>
      <c r="AX1018" s="1488"/>
      <c r="AY1018" s="1488"/>
      <c r="CR1018" s="25"/>
    </row>
    <row r="1019" spans="1:96" s="717" customFormat="1" ht="12.75" customHeight="1">
      <c r="A1019" s="51"/>
      <c r="B1019" s="110"/>
      <c r="C1019" s="111"/>
      <c r="D1019" s="2444"/>
      <c r="E1019" s="2445"/>
      <c r="F1019" s="2445"/>
      <c r="G1019" s="2445"/>
      <c r="H1019" s="2445"/>
      <c r="I1019" s="2445"/>
      <c r="J1019" s="2445"/>
      <c r="K1019" s="2445"/>
      <c r="L1019" s="2445"/>
      <c r="M1019" s="2445"/>
      <c r="N1019" s="2445"/>
      <c r="O1019" s="2445"/>
      <c r="P1019" s="2445"/>
      <c r="Q1019" s="2445"/>
      <c r="R1019" s="2445"/>
      <c r="S1019" s="2445"/>
      <c r="T1019" s="2445"/>
      <c r="U1019" s="2445"/>
      <c r="V1019" s="2445"/>
      <c r="W1019" s="2445"/>
      <c r="X1019" s="2445"/>
      <c r="Y1019" s="2445"/>
      <c r="Z1019" s="2445"/>
      <c r="AA1019" s="2445"/>
      <c r="AB1019" s="2445"/>
      <c r="AC1019" s="2445"/>
      <c r="AD1019" s="2445"/>
      <c r="AE1019" s="2446"/>
      <c r="AF1019" s="110"/>
      <c r="AG1019" s="112"/>
      <c r="AH1019" s="112"/>
      <c r="AI1019" s="121"/>
      <c r="AJ1019" s="2450"/>
      <c r="AK1019" s="2115"/>
      <c r="AL1019" s="2115"/>
      <c r="AM1019" s="2115"/>
      <c r="AN1019" s="2115"/>
      <c r="AO1019" s="2115"/>
      <c r="AP1019" s="2115"/>
      <c r="AQ1019" s="2451"/>
      <c r="AR1019" s="1488"/>
      <c r="AS1019" s="1488"/>
      <c r="AT1019" s="1488"/>
      <c r="AU1019" s="1488"/>
      <c r="AV1019" s="1488"/>
      <c r="AW1019" s="1488"/>
      <c r="AX1019" s="1488"/>
      <c r="AY1019" s="1488"/>
      <c r="CR1019" s="25"/>
    </row>
    <row r="1020" spans="1:96" s="717" customFormat="1" ht="12.75" customHeight="1">
      <c r="A1020" s="51"/>
      <c r="B1020" s="117"/>
      <c r="C1020" s="198" t="s">
        <v>1113</v>
      </c>
      <c r="D1020" s="2410" t="s">
        <v>1538</v>
      </c>
      <c r="E1020" s="2411"/>
      <c r="F1020" s="2411"/>
      <c r="G1020" s="2411"/>
      <c r="H1020" s="2411"/>
      <c r="I1020" s="2411"/>
      <c r="J1020" s="2411"/>
      <c r="K1020" s="2411"/>
      <c r="L1020" s="2411"/>
      <c r="M1020" s="2411"/>
      <c r="N1020" s="2411"/>
      <c r="O1020" s="2411"/>
      <c r="P1020" s="2411"/>
      <c r="Q1020" s="2411"/>
      <c r="R1020" s="2411"/>
      <c r="S1020" s="2411"/>
      <c r="T1020" s="2411"/>
      <c r="U1020" s="2411"/>
      <c r="V1020" s="2411"/>
      <c r="W1020" s="2411"/>
      <c r="X1020" s="2411"/>
      <c r="Y1020" s="2411"/>
      <c r="Z1020" s="2411"/>
      <c r="AA1020" s="2411"/>
      <c r="AB1020" s="2411"/>
      <c r="AC1020" s="2411"/>
      <c r="AD1020" s="2411"/>
      <c r="AE1020" s="2412"/>
      <c r="AF1020" s="117"/>
      <c r="AG1020" s="2422" t="s">
        <v>705</v>
      </c>
      <c r="AH1020" s="2423"/>
      <c r="AI1020" s="125"/>
      <c r="AJ1020" s="2447">
        <f>ROUND(IF(AG1020="yes",(AJ975*0.1),0),0)</f>
        <v>0</v>
      </c>
      <c r="AK1020" s="2448"/>
      <c r="AL1020" s="2448"/>
      <c r="AM1020" s="2448"/>
      <c r="AN1020" s="2448"/>
      <c r="AO1020" s="2448"/>
      <c r="AP1020" s="2448"/>
      <c r="AQ1020" s="2449"/>
      <c r="AR1020" s="1488"/>
      <c r="AS1020" s="1488"/>
      <c r="AT1020" s="1488"/>
      <c r="AU1020" s="1488"/>
      <c r="AV1020" s="1488"/>
      <c r="AW1020" s="1488"/>
      <c r="AX1020" s="1488"/>
      <c r="AY1020" s="1488"/>
      <c r="CR1020" s="25"/>
    </row>
    <row r="1021" spans="1:96" ht="12.75" customHeight="1">
      <c r="A1021" s="51"/>
      <c r="B1021" s="110"/>
      <c r="C1021" s="111"/>
      <c r="D1021" s="2413" t="s">
        <v>1539</v>
      </c>
      <c r="E1021" s="2414"/>
      <c r="F1021" s="2414"/>
      <c r="G1021" s="2414"/>
      <c r="H1021" s="2414"/>
      <c r="I1021" s="2414"/>
      <c r="J1021" s="2414"/>
      <c r="K1021" s="2414"/>
      <c r="L1021" s="2414"/>
      <c r="M1021" s="2414"/>
      <c r="N1021" s="2414"/>
      <c r="O1021" s="2414"/>
      <c r="P1021" s="2414"/>
      <c r="Q1021" s="2414"/>
      <c r="R1021" s="2414"/>
      <c r="S1021" s="2414"/>
      <c r="T1021" s="2414"/>
      <c r="U1021" s="2414"/>
      <c r="V1021" s="2414"/>
      <c r="W1021" s="2414"/>
      <c r="X1021" s="2414"/>
      <c r="Y1021" s="2414"/>
      <c r="Z1021" s="2414"/>
      <c r="AA1021" s="2414"/>
      <c r="AB1021" s="2414"/>
      <c r="AC1021" s="2414"/>
      <c r="AD1021" s="2414"/>
      <c r="AE1021" s="2415"/>
      <c r="AF1021" s="110"/>
      <c r="AG1021" s="112"/>
      <c r="AH1021" s="112"/>
      <c r="AI1021" s="121"/>
      <c r="AJ1021" s="2450"/>
      <c r="AK1021" s="2115"/>
      <c r="AL1021" s="2115"/>
      <c r="AM1021" s="2115"/>
      <c r="AN1021" s="2115"/>
      <c r="AO1021" s="2115"/>
      <c r="AP1021" s="2115"/>
      <c r="AQ1021" s="2451"/>
      <c r="AR1021" s="1488"/>
      <c r="AS1021" s="1488"/>
      <c r="AT1021" s="1488"/>
      <c r="AU1021" s="1488"/>
      <c r="AV1021" s="1488"/>
      <c r="AW1021" s="1488"/>
      <c r="AX1021" s="1488"/>
      <c r="AY1021" s="1488"/>
    </row>
    <row r="1022" spans="1:96" ht="12.75" customHeight="1">
      <c r="A1022" s="51"/>
      <c r="B1022" s="110"/>
      <c r="C1022" s="111"/>
      <c r="D1022" s="2413"/>
      <c r="E1022" s="2414"/>
      <c r="F1022" s="2414"/>
      <c r="G1022" s="2414"/>
      <c r="H1022" s="2414"/>
      <c r="I1022" s="2414"/>
      <c r="J1022" s="2414"/>
      <c r="K1022" s="2414"/>
      <c r="L1022" s="2414"/>
      <c r="M1022" s="2414"/>
      <c r="N1022" s="2414"/>
      <c r="O1022" s="2414"/>
      <c r="P1022" s="2414"/>
      <c r="Q1022" s="2414"/>
      <c r="R1022" s="2414"/>
      <c r="S1022" s="2414"/>
      <c r="T1022" s="2414"/>
      <c r="U1022" s="2414"/>
      <c r="V1022" s="2414"/>
      <c r="W1022" s="2414"/>
      <c r="X1022" s="2414"/>
      <c r="Y1022" s="2414"/>
      <c r="Z1022" s="2414"/>
      <c r="AA1022" s="2414"/>
      <c r="AB1022" s="2414"/>
      <c r="AC1022" s="2414"/>
      <c r="AD1022" s="2414"/>
      <c r="AE1022" s="2415"/>
      <c r="AF1022" s="110"/>
      <c r="AG1022" s="112"/>
      <c r="AH1022" s="112"/>
      <c r="AI1022" s="121"/>
      <c r="AJ1022" s="2450"/>
      <c r="AK1022" s="2115"/>
      <c r="AL1022" s="2115"/>
      <c r="AM1022" s="2115"/>
      <c r="AN1022" s="2115"/>
      <c r="AO1022" s="2115"/>
      <c r="AP1022" s="2115"/>
      <c r="AQ1022" s="2451"/>
      <c r="AR1022" s="1488"/>
      <c r="AS1022" s="1488"/>
      <c r="AT1022" s="1488"/>
      <c r="AU1022" s="1488"/>
      <c r="AV1022" s="1488"/>
      <c r="AW1022" s="1488"/>
      <c r="AX1022" s="1488"/>
      <c r="AY1022" s="1488"/>
    </row>
    <row r="1023" spans="1:96" s="680" customFormat="1" ht="12.75" customHeight="1">
      <c r="A1023" s="51"/>
      <c r="B1023" s="110"/>
      <c r="C1023" s="111"/>
      <c r="D1023" s="2426"/>
      <c r="E1023" s="2427"/>
      <c r="F1023" s="2427"/>
      <c r="G1023" s="2427"/>
      <c r="H1023" s="2427"/>
      <c r="I1023" s="2427"/>
      <c r="J1023" s="2427"/>
      <c r="K1023" s="2427"/>
      <c r="L1023" s="2427"/>
      <c r="M1023" s="2427"/>
      <c r="N1023" s="2427"/>
      <c r="O1023" s="2427"/>
      <c r="P1023" s="2427"/>
      <c r="Q1023" s="2427"/>
      <c r="R1023" s="2427"/>
      <c r="S1023" s="2427"/>
      <c r="T1023" s="2427"/>
      <c r="U1023" s="2427"/>
      <c r="V1023" s="2427"/>
      <c r="W1023" s="2427"/>
      <c r="X1023" s="2427"/>
      <c r="Y1023" s="2427"/>
      <c r="Z1023" s="2427"/>
      <c r="AA1023" s="2427"/>
      <c r="AB1023" s="2427"/>
      <c r="AC1023" s="2427"/>
      <c r="AD1023" s="2427"/>
      <c r="AE1023" s="2428"/>
      <c r="AF1023" s="110"/>
      <c r="AG1023" s="112"/>
      <c r="AH1023" s="112"/>
      <c r="AI1023" s="121"/>
      <c r="AJ1023" s="2452"/>
      <c r="AK1023" s="2453"/>
      <c r="AL1023" s="2453"/>
      <c r="AM1023" s="2453"/>
      <c r="AN1023" s="2453"/>
      <c r="AO1023" s="2453"/>
      <c r="AP1023" s="2453"/>
      <c r="AQ1023" s="2454"/>
      <c r="AR1023" s="1488"/>
      <c r="AS1023" s="1488"/>
      <c r="AT1023" s="1488"/>
      <c r="AU1023" s="1488"/>
      <c r="AV1023" s="1488"/>
      <c r="AW1023" s="1488"/>
      <c r="AX1023" s="1488"/>
      <c r="AY1023" s="1488"/>
      <c r="CR1023" s="25"/>
    </row>
    <row r="1024" spans="1:96" ht="12.75" customHeight="1">
      <c r="A1024" s="51"/>
      <c r="B1024" s="117"/>
      <c r="C1024" s="198" t="s">
        <v>2105</v>
      </c>
      <c r="D1024" s="2458" t="s">
        <v>2323</v>
      </c>
      <c r="E1024" s="2459"/>
      <c r="F1024" s="2459"/>
      <c r="G1024" s="2459"/>
      <c r="H1024" s="2459"/>
      <c r="I1024" s="2459"/>
      <c r="J1024" s="2459"/>
      <c r="K1024" s="2459"/>
      <c r="L1024" s="2459"/>
      <c r="M1024" s="2459"/>
      <c r="N1024" s="2459"/>
      <c r="O1024" s="2459"/>
      <c r="P1024" s="2459"/>
      <c r="Q1024" s="2459"/>
      <c r="R1024" s="2459"/>
      <c r="S1024" s="2459"/>
      <c r="T1024" s="2459"/>
      <c r="U1024" s="2459"/>
      <c r="V1024" s="2459"/>
      <c r="W1024" s="2459"/>
      <c r="X1024" s="2459"/>
      <c r="Y1024" s="2459"/>
      <c r="Z1024" s="2459"/>
      <c r="AA1024" s="2459"/>
      <c r="AB1024" s="2459"/>
      <c r="AC1024" s="2459"/>
      <c r="AD1024" s="2459"/>
      <c r="AE1024" s="2460"/>
      <c r="AF1024" s="117"/>
      <c r="AG1024" s="2420" t="str">
        <f>IF(X1027&gt;0,"Yes","No")</f>
        <v>Yes</v>
      </c>
      <c r="AH1024" s="2421"/>
      <c r="AI1024" s="125"/>
      <c r="AJ1024" s="2429">
        <f>IF((X1027=0),0,BA989*AJ975)</f>
        <v>14836268.800000001</v>
      </c>
      <c r="AK1024" s="2430"/>
      <c r="AL1024" s="2430"/>
      <c r="AM1024" s="2430"/>
      <c r="AN1024" s="2430"/>
      <c r="AO1024" s="2430"/>
      <c r="AP1024" s="2430"/>
      <c r="AQ1024" s="2431"/>
      <c r="AR1024" s="1488"/>
      <c r="AS1024" s="1488"/>
      <c r="AT1024" s="1488"/>
      <c r="AU1024" s="1488"/>
      <c r="AV1024" s="1488"/>
      <c r="AW1024" s="1488"/>
      <c r="AX1024" s="1488"/>
      <c r="AY1024" s="1488"/>
    </row>
    <row r="1025" spans="1:96" ht="12.75" customHeight="1">
      <c r="A1025" s="51"/>
      <c r="B1025" s="110"/>
      <c r="C1025" s="700"/>
      <c r="D1025" s="2413" t="s">
        <v>1541</v>
      </c>
      <c r="E1025" s="2414"/>
      <c r="F1025" s="2414"/>
      <c r="G1025" s="2414"/>
      <c r="H1025" s="2414"/>
      <c r="I1025" s="2414"/>
      <c r="J1025" s="2414"/>
      <c r="K1025" s="2414"/>
      <c r="L1025" s="2414"/>
      <c r="M1025" s="2414"/>
      <c r="N1025" s="2414"/>
      <c r="O1025" s="2414"/>
      <c r="P1025" s="2414"/>
      <c r="Q1025" s="2414"/>
      <c r="R1025" s="2414"/>
      <c r="S1025" s="2414"/>
      <c r="T1025" s="2414"/>
      <c r="U1025" s="2414"/>
      <c r="V1025" s="2414"/>
      <c r="W1025" s="2414"/>
      <c r="X1025" s="2414"/>
      <c r="Y1025" s="2414"/>
      <c r="Z1025" s="2414"/>
      <c r="AA1025" s="2414"/>
      <c r="AB1025" s="2414"/>
      <c r="AC1025" s="2414"/>
      <c r="AD1025" s="2414"/>
      <c r="AE1025" s="2415"/>
      <c r="AF1025" s="110"/>
      <c r="AG1025" s="701"/>
      <c r="AH1025" s="701"/>
      <c r="AI1025" s="121"/>
      <c r="AJ1025" s="2432"/>
      <c r="AK1025" s="2433"/>
      <c r="AL1025" s="2433"/>
      <c r="AM1025" s="2433"/>
      <c r="AN1025" s="2433"/>
      <c r="AO1025" s="2433"/>
      <c r="AP1025" s="2433"/>
      <c r="AQ1025" s="2434"/>
      <c r="AR1025" s="1488"/>
      <c r="AS1025" s="1488"/>
      <c r="AT1025" s="1488"/>
      <c r="AU1025" s="1488"/>
      <c r="AV1025" s="1488"/>
      <c r="AW1025" s="1488"/>
      <c r="AX1025" s="1488"/>
      <c r="AY1025" s="1488"/>
    </row>
    <row r="1026" spans="1:96" ht="12.75" customHeight="1">
      <c r="A1026" s="51"/>
      <c r="B1026" s="110"/>
      <c r="C1026" s="700"/>
      <c r="D1026" s="2413"/>
      <c r="E1026" s="2414"/>
      <c r="F1026" s="2414"/>
      <c r="G1026" s="2414"/>
      <c r="H1026" s="2414"/>
      <c r="I1026" s="2414"/>
      <c r="J1026" s="2414"/>
      <c r="K1026" s="2414"/>
      <c r="L1026" s="2414"/>
      <c r="M1026" s="2414"/>
      <c r="N1026" s="2414"/>
      <c r="O1026" s="2414"/>
      <c r="P1026" s="2414"/>
      <c r="Q1026" s="2414"/>
      <c r="R1026" s="2414"/>
      <c r="S1026" s="2414"/>
      <c r="T1026" s="2414"/>
      <c r="U1026" s="2414"/>
      <c r="V1026" s="2414"/>
      <c r="W1026" s="2414"/>
      <c r="X1026" s="2414"/>
      <c r="Y1026" s="2414"/>
      <c r="Z1026" s="2414"/>
      <c r="AA1026" s="2414"/>
      <c r="AB1026" s="2414"/>
      <c r="AC1026" s="2414"/>
      <c r="AD1026" s="2414"/>
      <c r="AE1026" s="2415"/>
      <c r="AF1026" s="110"/>
      <c r="AG1026" s="701"/>
      <c r="AH1026" s="701"/>
      <c r="AI1026" s="121"/>
      <c r="AJ1026" s="2432"/>
      <c r="AK1026" s="2433"/>
      <c r="AL1026" s="2433"/>
      <c r="AM1026" s="2433"/>
      <c r="AN1026" s="2433"/>
      <c r="AO1026" s="2433"/>
      <c r="AP1026" s="2433"/>
      <c r="AQ1026" s="2434"/>
      <c r="AR1026" s="1488"/>
      <c r="AS1026" s="1488"/>
      <c r="AT1026" s="1488"/>
      <c r="AU1026" s="1488"/>
      <c r="AV1026" s="1488"/>
      <c r="AW1026" s="1488"/>
      <c r="AX1026" s="1488"/>
      <c r="AY1026" s="1488"/>
    </row>
    <row r="1027" spans="1:96" s="717" customFormat="1" ht="12.75" customHeight="1">
      <c r="A1027" s="51"/>
      <c r="B1027" s="115"/>
      <c r="C1027" s="116"/>
      <c r="D1027" s="199" t="s">
        <v>1050</v>
      </c>
      <c r="E1027" s="200"/>
      <c r="F1027" s="200"/>
      <c r="G1027" s="200"/>
      <c r="H1027" s="200"/>
      <c r="I1027" s="2418">
        <f>BA987</f>
        <v>192</v>
      </c>
      <c r="J1027" s="2419"/>
      <c r="K1027" s="11"/>
      <c r="L1027" s="200"/>
      <c r="M1027" s="200"/>
      <c r="N1027" s="200"/>
      <c r="O1027" s="200"/>
      <c r="P1027" s="200"/>
      <c r="Q1027" s="200"/>
      <c r="R1027" s="200"/>
      <c r="S1027" s="200"/>
      <c r="T1027" s="200"/>
      <c r="U1027" s="200"/>
      <c r="V1027" s="201" t="s">
        <v>1051</v>
      </c>
      <c r="W1027" s="80"/>
      <c r="X1027" s="2416">
        <f>BG635</f>
        <v>39</v>
      </c>
      <c r="Y1027" s="2417"/>
      <c r="Z1027" s="80"/>
      <c r="AA1027" s="80"/>
      <c r="AB1027" s="80"/>
      <c r="AC1027" s="80"/>
      <c r="AD1027" s="80"/>
      <c r="AE1027" s="81"/>
      <c r="AF1027" s="1527"/>
      <c r="AG1027" s="1528"/>
      <c r="AH1027" s="1528"/>
      <c r="AI1027" s="1529"/>
      <c r="AJ1027" s="2435"/>
      <c r="AK1027" s="2436"/>
      <c r="AL1027" s="2436"/>
      <c r="AM1027" s="2436"/>
      <c r="AN1027" s="2436"/>
      <c r="AO1027" s="2436"/>
      <c r="AP1027" s="2436"/>
      <c r="AQ1027" s="2437"/>
      <c r="AR1027" s="1488"/>
      <c r="AS1027" s="1488"/>
      <c r="AT1027" s="1488"/>
      <c r="AU1027" s="1488"/>
      <c r="AV1027" s="1488"/>
      <c r="AW1027" s="1488"/>
      <c r="AX1027" s="1488"/>
      <c r="AY1027" s="1488"/>
      <c r="CR1027" s="25"/>
    </row>
    <row r="1028" spans="1:96" ht="12.75" customHeight="1">
      <c r="A1028" s="51"/>
      <c r="B1028" s="117"/>
      <c r="C1028" s="198" t="s">
        <v>2106</v>
      </c>
      <c r="D1028" s="2410" t="s">
        <v>2324</v>
      </c>
      <c r="E1028" s="2411"/>
      <c r="F1028" s="2411"/>
      <c r="G1028" s="2411"/>
      <c r="H1028" s="2411"/>
      <c r="I1028" s="2411"/>
      <c r="J1028" s="2411"/>
      <c r="K1028" s="2411"/>
      <c r="L1028" s="2411"/>
      <c r="M1028" s="2411"/>
      <c r="N1028" s="2411"/>
      <c r="O1028" s="2411"/>
      <c r="P1028" s="2411"/>
      <c r="Q1028" s="2411"/>
      <c r="R1028" s="2411"/>
      <c r="S1028" s="2411"/>
      <c r="T1028" s="2411"/>
      <c r="U1028" s="2411"/>
      <c r="V1028" s="2411"/>
      <c r="W1028" s="2411"/>
      <c r="X1028" s="2411"/>
      <c r="Y1028" s="2411"/>
      <c r="Z1028" s="2411"/>
      <c r="AA1028" s="2411"/>
      <c r="AB1028" s="2411"/>
      <c r="AC1028" s="2411"/>
      <c r="AD1028" s="2411"/>
      <c r="AE1028" s="2412"/>
      <c r="AF1028" s="110"/>
      <c r="AG1028" s="2420" t="str">
        <f>IF(X1031&gt;0,"Yes","No")</f>
        <v>Yes</v>
      </c>
      <c r="AH1028" s="2421"/>
      <c r="AI1028" s="121"/>
      <c r="AJ1028" s="2429">
        <f>IF((X1031=0),0,(2*BA990)*AJ975)</f>
        <v>14836268.800000001</v>
      </c>
      <c r="AK1028" s="2430"/>
      <c r="AL1028" s="2430"/>
      <c r="AM1028" s="2430"/>
      <c r="AN1028" s="2430"/>
      <c r="AO1028" s="2430"/>
      <c r="AP1028" s="2430"/>
      <c r="AQ1028" s="2431"/>
      <c r="AR1028" s="1488"/>
      <c r="AS1028" s="1488"/>
      <c r="AT1028" s="1488"/>
      <c r="AU1028" s="1488"/>
      <c r="AV1028" s="1488"/>
      <c r="AW1028" s="1488"/>
      <c r="AX1028" s="1488"/>
      <c r="AY1028" s="1488"/>
    </row>
    <row r="1029" spans="1:96" ht="12.75" customHeight="1">
      <c r="A1029" s="51"/>
      <c r="B1029" s="110"/>
      <c r="C1029" s="700"/>
      <c r="D1029" s="2413" t="s">
        <v>1540</v>
      </c>
      <c r="E1029" s="2414"/>
      <c r="F1029" s="2414"/>
      <c r="G1029" s="2414"/>
      <c r="H1029" s="2414"/>
      <c r="I1029" s="2414"/>
      <c r="J1029" s="2414"/>
      <c r="K1029" s="2414"/>
      <c r="L1029" s="2414"/>
      <c r="M1029" s="2414"/>
      <c r="N1029" s="2414"/>
      <c r="O1029" s="2414"/>
      <c r="P1029" s="2414"/>
      <c r="Q1029" s="2414"/>
      <c r="R1029" s="2414"/>
      <c r="S1029" s="2414"/>
      <c r="T1029" s="2414"/>
      <c r="U1029" s="2414"/>
      <c r="V1029" s="2414"/>
      <c r="W1029" s="2414"/>
      <c r="X1029" s="2414"/>
      <c r="Y1029" s="2414"/>
      <c r="Z1029" s="2414"/>
      <c r="AA1029" s="2414"/>
      <c r="AB1029" s="2414"/>
      <c r="AC1029" s="2414"/>
      <c r="AD1029" s="2414"/>
      <c r="AE1029" s="2415"/>
      <c r="AF1029" s="110"/>
      <c r="AG1029" s="701"/>
      <c r="AH1029" s="701"/>
      <c r="AI1029" s="121"/>
      <c r="AJ1029" s="2432"/>
      <c r="AK1029" s="2433"/>
      <c r="AL1029" s="2433"/>
      <c r="AM1029" s="2433"/>
      <c r="AN1029" s="2433"/>
      <c r="AO1029" s="2433"/>
      <c r="AP1029" s="2433"/>
      <c r="AQ1029" s="2434"/>
      <c r="AR1029" s="1488"/>
      <c r="AS1029" s="1488"/>
      <c r="AT1029" s="1488"/>
      <c r="AU1029" s="1488"/>
      <c r="AV1029" s="1488"/>
      <c r="AW1029" s="1488"/>
      <c r="AX1029" s="1488"/>
      <c r="AY1029" s="1488"/>
    </row>
    <row r="1030" spans="1:96" ht="12.75" customHeight="1">
      <c r="A1030" s="51"/>
      <c r="B1030" s="110"/>
      <c r="C1030" s="121"/>
      <c r="D1030" s="2413"/>
      <c r="E1030" s="2414"/>
      <c r="F1030" s="2414"/>
      <c r="G1030" s="2414"/>
      <c r="H1030" s="2414"/>
      <c r="I1030" s="2414"/>
      <c r="J1030" s="2414"/>
      <c r="K1030" s="2414"/>
      <c r="L1030" s="2414"/>
      <c r="M1030" s="2414"/>
      <c r="N1030" s="2414"/>
      <c r="O1030" s="2414"/>
      <c r="P1030" s="2414"/>
      <c r="Q1030" s="2414"/>
      <c r="R1030" s="2414"/>
      <c r="S1030" s="2414"/>
      <c r="T1030" s="2414"/>
      <c r="U1030" s="2414"/>
      <c r="V1030" s="2414"/>
      <c r="W1030" s="2414"/>
      <c r="X1030" s="2414"/>
      <c r="Y1030" s="2414"/>
      <c r="Z1030" s="2414"/>
      <c r="AA1030" s="2414"/>
      <c r="AB1030" s="2414"/>
      <c r="AC1030" s="2414"/>
      <c r="AD1030" s="2414"/>
      <c r="AE1030" s="2415"/>
      <c r="AF1030" s="1524"/>
      <c r="AG1030" s="1525"/>
      <c r="AH1030" s="1525"/>
      <c r="AI1030" s="1526"/>
      <c r="AJ1030" s="2432"/>
      <c r="AK1030" s="2433"/>
      <c r="AL1030" s="2433"/>
      <c r="AM1030" s="2433"/>
      <c r="AN1030" s="2433"/>
      <c r="AO1030" s="2433"/>
      <c r="AP1030" s="2433"/>
      <c r="AQ1030" s="2434"/>
      <c r="AR1030" s="1488"/>
      <c r="AS1030" s="1488"/>
      <c r="AT1030" s="1488"/>
      <c r="AU1030" s="1488"/>
      <c r="AV1030" s="1488"/>
      <c r="AW1030" s="1488"/>
      <c r="AX1030" s="1488"/>
      <c r="AY1030" s="1488"/>
    </row>
    <row r="1031" spans="1:96" s="717" customFormat="1" ht="12.75" customHeight="1">
      <c r="A1031" s="51"/>
      <c r="B1031" s="115"/>
      <c r="C1031" s="116"/>
      <c r="D1031" s="199" t="s">
        <v>1050</v>
      </c>
      <c r="E1031" s="200"/>
      <c r="F1031" s="200"/>
      <c r="G1031" s="200"/>
      <c r="H1031" s="200"/>
      <c r="I1031" s="2418">
        <f>BA987</f>
        <v>192</v>
      </c>
      <c r="J1031" s="2419"/>
      <c r="K1031" s="51"/>
      <c r="L1031" s="200"/>
      <c r="M1031" s="200"/>
      <c r="N1031" s="200"/>
      <c r="O1031" s="200"/>
      <c r="P1031" s="200"/>
      <c r="Q1031" s="200"/>
      <c r="R1031" s="200"/>
      <c r="S1031" s="200"/>
      <c r="T1031" s="200"/>
      <c r="U1031" s="200"/>
      <c r="V1031" s="201" t="s">
        <v>1052</v>
      </c>
      <c r="X1031" s="2416">
        <f>BK635</f>
        <v>20</v>
      </c>
      <c r="Y1031" s="2417"/>
      <c r="AF1031" s="1527"/>
      <c r="AG1031" s="1528"/>
      <c r="AH1031" s="1528"/>
      <c r="AI1031" s="1529"/>
      <c r="AJ1031" s="2435"/>
      <c r="AK1031" s="2436"/>
      <c r="AL1031" s="2436"/>
      <c r="AM1031" s="2436"/>
      <c r="AN1031" s="2436"/>
      <c r="AO1031" s="2436"/>
      <c r="AP1031" s="2436"/>
      <c r="AQ1031" s="2437"/>
      <c r="AR1031" s="1488"/>
      <c r="AS1031" s="1488"/>
      <c r="AT1031" s="1488"/>
      <c r="AU1031" s="1488"/>
      <c r="AV1031" s="1488"/>
      <c r="AW1031" s="1488"/>
      <c r="AX1031" s="1488"/>
      <c r="AY1031" s="1488"/>
      <c r="CR1031" s="25"/>
    </row>
    <row r="1032" spans="1:96" ht="12.75" customHeight="1">
      <c r="A1032" s="51"/>
      <c r="B1032" s="158"/>
      <c r="C1032" s="159"/>
      <c r="D1032" s="2408" t="s">
        <v>545</v>
      </c>
      <c r="E1032" s="2408"/>
      <c r="F1032" s="2408"/>
      <c r="G1032" s="2408"/>
      <c r="H1032" s="2408"/>
      <c r="I1032" s="2408"/>
      <c r="J1032" s="2408"/>
      <c r="K1032" s="2408"/>
      <c r="L1032" s="2408"/>
      <c r="M1032" s="2408"/>
      <c r="N1032" s="2408"/>
      <c r="O1032" s="2408"/>
      <c r="P1032" s="2408"/>
      <c r="Q1032" s="2408"/>
      <c r="R1032" s="2408"/>
      <c r="S1032" s="2408"/>
      <c r="T1032" s="2408"/>
      <c r="U1032" s="2408"/>
      <c r="V1032" s="2408"/>
      <c r="W1032" s="2408"/>
      <c r="X1032" s="2408"/>
      <c r="Y1032" s="2408"/>
      <c r="Z1032" s="2408"/>
      <c r="AA1032" s="2408"/>
      <c r="AB1032" s="2408"/>
      <c r="AC1032" s="2408"/>
      <c r="AD1032" s="2408"/>
      <c r="AE1032" s="2408"/>
      <c r="AF1032" s="2408"/>
      <c r="AG1032" s="2408"/>
      <c r="AH1032" s="2408"/>
      <c r="AI1032" s="2409"/>
      <c r="AJ1032" s="2438">
        <f>SUM(AJ975:AQ1031)</f>
        <v>103853881.59999999</v>
      </c>
      <c r="AK1032" s="2439"/>
      <c r="AL1032" s="2439"/>
      <c r="AM1032" s="2439"/>
      <c r="AN1032" s="2439"/>
      <c r="AO1032" s="2439"/>
      <c r="AP1032" s="2439"/>
      <c r="AQ1032" s="2440"/>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075" t="s">
        <v>1927</v>
      </c>
      <c r="C1034" s="2075"/>
      <c r="D1034" s="2075"/>
      <c r="E1034" s="2075"/>
      <c r="F1034" s="2075"/>
      <c r="G1034" s="2075"/>
      <c r="H1034" s="2075"/>
      <c r="I1034" s="2075"/>
      <c r="J1034" s="2075"/>
      <c r="K1034" s="2075"/>
      <c r="L1034" s="2075"/>
      <c r="M1034" s="2075"/>
      <c r="N1034" s="2075"/>
      <c r="O1034" s="2075"/>
      <c r="P1034" s="2075"/>
      <c r="Q1034" s="2075"/>
      <c r="R1034" s="2075"/>
      <c r="S1034" s="2075"/>
      <c r="T1034" s="2075"/>
      <c r="U1034" s="2075"/>
      <c r="V1034" s="2075"/>
      <c r="W1034" s="2075"/>
      <c r="X1034" s="2075"/>
      <c r="Y1034" s="2075"/>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1"/>
      <c r="Y1035" s="2351"/>
      <c r="Z1035" s="2351"/>
      <c r="AA1035" s="2351"/>
      <c r="AB1035" s="2351"/>
      <c r="AC1035" s="2351"/>
      <c r="AD1035" s="2095">
        <f>R971</f>
        <v>387200</v>
      </c>
      <c r="AE1035" s="2096"/>
      <c r="AF1035" s="2096"/>
      <c r="AG1035" s="2096"/>
      <c r="AH1035" s="2096"/>
      <c r="AI1035" s="2096"/>
      <c r="AJ1035" s="2096"/>
      <c r="AK1035" s="2096"/>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2"/>
      <c r="Y1036" s="2352"/>
      <c r="Z1036" s="2352"/>
      <c r="AA1036" s="2352"/>
      <c r="AB1036" s="2352"/>
      <c r="AC1036" s="2352"/>
      <c r="AD1036" s="2115">
        <f>MEDIAN((BR809:BR866))</f>
        <v>388000</v>
      </c>
      <c r="AE1036" s="2115"/>
      <c r="AF1036" s="2115"/>
      <c r="AG1036" s="2115"/>
      <c r="AH1036" s="2115"/>
      <c r="AI1036" s="2115"/>
      <c r="AJ1036" s="2115"/>
      <c r="AK1036" s="2115"/>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097" t="s">
        <v>1929</v>
      </c>
      <c r="C1037" s="2097"/>
      <c r="D1037" s="2097"/>
      <c r="E1037" s="2097"/>
      <c r="F1037" s="2097"/>
      <c r="G1037" s="2097"/>
      <c r="H1037" s="2097"/>
      <c r="I1037" s="2097"/>
      <c r="J1037" s="2097"/>
      <c r="K1037" s="2097"/>
      <c r="L1037" s="2097"/>
      <c r="M1037" s="2097"/>
      <c r="N1037" s="2097"/>
      <c r="O1037" s="2097"/>
      <c r="P1037" s="2097"/>
      <c r="Q1037" s="2097"/>
      <c r="R1037" s="2097"/>
      <c r="S1037" s="2097"/>
      <c r="T1037" s="2097"/>
      <c r="U1037" s="2097"/>
      <c r="V1037" s="2097"/>
      <c r="W1037" s="2097"/>
      <c r="X1037" s="2097"/>
      <c r="Y1037" s="2097"/>
      <c r="Z1037" s="1413"/>
      <c r="AA1037" s="1413"/>
      <c r="AB1037" s="1413"/>
      <c r="AC1037" s="1413"/>
      <c r="AD1037" s="2092">
        <f>IF(((AD1035-AD1036)/AD1036)&gt;0.3,0.3,((AD1035-AD1036)/AD1036))</f>
        <v>-2.0618556701030928E-3</v>
      </c>
      <c r="AE1037" s="2093"/>
      <c r="AF1037" s="2093"/>
      <c r="AG1037" s="2093"/>
      <c r="AH1037" s="2093"/>
      <c r="AI1037" s="2093"/>
      <c r="AJ1037" s="2093"/>
      <c r="AK1037" s="2094"/>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01" t="s">
        <v>851</v>
      </c>
      <c r="B1040" s="2301"/>
      <c r="C1040" s="2301"/>
      <c r="D1040" s="2301"/>
      <c r="E1040" s="2301"/>
      <c r="F1040" s="2301"/>
      <c r="G1040" s="2301"/>
      <c r="H1040" s="2301"/>
      <c r="I1040" s="2301"/>
      <c r="J1040" s="2301"/>
      <c r="K1040" s="2301"/>
      <c r="L1040" s="2301"/>
      <c r="M1040" s="2301"/>
      <c r="N1040" s="2301"/>
      <c r="O1040" s="2301"/>
      <c r="P1040" s="2301"/>
      <c r="Q1040" s="2301"/>
      <c r="R1040" s="2301"/>
      <c r="S1040" s="2301"/>
      <c r="T1040" s="2301"/>
      <c r="U1040" s="2301"/>
      <c r="V1040" s="2301"/>
      <c r="W1040" s="2301"/>
      <c r="X1040" s="2301"/>
      <c r="Y1040" s="2301"/>
      <c r="Z1040" s="2301"/>
      <c r="AA1040" s="2301"/>
      <c r="AB1040" s="2301"/>
      <c r="AC1040" s="2301"/>
      <c r="AD1040" s="2301"/>
      <c r="AE1040" s="2301"/>
      <c r="AF1040" s="2301"/>
      <c r="AG1040" s="2301"/>
      <c r="AH1040" s="2301"/>
      <c r="AI1040" s="2301"/>
      <c r="AJ1040" s="2301"/>
      <c r="AK1040" s="2301"/>
      <c r="AL1040" s="230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625</v>
      </c>
      <c r="B1044" s="1999"/>
      <c r="C1044" s="13">
        <v>1</v>
      </c>
      <c r="D1044" s="1828" t="s">
        <v>1219</v>
      </c>
      <c r="E1044" s="1828"/>
      <c r="F1044" s="1828"/>
      <c r="G1044" s="1828"/>
      <c r="H1044" s="1828"/>
      <c r="I1044" s="1828"/>
      <c r="J1044" s="1828"/>
      <c r="K1044" s="1828"/>
      <c r="L1044" s="1828"/>
      <c r="M1044" s="1828"/>
      <c r="N1044" s="1828"/>
      <c r="O1044" s="1828"/>
      <c r="P1044" s="1828"/>
      <c r="Q1044" s="1828"/>
      <c r="R1044" s="1828"/>
      <c r="S1044" s="1828"/>
      <c r="T1044" s="1828"/>
      <c r="U1044" s="1828"/>
      <c r="V1044" s="1828"/>
      <c r="W1044" s="1828"/>
      <c r="X1044" s="1828"/>
      <c r="Y1044" s="1828"/>
      <c r="Z1044" s="1828"/>
      <c r="AA1044" s="1828"/>
      <c r="AB1044" s="1828"/>
      <c r="AC1044" s="1828"/>
      <c r="AD1044" s="1828"/>
      <c r="AE1044" s="1828"/>
      <c r="AF1044" s="1828"/>
      <c r="AG1044" s="1828"/>
      <c r="AH1044" s="1828"/>
      <c r="AI1044" s="1828"/>
      <c r="AJ1044" s="1828"/>
      <c r="AK1044" s="1828"/>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28"/>
      <c r="E1045" s="1828"/>
      <c r="F1045" s="1828"/>
      <c r="G1045" s="1828"/>
      <c r="H1045" s="1828"/>
      <c r="I1045" s="1828"/>
      <c r="J1045" s="1828"/>
      <c r="K1045" s="1828"/>
      <c r="L1045" s="1828"/>
      <c r="M1045" s="1828"/>
      <c r="N1045" s="1828"/>
      <c r="O1045" s="1828"/>
      <c r="P1045" s="1828"/>
      <c r="Q1045" s="1828"/>
      <c r="R1045" s="1828"/>
      <c r="S1045" s="1828"/>
      <c r="T1045" s="1828"/>
      <c r="U1045" s="1828"/>
      <c r="V1045" s="1828"/>
      <c r="W1045" s="1828"/>
      <c r="X1045" s="1828"/>
      <c r="Y1045" s="1828"/>
      <c r="Z1045" s="1828"/>
      <c r="AA1045" s="1828"/>
      <c r="AB1045" s="1828"/>
      <c r="AC1045" s="1828"/>
      <c r="AD1045" s="1828"/>
      <c r="AE1045" s="1828"/>
      <c r="AF1045" s="1828"/>
      <c r="AG1045" s="1828"/>
      <c r="AH1045" s="1828"/>
      <c r="AI1045" s="1828"/>
      <c r="AJ1045" s="1828"/>
      <c r="AK1045" s="1828"/>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28"/>
      <c r="E1046" s="1828"/>
      <c r="F1046" s="1828"/>
      <c r="G1046" s="1828"/>
      <c r="H1046" s="1828"/>
      <c r="I1046" s="1828"/>
      <c r="J1046" s="1828"/>
      <c r="K1046" s="1828"/>
      <c r="L1046" s="1828"/>
      <c r="M1046" s="1828"/>
      <c r="N1046" s="1828"/>
      <c r="O1046" s="1828"/>
      <c r="P1046" s="1828"/>
      <c r="Q1046" s="1828"/>
      <c r="R1046" s="1828"/>
      <c r="S1046" s="1828"/>
      <c r="T1046" s="1828"/>
      <c r="U1046" s="1828"/>
      <c r="V1046" s="1828"/>
      <c r="W1046" s="1828"/>
      <c r="X1046" s="1828"/>
      <c r="Y1046" s="1828"/>
      <c r="Z1046" s="1828"/>
      <c r="AA1046" s="1828"/>
      <c r="AB1046" s="1828"/>
      <c r="AC1046" s="1828"/>
      <c r="AD1046" s="1828"/>
      <c r="AE1046" s="1828"/>
      <c r="AF1046" s="1828"/>
      <c r="AG1046" s="1828"/>
      <c r="AH1046" s="1828"/>
      <c r="AI1046" s="1828"/>
      <c r="AJ1046" s="1828"/>
      <c r="AK1046" s="1828"/>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28"/>
      <c r="E1047" s="1828"/>
      <c r="F1047" s="1828"/>
      <c r="G1047" s="1828"/>
      <c r="H1047" s="1828"/>
      <c r="I1047" s="1828"/>
      <c r="J1047" s="1828"/>
      <c r="K1047" s="1828"/>
      <c r="L1047" s="1828"/>
      <c r="M1047" s="1828"/>
      <c r="N1047" s="1828"/>
      <c r="O1047" s="1828"/>
      <c r="P1047" s="1828"/>
      <c r="Q1047" s="1828"/>
      <c r="R1047" s="1828"/>
      <c r="S1047" s="1828"/>
      <c r="T1047" s="1828"/>
      <c r="U1047" s="1828"/>
      <c r="V1047" s="1828"/>
      <c r="W1047" s="1828"/>
      <c r="X1047" s="1828"/>
      <c r="Y1047" s="1828"/>
      <c r="Z1047" s="1828"/>
      <c r="AA1047" s="1828"/>
      <c r="AB1047" s="1828"/>
      <c r="AC1047" s="1828"/>
      <c r="AD1047" s="1828"/>
      <c r="AE1047" s="1828"/>
      <c r="AF1047" s="1828"/>
      <c r="AG1047" s="1828"/>
      <c r="AH1047" s="1828"/>
      <c r="AI1047" s="1828"/>
      <c r="AJ1047" s="1828"/>
      <c r="AK1047" s="1828"/>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28"/>
      <c r="E1048" s="1828"/>
      <c r="F1048" s="1828"/>
      <c r="G1048" s="1828"/>
      <c r="H1048" s="1828"/>
      <c r="I1048" s="1828"/>
      <c r="J1048" s="1828"/>
      <c r="K1048" s="1828"/>
      <c r="L1048" s="1828"/>
      <c r="M1048" s="1828"/>
      <c r="N1048" s="1828"/>
      <c r="O1048" s="1828"/>
      <c r="P1048" s="1828"/>
      <c r="Q1048" s="1828"/>
      <c r="R1048" s="1828"/>
      <c r="S1048" s="1828"/>
      <c r="T1048" s="1828"/>
      <c r="U1048" s="1828"/>
      <c r="V1048" s="1828"/>
      <c r="W1048" s="1828"/>
      <c r="X1048" s="1828"/>
      <c r="Y1048" s="1828"/>
      <c r="Z1048" s="1828"/>
      <c r="AA1048" s="1828"/>
      <c r="AB1048" s="1828"/>
      <c r="AC1048" s="1828"/>
      <c r="AD1048" s="1828"/>
      <c r="AE1048" s="1828"/>
      <c r="AF1048" s="1828"/>
      <c r="AG1048" s="1828"/>
      <c r="AH1048" s="1828"/>
      <c r="AI1048" s="1828"/>
      <c r="AJ1048" s="1828"/>
      <c r="AK1048" s="1828"/>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28"/>
      <c r="E1049" s="1828"/>
      <c r="F1049" s="1828"/>
      <c r="G1049" s="1828"/>
      <c r="H1049" s="1828"/>
      <c r="I1049" s="1828"/>
      <c r="J1049" s="1828"/>
      <c r="K1049" s="1828"/>
      <c r="L1049" s="1828"/>
      <c r="M1049" s="1828"/>
      <c r="N1049" s="1828"/>
      <c r="O1049" s="1828"/>
      <c r="P1049" s="1828"/>
      <c r="Q1049" s="1828"/>
      <c r="R1049" s="1828"/>
      <c r="S1049" s="1828"/>
      <c r="T1049" s="1828"/>
      <c r="U1049" s="1828"/>
      <c r="V1049" s="1828"/>
      <c r="W1049" s="1828"/>
      <c r="X1049" s="1828"/>
      <c r="Y1049" s="1828"/>
      <c r="Z1049" s="1828"/>
      <c r="AA1049" s="1828"/>
      <c r="AB1049" s="1828"/>
      <c r="AC1049" s="1828"/>
      <c r="AD1049" s="1828"/>
      <c r="AE1049" s="1828"/>
      <c r="AF1049" s="1828"/>
      <c r="AG1049" s="1828"/>
      <c r="AH1049" s="1828"/>
      <c r="AI1049" s="1828"/>
      <c r="AJ1049" s="1828"/>
      <c r="AK1049" s="1828"/>
      <c r="AL1049" s="105"/>
      <c r="AM1049" s="1488"/>
      <c r="AN1049" s="1488"/>
      <c r="AO1049" s="1488"/>
      <c r="AP1049" s="1488"/>
      <c r="AQ1049" s="1488"/>
      <c r="AR1049" s="1488"/>
      <c r="AS1049" s="1488"/>
      <c r="AT1049" s="1488"/>
      <c r="AU1049" s="1488"/>
      <c r="AV1049" s="1488"/>
      <c r="AW1049" s="1488"/>
      <c r="AX1049" s="1488"/>
      <c r="AY1049" s="1488"/>
    </row>
    <row r="1050" spans="1:51" ht="12.6" customHeight="1">
      <c r="A1050" s="1999" t="s">
        <v>625</v>
      </c>
      <c r="B1050" s="1999"/>
      <c r="C1050" s="13">
        <v>2</v>
      </c>
      <c r="D1050" s="1828" t="s">
        <v>1218</v>
      </c>
      <c r="E1050" s="1828"/>
      <c r="F1050" s="1828"/>
      <c r="G1050" s="1828"/>
      <c r="H1050" s="1828"/>
      <c r="I1050" s="1828"/>
      <c r="J1050" s="1828"/>
      <c r="K1050" s="1828"/>
      <c r="L1050" s="1828"/>
      <c r="M1050" s="1828"/>
      <c r="N1050" s="1828"/>
      <c r="O1050" s="1828"/>
      <c r="P1050" s="1828"/>
      <c r="Q1050" s="1828"/>
      <c r="R1050" s="1828"/>
      <c r="S1050" s="1828"/>
      <c r="T1050" s="1828"/>
      <c r="U1050" s="1828"/>
      <c r="V1050" s="1828"/>
      <c r="W1050" s="1828"/>
      <c r="X1050" s="1828"/>
      <c r="Y1050" s="1828"/>
      <c r="Z1050" s="1828"/>
      <c r="AA1050" s="1828"/>
      <c r="AB1050" s="1828"/>
      <c r="AC1050" s="1828"/>
      <c r="AD1050" s="1828"/>
      <c r="AE1050" s="1828"/>
      <c r="AF1050" s="1828"/>
      <c r="AG1050" s="1828"/>
      <c r="AH1050" s="1828"/>
      <c r="AI1050" s="1828"/>
      <c r="AJ1050" s="1828"/>
      <c r="AK1050" s="1828"/>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28"/>
      <c r="E1051" s="1828"/>
      <c r="F1051" s="1828"/>
      <c r="G1051" s="1828"/>
      <c r="H1051" s="1828"/>
      <c r="I1051" s="1828"/>
      <c r="J1051" s="1828"/>
      <c r="K1051" s="1828"/>
      <c r="L1051" s="1828"/>
      <c r="M1051" s="1828"/>
      <c r="N1051" s="1828"/>
      <c r="O1051" s="1828"/>
      <c r="P1051" s="1828"/>
      <c r="Q1051" s="1828"/>
      <c r="R1051" s="1828"/>
      <c r="S1051" s="1828"/>
      <c r="T1051" s="1828"/>
      <c r="U1051" s="1828"/>
      <c r="V1051" s="1828"/>
      <c r="W1051" s="1828"/>
      <c r="X1051" s="1828"/>
      <c r="Y1051" s="1828"/>
      <c r="Z1051" s="1828"/>
      <c r="AA1051" s="1828"/>
      <c r="AB1051" s="1828"/>
      <c r="AC1051" s="1828"/>
      <c r="AD1051" s="1828"/>
      <c r="AE1051" s="1828"/>
      <c r="AF1051" s="1828"/>
      <c r="AG1051" s="1828"/>
      <c r="AH1051" s="1828"/>
      <c r="AI1051" s="1828"/>
      <c r="AJ1051" s="1828"/>
      <c r="AK1051" s="1828"/>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28"/>
      <c r="E1052" s="1828"/>
      <c r="F1052" s="1828"/>
      <c r="G1052" s="1828"/>
      <c r="H1052" s="1828"/>
      <c r="I1052" s="1828"/>
      <c r="J1052" s="1828"/>
      <c r="K1052" s="1828"/>
      <c r="L1052" s="1828"/>
      <c r="M1052" s="1828"/>
      <c r="N1052" s="1828"/>
      <c r="O1052" s="1828"/>
      <c r="P1052" s="1828"/>
      <c r="Q1052" s="1828"/>
      <c r="R1052" s="1828"/>
      <c r="S1052" s="1828"/>
      <c r="T1052" s="1828"/>
      <c r="U1052" s="1828"/>
      <c r="V1052" s="1828"/>
      <c r="W1052" s="1828"/>
      <c r="X1052" s="1828"/>
      <c r="Y1052" s="1828"/>
      <c r="Z1052" s="1828"/>
      <c r="AA1052" s="1828"/>
      <c r="AB1052" s="1828"/>
      <c r="AC1052" s="1828"/>
      <c r="AD1052" s="1828"/>
      <c r="AE1052" s="1828"/>
      <c r="AF1052" s="1828"/>
      <c r="AG1052" s="1828"/>
      <c r="AH1052" s="1828"/>
      <c r="AI1052" s="1828"/>
      <c r="AJ1052" s="1828"/>
      <c r="AK1052" s="1828"/>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28"/>
      <c r="E1053" s="1828"/>
      <c r="F1053" s="1828"/>
      <c r="G1053" s="1828"/>
      <c r="H1053" s="1828"/>
      <c r="I1053" s="1828"/>
      <c r="J1053" s="1828"/>
      <c r="K1053" s="1828"/>
      <c r="L1053" s="1828"/>
      <c r="M1053" s="1828"/>
      <c r="N1053" s="1828"/>
      <c r="O1053" s="1828"/>
      <c r="P1053" s="1828"/>
      <c r="Q1053" s="1828"/>
      <c r="R1053" s="1828"/>
      <c r="S1053" s="1828"/>
      <c r="T1053" s="1828"/>
      <c r="U1053" s="1828"/>
      <c r="V1053" s="1828"/>
      <c r="W1053" s="1828"/>
      <c r="X1053" s="1828"/>
      <c r="Y1053" s="1828"/>
      <c r="Z1053" s="1828"/>
      <c r="AA1053" s="1828"/>
      <c r="AB1053" s="1828"/>
      <c r="AC1053" s="1828"/>
      <c r="AD1053" s="1828"/>
      <c r="AE1053" s="1828"/>
      <c r="AF1053" s="1828"/>
      <c r="AG1053" s="1828"/>
      <c r="AH1053" s="1828"/>
      <c r="AI1053" s="1828"/>
      <c r="AJ1053" s="1828"/>
      <c r="AK1053" s="1828"/>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28"/>
      <c r="E1054" s="1828"/>
      <c r="F1054" s="1828"/>
      <c r="G1054" s="1828"/>
      <c r="H1054" s="1828"/>
      <c r="I1054" s="1828"/>
      <c r="J1054" s="1828"/>
      <c r="K1054" s="1828"/>
      <c r="L1054" s="1828"/>
      <c r="M1054" s="1828"/>
      <c r="N1054" s="1828"/>
      <c r="O1054" s="1828"/>
      <c r="P1054" s="1828"/>
      <c r="Q1054" s="1828"/>
      <c r="R1054" s="1828"/>
      <c r="S1054" s="1828"/>
      <c r="T1054" s="1828"/>
      <c r="U1054" s="1828"/>
      <c r="V1054" s="1828"/>
      <c r="W1054" s="1828"/>
      <c r="X1054" s="1828"/>
      <c r="Y1054" s="1828"/>
      <c r="Z1054" s="1828"/>
      <c r="AA1054" s="1828"/>
      <c r="AB1054" s="1828"/>
      <c r="AC1054" s="1828"/>
      <c r="AD1054" s="1828"/>
      <c r="AE1054" s="1828"/>
      <c r="AF1054" s="1828"/>
      <c r="AG1054" s="1828"/>
      <c r="AH1054" s="1828"/>
      <c r="AI1054" s="1828"/>
      <c r="AJ1054" s="1828"/>
      <c r="AK1054" s="1828"/>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28"/>
      <c r="E1055" s="1828"/>
      <c r="F1055" s="1828"/>
      <c r="G1055" s="1828"/>
      <c r="H1055" s="1828"/>
      <c r="I1055" s="1828"/>
      <c r="J1055" s="1828"/>
      <c r="K1055" s="1828"/>
      <c r="L1055" s="1828"/>
      <c r="M1055" s="1828"/>
      <c r="N1055" s="1828"/>
      <c r="O1055" s="1828"/>
      <c r="P1055" s="1828"/>
      <c r="Q1055" s="1828"/>
      <c r="R1055" s="1828"/>
      <c r="S1055" s="1828"/>
      <c r="T1055" s="1828"/>
      <c r="U1055" s="1828"/>
      <c r="V1055" s="1828"/>
      <c r="W1055" s="1828"/>
      <c r="X1055" s="1828"/>
      <c r="Y1055" s="1828"/>
      <c r="Z1055" s="1828"/>
      <c r="AA1055" s="1828"/>
      <c r="AB1055" s="1828"/>
      <c r="AC1055" s="1828"/>
      <c r="AD1055" s="1828"/>
      <c r="AE1055" s="1828"/>
      <c r="AF1055" s="1828"/>
      <c r="AG1055" s="1828"/>
      <c r="AH1055" s="1828"/>
      <c r="AI1055" s="1828"/>
      <c r="AJ1055" s="1828"/>
      <c r="AK1055" s="1828"/>
    </row>
    <row r="1056" spans="1:51" ht="12.6" customHeight="1">
      <c r="A1056" s="1999" t="s">
        <v>625</v>
      </c>
      <c r="B1056" s="1999"/>
      <c r="C1056" s="13">
        <v>3</v>
      </c>
      <c r="D1056" s="1828" t="s">
        <v>1523</v>
      </c>
      <c r="E1056" s="1828"/>
      <c r="F1056" s="1828"/>
      <c r="G1056" s="1828"/>
      <c r="H1056" s="1828"/>
      <c r="I1056" s="1828"/>
      <c r="J1056" s="1828"/>
      <c r="K1056" s="1828"/>
      <c r="L1056" s="1828"/>
      <c r="M1056" s="1828"/>
      <c r="N1056" s="1828"/>
      <c r="O1056" s="1828"/>
      <c r="P1056" s="1828"/>
      <c r="Q1056" s="1828"/>
      <c r="R1056" s="1828"/>
      <c r="S1056" s="1828"/>
      <c r="T1056" s="1828"/>
      <c r="U1056" s="1828"/>
      <c r="V1056" s="1828"/>
      <c r="W1056" s="1828"/>
      <c r="X1056" s="1828"/>
      <c r="Y1056" s="1828"/>
      <c r="Z1056" s="1828"/>
      <c r="AA1056" s="1828"/>
      <c r="AB1056" s="1828"/>
      <c r="AC1056" s="1828"/>
      <c r="AD1056" s="1828"/>
      <c r="AE1056" s="1828"/>
      <c r="AF1056" s="1828"/>
      <c r="AG1056" s="1828"/>
      <c r="AH1056" s="1828"/>
      <c r="AI1056" s="1828"/>
      <c r="AJ1056" s="1828"/>
      <c r="AK1056" s="1828"/>
    </row>
    <row r="1057" spans="1:96" ht="12.6" customHeight="1">
      <c r="A1057" s="130"/>
      <c r="B1057" s="130"/>
      <c r="C1057" s="13"/>
      <c r="D1057" s="1828"/>
      <c r="E1057" s="1828"/>
      <c r="F1057" s="1828"/>
      <c r="G1057" s="1828"/>
      <c r="H1057" s="1828"/>
      <c r="I1057" s="1828"/>
      <c r="J1057" s="1828"/>
      <c r="K1057" s="1828"/>
      <c r="L1057" s="1828"/>
      <c r="M1057" s="1828"/>
      <c r="N1057" s="1828"/>
      <c r="O1057" s="1828"/>
      <c r="P1057" s="1828"/>
      <c r="Q1057" s="1828"/>
      <c r="R1057" s="1828"/>
      <c r="S1057" s="1828"/>
      <c r="T1057" s="1828"/>
      <c r="U1057" s="1828"/>
      <c r="V1057" s="1828"/>
      <c r="W1057" s="1828"/>
      <c r="X1057" s="1828"/>
      <c r="Y1057" s="1828"/>
      <c r="Z1057" s="1828"/>
      <c r="AA1057" s="1828"/>
      <c r="AB1057" s="1828"/>
      <c r="AC1057" s="1828"/>
      <c r="AD1057" s="1828"/>
      <c r="AE1057" s="1828"/>
      <c r="AF1057" s="1828"/>
      <c r="AG1057" s="1828"/>
      <c r="AH1057" s="1828"/>
      <c r="AI1057" s="1828"/>
      <c r="AJ1057" s="1828"/>
      <c r="AK1057" s="1828"/>
      <c r="AL1057" s="717"/>
    </row>
    <row r="1058" spans="1:96" ht="12.6" customHeight="1">
      <c r="A1058" s="130"/>
      <c r="B1058" s="130"/>
      <c r="C1058" s="13"/>
      <c r="D1058" s="1828"/>
      <c r="E1058" s="1828"/>
      <c r="F1058" s="1828"/>
      <c r="G1058" s="1828"/>
      <c r="H1058" s="1828"/>
      <c r="I1058" s="1828"/>
      <c r="J1058" s="1828"/>
      <c r="K1058" s="1828"/>
      <c r="L1058" s="1828"/>
      <c r="M1058" s="1828"/>
      <c r="N1058" s="1828"/>
      <c r="O1058" s="1828"/>
      <c r="P1058" s="1828"/>
      <c r="Q1058" s="1828"/>
      <c r="R1058" s="1828"/>
      <c r="S1058" s="1828"/>
      <c r="T1058" s="1828"/>
      <c r="U1058" s="1828"/>
      <c r="V1058" s="1828"/>
      <c r="W1058" s="1828"/>
      <c r="X1058" s="1828"/>
      <c r="Y1058" s="1828"/>
      <c r="Z1058" s="1828"/>
      <c r="AA1058" s="1828"/>
      <c r="AB1058" s="1828"/>
      <c r="AC1058" s="1828"/>
      <c r="AD1058" s="1828"/>
      <c r="AE1058" s="1828"/>
      <c r="AF1058" s="1828"/>
      <c r="AG1058" s="1828"/>
      <c r="AH1058" s="1828"/>
      <c r="AI1058" s="1828"/>
      <c r="AJ1058" s="1828"/>
      <c r="AK1058" s="1828"/>
    </row>
    <row r="1059" spans="1:96" s="717" customFormat="1" ht="12.6" customHeight="1">
      <c r="A1059" s="62"/>
      <c r="B1059" s="66"/>
      <c r="C1059" s="13"/>
      <c r="D1059" s="1828"/>
      <c r="E1059" s="1828"/>
      <c r="F1059" s="1828"/>
      <c r="G1059" s="1828"/>
      <c r="H1059" s="1828"/>
      <c r="I1059" s="1828"/>
      <c r="J1059" s="1828"/>
      <c r="K1059" s="1828"/>
      <c r="L1059" s="1828"/>
      <c r="M1059" s="1828"/>
      <c r="N1059" s="1828"/>
      <c r="O1059" s="1828"/>
      <c r="P1059" s="1828"/>
      <c r="Q1059" s="1828"/>
      <c r="R1059" s="1828"/>
      <c r="S1059" s="1828"/>
      <c r="T1059" s="1828"/>
      <c r="U1059" s="1828"/>
      <c r="V1059" s="1828"/>
      <c r="W1059" s="1828"/>
      <c r="X1059" s="1828"/>
      <c r="Y1059" s="1828"/>
      <c r="Z1059" s="1828"/>
      <c r="AA1059" s="1828"/>
      <c r="AB1059" s="1828"/>
      <c r="AC1059" s="1828"/>
      <c r="AD1059" s="1828"/>
      <c r="AE1059" s="1828"/>
      <c r="AF1059" s="1828"/>
      <c r="AG1059" s="1828"/>
      <c r="AH1059" s="1828"/>
      <c r="AI1059" s="1828"/>
      <c r="AJ1059" s="1828"/>
      <c r="AK1059" s="182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28"/>
      <c r="E1060" s="1828"/>
      <c r="F1060" s="1828"/>
      <c r="G1060" s="1828"/>
      <c r="H1060" s="1828"/>
      <c r="I1060" s="1828"/>
      <c r="J1060" s="1828"/>
      <c r="K1060" s="1828"/>
      <c r="L1060" s="1828"/>
      <c r="M1060" s="1828"/>
      <c r="N1060" s="1828"/>
      <c r="O1060" s="1828"/>
      <c r="P1060" s="1828"/>
      <c r="Q1060" s="1828"/>
      <c r="R1060" s="1828"/>
      <c r="S1060" s="1828"/>
      <c r="T1060" s="1828"/>
      <c r="U1060" s="1828"/>
      <c r="V1060" s="1828"/>
      <c r="W1060" s="1828"/>
      <c r="X1060" s="1828"/>
      <c r="Y1060" s="1828"/>
      <c r="Z1060" s="1828"/>
      <c r="AA1060" s="1828"/>
      <c r="AB1060" s="1828"/>
      <c r="AC1060" s="1828"/>
      <c r="AD1060" s="1828"/>
      <c r="AE1060" s="1828"/>
      <c r="AF1060" s="1828"/>
      <c r="AG1060" s="1828"/>
      <c r="AH1060" s="1828"/>
      <c r="AI1060" s="1828"/>
      <c r="AJ1060" s="1828"/>
      <c r="AK1060" s="1828"/>
    </row>
    <row r="1061" spans="1:96" ht="12.6" customHeight="1">
      <c r="A1061" s="62"/>
      <c r="B1061" s="66"/>
      <c r="C1061" s="13"/>
      <c r="D1061" s="1828"/>
      <c r="E1061" s="1828"/>
      <c r="F1061" s="1828"/>
      <c r="G1061" s="1828"/>
      <c r="H1061" s="1828"/>
      <c r="I1061" s="1828"/>
      <c r="J1061" s="1828"/>
      <c r="K1061" s="1828"/>
      <c r="L1061" s="1828"/>
      <c r="M1061" s="1828"/>
      <c r="N1061" s="1828"/>
      <c r="O1061" s="1828"/>
      <c r="P1061" s="1828"/>
      <c r="Q1061" s="1828"/>
      <c r="R1061" s="1828"/>
      <c r="S1061" s="1828"/>
      <c r="T1061" s="1828"/>
      <c r="U1061" s="1828"/>
      <c r="V1061" s="1828"/>
      <c r="W1061" s="1828"/>
      <c r="X1061" s="1828"/>
      <c r="Y1061" s="1828"/>
      <c r="Z1061" s="1828"/>
      <c r="AA1061" s="1828"/>
      <c r="AB1061" s="1828"/>
      <c r="AC1061" s="1828"/>
      <c r="AD1061" s="1828"/>
      <c r="AE1061" s="1828"/>
      <c r="AF1061" s="1828"/>
      <c r="AG1061" s="1828"/>
      <c r="AH1061" s="1828"/>
      <c r="AI1061" s="1828"/>
      <c r="AJ1061" s="1828"/>
      <c r="AK1061" s="1828"/>
    </row>
    <row r="1062" spans="1:96" ht="12.6" customHeight="1">
      <c r="A1062" s="62"/>
      <c r="B1062" s="66"/>
      <c r="C1062" s="13"/>
      <c r="D1062" s="1828"/>
      <c r="E1062" s="1828"/>
      <c r="F1062" s="1828"/>
      <c r="G1062" s="1828"/>
      <c r="H1062" s="1828"/>
      <c r="I1062" s="1828"/>
      <c r="J1062" s="1828"/>
      <c r="K1062" s="1828"/>
      <c r="L1062" s="1828"/>
      <c r="M1062" s="1828"/>
      <c r="N1062" s="1828"/>
      <c r="O1062" s="1828"/>
      <c r="P1062" s="1828"/>
      <c r="Q1062" s="1828"/>
      <c r="R1062" s="1828"/>
      <c r="S1062" s="1828"/>
      <c r="T1062" s="1828"/>
      <c r="U1062" s="1828"/>
      <c r="V1062" s="1828"/>
      <c r="W1062" s="1828"/>
      <c r="X1062" s="1828"/>
      <c r="Y1062" s="1828"/>
      <c r="Z1062" s="1828"/>
      <c r="AA1062" s="1828"/>
      <c r="AB1062" s="1828"/>
      <c r="AC1062" s="1828"/>
      <c r="AD1062" s="1828"/>
      <c r="AE1062" s="1828"/>
      <c r="AF1062" s="1828"/>
      <c r="AG1062" s="1828"/>
      <c r="AH1062" s="1828"/>
      <c r="AI1062" s="1828"/>
      <c r="AJ1062" s="1828"/>
      <c r="AK1062" s="1828"/>
    </row>
    <row r="1063" spans="1:96" ht="12.6" customHeight="1">
      <c r="A1063" s="1999" t="s">
        <v>625</v>
      </c>
      <c r="B1063" s="1999"/>
      <c r="C1063" s="13">
        <v>4</v>
      </c>
      <c r="D1063" s="1828" t="s">
        <v>1204</v>
      </c>
      <c r="E1063" s="1828"/>
      <c r="F1063" s="1828"/>
      <c r="G1063" s="1828"/>
      <c r="H1063" s="1828"/>
      <c r="I1063" s="1828"/>
      <c r="J1063" s="1828"/>
      <c r="K1063" s="1828"/>
      <c r="L1063" s="1828"/>
      <c r="M1063" s="1828"/>
      <c r="N1063" s="1828"/>
      <c r="O1063" s="1828"/>
      <c r="P1063" s="1828"/>
      <c r="Q1063" s="1828"/>
      <c r="R1063" s="1828"/>
      <c r="S1063" s="1828"/>
      <c r="T1063" s="1828"/>
      <c r="U1063" s="1828"/>
      <c r="V1063" s="1828"/>
      <c r="W1063" s="1828"/>
      <c r="X1063" s="1828"/>
      <c r="Y1063" s="1828"/>
      <c r="Z1063" s="1828"/>
      <c r="AA1063" s="1828"/>
      <c r="AB1063" s="1828"/>
      <c r="AC1063" s="1828"/>
      <c r="AD1063" s="1828"/>
      <c r="AE1063" s="1828"/>
      <c r="AF1063" s="1828"/>
      <c r="AG1063" s="1828"/>
      <c r="AH1063" s="1828"/>
      <c r="AI1063" s="1828"/>
      <c r="AJ1063" s="1828"/>
      <c r="AK1063" s="1828"/>
    </row>
    <row r="1064" spans="1:96" ht="12.6" customHeight="1">
      <c r="A1064" s="235"/>
      <c r="B1064" s="235"/>
      <c r="C1064" s="13"/>
      <c r="D1064" s="1828"/>
      <c r="E1064" s="1828"/>
      <c r="F1064" s="1828"/>
      <c r="G1064" s="1828"/>
      <c r="H1064" s="1828"/>
      <c r="I1064" s="1828"/>
      <c r="J1064" s="1828"/>
      <c r="K1064" s="1828"/>
      <c r="L1064" s="1828"/>
      <c r="M1064" s="1828"/>
      <c r="N1064" s="1828"/>
      <c r="O1064" s="1828"/>
      <c r="P1064" s="1828"/>
      <c r="Q1064" s="1828"/>
      <c r="R1064" s="1828"/>
      <c r="S1064" s="1828"/>
      <c r="T1064" s="1828"/>
      <c r="U1064" s="1828"/>
      <c r="V1064" s="1828"/>
      <c r="W1064" s="1828"/>
      <c r="X1064" s="1828"/>
      <c r="Y1064" s="1828"/>
      <c r="Z1064" s="1828"/>
      <c r="AA1064" s="1828"/>
      <c r="AB1064" s="1828"/>
      <c r="AC1064" s="1828"/>
      <c r="AD1064" s="1828"/>
      <c r="AE1064" s="1828"/>
      <c r="AF1064" s="1828"/>
      <c r="AG1064" s="1828"/>
      <c r="AH1064" s="1828"/>
      <c r="AI1064" s="1828"/>
      <c r="AJ1064" s="1828"/>
      <c r="AK1064" s="1828"/>
    </row>
    <row r="1065" spans="1:96" ht="12.6" customHeight="1">
      <c r="A1065" s="62"/>
      <c r="B1065" s="66"/>
      <c r="C1065" s="13"/>
      <c r="D1065" s="1828"/>
      <c r="E1065" s="1828"/>
      <c r="F1065" s="1828"/>
      <c r="G1065" s="1828"/>
      <c r="H1065" s="1828"/>
      <c r="I1065" s="1828"/>
      <c r="J1065" s="1828"/>
      <c r="K1065" s="1828"/>
      <c r="L1065" s="1828"/>
      <c r="M1065" s="1828"/>
      <c r="N1065" s="1828"/>
      <c r="O1065" s="1828"/>
      <c r="P1065" s="1828"/>
      <c r="Q1065" s="1828"/>
      <c r="R1065" s="1828"/>
      <c r="S1065" s="1828"/>
      <c r="T1065" s="1828"/>
      <c r="U1065" s="1828"/>
      <c r="V1065" s="1828"/>
      <c r="W1065" s="1828"/>
      <c r="X1065" s="1828"/>
      <c r="Y1065" s="1828"/>
      <c r="Z1065" s="1828"/>
      <c r="AA1065" s="1828"/>
      <c r="AB1065" s="1828"/>
      <c r="AC1065" s="1828"/>
      <c r="AD1065" s="1828"/>
      <c r="AE1065" s="1828"/>
      <c r="AF1065" s="1828"/>
      <c r="AG1065" s="1828"/>
      <c r="AH1065" s="1828"/>
      <c r="AI1065" s="1828"/>
      <c r="AJ1065" s="1828"/>
      <c r="AK1065" s="1828"/>
    </row>
    <row r="1066" spans="1:96" s="680" customFormat="1" ht="12.6" customHeight="1">
      <c r="A1066" s="1999" t="s">
        <v>625</v>
      </c>
      <c r="B1066" s="1999"/>
      <c r="C1066" s="13">
        <v>5</v>
      </c>
      <c r="D1066" s="1828" t="s">
        <v>1413</v>
      </c>
      <c r="E1066" s="1828"/>
      <c r="F1066" s="1828"/>
      <c r="G1066" s="1828"/>
      <c r="H1066" s="1828"/>
      <c r="I1066" s="1828"/>
      <c r="J1066" s="1828"/>
      <c r="K1066" s="1828"/>
      <c r="L1066" s="1828"/>
      <c r="M1066" s="1828"/>
      <c r="N1066" s="1828"/>
      <c r="O1066" s="1828"/>
      <c r="P1066" s="1828"/>
      <c r="Q1066" s="1828"/>
      <c r="R1066" s="1828"/>
      <c r="S1066" s="1828"/>
      <c r="T1066" s="1828"/>
      <c r="U1066" s="1828"/>
      <c r="V1066" s="1828"/>
      <c r="W1066" s="1828"/>
      <c r="X1066" s="1828"/>
      <c r="Y1066" s="1828"/>
      <c r="Z1066" s="1828"/>
      <c r="AA1066" s="1828"/>
      <c r="AB1066" s="1828"/>
      <c r="AC1066" s="1828"/>
      <c r="AD1066" s="1828"/>
      <c r="AE1066" s="1828"/>
      <c r="AF1066" s="1828"/>
      <c r="AG1066" s="1828"/>
      <c r="AH1066" s="1828"/>
      <c r="AI1066" s="1828"/>
      <c r="AJ1066" s="1828"/>
      <c r="AK1066" s="182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28"/>
      <c r="E1067" s="1828"/>
      <c r="F1067" s="1828"/>
      <c r="G1067" s="1828"/>
      <c r="H1067" s="1828"/>
      <c r="I1067" s="1828"/>
      <c r="J1067" s="1828"/>
      <c r="K1067" s="1828"/>
      <c r="L1067" s="1828"/>
      <c r="M1067" s="1828"/>
      <c r="N1067" s="1828"/>
      <c r="O1067" s="1828"/>
      <c r="P1067" s="1828"/>
      <c r="Q1067" s="1828"/>
      <c r="R1067" s="1828"/>
      <c r="S1067" s="1828"/>
      <c r="T1067" s="1828"/>
      <c r="U1067" s="1828"/>
      <c r="V1067" s="1828"/>
      <c r="W1067" s="1828"/>
      <c r="X1067" s="1828"/>
      <c r="Y1067" s="1828"/>
      <c r="Z1067" s="1828"/>
      <c r="AA1067" s="1828"/>
      <c r="AB1067" s="1828"/>
      <c r="AC1067" s="1828"/>
      <c r="AD1067" s="1828"/>
      <c r="AE1067" s="1828"/>
      <c r="AF1067" s="1828"/>
      <c r="AG1067" s="1828"/>
      <c r="AH1067" s="1828"/>
      <c r="AI1067" s="1828"/>
      <c r="AJ1067" s="1828"/>
      <c r="AK1067" s="1828"/>
    </row>
    <row r="1068" spans="1:96" ht="12.6" customHeight="1">
      <c r="A1068" s="235"/>
      <c r="B1068" s="235"/>
      <c r="C1068" s="13"/>
      <c r="D1068" s="1828"/>
      <c r="E1068" s="1828"/>
      <c r="F1068" s="1828"/>
      <c r="G1068" s="1828"/>
      <c r="H1068" s="1828"/>
      <c r="I1068" s="1828"/>
      <c r="J1068" s="1828"/>
      <c r="K1068" s="1828"/>
      <c r="L1068" s="1828"/>
      <c r="M1068" s="1828"/>
      <c r="N1068" s="1828"/>
      <c r="O1068" s="1828"/>
      <c r="P1068" s="1828"/>
      <c r="Q1068" s="1828"/>
      <c r="R1068" s="1828"/>
      <c r="S1068" s="1828"/>
      <c r="T1068" s="1828"/>
      <c r="U1068" s="1828"/>
      <c r="V1068" s="1828"/>
      <c r="W1068" s="1828"/>
      <c r="X1068" s="1828"/>
      <c r="Y1068" s="1828"/>
      <c r="Z1068" s="1828"/>
      <c r="AA1068" s="1828"/>
      <c r="AB1068" s="1828"/>
      <c r="AC1068" s="1828"/>
      <c r="AD1068" s="1828"/>
      <c r="AE1068" s="1828"/>
      <c r="AF1068" s="1828"/>
      <c r="AG1068" s="1828"/>
      <c r="AH1068" s="1828"/>
      <c r="AI1068" s="1828"/>
      <c r="AJ1068" s="1828"/>
      <c r="AK1068" s="1828"/>
    </row>
    <row r="1069" spans="1:96" ht="12.6" customHeight="1">
      <c r="A1069" s="235"/>
      <c r="B1069" s="235"/>
      <c r="C1069" s="13"/>
      <c r="D1069" s="1828"/>
      <c r="E1069" s="1828"/>
      <c r="F1069" s="1828"/>
      <c r="G1069" s="1828"/>
      <c r="H1069" s="1828"/>
      <c r="I1069" s="1828"/>
      <c r="J1069" s="1828"/>
      <c r="K1069" s="1828"/>
      <c r="L1069" s="1828"/>
      <c r="M1069" s="1828"/>
      <c r="N1069" s="1828"/>
      <c r="O1069" s="1828"/>
      <c r="P1069" s="1828"/>
      <c r="Q1069" s="1828"/>
      <c r="R1069" s="1828"/>
      <c r="S1069" s="1828"/>
      <c r="T1069" s="1828"/>
      <c r="U1069" s="1828"/>
      <c r="V1069" s="1828"/>
      <c r="W1069" s="1828"/>
      <c r="X1069" s="1828"/>
      <c r="Y1069" s="1828"/>
      <c r="Z1069" s="1828"/>
      <c r="AA1069" s="1828"/>
      <c r="AB1069" s="1828"/>
      <c r="AC1069" s="1828"/>
      <c r="AD1069" s="1828"/>
      <c r="AE1069" s="1828"/>
      <c r="AF1069" s="1828"/>
      <c r="AG1069" s="1828"/>
      <c r="AH1069" s="1828"/>
      <c r="AI1069" s="1828"/>
      <c r="AJ1069" s="1828"/>
      <c r="AK1069" s="1828"/>
      <c r="AL1069" s="680"/>
    </row>
    <row r="1070" spans="1:96" ht="12.6" customHeight="1">
      <c r="A1070" s="62"/>
      <c r="B1070" s="66"/>
      <c r="C1070" s="13"/>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row>
    <row r="1071" spans="1:96" ht="12.6" customHeight="1">
      <c r="A1071" s="1999" t="s">
        <v>625</v>
      </c>
      <c r="B1071" s="1999"/>
      <c r="C1071" s="13">
        <v>6</v>
      </c>
      <c r="D1071" s="1828" t="s">
        <v>1205</v>
      </c>
      <c r="E1071" s="1828"/>
      <c r="F1071" s="1828"/>
      <c r="G1071" s="1828"/>
      <c r="H1071" s="1828"/>
      <c r="I1071" s="1828"/>
      <c r="J1071" s="1828"/>
      <c r="K1071" s="1828"/>
      <c r="L1071" s="1828"/>
      <c r="M1071" s="1828"/>
      <c r="N1071" s="1828"/>
      <c r="O1071" s="1828"/>
      <c r="P1071" s="1828"/>
      <c r="Q1071" s="1828"/>
      <c r="R1071" s="1828"/>
      <c r="S1071" s="1828"/>
      <c r="T1071" s="1828"/>
      <c r="U1071" s="1828"/>
      <c r="V1071" s="1828"/>
      <c r="W1071" s="1828"/>
      <c r="X1071" s="1828"/>
      <c r="Y1071" s="1828"/>
      <c r="Z1071" s="1828"/>
      <c r="AA1071" s="1828"/>
      <c r="AB1071" s="1828"/>
      <c r="AC1071" s="1828"/>
      <c r="AD1071" s="1828"/>
      <c r="AE1071" s="1828"/>
      <c r="AF1071" s="1828"/>
      <c r="AG1071" s="1828"/>
      <c r="AH1071" s="1828"/>
      <c r="AI1071" s="1828"/>
      <c r="AJ1071" s="1828"/>
      <c r="AK1071" s="1828"/>
    </row>
    <row r="1072" spans="1:96" ht="12.6" customHeight="1">
      <c r="A1072" s="62"/>
      <c r="B1072" s="317"/>
      <c r="C1072" s="13"/>
      <c r="D1072" s="1828"/>
      <c r="E1072" s="1828"/>
      <c r="F1072" s="1828"/>
      <c r="G1072" s="1828"/>
      <c r="H1072" s="1828"/>
      <c r="I1072" s="1828"/>
      <c r="J1072" s="1828"/>
      <c r="K1072" s="1828"/>
      <c r="L1072" s="1828"/>
      <c r="M1072" s="1828"/>
      <c r="N1072" s="1828"/>
      <c r="O1072" s="1828"/>
      <c r="P1072" s="1828"/>
      <c r="Q1072" s="1828"/>
      <c r="R1072" s="1828"/>
      <c r="S1072" s="1828"/>
      <c r="T1072" s="1828"/>
      <c r="U1072" s="1828"/>
      <c r="V1072" s="1828"/>
      <c r="W1072" s="1828"/>
      <c r="X1072" s="1828"/>
      <c r="Y1072" s="1828"/>
      <c r="Z1072" s="1828"/>
      <c r="AA1072" s="1828"/>
      <c r="AB1072" s="1828"/>
      <c r="AC1072" s="1828"/>
      <c r="AD1072" s="1828"/>
      <c r="AE1072" s="1828"/>
      <c r="AF1072" s="1828"/>
      <c r="AG1072" s="1828"/>
      <c r="AH1072" s="1828"/>
      <c r="AI1072" s="1828"/>
      <c r="AJ1072" s="1828"/>
      <c r="AK1072" s="1828"/>
    </row>
    <row r="1073" spans="1:96" ht="12.6" customHeight="1">
      <c r="A1073" s="62"/>
      <c r="B1073" s="66"/>
      <c r="C1073" s="13"/>
      <c r="D1073" s="1828"/>
      <c r="E1073" s="1828"/>
      <c r="F1073" s="1828"/>
      <c r="G1073" s="1828"/>
      <c r="H1073" s="1828"/>
      <c r="I1073" s="1828"/>
      <c r="J1073" s="1828"/>
      <c r="K1073" s="1828"/>
      <c r="L1073" s="1828"/>
      <c r="M1073" s="1828"/>
      <c r="N1073" s="1828"/>
      <c r="O1073" s="1828"/>
      <c r="P1073" s="1828"/>
      <c r="Q1073" s="1828"/>
      <c r="R1073" s="1828"/>
      <c r="S1073" s="1828"/>
      <c r="T1073" s="1828"/>
      <c r="U1073" s="1828"/>
      <c r="V1073" s="1828"/>
      <c r="W1073" s="1828"/>
      <c r="X1073" s="1828"/>
      <c r="Y1073" s="1828"/>
      <c r="Z1073" s="1828"/>
      <c r="AA1073" s="1828"/>
      <c r="AB1073" s="1828"/>
      <c r="AC1073" s="1828"/>
      <c r="AD1073" s="1828"/>
      <c r="AE1073" s="1828"/>
      <c r="AF1073" s="1828"/>
      <c r="AG1073" s="1828"/>
      <c r="AH1073" s="1828"/>
      <c r="AI1073" s="1828"/>
      <c r="AJ1073" s="1828"/>
      <c r="AK1073" s="1828"/>
    </row>
    <row r="1074" spans="1:96" ht="12.6" customHeight="1">
      <c r="A1074" s="1999" t="s">
        <v>625</v>
      </c>
      <c r="B1074" s="1999"/>
      <c r="C1074" s="318">
        <v>7</v>
      </c>
      <c r="D1074" s="1828" t="s">
        <v>1207</v>
      </c>
      <c r="E1074" s="1828"/>
      <c r="F1074" s="1828"/>
      <c r="G1074" s="1828"/>
      <c r="H1074" s="1828"/>
      <c r="I1074" s="1828"/>
      <c r="J1074" s="1828"/>
      <c r="K1074" s="1828"/>
      <c r="L1074" s="1828"/>
      <c r="M1074" s="1828"/>
      <c r="N1074" s="1828"/>
      <c r="O1074" s="1828"/>
      <c r="P1074" s="1828"/>
      <c r="Q1074" s="1828"/>
      <c r="R1074" s="1828"/>
      <c r="S1074" s="1828"/>
      <c r="T1074" s="1828"/>
      <c r="U1074" s="1828"/>
      <c r="V1074" s="1828"/>
      <c r="W1074" s="1828"/>
      <c r="X1074" s="1828"/>
      <c r="Y1074" s="1828"/>
      <c r="Z1074" s="1828"/>
      <c r="AA1074" s="1828"/>
      <c r="AB1074" s="1828"/>
      <c r="AC1074" s="1828"/>
      <c r="AD1074" s="1828"/>
      <c r="AE1074" s="1828"/>
      <c r="AF1074" s="1828"/>
      <c r="AG1074" s="1828"/>
      <c r="AH1074" s="1828"/>
      <c r="AI1074" s="1828"/>
      <c r="AJ1074" s="1828"/>
      <c r="AK1074" s="1828"/>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28"/>
      <c r="E1075" s="1828"/>
      <c r="F1075" s="1828"/>
      <c r="G1075" s="1828"/>
      <c r="H1075" s="1828"/>
      <c r="I1075" s="1828"/>
      <c r="J1075" s="1828"/>
      <c r="K1075" s="1828"/>
      <c r="L1075" s="1828"/>
      <c r="M1075" s="1828"/>
      <c r="N1075" s="1828"/>
      <c r="O1075" s="1828"/>
      <c r="P1075" s="1828"/>
      <c r="Q1075" s="1828"/>
      <c r="R1075" s="1828"/>
      <c r="S1075" s="1828"/>
      <c r="T1075" s="1828"/>
      <c r="U1075" s="1828"/>
      <c r="V1075" s="1828"/>
      <c r="W1075" s="1828"/>
      <c r="X1075" s="1828"/>
      <c r="Y1075" s="1828"/>
      <c r="Z1075" s="1828"/>
      <c r="AA1075" s="1828"/>
      <c r="AB1075" s="1828"/>
      <c r="AC1075" s="1828"/>
      <c r="AD1075" s="1828"/>
      <c r="AE1075" s="1828"/>
      <c r="AF1075" s="1828"/>
      <c r="AG1075" s="1828"/>
      <c r="AH1075" s="1828"/>
      <c r="AI1075" s="1828"/>
      <c r="AJ1075" s="1828"/>
      <c r="AK1075" s="1828"/>
    </row>
    <row r="1076" spans="1:96" ht="12.6" customHeight="1">
      <c r="A1076" s="235"/>
      <c r="B1076" s="235"/>
      <c r="C1076" s="319"/>
      <c r="D1076" s="1828"/>
      <c r="E1076" s="1828"/>
      <c r="F1076" s="1828"/>
      <c r="G1076" s="1828"/>
      <c r="H1076" s="1828"/>
      <c r="I1076" s="1828"/>
      <c r="J1076" s="1828"/>
      <c r="K1076" s="1828"/>
      <c r="L1076" s="1828"/>
      <c r="M1076" s="1828"/>
      <c r="N1076" s="1828"/>
      <c r="O1076" s="1828"/>
      <c r="P1076" s="1828"/>
      <c r="Q1076" s="1828"/>
      <c r="R1076" s="1828"/>
      <c r="S1076" s="1828"/>
      <c r="T1076" s="1828"/>
      <c r="U1076" s="1828"/>
      <c r="V1076" s="1828"/>
      <c r="W1076" s="1828"/>
      <c r="X1076" s="1828"/>
      <c r="Y1076" s="1828"/>
      <c r="Z1076" s="1828"/>
      <c r="AA1076" s="1828"/>
      <c r="AB1076" s="1828"/>
      <c r="AC1076" s="1828"/>
      <c r="AD1076" s="1828"/>
      <c r="AE1076" s="1828"/>
      <c r="AF1076" s="1828"/>
      <c r="AG1076" s="1828"/>
      <c r="AH1076" s="1828"/>
      <c r="AI1076" s="1828"/>
      <c r="AJ1076" s="1828"/>
      <c r="AK1076" s="1828"/>
    </row>
    <row r="1077" spans="1:96" s="680" customFormat="1" ht="12.6" customHeight="1">
      <c r="A1077" s="62"/>
      <c r="B1077" s="66"/>
      <c r="C1077" s="318"/>
      <c r="D1077" s="1828"/>
      <c r="E1077" s="1828"/>
      <c r="F1077" s="1828"/>
      <c r="G1077" s="1828"/>
      <c r="H1077" s="1828"/>
      <c r="I1077" s="1828"/>
      <c r="J1077" s="1828"/>
      <c r="K1077" s="1828"/>
      <c r="L1077" s="1828"/>
      <c r="M1077" s="1828"/>
      <c r="N1077" s="1828"/>
      <c r="O1077" s="1828"/>
      <c r="P1077" s="1828"/>
      <c r="Q1077" s="1828"/>
      <c r="R1077" s="1828"/>
      <c r="S1077" s="1828"/>
      <c r="T1077" s="1828"/>
      <c r="U1077" s="1828"/>
      <c r="V1077" s="1828"/>
      <c r="W1077" s="1828"/>
      <c r="X1077" s="1828"/>
      <c r="Y1077" s="1828"/>
      <c r="Z1077" s="1828"/>
      <c r="AA1077" s="1828"/>
      <c r="AB1077" s="1828"/>
      <c r="AC1077" s="1828"/>
      <c r="AD1077" s="1828"/>
      <c r="AE1077" s="1828"/>
      <c r="AF1077" s="1828"/>
      <c r="AG1077" s="1828"/>
      <c r="AH1077" s="1828"/>
      <c r="AI1077" s="1828"/>
      <c r="AJ1077" s="1828"/>
      <c r="AK1077" s="1828"/>
      <c r="AL1077" s="12"/>
      <c r="AM1077" s="39"/>
      <c r="AN1077" s="39"/>
      <c r="AO1077" s="39"/>
      <c r="AP1077" s="39"/>
      <c r="AQ1077" s="39"/>
      <c r="AR1077" s="39"/>
      <c r="AS1077" s="39"/>
      <c r="AT1077" s="39"/>
      <c r="AU1077" s="39"/>
      <c r="AV1077" s="39"/>
      <c r="AW1077" s="39"/>
      <c r="AX1077" s="39"/>
      <c r="AY1077" s="39"/>
      <c r="CR1077" s="25"/>
    </row>
    <row r="1078" spans="1:96" ht="12.6" customHeight="1">
      <c r="A1078" s="1999" t="s">
        <v>625</v>
      </c>
      <c r="B1078" s="1999"/>
      <c r="C1078" s="318">
        <v>8</v>
      </c>
      <c r="D1078" s="2350" t="s">
        <v>2101</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6"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6"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80"/>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6" customHeight="1">
      <c r="A1082" s="1999" t="s">
        <v>625</v>
      </c>
      <c r="B1082" s="1999"/>
      <c r="C1082" s="318">
        <v>9</v>
      </c>
      <c r="D1082" s="1828" t="s">
        <v>1206</v>
      </c>
      <c r="E1082" s="1828"/>
      <c r="F1082" s="1828"/>
      <c r="G1082" s="1828"/>
      <c r="H1082" s="1828"/>
      <c r="I1082" s="1828"/>
      <c r="J1082" s="1828"/>
      <c r="K1082" s="1828"/>
      <c r="L1082" s="1828"/>
      <c r="M1082" s="1828"/>
      <c r="N1082" s="1828"/>
      <c r="O1082" s="1828"/>
      <c r="P1082" s="1828"/>
      <c r="Q1082" s="1828"/>
      <c r="R1082" s="1828"/>
      <c r="S1082" s="1828"/>
      <c r="T1082" s="1828"/>
      <c r="U1082" s="1828"/>
      <c r="V1082" s="1828"/>
      <c r="W1082" s="1828"/>
      <c r="X1082" s="1828"/>
      <c r="Y1082" s="1828"/>
      <c r="Z1082" s="1828"/>
      <c r="AA1082" s="1828"/>
      <c r="AB1082" s="1828"/>
      <c r="AC1082" s="1828"/>
      <c r="AD1082" s="1828"/>
      <c r="AE1082" s="1828"/>
      <c r="AF1082" s="1828"/>
      <c r="AG1082" s="1828"/>
      <c r="AH1082" s="1828"/>
      <c r="AI1082" s="1828"/>
      <c r="AJ1082" s="1828"/>
      <c r="AK1082" s="1828"/>
    </row>
    <row r="1083" spans="1:96" ht="15" customHeight="1">
      <c r="A1083" s="62"/>
      <c r="B1083" s="66"/>
      <c r="C1083" s="318"/>
      <c r="D1083" s="1828"/>
      <c r="E1083" s="1828"/>
      <c r="F1083" s="1828"/>
      <c r="G1083" s="1828"/>
      <c r="H1083" s="1828"/>
      <c r="I1083" s="1828"/>
      <c r="J1083" s="1828"/>
      <c r="K1083" s="1828"/>
      <c r="L1083" s="1828"/>
      <c r="M1083" s="1828"/>
      <c r="N1083" s="1828"/>
      <c r="O1083" s="1828"/>
      <c r="P1083" s="1828"/>
      <c r="Q1083" s="1828"/>
      <c r="R1083" s="1828"/>
      <c r="S1083" s="1828"/>
      <c r="T1083" s="1828"/>
      <c r="U1083" s="1828"/>
      <c r="V1083" s="1828"/>
      <c r="W1083" s="1828"/>
      <c r="X1083" s="1828"/>
      <c r="Y1083" s="1828"/>
      <c r="Z1083" s="1828"/>
      <c r="AA1083" s="1828"/>
      <c r="AB1083" s="1828"/>
      <c r="AC1083" s="1828"/>
      <c r="AD1083" s="1828"/>
      <c r="AE1083" s="1828"/>
      <c r="AF1083" s="1828"/>
      <c r="AG1083" s="1828"/>
      <c r="AH1083" s="1828"/>
      <c r="AI1083" s="1828"/>
      <c r="AJ1083" s="1828"/>
      <c r="AK1083" s="1828"/>
    </row>
    <row r="1084" spans="1:96" ht="15" customHeight="1">
      <c r="D1084" s="1828"/>
      <c r="E1084" s="1828"/>
      <c r="F1084" s="1828"/>
      <c r="G1084" s="1828"/>
      <c r="H1084" s="1828"/>
      <c r="I1084" s="1828"/>
      <c r="J1084" s="1828"/>
      <c r="K1084" s="1828"/>
      <c r="L1084" s="1828"/>
      <c r="M1084" s="1828"/>
      <c r="N1084" s="1828"/>
      <c r="O1084" s="1828"/>
      <c r="P1084" s="1828"/>
      <c r="Q1084" s="1828"/>
      <c r="R1084" s="1828"/>
      <c r="S1084" s="1828"/>
      <c r="T1084" s="1828"/>
      <c r="U1084" s="1828"/>
      <c r="V1084" s="1828"/>
      <c r="W1084" s="1828"/>
      <c r="X1084" s="1828"/>
      <c r="Y1084" s="1828"/>
      <c r="Z1084" s="1828"/>
      <c r="AA1084" s="1828"/>
      <c r="AB1084" s="1828"/>
      <c r="AC1084" s="1828"/>
      <c r="AD1084" s="1828"/>
      <c r="AE1084" s="1828"/>
      <c r="AF1084" s="1828"/>
      <c r="AG1084" s="1828"/>
      <c r="AH1084" s="1828"/>
      <c r="AI1084" s="1828"/>
      <c r="AJ1084" s="1828"/>
      <c r="AK1084" s="1828"/>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54:DV654"/>
    <mergeCell ref="DH649:DL649"/>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CC654:CG654"/>
    <mergeCell ref="BX652:CB652"/>
    <mergeCell ref="BX653:CB653"/>
    <mergeCell ref="CH651:CL651"/>
    <mergeCell ref="CC651:CG651"/>
    <mergeCell ref="BX651:CB651"/>
    <mergeCell ref="BS650:BW650"/>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B634:N636"/>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BK628:BL628"/>
    <mergeCell ref="CX627:DB627"/>
    <mergeCell ref="AC639:AE639"/>
    <mergeCell ref="CS620:CW620"/>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AB974:AI974"/>
    <mergeCell ref="AJ974:AQ974"/>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M946:S946"/>
    <mergeCell ref="W863:AC863"/>
    <mergeCell ref="W877:AC877"/>
    <mergeCell ref="M953:S953"/>
    <mergeCell ref="M952:S952"/>
    <mergeCell ref="AC885:AH885"/>
    <mergeCell ref="AE943:AK943"/>
    <mergeCell ref="W958:AG958"/>
    <mergeCell ref="M957:S95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975:AI975"/>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B750:F750"/>
    <mergeCell ref="AH753:AL753"/>
    <mergeCell ref="G751:J751"/>
    <mergeCell ref="AC746:AG746"/>
    <mergeCell ref="AC747:AG747"/>
    <mergeCell ref="X795:AB795"/>
    <mergeCell ref="Y746:AB746"/>
    <mergeCell ref="Y745:AB745"/>
    <mergeCell ref="T793:W793"/>
    <mergeCell ref="T782:W785"/>
    <mergeCell ref="T786:W786"/>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T744:X744"/>
    <mergeCell ref="J791:N791"/>
    <mergeCell ref="AC796:AG79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C789:AG789"/>
    <mergeCell ref="AA951:AG951"/>
    <mergeCell ref="AA957:AG957"/>
    <mergeCell ref="M955:S955"/>
    <mergeCell ref="M859:V859"/>
    <mergeCell ref="T753:X753"/>
    <mergeCell ref="AA956:AG956"/>
    <mergeCell ref="M942:S942"/>
    <mergeCell ref="W876:AC876"/>
    <mergeCell ref="R970:AA970"/>
    <mergeCell ref="AB968:AI968"/>
    <mergeCell ref="AB969:AI969"/>
    <mergeCell ref="AB970:AI970"/>
    <mergeCell ref="U929:Z929"/>
    <mergeCell ref="U912:Z914"/>
    <mergeCell ref="Z812:AE81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O741:S741"/>
    <mergeCell ref="AH728:AL728"/>
    <mergeCell ref="AC743:AG743"/>
    <mergeCell ref="AJ972:AQ972"/>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AA674:AK674"/>
    <mergeCell ref="H674:R674"/>
    <mergeCell ref="Z672:AK672"/>
    <mergeCell ref="Z695:AK695"/>
    <mergeCell ref="G672:R672"/>
    <mergeCell ref="Z677:AK677"/>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CH635:CL635"/>
    <mergeCell ref="CH634:CL634"/>
    <mergeCell ref="CX651:DB651"/>
    <mergeCell ref="DC651:DG651"/>
    <mergeCell ref="DC649:DG649"/>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CB799:CH799"/>
    <mergeCell ref="BN799:BO799"/>
    <mergeCell ref="AM724:AO727"/>
    <mergeCell ref="T731:X731"/>
    <mergeCell ref="AC733:AG733"/>
    <mergeCell ref="T732:X732"/>
    <mergeCell ref="T733:X733"/>
    <mergeCell ref="T734:X734"/>
    <mergeCell ref="W847:AC847"/>
    <mergeCell ref="U827:X827"/>
    <mergeCell ref="Y799:AC799"/>
    <mergeCell ref="P814:Y814"/>
    <mergeCell ref="AH790:AL790"/>
    <mergeCell ref="AH791:AL79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CX609:DB609"/>
    <mergeCell ref="DH611:DL611"/>
    <mergeCell ref="H330:M33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CS611:CW611"/>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A339:AF339"/>
    <mergeCell ref="AC513:AF513"/>
    <mergeCell ref="N370:Q370"/>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N371:Q371"/>
    <mergeCell ref="H334:R334"/>
    <mergeCell ref="M357:N357"/>
    <mergeCell ref="M356:N356"/>
    <mergeCell ref="R410:S41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571:P571"/>
    <mergeCell ref="P344:AE344"/>
    <mergeCell ref="H322:M322"/>
    <mergeCell ref="AA340:AK340"/>
    <mergeCell ref="AA334:AK334"/>
    <mergeCell ref="AA329:AK329"/>
    <mergeCell ref="H323:M323"/>
    <mergeCell ref="AA320:AK320"/>
    <mergeCell ref="H324:R32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H658:R658"/>
    <mergeCell ref="G657:L657"/>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O651:AS651"/>
    <mergeCell ref="G654:R654"/>
    <mergeCell ref="Z655:AK655"/>
    <mergeCell ref="CC627:CG627"/>
    <mergeCell ref="BN628:BR628"/>
    <mergeCell ref="BG628:BH628"/>
    <mergeCell ref="AI665:AK665"/>
    <mergeCell ref="P665:R665"/>
    <mergeCell ref="Z662:AK662"/>
    <mergeCell ref="AA658:AK658"/>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J782:N785"/>
    <mergeCell ref="AH752:AL752"/>
    <mergeCell ref="O787:S787"/>
    <mergeCell ref="O794:S794"/>
    <mergeCell ref="AC790:AG790"/>
    <mergeCell ref="AC791:AG791"/>
    <mergeCell ref="O786:S786"/>
    <mergeCell ref="AH782:AL785"/>
    <mergeCell ref="AH786:AL786"/>
    <mergeCell ref="AH787:AL787"/>
    <mergeCell ref="AH788:AL788"/>
    <mergeCell ref="AH789:AL789"/>
    <mergeCell ref="O746:S746"/>
    <mergeCell ref="AM740:AO740"/>
    <mergeCell ref="AC786:AG786"/>
    <mergeCell ref="J793:N793"/>
    <mergeCell ref="K748:N748"/>
    <mergeCell ref="K749:N749"/>
    <mergeCell ref="AH744:AL744"/>
    <mergeCell ref="AC745:AG745"/>
    <mergeCell ref="O728:S728"/>
    <mergeCell ref="T735:X735"/>
    <mergeCell ref="T736:X736"/>
    <mergeCell ref="T737:X737"/>
    <mergeCell ref="AM738:AO738"/>
    <mergeCell ref="G744:J744"/>
    <mergeCell ref="AC736:AG736"/>
    <mergeCell ref="AM739:AO739"/>
    <mergeCell ref="Y737:AB73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M873:V873"/>
    <mergeCell ref="W875:AC875"/>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W864:AC864"/>
    <mergeCell ref="Z816:AE816"/>
    <mergeCell ref="Q823:T823"/>
    <mergeCell ref="U823:X823"/>
    <mergeCell ref="Q825:T825"/>
    <mergeCell ref="K752:N752"/>
    <mergeCell ref="T752:X752"/>
    <mergeCell ref="Z811:AE811"/>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Q827:T827"/>
    <mergeCell ref="J772:N772"/>
    <mergeCell ref="O772:S772"/>
    <mergeCell ref="Y752:AB752"/>
    <mergeCell ref="J775:N775"/>
    <mergeCell ref="O775:S775"/>
    <mergeCell ref="O768:S771"/>
    <mergeCell ref="W843:AC843"/>
    <mergeCell ref="M828:P828"/>
    <mergeCell ref="O790:S790"/>
    <mergeCell ref="Z815:AE815"/>
    <mergeCell ref="X794:AB794"/>
    <mergeCell ref="T787:W787"/>
    <mergeCell ref="U821:X822"/>
    <mergeCell ref="Y747:AB747"/>
    <mergeCell ref="U826:X826"/>
    <mergeCell ref="Y826:AB826"/>
    <mergeCell ref="Y825:AB825"/>
    <mergeCell ref="O747:S747"/>
    <mergeCell ref="O782:S785"/>
    <mergeCell ref="O756:R756"/>
    <mergeCell ref="AG756:AJ756"/>
    <mergeCell ref="Y750:AB750"/>
    <mergeCell ref="Y724:AB727"/>
    <mergeCell ref="T724:X727"/>
    <mergeCell ref="G663:R663"/>
    <mergeCell ref="G680:R680"/>
    <mergeCell ref="Z663:AK663"/>
    <mergeCell ref="B752:F752"/>
    <mergeCell ref="AC772:AG772"/>
    <mergeCell ref="O774:S774"/>
    <mergeCell ref="M821:P822"/>
    <mergeCell ref="T729:X729"/>
    <mergeCell ref="T730:X730"/>
    <mergeCell ref="K736:N736"/>
    <mergeCell ref="T745:X745"/>
    <mergeCell ref="T746:X746"/>
    <mergeCell ref="G750:J750"/>
    <mergeCell ref="O745:S745"/>
    <mergeCell ref="G749:J749"/>
    <mergeCell ref="G748:J748"/>
    <mergeCell ref="G747:J747"/>
    <mergeCell ref="G745:J745"/>
    <mergeCell ref="G746:J746"/>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Z804:AE804"/>
    <mergeCell ref="Z805:AE805"/>
    <mergeCell ref="J787:N787"/>
    <mergeCell ref="J773:N773"/>
    <mergeCell ref="T788:W788"/>
    <mergeCell ref="T789:W789"/>
    <mergeCell ref="T790:W790"/>
    <mergeCell ref="T791:W791"/>
    <mergeCell ref="J778:K778"/>
    <mergeCell ref="J786:N786"/>
    <mergeCell ref="J776:N776"/>
    <mergeCell ref="O748:S748"/>
    <mergeCell ref="O749:S749"/>
    <mergeCell ref="O750:S750"/>
    <mergeCell ref="K751:N751"/>
    <mergeCell ref="T747:X747"/>
    <mergeCell ref="T748:X748"/>
    <mergeCell ref="T749:X749"/>
    <mergeCell ref="T750:X750"/>
    <mergeCell ref="T751:X751"/>
    <mergeCell ref="B650:AN650"/>
    <mergeCell ref="B651:AN651"/>
    <mergeCell ref="AC640:AE640"/>
    <mergeCell ref="AC641:AE641"/>
    <mergeCell ref="AC642:AE642"/>
    <mergeCell ref="AH518:AK518"/>
    <mergeCell ref="B529:H531"/>
    <mergeCell ref="AM576:AS576"/>
    <mergeCell ref="AM571:AS571"/>
    <mergeCell ref="AM569:AS569"/>
    <mergeCell ref="AM574:AS574"/>
    <mergeCell ref="AM575:AS575"/>
    <mergeCell ref="AC549:AF549"/>
    <mergeCell ref="W563:Y563"/>
    <mergeCell ref="AC548:AF548"/>
    <mergeCell ref="AH551:AK551"/>
    <mergeCell ref="AC545:AF545"/>
    <mergeCell ref="AH545:AK545"/>
    <mergeCell ref="AH547:AK547"/>
    <mergeCell ref="W571:Y571"/>
    <mergeCell ref="AE563:AH563"/>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O637:Q637"/>
    <mergeCell ref="O634:Q636"/>
    <mergeCell ref="A627:AS628"/>
    <mergeCell ref="AF634:AJ636"/>
    <mergeCell ref="AF637:AJ637"/>
    <mergeCell ref="Q364:AG364"/>
    <mergeCell ref="W468:Y468"/>
    <mergeCell ref="AO634:AS636"/>
    <mergeCell ref="J366:K366"/>
    <mergeCell ref="AG378:AH378"/>
    <mergeCell ref="P417:R417"/>
    <mergeCell ref="R634:T636"/>
    <mergeCell ref="AH530:AK530"/>
    <mergeCell ref="AH526:AK526"/>
    <mergeCell ref="AC527:AF527"/>
    <mergeCell ref="AC526:AF526"/>
    <mergeCell ref="O547:AA547"/>
    <mergeCell ref="AH548:AK548"/>
    <mergeCell ref="AH535:AK535"/>
    <mergeCell ref="AC534:AF534"/>
    <mergeCell ref="H340:R340"/>
    <mergeCell ref="H337:R337"/>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P322:R322"/>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I391:N391"/>
    <mergeCell ref="H413:AE414"/>
    <mergeCell ref="Q393:U393"/>
    <mergeCell ref="Y486:AC486"/>
    <mergeCell ref="T487:X487"/>
    <mergeCell ref="AH514:AK514"/>
    <mergeCell ref="AC511:AK511"/>
    <mergeCell ref="Y488:AC488"/>
    <mergeCell ref="A478:AL479"/>
    <mergeCell ref="AC536:AF536"/>
    <mergeCell ref="AD484:AH485"/>
    <mergeCell ref="B501:P502"/>
    <mergeCell ref="AC518:AF518"/>
    <mergeCell ref="AH541:AK541"/>
    <mergeCell ref="AH546:AK546"/>
    <mergeCell ref="AC530:AF530"/>
    <mergeCell ref="AH536:AK536"/>
    <mergeCell ref="AH537:AK537"/>
    <mergeCell ref="AH532:AK532"/>
    <mergeCell ref="AC547:AF547"/>
    <mergeCell ref="AC546:AF546"/>
    <mergeCell ref="AC542:AF542"/>
    <mergeCell ref="O538:AA538"/>
    <mergeCell ref="Y489:AC489"/>
    <mergeCell ref="T484:X485"/>
    <mergeCell ref="Y487:AC487"/>
    <mergeCell ref="AH516:AK516"/>
    <mergeCell ref="AH529:AK529"/>
    <mergeCell ref="AH533:AK533"/>
    <mergeCell ref="AC529:AF529"/>
    <mergeCell ref="AC541:AF541"/>
    <mergeCell ref="AH539:AK539"/>
    <mergeCell ref="O544:AA544"/>
    <mergeCell ref="AC538:AF538"/>
    <mergeCell ref="AC544:AF544"/>
    <mergeCell ref="AG400:AJ400"/>
    <mergeCell ref="AG438:AJ438"/>
    <mergeCell ref="B515:H520"/>
    <mergeCell ref="AC519:AF519"/>
    <mergeCell ref="AH519:AK519"/>
    <mergeCell ref="S391:U391"/>
    <mergeCell ref="Z606:AK606"/>
    <mergeCell ref="AF584:AK584"/>
    <mergeCell ref="Z595:AK595"/>
    <mergeCell ref="N593:O593"/>
    <mergeCell ref="G603:R603"/>
    <mergeCell ref="AA616:AK616"/>
    <mergeCell ref="G615:L615"/>
    <mergeCell ref="G589:R589"/>
    <mergeCell ref="Z581:AK581"/>
    <mergeCell ref="Z613:AK613"/>
    <mergeCell ref="AI582:AK582"/>
    <mergeCell ref="AC553:AF553"/>
    <mergeCell ref="AE569:AH569"/>
    <mergeCell ref="AI569:AL569"/>
    <mergeCell ref="AE570:AH570"/>
    <mergeCell ref="AI571:AL571"/>
    <mergeCell ref="AE572:AH572"/>
    <mergeCell ref="AI572:AL572"/>
    <mergeCell ref="Z569:AD569"/>
    <mergeCell ref="Z570:AD570"/>
    <mergeCell ref="AC537:AF537"/>
    <mergeCell ref="AH540:AK540"/>
    <mergeCell ref="AH538:AK538"/>
    <mergeCell ref="AE574:AH574"/>
    <mergeCell ref="B576:AL576"/>
    <mergeCell ref="T575:V575"/>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Z582:AE582"/>
    <mergeCell ref="AA592:AK592"/>
    <mergeCell ref="AA600:AK600"/>
    <mergeCell ref="Z603:AK603"/>
    <mergeCell ref="AG593:AH593"/>
    <mergeCell ref="AI591:AK591"/>
    <mergeCell ref="Z590:AK590"/>
    <mergeCell ref="AG601:AH601"/>
    <mergeCell ref="Z599:AE599"/>
    <mergeCell ref="BK610:BL610"/>
    <mergeCell ref="P599:R599"/>
    <mergeCell ref="G611:R611"/>
    <mergeCell ref="BS610:BW610"/>
    <mergeCell ref="CH611:CL611"/>
    <mergeCell ref="BX610:CB610"/>
    <mergeCell ref="BG614:BH614"/>
    <mergeCell ref="BI614:BJ614"/>
    <mergeCell ref="BI612:BJ612"/>
    <mergeCell ref="BG616:BH616"/>
    <mergeCell ref="BI616:BJ616"/>
    <mergeCell ref="BG618:BH618"/>
    <mergeCell ref="BN613:BR613"/>
    <mergeCell ref="BX613:CB613"/>
    <mergeCell ref="CC618:CG618"/>
    <mergeCell ref="BS615:BW615"/>
    <mergeCell ref="BX615:CB615"/>
    <mergeCell ref="CH612:CL612"/>
    <mergeCell ref="BX609:CB609"/>
    <mergeCell ref="BX612:CB612"/>
    <mergeCell ref="BK613:BL613"/>
    <mergeCell ref="BI617:BJ617"/>
    <mergeCell ref="BN615:BR615"/>
    <mergeCell ref="CC613:CG613"/>
    <mergeCell ref="BN614:BR614"/>
    <mergeCell ref="CC609:CG609"/>
    <mergeCell ref="CC612:CG612"/>
    <mergeCell ref="BS609:BW609"/>
    <mergeCell ref="BK617:BL617"/>
    <mergeCell ref="BX617:CB617"/>
    <mergeCell ref="CC617:CG617"/>
    <mergeCell ref="CC610:CG610"/>
    <mergeCell ref="BK616:BL616"/>
    <mergeCell ref="CC615:CG615"/>
    <mergeCell ref="BS617:BW617"/>
    <mergeCell ref="BK618:BL618"/>
    <mergeCell ref="BK614:BL614"/>
    <mergeCell ref="BN619:BR619"/>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BX611:CB611"/>
    <mergeCell ref="BI619:BJ619"/>
    <mergeCell ref="BS619:BW619"/>
    <mergeCell ref="CC619:CG619"/>
    <mergeCell ref="BX619:CB619"/>
    <mergeCell ref="BK619:BL619"/>
    <mergeCell ref="BN618:BR618"/>
    <mergeCell ref="BS618:BW618"/>
    <mergeCell ref="BX618:CB618"/>
    <mergeCell ref="CH618:CL618"/>
    <mergeCell ref="BS614:BW614"/>
    <mergeCell ref="BX614:CB614"/>
    <mergeCell ref="CC614:CG614"/>
    <mergeCell ref="CH614:CL614"/>
    <mergeCell ref="CM625:CQ625"/>
    <mergeCell ref="CM626:CQ626"/>
    <mergeCell ref="CM627:CQ627"/>
    <mergeCell ref="CM628:CQ628"/>
    <mergeCell ref="CH619:CL619"/>
    <mergeCell ref="CC616:CG616"/>
    <mergeCell ref="CH616:CL616"/>
    <mergeCell ref="BX616:CB616"/>
    <mergeCell ref="BS616:BW616"/>
    <mergeCell ref="CC620:CG620"/>
    <mergeCell ref="BS621:BW621"/>
    <mergeCell ref="BN621:BR621"/>
    <mergeCell ref="CC622:CG622"/>
    <mergeCell ref="BX620:CB620"/>
    <mergeCell ref="CC623:CG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0:CL610"/>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CC621:CG621"/>
    <mergeCell ref="BG621:BH621"/>
    <mergeCell ref="CH621:CL621"/>
    <mergeCell ref="CH622:CL622"/>
    <mergeCell ref="BG619:BH619"/>
    <mergeCell ref="BN625:BR625"/>
    <mergeCell ref="BE622:BF622"/>
    <mergeCell ref="BE621:BF621"/>
    <mergeCell ref="BE620:BF620"/>
    <mergeCell ref="BE623:BF623"/>
    <mergeCell ref="CH624:CL624"/>
    <mergeCell ref="CC625:CG625"/>
    <mergeCell ref="BE619:BF619"/>
    <mergeCell ref="BE614:BF614"/>
    <mergeCell ref="BX630:CB630"/>
    <mergeCell ref="BX623:CB623"/>
    <mergeCell ref="BS628:BW628"/>
    <mergeCell ref="BX628:CB628"/>
    <mergeCell ref="BS625:BW625"/>
    <mergeCell ref="BX625:CB625"/>
    <mergeCell ref="BI628:BJ628"/>
    <mergeCell ref="BG623:BH623"/>
    <mergeCell ref="BK623:BL623"/>
    <mergeCell ref="BI623:BJ623"/>
    <mergeCell ref="BI622:BJ62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E633:BF633"/>
    <mergeCell ref="CC630:CG630"/>
    <mergeCell ref="CC632:CG632"/>
    <mergeCell ref="BE627:BF627"/>
    <mergeCell ref="BI630:BJ630"/>
    <mergeCell ref="BK630:BL630"/>
    <mergeCell ref="BN630:BR630"/>
    <mergeCell ref="BS630:BW630"/>
    <mergeCell ref="BI627:BJ627"/>
    <mergeCell ref="BK627:BL627"/>
    <mergeCell ref="BI626:BJ626"/>
    <mergeCell ref="BK626:BL626"/>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G635:BH635"/>
    <mergeCell ref="BK635:BL635"/>
    <mergeCell ref="BN635:BR635"/>
    <mergeCell ref="BS635:BW635"/>
    <mergeCell ref="AH534:AK534"/>
    <mergeCell ref="AH542:AK542"/>
    <mergeCell ref="AI570:AL570"/>
    <mergeCell ref="T568:V568"/>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W574:Y574"/>
    <mergeCell ref="W575:Y575"/>
    <mergeCell ref="B526:H528"/>
    <mergeCell ref="AE575:AH575"/>
    <mergeCell ref="C566:P566"/>
    <mergeCell ref="C565:P565"/>
    <mergeCell ref="C567:P567"/>
    <mergeCell ref="C564:P564"/>
    <mergeCell ref="C568:P568"/>
    <mergeCell ref="AM572:AS572"/>
    <mergeCell ref="AH517:AK517"/>
    <mergeCell ref="AH549:AK549"/>
    <mergeCell ref="AC540:AF540"/>
    <mergeCell ref="O541:AA541"/>
    <mergeCell ref="T563:V563"/>
    <mergeCell ref="AH553:AK553"/>
    <mergeCell ref="AC520:AF520"/>
    <mergeCell ref="AH528:AK528"/>
    <mergeCell ref="AC550:AF550"/>
    <mergeCell ref="AM573:AS573"/>
    <mergeCell ref="AM568:AS568"/>
    <mergeCell ref="AC532:AF532"/>
    <mergeCell ref="AC554:AF554"/>
    <mergeCell ref="Q569:S569"/>
    <mergeCell ref="Q570:S570"/>
    <mergeCell ref="Q565:S565"/>
    <mergeCell ref="AC539:AF539"/>
    <mergeCell ref="AC535:AF535"/>
    <mergeCell ref="AI573:AL573"/>
    <mergeCell ref="AH531:AK531"/>
    <mergeCell ref="AC543:AF543"/>
    <mergeCell ref="AH543:AK543"/>
    <mergeCell ref="AC531:AF531"/>
    <mergeCell ref="AC533:AF533"/>
    <mergeCell ref="Q500:AK500"/>
    <mergeCell ref="Q505:AK505"/>
    <mergeCell ref="T571:V571"/>
    <mergeCell ref="T572:V572"/>
    <mergeCell ref="AM563:AS563"/>
    <mergeCell ref="AH515:AK515"/>
    <mergeCell ref="AH554:AK554"/>
    <mergeCell ref="W566:Y566"/>
    <mergeCell ref="AI564:AL564"/>
    <mergeCell ref="B532:H554"/>
    <mergeCell ref="Q564:S564"/>
    <mergeCell ref="AE568:AH568"/>
    <mergeCell ref="W564:Y564"/>
    <mergeCell ref="W565:Y565"/>
    <mergeCell ref="Z568:AD568"/>
    <mergeCell ref="Z567:AD567"/>
    <mergeCell ref="Z563:AD563"/>
    <mergeCell ref="AM566:AS566"/>
    <mergeCell ref="W569:Y569"/>
    <mergeCell ref="W570:Y570"/>
    <mergeCell ref="AI565:AL565"/>
    <mergeCell ref="AE566:AH566"/>
    <mergeCell ref="AI568:AL568"/>
    <mergeCell ref="T567:V567"/>
    <mergeCell ref="AC512:AF512"/>
    <mergeCell ref="AC515:AF515"/>
    <mergeCell ref="T569:V569"/>
    <mergeCell ref="T570:V570"/>
    <mergeCell ref="Q563:S563"/>
    <mergeCell ref="W567:Y567"/>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D494:AH494"/>
    <mergeCell ref="AC514:AF514"/>
    <mergeCell ref="AH512:AK512"/>
    <mergeCell ref="Q501:R502"/>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W572:Y572"/>
    <mergeCell ref="W573:Y57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C637:N637"/>
    <mergeCell ref="C638:N638"/>
    <mergeCell ref="C639:N639"/>
    <mergeCell ref="C640:N640"/>
    <mergeCell ref="C641:N641"/>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Z657:AE657"/>
    <mergeCell ref="R642:T642"/>
    <mergeCell ref="X648:AB648"/>
    <mergeCell ref="Z654:AK654"/>
    <mergeCell ref="CC649:CG649"/>
    <mergeCell ref="CC648:CG648"/>
    <mergeCell ref="CH648:CL648"/>
    <mergeCell ref="BX649:CB649"/>
    <mergeCell ref="Z656:AK656"/>
    <mergeCell ref="G656:R656"/>
    <mergeCell ref="P657:R657"/>
    <mergeCell ref="AI657:AK657"/>
    <mergeCell ref="B649:AN649"/>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2" zoomScale="90" zoomScaleNormal="100" zoomScaleSheetLayoutView="90" workbookViewId="0">
      <selection activeCell="F85" sqref="F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42" t="s">
        <v>655</v>
      </c>
      <c r="G1" s="2543"/>
      <c r="H1" s="2543"/>
      <c r="I1" s="2543"/>
      <c r="J1" s="2543"/>
      <c r="K1" s="2543"/>
      <c r="L1" s="2543"/>
      <c r="M1" s="2543"/>
      <c r="N1" s="2543"/>
      <c r="O1" s="2543"/>
      <c r="P1" s="2543"/>
      <c r="Q1" s="2543"/>
      <c r="R1" s="2544"/>
      <c r="S1" s="168"/>
      <c r="T1" s="167"/>
      <c r="U1" s="169"/>
    </row>
    <row r="2" spans="1:21" s="208" customFormat="1" ht="71.25" customHeight="1">
      <c r="A2" s="207"/>
      <c r="B2" s="208" t="s">
        <v>24</v>
      </c>
      <c r="C2" s="208" t="s">
        <v>391</v>
      </c>
      <c r="D2" s="208" t="s">
        <v>390</v>
      </c>
      <c r="E2" s="208" t="s">
        <v>25</v>
      </c>
      <c r="F2" s="209" t="str">
        <f>Application!B637&amp;Application!C637</f>
        <v>1)CalHFA Senior Mortgage Loan</v>
      </c>
      <c r="G2" s="209" t="str">
        <f>Application!B638&amp;Application!C638</f>
        <v>2)CalHFA MIP Subordinate Subsidy Loan</v>
      </c>
      <c r="H2" s="209" t="str">
        <f>Application!B639&amp;Application!C639</f>
        <v>3)Deferred Developer Fee Note</v>
      </c>
      <c r="I2" s="209" t="str">
        <f>Application!B640&amp;Application!C640</f>
        <v>4)Net Cash Flow During Lease-Up</v>
      </c>
      <c r="J2" s="209" t="str">
        <f>Application!B641&amp;Application!C641</f>
        <v>5)Sponsor Loan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1175000</v>
      </c>
      <c r="C4" s="217">
        <v>1175000</v>
      </c>
      <c r="D4" s="217"/>
      <c r="E4" s="217">
        <v>1175000</v>
      </c>
      <c r="F4" s="217"/>
      <c r="G4" s="217"/>
      <c r="H4" s="217"/>
      <c r="I4" s="217"/>
      <c r="J4" s="217"/>
      <c r="K4" s="217"/>
      <c r="L4" s="217"/>
      <c r="M4" s="217"/>
      <c r="N4" s="217"/>
      <c r="O4" s="217"/>
      <c r="P4" s="217"/>
      <c r="Q4" s="217"/>
      <c r="R4" s="877">
        <f>SUM(E4:Q4)</f>
        <v>1175000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100000</v>
      </c>
      <c r="C6" s="217">
        <v>100000</v>
      </c>
      <c r="D6" s="217"/>
      <c r="E6" s="217">
        <v>100000</v>
      </c>
      <c r="F6" s="217"/>
      <c r="G6" s="217"/>
      <c r="H6" s="217"/>
      <c r="I6" s="217"/>
      <c r="J6" s="217"/>
      <c r="K6" s="217"/>
      <c r="L6" s="217"/>
      <c r="M6" s="217"/>
      <c r="N6" s="217"/>
      <c r="O6" s="217"/>
      <c r="P6" s="217"/>
      <c r="Q6" s="217"/>
      <c r="R6" s="877">
        <f>SUM(E6:Q6)</f>
        <v>100000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1275000</v>
      </c>
      <c r="C8" s="216">
        <f t="shared" ref="C8:Q8" si="0">SUM(C4:C7)</f>
        <v>1275000</v>
      </c>
      <c r="D8" s="216">
        <f t="shared" si="0"/>
        <v>0</v>
      </c>
      <c r="E8" s="216">
        <f t="shared" si="0"/>
        <v>1275000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1275000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1275000</v>
      </c>
      <c r="C12" s="216">
        <f t="shared" si="2"/>
        <v>1275000</v>
      </c>
      <c r="D12" s="216">
        <f t="shared" si="2"/>
        <v>0</v>
      </c>
      <c r="E12" s="216">
        <f t="shared" si="2"/>
        <v>1275000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1275000</v>
      </c>
      <c r="S12" s="218"/>
      <c r="T12" s="218"/>
      <c r="U12" s="213"/>
    </row>
    <row r="13" spans="1:21" s="214" customFormat="1">
      <c r="A13" s="449" t="s">
        <v>970</v>
      </c>
      <c r="B13" s="216">
        <f>SUM(C13+D13)</f>
        <v>100000</v>
      </c>
      <c r="C13" s="217">
        <v>100000</v>
      </c>
      <c r="D13" s="217"/>
      <c r="E13" s="217">
        <v>100000</v>
      </c>
      <c r="F13" s="217"/>
      <c r="G13" s="217"/>
      <c r="H13" s="217"/>
      <c r="I13" s="217"/>
      <c r="J13" s="217"/>
      <c r="K13" s="217"/>
      <c r="L13" s="217"/>
      <c r="M13" s="217"/>
      <c r="N13" s="217"/>
      <c r="O13" s="217"/>
      <c r="P13" s="217"/>
      <c r="Q13" s="217"/>
      <c r="R13" s="877">
        <f>SUM(E13:Q13)</f>
        <v>100000</v>
      </c>
      <c r="S13" s="217">
        <v>100000</v>
      </c>
      <c r="T13" s="217"/>
      <c r="U13" s="213"/>
    </row>
    <row r="14" spans="1:21" s="214" customFormat="1" ht="24">
      <c r="A14" s="450" t="s">
        <v>1951</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3"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1948</v>
      </c>
      <c r="B24" s="216">
        <f t="shared" ref="B24:B26" si="5">SUM(C24+D24)</f>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5"/>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5" si="7">SUM(C29+D29)</f>
        <v>6785000</v>
      </c>
      <c r="C29" s="217">
        <v>6785000</v>
      </c>
      <c r="D29" s="217"/>
      <c r="E29" s="217"/>
      <c r="F29" s="217">
        <v>6785000</v>
      </c>
      <c r="G29" s="217"/>
      <c r="H29" s="217"/>
      <c r="I29" s="217"/>
      <c r="J29" s="217"/>
      <c r="K29" s="217"/>
      <c r="L29" s="217"/>
      <c r="M29" s="217"/>
      <c r="N29" s="217"/>
      <c r="O29" s="217"/>
      <c r="P29" s="217"/>
      <c r="Q29" s="217"/>
      <c r="R29" s="877">
        <f t="shared" ref="R29:R37" si="8">SUM(E29:Q29)</f>
        <v>6785000</v>
      </c>
      <c r="S29" s="217">
        <v>6785000</v>
      </c>
      <c r="T29" s="217"/>
      <c r="U29" s="213"/>
    </row>
    <row r="30" spans="1:21" s="214" customFormat="1">
      <c r="A30" s="215" t="s">
        <v>633</v>
      </c>
      <c r="B30" s="216">
        <f t="shared" si="7"/>
        <v>33401020</v>
      </c>
      <c r="C30" s="217">
        <f>40186020-C29</f>
        <v>33401020</v>
      </c>
      <c r="D30" s="217"/>
      <c r="E30" s="217">
        <f>31667516-E13-E12-84019-2000</f>
        <v>30206497</v>
      </c>
      <c r="F30" s="217">
        <v>300496</v>
      </c>
      <c r="G30" s="217">
        <f>33401020-F30-E30-84019-2000</f>
        <v>2808008</v>
      </c>
      <c r="H30" s="217"/>
      <c r="I30" s="217"/>
      <c r="J30" s="217">
        <v>86019</v>
      </c>
      <c r="K30" s="217"/>
      <c r="L30" s="217"/>
      <c r="M30" s="217"/>
      <c r="N30" s="217"/>
      <c r="O30" s="217"/>
      <c r="P30" s="217"/>
      <c r="Q30" s="217"/>
      <c r="R30" s="877">
        <f t="shared" si="8"/>
        <v>33401020</v>
      </c>
      <c r="S30" s="217">
        <v>33401020</v>
      </c>
      <c r="T30" s="217"/>
      <c r="U30" s="213"/>
    </row>
    <row r="31" spans="1:21" s="214" customFormat="1">
      <c r="A31" s="215" t="s">
        <v>634</v>
      </c>
      <c r="B31" s="216">
        <f t="shared" si="7"/>
        <v>2300000</v>
      </c>
      <c r="C31" s="217">
        <v>2300000</v>
      </c>
      <c r="D31" s="217"/>
      <c r="E31" s="217"/>
      <c r="F31" s="217">
        <v>2300000</v>
      </c>
      <c r="G31" s="217"/>
      <c r="H31" s="217"/>
      <c r="I31" s="217"/>
      <c r="J31" s="217"/>
      <c r="K31" s="217"/>
      <c r="L31" s="217"/>
      <c r="M31" s="217"/>
      <c r="N31" s="217"/>
      <c r="O31" s="217"/>
      <c r="P31" s="217"/>
      <c r="Q31" s="217"/>
      <c r="R31" s="877">
        <f t="shared" si="8"/>
        <v>2300000</v>
      </c>
      <c r="S31" s="217">
        <v>2300000</v>
      </c>
      <c r="T31" s="217"/>
      <c r="U31" s="213"/>
    </row>
    <row r="32" spans="1:21" s="214" customFormat="1">
      <c r="A32" s="215" t="s">
        <v>142</v>
      </c>
      <c r="B32" s="216">
        <f t="shared" si="7"/>
        <v>551992</v>
      </c>
      <c r="C32" s="217">
        <f>2811992+40000-C31</f>
        <v>551992</v>
      </c>
      <c r="D32" s="217"/>
      <c r="E32" s="217"/>
      <c r="F32" s="217">
        <v>551992</v>
      </c>
      <c r="G32" s="217"/>
      <c r="H32" s="217"/>
      <c r="I32" s="217"/>
      <c r="J32" s="217"/>
      <c r="K32" s="217"/>
      <c r="L32" s="217"/>
      <c r="M32" s="217"/>
      <c r="N32" s="217"/>
      <c r="O32" s="217"/>
      <c r="P32" s="217"/>
      <c r="Q32" s="217"/>
      <c r="R32" s="877">
        <f t="shared" si="8"/>
        <v>551992</v>
      </c>
      <c r="S32" s="217">
        <v>551992</v>
      </c>
      <c r="T32" s="217"/>
      <c r="U32" s="213"/>
    </row>
    <row r="33" spans="1:21" s="214" customFormat="1">
      <c r="A33" s="215" t="s">
        <v>143</v>
      </c>
      <c r="B33" s="216">
        <f t="shared" si="7"/>
        <v>1721520</v>
      </c>
      <c r="C33" s="217">
        <v>1721520</v>
      </c>
      <c r="D33" s="217"/>
      <c r="E33" s="217"/>
      <c r="F33" s="217">
        <v>294994</v>
      </c>
      <c r="G33" s="217"/>
      <c r="H33" s="217"/>
      <c r="I33" s="217"/>
      <c r="J33" s="217">
        <v>1426526</v>
      </c>
      <c r="K33" s="217"/>
      <c r="L33" s="217"/>
      <c r="M33" s="217"/>
      <c r="N33" s="217"/>
      <c r="O33" s="217"/>
      <c r="P33" s="217"/>
      <c r="Q33" s="217"/>
      <c r="R33" s="877">
        <f t="shared" si="8"/>
        <v>1721520</v>
      </c>
      <c r="S33" s="217">
        <v>1721520</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7"/>
        <v>672139</v>
      </c>
      <c r="C35" s="1605">
        <f>614583+57556</f>
        <v>672139</v>
      </c>
      <c r="D35" s="217"/>
      <c r="E35" s="217"/>
      <c r="F35" s="217"/>
      <c r="G35" s="217"/>
      <c r="H35" s="217"/>
      <c r="I35" s="217"/>
      <c r="J35" s="217">
        <v>672139</v>
      </c>
      <c r="K35" s="217"/>
      <c r="L35" s="217"/>
      <c r="M35" s="217"/>
      <c r="N35" s="217"/>
      <c r="O35" s="217"/>
      <c r="P35" s="217"/>
      <c r="Q35" s="217"/>
      <c r="R35" s="877">
        <f t="shared" si="8"/>
        <v>672139</v>
      </c>
      <c r="S35" s="217">
        <v>672139</v>
      </c>
      <c r="T35" s="217"/>
      <c r="U35" s="213"/>
    </row>
    <row r="36" spans="1:21" s="214" customFormat="1">
      <c r="A36" s="1712" t="s">
        <v>1948</v>
      </c>
      <c r="B36" s="216">
        <f t="shared" ref="B36:B38" si="9">SUM(C36+D36)</f>
        <v>0</v>
      </c>
      <c r="C36" s="217"/>
      <c r="D36" s="217"/>
      <c r="E36" s="217"/>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9"/>
        <v>0</v>
      </c>
      <c r="C37" s="217"/>
      <c r="D37" s="217"/>
      <c r="E37" s="217"/>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9"/>
        <v>45431671</v>
      </c>
      <c r="C38" s="216">
        <f>SUM(C29:C37)</f>
        <v>45431671</v>
      </c>
      <c r="D38" s="216">
        <f t="shared" ref="D38:Q38" si="10">SUM(D29:D37)</f>
        <v>0</v>
      </c>
      <c r="E38" s="216">
        <f t="shared" si="10"/>
        <v>30206497</v>
      </c>
      <c r="F38" s="216">
        <f t="shared" si="10"/>
        <v>10232482</v>
      </c>
      <c r="G38" s="216">
        <f t="shared" si="10"/>
        <v>2808008</v>
      </c>
      <c r="H38" s="216">
        <f t="shared" si="10"/>
        <v>0</v>
      </c>
      <c r="I38" s="216">
        <f t="shared" si="10"/>
        <v>0</v>
      </c>
      <c r="J38" s="216">
        <f t="shared" si="10"/>
        <v>2184684</v>
      </c>
      <c r="K38" s="216">
        <f t="shared" si="10"/>
        <v>0</v>
      </c>
      <c r="L38" s="216">
        <f t="shared" si="10"/>
        <v>0</v>
      </c>
      <c r="M38" s="216">
        <f t="shared" si="10"/>
        <v>0</v>
      </c>
      <c r="N38" s="216">
        <f t="shared" si="10"/>
        <v>0</v>
      </c>
      <c r="O38" s="216">
        <f t="shared" si="10"/>
        <v>0</v>
      </c>
      <c r="P38" s="216">
        <f t="shared" si="10"/>
        <v>0</v>
      </c>
      <c r="Q38" s="216">
        <f t="shared" si="10"/>
        <v>0</v>
      </c>
      <c r="R38" s="532">
        <f>SUM(R29:R37)</f>
        <v>45431671</v>
      </c>
      <c r="S38" s="220">
        <f>SUM(S29:S37)</f>
        <v>45431671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1065000</v>
      </c>
      <c r="C40" s="217">
        <v>1065000</v>
      </c>
      <c r="D40" s="217"/>
      <c r="E40" s="217"/>
      <c r="F40" s="217">
        <v>1065000</v>
      </c>
      <c r="G40" s="217"/>
      <c r="H40" s="217"/>
      <c r="I40" s="217"/>
      <c r="J40" s="217"/>
      <c r="K40" s="217"/>
      <c r="L40" s="217"/>
      <c r="M40" s="217"/>
      <c r="N40" s="217"/>
      <c r="O40" s="217"/>
      <c r="P40" s="217"/>
      <c r="Q40" s="217"/>
      <c r="R40" s="877">
        <f>SUM(E40:Q40)</f>
        <v>1065000</v>
      </c>
      <c r="S40" s="217">
        <v>1065000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1065000</v>
      </c>
      <c r="C42" s="216">
        <f>SUM(C39:C41)</f>
        <v>1065000</v>
      </c>
      <c r="D42" s="216">
        <f>SUM(D39:D41)</f>
        <v>0</v>
      </c>
      <c r="E42" s="216">
        <f t="shared" ref="E42:T42" si="11">SUM(E40:E41)</f>
        <v>0</v>
      </c>
      <c r="F42" s="216">
        <f t="shared" si="11"/>
        <v>1065000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1065000</v>
      </c>
      <c r="S42" s="220">
        <f t="shared" si="11"/>
        <v>1065000</v>
      </c>
      <c r="T42" s="220">
        <f t="shared" si="11"/>
        <v>0</v>
      </c>
      <c r="U42" s="213"/>
    </row>
    <row r="43" spans="1:21" s="214" customFormat="1">
      <c r="A43" s="219" t="s">
        <v>153</v>
      </c>
      <c r="B43" s="216">
        <f>SUM(C43:D43)</f>
        <v>408000</v>
      </c>
      <c r="C43" s="217">
        <v>408000</v>
      </c>
      <c r="D43" s="217"/>
      <c r="E43" s="217"/>
      <c r="F43" s="217">
        <v>408000</v>
      </c>
      <c r="G43" s="217"/>
      <c r="H43" s="217"/>
      <c r="I43" s="217"/>
      <c r="J43" s="217"/>
      <c r="K43" s="217"/>
      <c r="L43" s="217"/>
      <c r="M43" s="217"/>
      <c r="N43" s="217"/>
      <c r="O43" s="217"/>
      <c r="P43" s="217"/>
      <c r="Q43" s="217"/>
      <c r="R43" s="877">
        <f>SUM(E43:Q43)</f>
        <v>408000</v>
      </c>
      <c r="S43" s="217">
        <v>408000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2393564</v>
      </c>
      <c r="C45" s="217">
        <v>2393564</v>
      </c>
      <c r="D45" s="217"/>
      <c r="E45" s="217"/>
      <c r="F45" s="217">
        <v>2393564</v>
      </c>
      <c r="G45" s="217"/>
      <c r="H45" s="217"/>
      <c r="I45" s="217"/>
      <c r="J45" s="217"/>
      <c r="K45" s="217"/>
      <c r="L45" s="217"/>
      <c r="M45" s="217"/>
      <c r="N45" s="217"/>
      <c r="O45" s="217"/>
      <c r="P45" s="217"/>
      <c r="Q45" s="217"/>
      <c r="R45" s="877">
        <f t="shared" ref="R45:R53" si="13">SUM(E45:Q45)</f>
        <v>2393564</v>
      </c>
      <c r="S45" s="217">
        <v>1031675</v>
      </c>
      <c r="T45" s="217"/>
      <c r="U45" s="213"/>
    </row>
    <row r="46" spans="1:21" s="214" customFormat="1">
      <c r="A46" s="215" t="s">
        <v>156</v>
      </c>
      <c r="B46" s="216">
        <f t="shared" si="12"/>
        <v>353451</v>
      </c>
      <c r="C46" s="217">
        <v>353451</v>
      </c>
      <c r="D46" s="217"/>
      <c r="E46" s="217"/>
      <c r="F46" s="217">
        <v>353451</v>
      </c>
      <c r="G46" s="217"/>
      <c r="H46" s="217"/>
      <c r="I46" s="217"/>
      <c r="J46" s="217"/>
      <c r="K46" s="217"/>
      <c r="L46" s="217"/>
      <c r="M46" s="217"/>
      <c r="N46" s="217"/>
      <c r="O46" s="217"/>
      <c r="P46" s="217"/>
      <c r="Q46" s="217"/>
      <c r="R46" s="877">
        <f t="shared" si="13"/>
        <v>353451</v>
      </c>
      <c r="S46" s="217">
        <v>353451</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424546</v>
      </c>
      <c r="C49" s="217">
        <v>424546</v>
      </c>
      <c r="D49" s="217"/>
      <c r="E49" s="217"/>
      <c r="F49" s="217">
        <v>424546</v>
      </c>
      <c r="G49" s="217"/>
      <c r="H49" s="217"/>
      <c r="I49" s="217"/>
      <c r="J49" s="217"/>
      <c r="K49" s="217"/>
      <c r="L49" s="217"/>
      <c r="M49" s="217"/>
      <c r="N49" s="217"/>
      <c r="O49" s="217"/>
      <c r="P49" s="217"/>
      <c r="Q49" s="217"/>
      <c r="R49" s="877">
        <f t="shared" si="13"/>
        <v>424546</v>
      </c>
      <c r="S49" s="217">
        <v>212273</v>
      </c>
      <c r="T49" s="217"/>
      <c r="U49" s="213"/>
    </row>
    <row r="50" spans="1:21" s="214" customFormat="1">
      <c r="A50" s="215" t="s">
        <v>161</v>
      </c>
      <c r="B50" s="216">
        <f t="shared" si="12"/>
        <v>80000</v>
      </c>
      <c r="C50" s="217">
        <v>80000</v>
      </c>
      <c r="D50" s="217"/>
      <c r="E50" s="217"/>
      <c r="F50" s="217">
        <v>80000</v>
      </c>
      <c r="G50" s="217"/>
      <c r="H50" s="217"/>
      <c r="I50" s="217"/>
      <c r="J50" s="217"/>
      <c r="K50" s="217"/>
      <c r="L50" s="217"/>
      <c r="M50" s="217"/>
      <c r="N50" s="217"/>
      <c r="O50" s="217"/>
      <c r="P50" s="217"/>
      <c r="Q50" s="217"/>
      <c r="R50" s="877">
        <f t="shared" si="13"/>
        <v>80000</v>
      </c>
      <c r="S50" s="217">
        <v>80000</v>
      </c>
      <c r="T50" s="217"/>
      <c r="U50" s="213"/>
    </row>
    <row r="51" spans="1:21" s="214" customFormat="1">
      <c r="A51" s="440" t="s">
        <v>159</v>
      </c>
      <c r="B51" s="216">
        <f t="shared" si="12"/>
        <v>28905</v>
      </c>
      <c r="C51" s="217">
        <v>28905</v>
      </c>
      <c r="D51" s="217"/>
      <c r="E51" s="217"/>
      <c r="F51" s="217">
        <v>28905</v>
      </c>
      <c r="G51" s="217"/>
      <c r="H51" s="217"/>
      <c r="I51" s="217"/>
      <c r="J51" s="217"/>
      <c r="K51" s="217"/>
      <c r="L51" s="217"/>
      <c r="M51" s="217"/>
      <c r="N51" s="217"/>
      <c r="O51" s="217"/>
      <c r="P51" s="217"/>
      <c r="Q51" s="217"/>
      <c r="R51" s="877">
        <f t="shared" si="13"/>
        <v>28905</v>
      </c>
      <c r="S51" s="217"/>
      <c r="T51" s="217"/>
      <c r="U51" s="213"/>
    </row>
    <row r="52" spans="1:21" s="214" customFormat="1">
      <c r="A52" s="215" t="s">
        <v>160</v>
      </c>
      <c r="B52" s="216">
        <f t="shared" si="12"/>
        <v>395638</v>
      </c>
      <c r="C52" s="217">
        <v>395638</v>
      </c>
      <c r="D52" s="217"/>
      <c r="E52" s="217"/>
      <c r="F52" s="217">
        <v>395638</v>
      </c>
      <c r="G52" s="217"/>
      <c r="H52" s="217"/>
      <c r="I52" s="217"/>
      <c r="J52" s="217"/>
      <c r="K52" s="217"/>
      <c r="L52" s="217"/>
      <c r="M52" s="217"/>
      <c r="N52" s="217"/>
      <c r="O52" s="217"/>
      <c r="P52" s="217"/>
      <c r="Q52" s="217"/>
      <c r="R52" s="877">
        <f t="shared" si="13"/>
        <v>395638</v>
      </c>
      <c r="S52" s="217">
        <v>395638</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3676104</v>
      </c>
      <c r="C54" s="220">
        <f t="shared" ref="C54:T54" si="14">SUM(C45:C53)</f>
        <v>3676104</v>
      </c>
      <c r="D54" s="220">
        <f t="shared" si="14"/>
        <v>0</v>
      </c>
      <c r="E54" s="220">
        <f t="shared" si="14"/>
        <v>0</v>
      </c>
      <c r="F54" s="220">
        <f t="shared" si="14"/>
        <v>3676104</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3676104</v>
      </c>
      <c r="S54" s="220">
        <f t="shared" si="14"/>
        <v>2073037</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375879</v>
      </c>
      <c r="C56" s="217">
        <v>375879</v>
      </c>
      <c r="D56" s="217"/>
      <c r="E56" s="217"/>
      <c r="F56" s="217">
        <v>375879</v>
      </c>
      <c r="G56" s="217"/>
      <c r="H56" s="217"/>
      <c r="I56" s="217"/>
      <c r="J56" s="217"/>
      <c r="K56" s="217"/>
      <c r="L56" s="217"/>
      <c r="M56" s="217"/>
      <c r="N56" s="217"/>
      <c r="O56" s="217"/>
      <c r="P56" s="217"/>
      <c r="Q56" s="217"/>
      <c r="R56" s="877">
        <f t="shared" ref="R56:R61" si="16">SUM(E56:Q56)</f>
        <v>375879</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20000</v>
      </c>
      <c r="C58" s="217">
        <v>20000</v>
      </c>
      <c r="D58" s="217"/>
      <c r="E58" s="217"/>
      <c r="F58" s="217">
        <v>20000</v>
      </c>
      <c r="G58" s="217"/>
      <c r="H58" s="217"/>
      <c r="I58" s="217"/>
      <c r="J58" s="217"/>
      <c r="K58" s="217"/>
      <c r="L58" s="217"/>
      <c r="M58" s="217"/>
      <c r="N58" s="217"/>
      <c r="O58" s="217"/>
      <c r="P58" s="217"/>
      <c r="Q58" s="217"/>
      <c r="R58" s="877">
        <f t="shared" si="16"/>
        <v>20000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7" customHeight="1">
      <c r="A62" s="219" t="s">
        <v>308</v>
      </c>
      <c r="B62" s="216">
        <f>SUM(C62:D62)</f>
        <v>395879</v>
      </c>
      <c r="C62" s="216">
        <f t="shared" ref="C62:R62" si="17">SUM(C56:C61)</f>
        <v>395879</v>
      </c>
      <c r="D62" s="216">
        <f t="shared" si="17"/>
        <v>0</v>
      </c>
      <c r="E62" s="216">
        <f t="shared" si="17"/>
        <v>0</v>
      </c>
      <c r="F62" s="216">
        <f t="shared" si="17"/>
        <v>395879</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395879</v>
      </c>
      <c r="S62" s="218"/>
      <c r="T62" s="218"/>
      <c r="U62" s="213"/>
    </row>
    <row r="63" spans="1:21" s="214" customFormat="1">
      <c r="A63" s="225" t="s">
        <v>309</v>
      </c>
      <c r="B63" s="216">
        <f t="shared" ref="B63:R63" si="18">SUM(B8+B11+B13+B14+B15+B26+B27+B38+B42+B43+B54+B62)</f>
        <v>52351654</v>
      </c>
      <c r="C63" s="216">
        <f t="shared" si="18"/>
        <v>52351654</v>
      </c>
      <c r="D63" s="216">
        <f t="shared" si="18"/>
        <v>0</v>
      </c>
      <c r="E63" s="216">
        <f t="shared" si="18"/>
        <v>31581497</v>
      </c>
      <c r="F63" s="216">
        <f t="shared" si="18"/>
        <v>15777465</v>
      </c>
      <c r="G63" s="216">
        <f t="shared" si="18"/>
        <v>2808008</v>
      </c>
      <c r="H63" s="216">
        <f t="shared" si="18"/>
        <v>0</v>
      </c>
      <c r="I63" s="216">
        <f t="shared" si="18"/>
        <v>0</v>
      </c>
      <c r="J63" s="216">
        <f t="shared" si="18"/>
        <v>2184684</v>
      </c>
      <c r="K63" s="216">
        <f t="shared" si="18"/>
        <v>0</v>
      </c>
      <c r="L63" s="216">
        <f t="shared" si="18"/>
        <v>0</v>
      </c>
      <c r="M63" s="216">
        <f t="shared" si="18"/>
        <v>0</v>
      </c>
      <c r="N63" s="216">
        <f t="shared" si="18"/>
        <v>0</v>
      </c>
      <c r="O63" s="216">
        <f t="shared" si="18"/>
        <v>0</v>
      </c>
      <c r="P63" s="216">
        <f t="shared" si="18"/>
        <v>0</v>
      </c>
      <c r="Q63" s="216">
        <f t="shared" si="18"/>
        <v>0</v>
      </c>
      <c r="R63" s="532">
        <f t="shared" si="18"/>
        <v>52351654</v>
      </c>
      <c r="S63" s="216">
        <f>SUM(S10+S13+S14+S15+S26+S27+S38+S42+S43+S54)</f>
        <v>49077708</v>
      </c>
      <c r="T63" s="216">
        <f>SUM(T11+T13+T14+T15+T26+T27+T38+T42+T43+T54)</f>
        <v>0</v>
      </c>
      <c r="U63" s="213"/>
    </row>
    <row r="64" spans="1:21" s="214" customFormat="1" ht="24">
      <c r="A64" s="211" t="s">
        <v>1952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120000</v>
      </c>
      <c r="C65" s="217">
        <f>70000+50000</f>
        <v>120000</v>
      </c>
      <c r="D65" s="217"/>
      <c r="E65" s="217"/>
      <c r="F65" s="217">
        <v>120000</v>
      </c>
      <c r="G65" s="217"/>
      <c r="H65" s="217"/>
      <c r="I65" s="217"/>
      <c r="J65" s="217"/>
      <c r="K65" s="217"/>
      <c r="L65" s="217"/>
      <c r="M65" s="217"/>
      <c r="N65" s="217"/>
      <c r="O65" s="217"/>
      <c r="P65" s="217"/>
      <c r="Q65" s="217"/>
      <c r="R65" s="877">
        <f>SUM(E65:Q65)</f>
        <v>120000</v>
      </c>
      <c r="S65" s="217">
        <v>50000</v>
      </c>
      <c r="T65" s="217"/>
      <c r="U65" s="213"/>
    </row>
    <row r="66" spans="1:21" s="214" customFormat="1" ht="24" customHeight="1">
      <c r="A66" s="440" t="s">
        <v>1949</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1950</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1956</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04" t="s">
        <v>2623</v>
      </c>
      <c r="B69" s="216">
        <f t="shared" si="19"/>
        <v>70000</v>
      </c>
      <c r="C69" s="217">
        <v>70000</v>
      </c>
      <c r="D69" s="217"/>
      <c r="E69" s="217"/>
      <c r="F69" s="217">
        <v>70000</v>
      </c>
      <c r="G69" s="217"/>
      <c r="H69" s="217"/>
      <c r="I69" s="217"/>
      <c r="J69" s="217"/>
      <c r="K69" s="217"/>
      <c r="L69" s="217"/>
      <c r="M69" s="217"/>
      <c r="N69" s="217"/>
      <c r="O69" s="217"/>
      <c r="P69" s="217"/>
      <c r="Q69" s="217"/>
      <c r="R69" s="877">
        <f>SUM(E69:Q69)</f>
        <v>70000</v>
      </c>
      <c r="S69" s="217">
        <v>70000</v>
      </c>
      <c r="T69" s="217"/>
      <c r="U69" s="213"/>
    </row>
    <row r="70" spans="1:21" s="214" customFormat="1">
      <c r="A70" s="219" t="s">
        <v>1953</v>
      </c>
      <c r="B70" s="216">
        <f>SUM(C70:D70)</f>
        <v>190000</v>
      </c>
      <c r="C70" s="216">
        <f>SUM(C65:C69)</f>
        <v>190000</v>
      </c>
      <c r="D70" s="216">
        <f>SUM(D65:D69)</f>
        <v>0</v>
      </c>
      <c r="E70" s="216">
        <f t="shared" ref="E70:T70" si="21">SUM(E65:E69)</f>
        <v>0</v>
      </c>
      <c r="F70" s="216">
        <f t="shared" si="21"/>
        <v>190000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190000</v>
      </c>
      <c r="S70" s="220">
        <f t="shared" si="21"/>
        <v>120000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583255</v>
      </c>
      <c r="C75" s="217">
        <v>583255</v>
      </c>
      <c r="D75" s="217"/>
      <c r="E75" s="217"/>
      <c r="F75" s="217">
        <v>583255</v>
      </c>
      <c r="G75" s="217"/>
      <c r="H75" s="217"/>
      <c r="I75" s="217"/>
      <c r="J75" s="217"/>
      <c r="K75" s="217"/>
      <c r="L75" s="217"/>
      <c r="M75" s="217"/>
      <c r="N75" s="217"/>
      <c r="O75" s="217"/>
      <c r="P75" s="217"/>
      <c r="Q75" s="217"/>
      <c r="R75" s="877">
        <f>SUM(E75:Q75)</f>
        <v>583255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583255</v>
      </c>
      <c r="C77" s="216">
        <f>SUM(C72:C76)</f>
        <v>583255</v>
      </c>
      <c r="D77" s="216">
        <f>SUM(D72:D76)</f>
        <v>0</v>
      </c>
      <c r="E77" s="216">
        <f t="shared" ref="E77:Q77" si="22">SUM(E72:E76)</f>
        <v>0</v>
      </c>
      <c r="F77" s="216">
        <f t="shared" si="22"/>
        <v>583255</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583255</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3133167</v>
      </c>
      <c r="C79" s="217">
        <v>3133167</v>
      </c>
      <c r="D79" s="217"/>
      <c r="E79" s="217"/>
      <c r="F79" s="217">
        <v>3133167</v>
      </c>
      <c r="G79" s="217"/>
      <c r="H79" s="217"/>
      <c r="I79" s="217"/>
      <c r="J79" s="217"/>
      <c r="K79" s="217"/>
      <c r="L79" s="217"/>
      <c r="M79" s="217"/>
      <c r="N79" s="217"/>
      <c r="O79" s="217"/>
      <c r="P79" s="217"/>
      <c r="Q79" s="217"/>
      <c r="R79" s="877">
        <f>SUM(E79:Q79)</f>
        <v>3133167</v>
      </c>
      <c r="S79" s="217">
        <v>3133167</v>
      </c>
      <c r="T79" s="217"/>
      <c r="U79" s="213"/>
    </row>
    <row r="80" spans="1:21" s="214" customFormat="1">
      <c r="A80" s="440" t="s">
        <v>61</v>
      </c>
      <c r="B80" s="216">
        <f>SUM(C80:D80)</f>
        <v>330339</v>
      </c>
      <c r="C80" s="217">
        <v>330339</v>
      </c>
      <c r="D80" s="217"/>
      <c r="E80" s="217"/>
      <c r="F80" s="217">
        <v>330339</v>
      </c>
      <c r="G80" s="217"/>
      <c r="H80" s="217"/>
      <c r="I80" s="217"/>
      <c r="J80" s="217"/>
      <c r="K80" s="217"/>
      <c r="L80" s="217"/>
      <c r="M80" s="217"/>
      <c r="N80" s="217"/>
      <c r="O80" s="217"/>
      <c r="P80" s="217"/>
      <c r="Q80" s="217"/>
      <c r="R80" s="877">
        <f>SUM(E80:Q80)</f>
        <v>330339</v>
      </c>
      <c r="S80" s="217">
        <v>280788</v>
      </c>
      <c r="T80" s="217"/>
      <c r="U80" s="213"/>
    </row>
    <row r="81" spans="1:21" s="214" customFormat="1">
      <c r="A81" s="219" t="s">
        <v>1415</v>
      </c>
      <c r="B81" s="216">
        <f>SUM(C81:D81)</f>
        <v>3463506</v>
      </c>
      <c r="C81" s="857">
        <f>SUM(C79:C80)</f>
        <v>3463506</v>
      </c>
      <c r="D81" s="857">
        <f t="shared" ref="D81:T81" si="23">SUM(D79:D80)</f>
        <v>0</v>
      </c>
      <c r="E81" s="857">
        <f t="shared" si="23"/>
        <v>0</v>
      </c>
      <c r="F81" s="857">
        <f t="shared" si="23"/>
        <v>3463506</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3463506</v>
      </c>
      <c r="S81" s="857">
        <f t="shared" si="23"/>
        <v>3413955</v>
      </c>
      <c r="T81" s="857">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4">SUM(C83+D83)</f>
        <v>577624</v>
      </c>
      <c r="C83" s="217">
        <f>140176+437448</f>
        <v>577624</v>
      </c>
      <c r="D83" s="217"/>
      <c r="E83" s="217"/>
      <c r="F83" s="217">
        <v>577624</v>
      </c>
      <c r="G83" s="217"/>
      <c r="H83" s="217"/>
      <c r="I83" s="217"/>
      <c r="J83" s="217"/>
      <c r="K83" s="217"/>
      <c r="L83" s="217"/>
      <c r="M83" s="217"/>
      <c r="N83" s="217"/>
      <c r="O83" s="217"/>
      <c r="P83" s="217"/>
      <c r="Q83" s="217"/>
      <c r="R83" s="877">
        <f t="shared" ref="R83:R95" si="25">SUM(E83:Q83)</f>
        <v>577624</v>
      </c>
      <c r="S83" s="218"/>
      <c r="T83" s="218"/>
      <c r="U83" s="213"/>
    </row>
    <row r="84" spans="1:21" s="214" customFormat="1">
      <c r="A84" s="215" t="s">
        <v>824</v>
      </c>
      <c r="B84" s="216">
        <f t="shared" si="24"/>
        <v>771765</v>
      </c>
      <c r="C84" s="217">
        <f>729015+15750+27000</f>
        <v>771765</v>
      </c>
      <c r="D84" s="217"/>
      <c r="E84" s="217"/>
      <c r="F84" s="217">
        <v>771765</v>
      </c>
      <c r="G84" s="217"/>
      <c r="H84" s="217"/>
      <c r="I84" s="217"/>
      <c r="J84" s="217"/>
      <c r="K84" s="217"/>
      <c r="L84" s="217"/>
      <c r="M84" s="217"/>
      <c r="N84" s="217"/>
      <c r="O84" s="217"/>
      <c r="P84" s="217"/>
      <c r="Q84" s="217"/>
      <c r="R84" s="877">
        <f t="shared" si="25"/>
        <v>771765</v>
      </c>
      <c r="S84" s="217">
        <v>771765</v>
      </c>
      <c r="T84" s="217"/>
      <c r="U84" s="213"/>
    </row>
    <row r="85" spans="1:21" s="214" customFormat="1">
      <c r="A85" s="215" t="s">
        <v>825</v>
      </c>
      <c r="B85" s="216">
        <f t="shared" si="24"/>
        <v>1268586</v>
      </c>
      <c r="C85" s="217">
        <v>1268586</v>
      </c>
      <c r="D85" s="217"/>
      <c r="E85" s="217"/>
      <c r="F85" s="217">
        <v>1164001</v>
      </c>
      <c r="G85" s="217">
        <v>104585</v>
      </c>
      <c r="H85" s="217"/>
      <c r="I85" s="217"/>
      <c r="J85" s="217"/>
      <c r="K85" s="217"/>
      <c r="L85" s="217"/>
      <c r="M85" s="217"/>
      <c r="N85" s="217"/>
      <c r="O85" s="217"/>
      <c r="P85" s="217"/>
      <c r="Q85" s="217"/>
      <c r="R85" s="877">
        <f t="shared" si="25"/>
        <v>1268586</v>
      </c>
      <c r="S85" s="217">
        <v>1268586</v>
      </c>
      <c r="T85" s="217"/>
      <c r="U85" s="213"/>
    </row>
    <row r="86" spans="1:21" s="214" customFormat="1">
      <c r="A86" s="215" t="s">
        <v>826</v>
      </c>
      <c r="B86" s="216">
        <f t="shared" si="24"/>
        <v>4271666</v>
      </c>
      <c r="C86" s="217">
        <f>5540252-C85</f>
        <v>4271666</v>
      </c>
      <c r="D86" s="217"/>
      <c r="E86" s="217"/>
      <c r="F86" s="217"/>
      <c r="G86" s="217">
        <v>4271666</v>
      </c>
      <c r="H86" s="217"/>
      <c r="I86" s="217"/>
      <c r="J86" s="217"/>
      <c r="K86" s="217"/>
      <c r="L86" s="217"/>
      <c r="M86" s="217"/>
      <c r="N86" s="217"/>
      <c r="O86" s="217"/>
      <c r="P86" s="217"/>
      <c r="Q86" s="217"/>
      <c r="R86" s="877">
        <f t="shared" si="25"/>
        <v>4271666</v>
      </c>
      <c r="S86" s="217">
        <v>4271666</v>
      </c>
      <c r="T86" s="217"/>
      <c r="U86" s="213"/>
    </row>
    <row r="87" spans="1:21" s="214" customFormat="1">
      <c r="A87" s="215" t="s">
        <v>827</v>
      </c>
      <c r="B87" s="216">
        <f t="shared" si="24"/>
        <v>0</v>
      </c>
      <c r="C87" s="217"/>
      <c r="D87" s="217"/>
      <c r="E87" s="217"/>
      <c r="F87" s="217"/>
      <c r="G87" s="217"/>
      <c r="H87" s="217"/>
      <c r="I87" s="217"/>
      <c r="J87" s="217"/>
      <c r="K87" s="217"/>
      <c r="L87" s="217"/>
      <c r="M87" s="217"/>
      <c r="N87" s="217"/>
      <c r="O87" s="217"/>
      <c r="P87" s="217"/>
      <c r="Q87" s="217"/>
      <c r="R87" s="877">
        <f t="shared" si="25"/>
        <v>0</v>
      </c>
      <c r="S87" s="217"/>
      <c r="T87" s="217"/>
      <c r="U87" s="213"/>
    </row>
    <row r="88" spans="1:21" s="214" customFormat="1">
      <c r="A88" s="215" t="s">
        <v>828</v>
      </c>
      <c r="B88" s="216">
        <f t="shared" si="24"/>
        <v>153226</v>
      </c>
      <c r="C88" s="217">
        <v>153226</v>
      </c>
      <c r="D88" s="217"/>
      <c r="E88" s="217"/>
      <c r="F88" s="217"/>
      <c r="G88" s="217">
        <v>153226</v>
      </c>
      <c r="H88" s="217"/>
      <c r="I88" s="217"/>
      <c r="J88" s="217"/>
      <c r="K88" s="217"/>
      <c r="L88" s="217"/>
      <c r="M88" s="217"/>
      <c r="N88" s="217"/>
      <c r="O88" s="217"/>
      <c r="P88" s="217"/>
      <c r="Q88" s="217"/>
      <c r="R88" s="877">
        <f t="shared" si="25"/>
        <v>153226</v>
      </c>
      <c r="S88" s="218"/>
      <c r="T88" s="218"/>
      <c r="U88" s="213"/>
    </row>
    <row r="89" spans="1:21" s="214" customFormat="1">
      <c r="A89" s="215" t="s">
        <v>829</v>
      </c>
      <c r="B89" s="216">
        <f t="shared" si="24"/>
        <v>200000</v>
      </c>
      <c r="C89" s="217">
        <v>200000</v>
      </c>
      <c r="D89" s="217"/>
      <c r="E89" s="217"/>
      <c r="F89" s="217"/>
      <c r="G89" s="217">
        <v>200000</v>
      </c>
      <c r="H89" s="217"/>
      <c r="I89" s="217"/>
      <c r="J89" s="217"/>
      <c r="K89" s="217"/>
      <c r="L89" s="217"/>
      <c r="M89" s="217"/>
      <c r="N89" s="217"/>
      <c r="O89" s="217"/>
      <c r="P89" s="217"/>
      <c r="Q89" s="217"/>
      <c r="R89" s="877">
        <f t="shared" si="25"/>
        <v>200000</v>
      </c>
      <c r="S89" s="217">
        <v>200000</v>
      </c>
      <c r="T89" s="217"/>
      <c r="U89" s="213"/>
    </row>
    <row r="90" spans="1:21" s="214" customFormat="1">
      <c r="A90" s="215" t="s">
        <v>830</v>
      </c>
      <c r="B90" s="216">
        <f t="shared" si="24"/>
        <v>9500</v>
      </c>
      <c r="C90" s="217">
        <v>9500</v>
      </c>
      <c r="D90" s="217"/>
      <c r="E90" s="217"/>
      <c r="F90" s="217"/>
      <c r="G90" s="217">
        <v>9500</v>
      </c>
      <c r="H90" s="217"/>
      <c r="I90" s="217"/>
      <c r="J90" s="217"/>
      <c r="K90" s="217"/>
      <c r="L90" s="217"/>
      <c r="M90" s="217"/>
      <c r="N90" s="217"/>
      <c r="O90" s="217"/>
      <c r="P90" s="217"/>
      <c r="Q90" s="217"/>
      <c r="R90" s="877">
        <f t="shared" si="25"/>
        <v>9500</v>
      </c>
      <c r="S90" s="217">
        <v>9500</v>
      </c>
      <c r="T90" s="217"/>
      <c r="U90" s="213"/>
    </row>
    <row r="91" spans="1:21" s="214" customFormat="1">
      <c r="A91" s="1713" t="s">
        <v>389</v>
      </c>
      <c r="B91" s="216">
        <f t="shared" si="24"/>
        <v>45000</v>
      </c>
      <c r="C91" s="217">
        <v>45000</v>
      </c>
      <c r="D91" s="217"/>
      <c r="E91" s="217"/>
      <c r="F91" s="217"/>
      <c r="G91" s="217">
        <v>45000</v>
      </c>
      <c r="H91" s="217"/>
      <c r="I91" s="217"/>
      <c r="J91" s="217"/>
      <c r="K91" s="217"/>
      <c r="L91" s="217"/>
      <c r="M91" s="217"/>
      <c r="N91" s="217"/>
      <c r="O91" s="217"/>
      <c r="P91" s="217"/>
      <c r="Q91" s="217"/>
      <c r="R91" s="877">
        <f t="shared" si="25"/>
        <v>45000</v>
      </c>
      <c r="S91" s="217">
        <v>22500</v>
      </c>
      <c r="T91" s="217"/>
      <c r="U91" s="213"/>
    </row>
    <row r="92" spans="1:21" s="214" customFormat="1">
      <c r="A92" s="1712" t="s">
        <v>1417</v>
      </c>
      <c r="B92" s="216">
        <f t="shared" si="24"/>
        <v>8000</v>
      </c>
      <c r="C92" s="217">
        <v>8000</v>
      </c>
      <c r="D92" s="217"/>
      <c r="E92" s="217"/>
      <c r="F92" s="217"/>
      <c r="G92" s="217">
        <v>8000</v>
      </c>
      <c r="H92" s="217"/>
      <c r="I92" s="217"/>
      <c r="J92" s="217"/>
      <c r="K92" s="217"/>
      <c r="L92" s="217"/>
      <c r="M92" s="217"/>
      <c r="N92" s="217"/>
      <c r="O92" s="217"/>
      <c r="P92" s="217"/>
      <c r="Q92" s="217"/>
      <c r="R92" s="877">
        <f t="shared" si="25"/>
        <v>8000</v>
      </c>
      <c r="S92" s="217">
        <v>8000</v>
      </c>
      <c r="T92" s="217"/>
      <c r="U92" s="213"/>
    </row>
    <row r="93" spans="1:21" s="214" customFormat="1">
      <c r="A93" s="1804" t="s">
        <v>2620</v>
      </c>
      <c r="B93" s="216">
        <f t="shared" si="24"/>
        <v>88000</v>
      </c>
      <c r="C93" s="217">
        <v>88000</v>
      </c>
      <c r="D93" s="217"/>
      <c r="E93" s="217"/>
      <c r="F93" s="217"/>
      <c r="G93" s="217">
        <v>88000</v>
      </c>
      <c r="H93" s="217"/>
      <c r="I93" s="217"/>
      <c r="J93" s="217"/>
      <c r="K93" s="217"/>
      <c r="L93" s="217"/>
      <c r="M93" s="217"/>
      <c r="N93" s="217"/>
      <c r="O93" s="217"/>
      <c r="P93" s="217"/>
      <c r="Q93" s="217"/>
      <c r="R93" s="877">
        <f t="shared" si="25"/>
        <v>88000</v>
      </c>
      <c r="S93" s="217"/>
      <c r="T93" s="217"/>
      <c r="U93" s="213"/>
    </row>
    <row r="94" spans="1:21" s="214" customFormat="1">
      <c r="A94" s="1804" t="s">
        <v>2621</v>
      </c>
      <c r="B94" s="216">
        <f t="shared" si="24"/>
        <v>250002</v>
      </c>
      <c r="C94" s="217">
        <v>250002</v>
      </c>
      <c r="D94" s="217"/>
      <c r="E94" s="217"/>
      <c r="F94" s="217"/>
      <c r="G94" s="217">
        <v>250002</v>
      </c>
      <c r="H94" s="217"/>
      <c r="I94" s="217"/>
      <c r="J94" s="217"/>
      <c r="K94" s="217"/>
      <c r="L94" s="217"/>
      <c r="M94" s="217"/>
      <c r="N94" s="217"/>
      <c r="O94" s="217"/>
      <c r="P94" s="217"/>
      <c r="Q94" s="217"/>
      <c r="R94" s="877">
        <f t="shared" si="25"/>
        <v>250002</v>
      </c>
      <c r="S94" s="217">
        <v>250002</v>
      </c>
      <c r="T94" s="217"/>
      <c r="U94" s="213"/>
    </row>
    <row r="95" spans="1:21" s="214" customFormat="1">
      <c r="A95" s="1804" t="s">
        <v>2622</v>
      </c>
      <c r="B95" s="216">
        <f t="shared" si="24"/>
        <v>45000</v>
      </c>
      <c r="C95" s="217">
        <v>45000</v>
      </c>
      <c r="D95" s="217"/>
      <c r="E95" s="217"/>
      <c r="F95" s="217"/>
      <c r="G95" s="217">
        <v>45000</v>
      </c>
      <c r="H95" s="217"/>
      <c r="I95" s="217"/>
      <c r="J95" s="217"/>
      <c r="K95" s="217"/>
      <c r="L95" s="217"/>
      <c r="M95" s="217"/>
      <c r="N95" s="217"/>
      <c r="O95" s="217"/>
      <c r="P95" s="217"/>
      <c r="Q95" s="217"/>
      <c r="R95" s="877">
        <f t="shared" si="25"/>
        <v>45000</v>
      </c>
      <c r="S95" s="217"/>
      <c r="T95" s="217"/>
      <c r="U95" s="213"/>
    </row>
    <row r="96" spans="1:21" s="214" customFormat="1">
      <c r="A96" s="219" t="s">
        <v>831</v>
      </c>
      <c r="B96" s="216">
        <f>SUM(C96:D96)</f>
        <v>7688369</v>
      </c>
      <c r="C96" s="216">
        <f t="shared" ref="C96:R96" si="26">SUM(C83:C95)</f>
        <v>7688369</v>
      </c>
      <c r="D96" s="216">
        <f t="shared" si="26"/>
        <v>0</v>
      </c>
      <c r="E96" s="216">
        <f t="shared" si="26"/>
        <v>0</v>
      </c>
      <c r="F96" s="216">
        <f t="shared" si="26"/>
        <v>2513390</v>
      </c>
      <c r="G96" s="216">
        <f t="shared" si="26"/>
        <v>5174979</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2">
        <f t="shared" si="26"/>
        <v>7688369</v>
      </c>
      <c r="S96" s="220">
        <f>SUM(S84:S87,S89:S95)</f>
        <v>6802019</v>
      </c>
      <c r="T96" s="216">
        <f>SUM(T84:T87,T89:T95)</f>
        <v>0</v>
      </c>
      <c r="U96" s="213"/>
    </row>
    <row r="97" spans="1:21" s="214" customFormat="1">
      <c r="A97" s="219" t="s">
        <v>832</v>
      </c>
      <c r="B97" s="216">
        <f>SUM(C97:D97)</f>
        <v>64276784</v>
      </c>
      <c r="C97" s="216">
        <f t="shared" ref="C97:R97" si="27">SUM(C63+C70+C77+C81+C96)</f>
        <v>64276784</v>
      </c>
      <c r="D97" s="216">
        <f t="shared" si="27"/>
        <v>0</v>
      </c>
      <c r="E97" s="216">
        <f t="shared" si="27"/>
        <v>31581497</v>
      </c>
      <c r="F97" s="216">
        <f t="shared" si="27"/>
        <v>22527616</v>
      </c>
      <c r="G97" s="216">
        <f t="shared" si="27"/>
        <v>7982987</v>
      </c>
      <c r="H97" s="216">
        <f t="shared" si="27"/>
        <v>0</v>
      </c>
      <c r="I97" s="216">
        <f t="shared" si="27"/>
        <v>0</v>
      </c>
      <c r="J97" s="216">
        <f t="shared" si="27"/>
        <v>2184684</v>
      </c>
      <c r="K97" s="216">
        <f t="shared" si="27"/>
        <v>0</v>
      </c>
      <c r="L97" s="216">
        <f t="shared" si="27"/>
        <v>0</v>
      </c>
      <c r="M97" s="216">
        <f t="shared" si="27"/>
        <v>0</v>
      </c>
      <c r="N97" s="216">
        <f t="shared" si="27"/>
        <v>0</v>
      </c>
      <c r="O97" s="216">
        <f t="shared" si="27"/>
        <v>0</v>
      </c>
      <c r="P97" s="216">
        <f t="shared" si="27"/>
        <v>0</v>
      </c>
      <c r="Q97" s="216">
        <f t="shared" si="27"/>
        <v>0</v>
      </c>
      <c r="R97" s="216">
        <f t="shared" si="27"/>
        <v>64276784</v>
      </c>
      <c r="S97" s="216">
        <f>SUM(S63+S70+S81+S96)</f>
        <v>59413682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605">
        <v>3500000</v>
      </c>
      <c r="D99" s="1605"/>
      <c r="E99" s="1605"/>
      <c r="F99" s="217">
        <v>25384</v>
      </c>
      <c r="G99" s="217">
        <v>17013</v>
      </c>
      <c r="H99" s="217">
        <v>2557797</v>
      </c>
      <c r="I99" s="217">
        <v>899805</v>
      </c>
      <c r="J99" s="217">
        <v>1</v>
      </c>
      <c r="K99" s="217"/>
      <c r="L99" s="217"/>
      <c r="M99" s="217"/>
      <c r="N99" s="217"/>
      <c r="O99" s="217"/>
      <c r="P99" s="217"/>
      <c r="Q99" s="217"/>
      <c r="R99" s="877">
        <f t="shared" ref="R99:R103" si="28">SUM(E99:Q99)</f>
        <v>3500000</v>
      </c>
      <c r="S99" s="217">
        <v>3500000</v>
      </c>
      <c r="T99" s="217"/>
      <c r="U99" s="213"/>
    </row>
    <row r="100" spans="1:21" s="214" customFormat="1">
      <c r="A100" s="440" t="s">
        <v>1954</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1955</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836</v>
      </c>
      <c r="B104" s="216">
        <f>SUM(C104:D104)</f>
        <v>3500000</v>
      </c>
      <c r="C104" s="216">
        <f>SUM(C99:C103)</f>
        <v>3500000</v>
      </c>
      <c r="D104" s="216">
        <f t="shared" ref="D104:T104" si="30">SUM(D99:D103)</f>
        <v>0</v>
      </c>
      <c r="E104" s="216">
        <f t="shared" si="30"/>
        <v>0</v>
      </c>
      <c r="F104" s="216">
        <f t="shared" si="30"/>
        <v>25384</v>
      </c>
      <c r="G104" s="216">
        <f t="shared" si="30"/>
        <v>17013</v>
      </c>
      <c r="H104" s="216">
        <f t="shared" si="30"/>
        <v>2557797</v>
      </c>
      <c r="I104" s="216">
        <f t="shared" si="30"/>
        <v>899805</v>
      </c>
      <c r="J104" s="216">
        <f t="shared" si="30"/>
        <v>1</v>
      </c>
      <c r="K104" s="216">
        <f t="shared" si="30"/>
        <v>0</v>
      </c>
      <c r="L104" s="216">
        <f t="shared" si="30"/>
        <v>0</v>
      </c>
      <c r="M104" s="216">
        <f t="shared" si="30"/>
        <v>0</v>
      </c>
      <c r="N104" s="216">
        <f t="shared" si="30"/>
        <v>0</v>
      </c>
      <c r="O104" s="216">
        <f t="shared" si="30"/>
        <v>0</v>
      </c>
      <c r="P104" s="216">
        <f t="shared" si="30"/>
        <v>0</v>
      </c>
      <c r="Q104" s="216">
        <f t="shared" si="30"/>
        <v>0</v>
      </c>
      <c r="R104" s="532">
        <f t="shared" si="30"/>
        <v>3500000</v>
      </c>
      <c r="S104" s="220">
        <f t="shared" si="30"/>
        <v>3500000</v>
      </c>
      <c r="T104" s="220">
        <f t="shared" si="30"/>
        <v>0</v>
      </c>
      <c r="U104" s="213"/>
    </row>
    <row r="105" spans="1:21" s="214" customFormat="1">
      <c r="A105" s="219" t="s">
        <v>837</v>
      </c>
      <c r="B105" s="220">
        <f>SUM(C105:D105)</f>
        <v>67776784</v>
      </c>
      <c r="C105" s="220">
        <f t="shared" ref="C105:R105" si="31">SUM(C97+C104)</f>
        <v>67776784</v>
      </c>
      <c r="D105" s="220">
        <f t="shared" si="31"/>
        <v>0</v>
      </c>
      <c r="E105" s="220">
        <f t="shared" si="31"/>
        <v>31581497</v>
      </c>
      <c r="F105" s="220">
        <f t="shared" si="31"/>
        <v>22553000</v>
      </c>
      <c r="G105" s="220">
        <f t="shared" si="31"/>
        <v>8000000</v>
      </c>
      <c r="H105" s="220">
        <f t="shared" si="31"/>
        <v>2557797</v>
      </c>
      <c r="I105" s="220">
        <f t="shared" si="31"/>
        <v>899805</v>
      </c>
      <c r="J105" s="220">
        <f t="shared" si="31"/>
        <v>2184685</v>
      </c>
      <c r="K105" s="220">
        <f t="shared" si="31"/>
        <v>0</v>
      </c>
      <c r="L105" s="220">
        <f t="shared" si="31"/>
        <v>0</v>
      </c>
      <c r="M105" s="220">
        <f t="shared" si="31"/>
        <v>0</v>
      </c>
      <c r="N105" s="220">
        <f t="shared" si="31"/>
        <v>0</v>
      </c>
      <c r="O105" s="220">
        <f t="shared" si="31"/>
        <v>0</v>
      </c>
      <c r="P105" s="220">
        <f t="shared" si="31"/>
        <v>0</v>
      </c>
      <c r="Q105" s="220">
        <f t="shared" si="31"/>
        <v>0</v>
      </c>
      <c r="R105" s="532">
        <f t="shared" si="31"/>
        <v>67776784</v>
      </c>
      <c r="S105" s="220">
        <f>S97+S104</f>
        <v>62913682</v>
      </c>
      <c r="T105" s="220">
        <f>T97+T104</f>
        <v>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62913682</v>
      </c>
      <c r="T107" s="234">
        <f>T105+T106</f>
        <v>0</v>
      </c>
    </row>
    <row r="108" spans="1:21" s="300" customFormat="1">
      <c r="A108" s="233" t="s">
        <v>943</v>
      </c>
      <c r="B108" s="228"/>
      <c r="C108" s="228"/>
      <c r="D108" s="228"/>
      <c r="E108" s="464">
        <f>Application!AO650</f>
        <v>31581497</v>
      </c>
      <c r="F108" s="464">
        <f>Application!AO637</f>
        <v>22553000</v>
      </c>
      <c r="G108" s="464">
        <f>Application!AO638</f>
        <v>8000000</v>
      </c>
      <c r="H108" s="464">
        <f>Application!AO639</f>
        <v>2557797</v>
      </c>
      <c r="I108" s="464">
        <f>Application!AO640</f>
        <v>899805</v>
      </c>
      <c r="J108" s="464">
        <f>Application!AO641</f>
        <v>2184685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1434</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7" t="s">
        <v>1092</v>
      </c>
      <c r="E122" s="2547"/>
      <c r="F122" s="2547"/>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7" t="s">
        <v>1435</v>
      </c>
      <c r="E123" s="2538"/>
      <c r="F123" s="2538"/>
      <c r="G123" s="2538"/>
      <c r="H123" s="2538"/>
      <c r="I123" s="2538"/>
      <c r="J123" s="2538"/>
      <c r="K123" s="2538"/>
      <c r="L123" s="2538"/>
      <c r="M123" s="2538"/>
      <c r="N123" s="2538"/>
      <c r="O123" s="2538"/>
      <c r="P123" s="2538"/>
      <c r="Q123" s="2538"/>
      <c r="R123" s="2538"/>
      <c r="S123" s="2538"/>
      <c r="T123" s="512"/>
      <c r="U123" s="514"/>
    </row>
    <row r="124" spans="1:21" ht="12.75">
      <c r="A124" s="511" t="s">
        <v>1094</v>
      </c>
      <c r="B124" s="521"/>
      <c r="C124" s="511"/>
      <c r="D124" s="2538"/>
      <c r="E124" s="2538"/>
      <c r="F124" s="2538"/>
      <c r="G124" s="2538"/>
      <c r="H124" s="2538"/>
      <c r="I124" s="2538"/>
      <c r="J124" s="2538"/>
      <c r="K124" s="2538"/>
      <c r="L124" s="2538"/>
      <c r="M124" s="2538"/>
      <c r="N124" s="2538"/>
      <c r="O124" s="2538"/>
      <c r="P124" s="2538"/>
      <c r="Q124" s="2538"/>
      <c r="R124" s="2538"/>
      <c r="S124" s="2538"/>
      <c r="T124" s="512"/>
      <c r="U124" s="514"/>
    </row>
    <row r="125" spans="1:21" ht="12.75">
      <c r="A125" s="511" t="s">
        <v>1095</v>
      </c>
      <c r="B125" s="521"/>
      <c r="C125" s="511"/>
      <c r="D125" s="2538"/>
      <c r="E125" s="2538"/>
      <c r="F125" s="2538"/>
      <c r="G125" s="2538"/>
      <c r="H125" s="2538"/>
      <c r="I125" s="2538"/>
      <c r="J125" s="2538"/>
      <c r="K125" s="2538"/>
      <c r="L125" s="2538"/>
      <c r="M125" s="2538"/>
      <c r="N125" s="2538"/>
      <c r="O125" s="2538"/>
      <c r="P125" s="2538"/>
      <c r="Q125" s="2538"/>
      <c r="R125" s="2538"/>
      <c r="S125" s="2538"/>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5"/>
      <c r="E128" s="2545"/>
      <c r="F128" s="2545"/>
      <c r="G128" s="2545"/>
      <c r="H128" s="2545"/>
      <c r="I128" s="511"/>
      <c r="J128" s="2536"/>
      <c r="K128" s="2536"/>
      <c r="L128" s="511"/>
      <c r="M128" s="511"/>
      <c r="N128" s="511"/>
      <c r="O128" s="511"/>
      <c r="P128" s="511"/>
      <c r="Q128" s="511"/>
      <c r="R128" s="511"/>
      <c r="S128" s="511"/>
      <c r="T128" s="512"/>
      <c r="U128" s="514"/>
    </row>
    <row r="129" spans="1:21" ht="12.75">
      <c r="A129" s="511" t="s">
        <v>307</v>
      </c>
      <c r="B129" s="521"/>
      <c r="C129" s="511"/>
      <c r="D129" s="2546" t="s">
        <v>1099</v>
      </c>
      <c r="E129" s="2546"/>
      <c r="F129" s="2546"/>
      <c r="G129" s="2546"/>
      <c r="H129" s="2546"/>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34"/>
      <c r="E131" s="2034"/>
      <c r="F131" s="2034"/>
      <c r="G131" s="2034"/>
      <c r="H131" s="2034"/>
      <c r="I131" s="511"/>
      <c r="J131" s="2034"/>
      <c r="K131" s="2034"/>
      <c r="L131" s="2034"/>
      <c r="M131" s="2034"/>
      <c r="N131" s="511"/>
      <c r="O131" s="511"/>
      <c r="P131" s="511"/>
      <c r="Q131" s="511"/>
      <c r="R131" s="511"/>
      <c r="S131" s="511"/>
      <c r="T131" s="512"/>
      <c r="U131" s="514"/>
    </row>
    <row r="132" spans="1:21" ht="12" customHeight="1">
      <c r="A132" s="525"/>
      <c r="B132" s="511"/>
      <c r="C132" s="511"/>
      <c r="D132" s="2539" t="s">
        <v>1102</v>
      </c>
      <c r="E132" s="2539"/>
      <c r="F132" s="2539"/>
      <c r="G132" s="2539"/>
      <c r="H132" s="2539"/>
      <c r="I132" s="511"/>
      <c r="J132" s="2539" t="s">
        <v>1103</v>
      </c>
      <c r="K132" s="2539"/>
      <c r="L132" s="2539"/>
      <c r="M132" s="2539"/>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0"/>
      <c r="B138" s="2541"/>
      <c r="C138" s="2541"/>
      <c r="D138" s="516"/>
      <c r="E138" s="2536"/>
      <c r="F138" s="2536"/>
      <c r="G138" s="511"/>
      <c r="H138" s="511"/>
      <c r="I138" s="511"/>
      <c r="J138" s="511"/>
      <c r="K138" s="511"/>
      <c r="L138" s="511"/>
      <c r="M138" s="511"/>
      <c r="N138" s="511"/>
      <c r="O138" s="511"/>
      <c r="P138" s="511"/>
      <c r="Q138" s="511"/>
      <c r="R138" s="511"/>
      <c r="S138" s="511"/>
      <c r="T138" s="518"/>
      <c r="U138" s="519"/>
    </row>
    <row r="139" spans="1:21" ht="12.75">
      <c r="A139" s="2534" t="s">
        <v>1106</v>
      </c>
      <c r="B139" s="2535"/>
      <c r="C139" s="2535"/>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6"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4" t="s">
        <v>1438</v>
      </c>
      <c r="B1" s="2555"/>
      <c r="C1" s="2555"/>
      <c r="D1" s="2555"/>
      <c r="E1" s="2555"/>
      <c r="F1" s="2555"/>
      <c r="G1" s="2555"/>
      <c r="H1" s="2555"/>
      <c r="I1" s="2555"/>
      <c r="J1" s="2556"/>
      <c r="K1" s="557"/>
    </row>
    <row r="2" spans="1:11" s="613" customFormat="1" ht="72">
      <c r="A2" s="609"/>
      <c r="B2" s="610" t="s">
        <v>1136</v>
      </c>
      <c r="C2" s="610" t="s">
        <v>1440</v>
      </c>
      <c r="D2" s="611" t="s">
        <v>1441</v>
      </c>
      <c r="E2" s="610" t="s">
        <v>1348</v>
      </c>
      <c r="F2" s="610" t="s">
        <v>1442</v>
      </c>
      <c r="G2" s="610" t="s">
        <v>1443</v>
      </c>
      <c r="H2" s="610" t="s">
        <v>1137</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1175000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100000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1275000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1275000</v>
      </c>
      <c r="C12" s="563">
        <f>SUM(C8+C11)</f>
        <v>0</v>
      </c>
      <c r="D12" s="563">
        <f>SUM(D8+D11)</f>
        <v>0</v>
      </c>
      <c r="E12" s="565"/>
      <c r="F12" s="565"/>
      <c r="G12" s="565"/>
      <c r="H12" s="565"/>
      <c r="I12" s="565"/>
      <c r="J12" s="565"/>
      <c r="K12" s="561"/>
    </row>
    <row r="13" spans="1:11" s="562" customFormat="1">
      <c r="A13" s="568" t="s">
        <v>970</v>
      </c>
      <c r="B13" s="563">
        <f>'Sources and Uses Budget'!C13</f>
        <v>100000</v>
      </c>
      <c r="C13" s="564"/>
      <c r="D13" s="564"/>
      <c r="E13" s="563">
        <f>'Sources and Uses Budget'!S13</f>
        <v>100000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1948</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6785000</v>
      </c>
      <c r="C29" s="564"/>
      <c r="D29" s="564"/>
      <c r="E29" s="563">
        <f>'Sources and Uses Budget'!S29</f>
        <v>6785000</v>
      </c>
      <c r="F29" s="564"/>
      <c r="G29" s="564"/>
      <c r="H29" s="563">
        <f>'Sources and Uses Budget'!T29</f>
        <v>0</v>
      </c>
      <c r="I29" s="564"/>
      <c r="J29" s="564"/>
      <c r="K29" s="561"/>
    </row>
    <row r="30" spans="1:11" s="562" customFormat="1">
      <c r="A30" s="215" t="s">
        <v>633</v>
      </c>
      <c r="B30" s="563">
        <f>'Sources and Uses Budget'!C30</f>
        <v>33401020</v>
      </c>
      <c r="C30" s="564"/>
      <c r="D30" s="564"/>
      <c r="E30" s="563">
        <f>'Sources and Uses Budget'!S30</f>
        <v>33401020</v>
      </c>
      <c r="F30" s="564"/>
      <c r="G30" s="564"/>
      <c r="H30" s="563">
        <f>'Sources and Uses Budget'!T30</f>
        <v>0</v>
      </c>
      <c r="I30" s="564"/>
      <c r="J30" s="564"/>
      <c r="K30" s="561"/>
    </row>
    <row r="31" spans="1:11" s="562" customFormat="1">
      <c r="A31" s="215" t="s">
        <v>634</v>
      </c>
      <c r="B31" s="563">
        <f>'Sources and Uses Budget'!C31</f>
        <v>2300000</v>
      </c>
      <c r="C31" s="564"/>
      <c r="D31" s="564"/>
      <c r="E31" s="563">
        <f>'Sources and Uses Budget'!S31</f>
        <v>2300000</v>
      </c>
      <c r="F31" s="564"/>
      <c r="G31" s="564"/>
      <c r="H31" s="563">
        <f>'Sources and Uses Budget'!T31</f>
        <v>0</v>
      </c>
      <c r="I31" s="564"/>
      <c r="J31" s="564"/>
      <c r="K31" s="561"/>
    </row>
    <row r="32" spans="1:11" s="562" customFormat="1">
      <c r="A32" s="215" t="s">
        <v>142</v>
      </c>
      <c r="B32" s="563">
        <f>'Sources and Uses Budget'!C32</f>
        <v>551992</v>
      </c>
      <c r="C32" s="564"/>
      <c r="D32" s="564"/>
      <c r="E32" s="563">
        <f>'Sources and Uses Budget'!S32</f>
        <v>551992</v>
      </c>
      <c r="F32" s="564"/>
      <c r="G32" s="564"/>
      <c r="H32" s="563">
        <f>'Sources and Uses Budget'!T32</f>
        <v>0</v>
      </c>
      <c r="I32" s="564"/>
      <c r="J32" s="564"/>
      <c r="K32" s="561"/>
    </row>
    <row r="33" spans="1:11" s="562" customFormat="1">
      <c r="A33" s="215" t="s">
        <v>143</v>
      </c>
      <c r="B33" s="563">
        <f>'Sources and Uses Budget'!C33</f>
        <v>1721520</v>
      </c>
      <c r="C33" s="564"/>
      <c r="D33" s="564"/>
      <c r="E33" s="563">
        <f>'Sources and Uses Budget'!S33</f>
        <v>1721520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672139</v>
      </c>
      <c r="C35" s="564"/>
      <c r="D35" s="564"/>
      <c r="E35" s="563">
        <f>'Sources and Uses Budget'!S35</f>
        <v>672139</v>
      </c>
      <c r="F35" s="564"/>
      <c r="G35" s="564"/>
      <c r="H35" s="563">
        <f>'Sources and Uses Budget'!T35</f>
        <v>0</v>
      </c>
      <c r="I35" s="564"/>
      <c r="J35" s="564"/>
      <c r="K35" s="561"/>
    </row>
    <row r="36" spans="1:11" s="562" customFormat="1">
      <c r="A36" s="856" t="s">
        <v>1948</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45431671</v>
      </c>
      <c r="C38" s="563">
        <f>SUM(C29:C37)</f>
        <v>0</v>
      </c>
      <c r="D38" s="563">
        <f>SUM(D29:D37)</f>
        <v>0</v>
      </c>
      <c r="E38" s="563">
        <f>'Sources and Uses Budget'!S38</f>
        <v>45431671</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1065000</v>
      </c>
      <c r="C40" s="564"/>
      <c r="D40" s="564"/>
      <c r="E40" s="563">
        <f>'Sources and Uses Budget'!S40</f>
        <v>1065000</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1065000</v>
      </c>
      <c r="C42" s="563">
        <f>SUM(C39:C41)</f>
        <v>0</v>
      </c>
      <c r="D42" s="563">
        <f>SUM(D39:D41)</f>
        <v>0</v>
      </c>
      <c r="E42" s="563">
        <f>'Sources and Uses Budget'!S42</f>
        <v>1065000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408000</v>
      </c>
      <c r="C43" s="564"/>
      <c r="D43" s="564"/>
      <c r="E43" s="563">
        <f>'Sources and Uses Budget'!S43</f>
        <v>408000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2393564</v>
      </c>
      <c r="C45" s="564"/>
      <c r="D45" s="564"/>
      <c r="E45" s="563">
        <f>'Sources and Uses Budget'!S45</f>
        <v>1031675</v>
      </c>
      <c r="F45" s="564"/>
      <c r="G45" s="564"/>
      <c r="H45" s="563">
        <f>'Sources and Uses Budget'!T45</f>
        <v>0</v>
      </c>
      <c r="I45" s="564"/>
      <c r="J45" s="564"/>
      <c r="K45" s="561"/>
    </row>
    <row r="46" spans="1:11" s="562" customFormat="1">
      <c r="A46" s="566" t="s">
        <v>156</v>
      </c>
      <c r="B46" s="563">
        <f>'Sources and Uses Budget'!C46</f>
        <v>353451</v>
      </c>
      <c r="C46" s="564"/>
      <c r="D46" s="564"/>
      <c r="E46" s="563">
        <f>'Sources and Uses Budget'!S46</f>
        <v>353451</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424546</v>
      </c>
      <c r="C49" s="564"/>
      <c r="D49" s="564"/>
      <c r="E49" s="563">
        <f>'Sources and Uses Budget'!S49</f>
        <v>212273</v>
      </c>
      <c r="F49" s="564"/>
      <c r="G49" s="564"/>
      <c r="H49" s="563">
        <f>'Sources and Uses Budget'!T49</f>
        <v>0</v>
      </c>
      <c r="I49" s="564"/>
      <c r="J49" s="564"/>
      <c r="K49" s="561"/>
    </row>
    <row r="50" spans="1:11" s="562" customFormat="1">
      <c r="A50" s="566" t="s">
        <v>161</v>
      </c>
      <c r="B50" s="563">
        <f>'Sources and Uses Budget'!C50</f>
        <v>80000</v>
      </c>
      <c r="C50" s="564"/>
      <c r="D50" s="564"/>
      <c r="E50" s="563">
        <f>'Sources and Uses Budget'!S50</f>
        <v>80000</v>
      </c>
      <c r="F50" s="564"/>
      <c r="G50" s="564"/>
      <c r="H50" s="563">
        <f>'Sources and Uses Budget'!T50</f>
        <v>0</v>
      </c>
      <c r="I50" s="564"/>
      <c r="J50" s="564"/>
      <c r="K50" s="561"/>
    </row>
    <row r="51" spans="1:11" s="562" customFormat="1">
      <c r="A51" s="566" t="s">
        <v>159</v>
      </c>
      <c r="B51" s="563">
        <f>'Sources and Uses Budget'!C51</f>
        <v>28905</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395638</v>
      </c>
      <c r="C52" s="564"/>
      <c r="D52" s="564"/>
      <c r="E52" s="563">
        <f>'Sources and Uses Budget'!S52</f>
        <v>395638</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3676104</v>
      </c>
      <c r="C54" s="570">
        <f>SUM(C45:C53)</f>
        <v>0</v>
      </c>
      <c r="D54" s="570">
        <f>SUM(D45:D53)</f>
        <v>0</v>
      </c>
      <c r="E54" s="563">
        <f>'Sources and Uses Budget'!S54</f>
        <v>2073037</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375879</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20000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395879</v>
      </c>
      <c r="C62" s="563">
        <f>SUM(C56:C61)</f>
        <v>0</v>
      </c>
      <c r="D62" s="563">
        <f>SUM(D56:D61)</f>
        <v>0</v>
      </c>
      <c r="E62" s="565"/>
      <c r="F62" s="565"/>
      <c r="G62" s="565"/>
      <c r="H62" s="565"/>
      <c r="I62" s="565"/>
      <c r="J62" s="565"/>
      <c r="K62" s="561"/>
    </row>
    <row r="63" spans="1:11" s="562" customFormat="1">
      <c r="A63" s="574" t="s">
        <v>309</v>
      </c>
      <c r="B63" s="563">
        <f>'Sources and Uses Budget'!C63</f>
        <v>52351654</v>
      </c>
      <c r="C63" s="563">
        <f>SUM(C8+C11+C13+C14+C15+C26+C27+C38+C42+C43+C54+C62)</f>
        <v>0</v>
      </c>
      <c r="D63" s="563">
        <f>SUM(D8+D11+D13+D14+D15+D26+D27+D38+D42+D43+D54+D62)</f>
        <v>0</v>
      </c>
      <c r="E63" s="563">
        <f>'Sources and Uses Budget'!S63</f>
        <v>49077708</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1952</v>
      </c>
      <c r="B64" s="560"/>
      <c r="C64" s="560"/>
      <c r="D64" s="560"/>
      <c r="E64" s="560"/>
      <c r="F64" s="560"/>
      <c r="G64" s="560"/>
      <c r="H64" s="560"/>
      <c r="I64" s="560"/>
      <c r="J64" s="560"/>
      <c r="K64" s="561"/>
    </row>
    <row r="65" spans="1:11" s="562" customFormat="1">
      <c r="A65" s="215" t="s">
        <v>175</v>
      </c>
      <c r="B65" s="563">
        <f>'Sources and Uses Budget'!C65</f>
        <v>120000</v>
      </c>
      <c r="C65" s="564"/>
      <c r="D65" s="564"/>
      <c r="E65" s="563">
        <f>'Sources and Uses Budget'!S65</f>
        <v>50000</v>
      </c>
      <c r="F65" s="564"/>
      <c r="G65" s="564"/>
      <c r="H65" s="563">
        <f>'Sources and Uses Budget'!T65</f>
        <v>0</v>
      </c>
      <c r="I65" s="564"/>
      <c r="J65" s="564"/>
      <c r="K65" s="561"/>
    </row>
    <row r="66" spans="1:11" s="562" customFormat="1" ht="24">
      <c r="A66" s="440" t="s">
        <v>1949</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1950</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1956</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(Consultants,Legal)</v>
      </c>
      <c r="B69" s="563">
        <f>'Sources and Uses Budget'!C69</f>
        <v>70000</v>
      </c>
      <c r="C69" s="564"/>
      <c r="D69" s="564"/>
      <c r="E69" s="563">
        <f>'Sources and Uses Budget'!S69</f>
        <v>70000</v>
      </c>
      <c r="F69" s="564"/>
      <c r="G69" s="564"/>
      <c r="H69" s="563">
        <f>'Sources and Uses Budget'!T69</f>
        <v>0</v>
      </c>
      <c r="I69" s="564"/>
      <c r="J69" s="564"/>
      <c r="K69" s="561"/>
    </row>
    <row r="70" spans="1:11" s="562" customFormat="1">
      <c r="A70" s="567" t="s">
        <v>635</v>
      </c>
      <c r="B70" s="563">
        <f>'Sources and Uses Budget'!C70</f>
        <v>190000</v>
      </c>
      <c r="C70" s="563">
        <f>SUM(C64:C69)</f>
        <v>0</v>
      </c>
      <c r="D70" s="563">
        <f>SUM(D64:D69)</f>
        <v>0</v>
      </c>
      <c r="E70" s="563">
        <f>'Sources and Uses Budget'!S70</f>
        <v>120000</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583255</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583255</v>
      </c>
      <c r="C77" s="563">
        <f>SUM(C72:C76)</f>
        <v>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3133167</v>
      </c>
      <c r="C79" s="564"/>
      <c r="D79" s="564"/>
      <c r="E79" s="563">
        <f>'Sources and Uses Budget'!S79</f>
        <v>3133167</v>
      </c>
      <c r="F79" s="564"/>
      <c r="G79" s="564"/>
      <c r="H79" s="563">
        <f>'Sources and Uses Budget'!T79</f>
        <v>0</v>
      </c>
      <c r="I79" s="564"/>
      <c r="J79" s="564"/>
      <c r="K79" s="561"/>
    </row>
    <row r="80" spans="1:11" s="562" customFormat="1">
      <c r="A80" s="566" t="s">
        <v>61</v>
      </c>
      <c r="B80" s="563">
        <f>'Sources and Uses Budget'!C80</f>
        <v>330339</v>
      </c>
      <c r="C80" s="564"/>
      <c r="D80" s="564"/>
      <c r="E80" s="563">
        <f>'Sources and Uses Budget'!S80</f>
        <v>280788</v>
      </c>
      <c r="F80" s="564"/>
      <c r="G80" s="564"/>
      <c r="H80" s="563">
        <f>'Sources and Uses Budget'!T80</f>
        <v>0</v>
      </c>
      <c r="I80" s="564"/>
      <c r="J80" s="564"/>
      <c r="K80" s="561"/>
    </row>
    <row r="81" spans="1:11" s="562" customFormat="1">
      <c r="A81" s="567" t="s">
        <v>1415</v>
      </c>
      <c r="B81" s="563">
        <f>'Sources and Uses Budget'!C81</f>
        <v>3463506</v>
      </c>
      <c r="C81" s="563">
        <f>SUM(C79:C80)</f>
        <v>0</v>
      </c>
      <c r="D81" s="563">
        <f>SUM(D79:D80)</f>
        <v>0</v>
      </c>
      <c r="E81" s="563">
        <f>'Sources and Uses Budget'!S81</f>
        <v>3413955</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577624</v>
      </c>
      <c r="C83" s="564"/>
      <c r="D83" s="564"/>
      <c r="E83" s="565"/>
      <c r="F83" s="565"/>
      <c r="G83" s="565"/>
      <c r="H83" s="565"/>
      <c r="I83" s="565"/>
      <c r="J83" s="565"/>
      <c r="K83" s="561"/>
    </row>
    <row r="84" spans="1:11" s="562" customFormat="1">
      <c r="A84" s="215" t="s">
        <v>824</v>
      </c>
      <c r="B84" s="563">
        <f>'Sources and Uses Budget'!C84</f>
        <v>771765</v>
      </c>
      <c r="C84" s="564"/>
      <c r="D84" s="564"/>
      <c r="E84" s="563">
        <f>'Sources and Uses Budget'!S84</f>
        <v>771765</v>
      </c>
      <c r="F84" s="564"/>
      <c r="G84" s="564"/>
      <c r="H84" s="563">
        <f>'Sources and Uses Budget'!T84</f>
        <v>0</v>
      </c>
      <c r="I84" s="564"/>
      <c r="J84" s="564"/>
      <c r="K84" s="561"/>
    </row>
    <row r="85" spans="1:11" s="562" customFormat="1">
      <c r="A85" s="215" t="s">
        <v>825</v>
      </c>
      <c r="B85" s="563">
        <f>'Sources and Uses Budget'!C85</f>
        <v>1268586</v>
      </c>
      <c r="C85" s="564"/>
      <c r="D85" s="564"/>
      <c r="E85" s="563">
        <f>'Sources and Uses Budget'!S85</f>
        <v>1268586</v>
      </c>
      <c r="F85" s="564"/>
      <c r="G85" s="564"/>
      <c r="H85" s="563">
        <f>'Sources and Uses Budget'!T85</f>
        <v>0</v>
      </c>
      <c r="I85" s="564"/>
      <c r="J85" s="564"/>
      <c r="K85" s="561"/>
    </row>
    <row r="86" spans="1:11" s="562" customFormat="1">
      <c r="A86" s="215" t="s">
        <v>826</v>
      </c>
      <c r="B86" s="563">
        <f>'Sources and Uses Budget'!C86</f>
        <v>4271666</v>
      </c>
      <c r="C86" s="564"/>
      <c r="D86" s="564"/>
      <c r="E86" s="563">
        <f>'Sources and Uses Budget'!S86</f>
        <v>4271666</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153226</v>
      </c>
      <c r="C88" s="564"/>
      <c r="D88" s="564"/>
      <c r="E88" s="565"/>
      <c r="F88" s="565"/>
      <c r="G88" s="565"/>
      <c r="H88" s="565"/>
      <c r="I88" s="565"/>
      <c r="J88" s="565"/>
      <c r="K88" s="561"/>
    </row>
    <row r="89" spans="1:11" s="562" customFormat="1">
      <c r="A89" s="215" t="s">
        <v>829</v>
      </c>
      <c r="B89" s="563">
        <f>'Sources and Uses Budget'!C89</f>
        <v>200000</v>
      </c>
      <c r="C89" s="564"/>
      <c r="D89" s="564"/>
      <c r="E89" s="563">
        <f>'Sources and Uses Budget'!S89</f>
        <v>200000</v>
      </c>
      <c r="F89" s="564"/>
      <c r="G89" s="564"/>
      <c r="H89" s="563">
        <f>'Sources and Uses Budget'!T89</f>
        <v>0</v>
      </c>
      <c r="I89" s="564"/>
      <c r="J89" s="564"/>
      <c r="K89" s="561"/>
    </row>
    <row r="90" spans="1:11" s="562" customFormat="1">
      <c r="A90" s="215" t="s">
        <v>830</v>
      </c>
      <c r="B90" s="563">
        <f>'Sources and Uses Budget'!C90</f>
        <v>9500</v>
      </c>
      <c r="C90" s="564"/>
      <c r="D90" s="564"/>
      <c r="E90" s="563">
        <f>'Sources and Uses Budget'!S90</f>
        <v>9500</v>
      </c>
      <c r="F90" s="564"/>
      <c r="G90" s="564"/>
      <c r="H90" s="563">
        <f>'Sources and Uses Budget'!T90</f>
        <v>0</v>
      </c>
      <c r="I90" s="564"/>
      <c r="J90" s="564"/>
      <c r="K90" s="561"/>
    </row>
    <row r="91" spans="1:11" s="562" customFormat="1">
      <c r="A91" s="226" t="s">
        <v>389</v>
      </c>
      <c r="B91" s="563">
        <f>'Sources and Uses Budget'!C91</f>
        <v>45000</v>
      </c>
      <c r="C91" s="564"/>
      <c r="D91" s="564"/>
      <c r="E91" s="563">
        <f>'Sources and Uses Budget'!S91</f>
        <v>22500</v>
      </c>
      <c r="F91" s="564"/>
      <c r="G91" s="564"/>
      <c r="H91" s="563">
        <f>'Sources and Uses Budget'!T91</f>
        <v>0</v>
      </c>
      <c r="I91" s="564"/>
      <c r="J91" s="564"/>
      <c r="K91" s="561"/>
    </row>
    <row r="92" spans="1:11" s="562" customFormat="1">
      <c r="A92" s="856" t="s">
        <v>1417</v>
      </c>
      <c r="B92" s="563">
        <f>'Sources and Uses Budget'!C92</f>
        <v>8000</v>
      </c>
      <c r="C92" s="564"/>
      <c r="D92" s="564"/>
      <c r="E92" s="563">
        <f>'Sources and Uses Budget'!S92</f>
        <v>8000</v>
      </c>
      <c r="F92" s="564"/>
      <c r="G92" s="564"/>
      <c r="H92" s="563">
        <f>'Sources and Uses Budget'!T92</f>
        <v>0</v>
      </c>
      <c r="I92" s="564"/>
      <c r="J92" s="564"/>
      <c r="K92" s="561"/>
    </row>
    <row r="93" spans="1:11" s="562" customFormat="1">
      <c r="A93" s="569" t="str">
        <f>'Sources and Uses Budget'!$A93</f>
        <v>Other: Washer &amp; Dryers</v>
      </c>
      <c r="B93" s="563">
        <f>'Sources and Uses Budget'!C93</f>
        <v>88000</v>
      </c>
      <c r="C93" s="564"/>
      <c r="D93" s="564"/>
      <c r="E93" s="563">
        <f>'Sources and Uses Budget'!S93</f>
        <v>0</v>
      </c>
      <c r="F93" s="564"/>
      <c r="G93" s="564"/>
      <c r="H93" s="563">
        <f>'Sources and Uses Budget'!T93</f>
        <v>0</v>
      </c>
      <c r="I93" s="564"/>
      <c r="J93" s="564"/>
      <c r="K93" s="561"/>
    </row>
    <row r="94" spans="1:11" s="562" customFormat="1">
      <c r="A94" s="569" t="str">
        <f>'Sources and Uses Budget'!$A94</f>
        <v>Other: Construction Inspections</v>
      </c>
      <c r="B94" s="563">
        <f>'Sources and Uses Budget'!C94</f>
        <v>250002</v>
      </c>
      <c r="C94" s="564"/>
      <c r="D94" s="564"/>
      <c r="E94" s="563">
        <f>'Sources and Uses Budget'!S94</f>
        <v>250002</v>
      </c>
      <c r="F94" s="564"/>
      <c r="G94" s="564"/>
      <c r="H94" s="563">
        <f>'Sources and Uses Budget'!T94</f>
        <v>0</v>
      </c>
      <c r="I94" s="564"/>
      <c r="J94" s="564"/>
      <c r="K94" s="561"/>
    </row>
    <row r="95" spans="1:11" s="562" customFormat="1">
      <c r="A95" s="569" t="str">
        <f>'Sources and Uses Budget'!$A95</f>
        <v>Other: Audit</v>
      </c>
      <c r="B95" s="563">
        <f>'Sources and Uses Budget'!C95</f>
        <v>45000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7688369</v>
      </c>
      <c r="C96" s="563">
        <f>SUM(C83:C95)</f>
        <v>0</v>
      </c>
      <c r="D96" s="563">
        <f>SUM(D83:D95)</f>
        <v>0</v>
      </c>
      <c r="E96" s="563">
        <f>'Sources and Uses Budget'!S96</f>
        <v>6802019</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64276784</v>
      </c>
      <c r="C97" s="563">
        <f>SUM(C63+C70+C77+C81+C96)</f>
        <v>0</v>
      </c>
      <c r="D97" s="563">
        <f>SUM(D63+D70+D77+D81+D96)</f>
        <v>0</v>
      </c>
      <c r="E97" s="563">
        <f>'Sources and Uses Budget'!S97</f>
        <v>59413682</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c r="A100" s="440" t="s">
        <v>1954</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1955</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67776784</v>
      </c>
      <c r="C105" s="570">
        <f>SUM(C97+C104)</f>
        <v>0</v>
      </c>
      <c r="D105" s="570">
        <f>SUM(D97+D104)</f>
        <v>0</v>
      </c>
      <c r="E105" s="563">
        <f>'Sources and Uses Budget'!S105</f>
        <v>62913682</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62913682</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8"/>
      <c r="E124" s="2549"/>
      <c r="F124" s="2549"/>
      <c r="G124" s="2549"/>
      <c r="H124" s="2549"/>
      <c r="I124" s="2549"/>
      <c r="J124" s="581"/>
      <c r="K124" s="561"/>
    </row>
    <row r="125" spans="1:11" s="562" customFormat="1" ht="12.75">
      <c r="A125" s="592"/>
      <c r="B125" s="591"/>
      <c r="C125" s="592"/>
      <c r="D125" s="2549"/>
      <c r="E125" s="2549"/>
      <c r="F125" s="2549"/>
      <c r="G125" s="2549"/>
      <c r="H125" s="2549"/>
      <c r="I125" s="2549"/>
      <c r="J125" s="581"/>
      <c r="K125" s="561"/>
    </row>
    <row r="126" spans="1:11" s="562" customFormat="1" ht="12.75">
      <c r="A126" s="592"/>
      <c r="B126" s="591"/>
      <c r="C126" s="592"/>
      <c r="D126" s="2549"/>
      <c r="E126" s="2549"/>
      <c r="F126" s="2549"/>
      <c r="G126" s="2549"/>
      <c r="H126" s="2549"/>
      <c r="I126" s="2549"/>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0"/>
      <c r="B139" s="2551"/>
      <c r="C139" s="2551"/>
      <c r="D139" s="604"/>
      <c r="E139" s="592"/>
      <c r="F139" s="592"/>
      <c r="G139" s="592"/>
    </row>
    <row r="140" spans="1:11" ht="12" customHeight="1">
      <c r="A140" s="2552"/>
      <c r="B140" s="2553"/>
      <c r="C140" s="2553"/>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34" zoomScaleNormal="100" workbookViewId="0">
      <selection activeCell="S195" sqref="S195"/>
    </sheetView>
  </sheetViews>
  <sheetFormatPr defaultColWidth="2.7109375" defaultRowHeight="15.75" customHeight="1"/>
  <cols>
    <col min="1" max="37" width="2.7109375" style="1763"/>
    <col min="38" max="38" width="3" style="1763" customWidth="1"/>
    <col min="39" max="64" width="2.7109375" style="1763"/>
    <col min="65" max="65" width="6.140625" style="1763" bestFit="1" customWidth="1"/>
    <col min="66" max="70" width="5.5703125" style="1763" bestFit="1" customWidth="1"/>
    <col min="71" max="71" width="6.140625" style="1763" bestFit="1" customWidth="1"/>
    <col min="72" max="76" width="5.5703125" style="1763" bestFit="1" customWidth="1"/>
    <col min="77" max="77" width="6.140625" style="1763" bestFit="1" customWidth="1"/>
    <col min="78" max="78" width="5.5703125" style="1763" bestFit="1" customWidth="1"/>
    <col min="79" max="16384" width="2.7109375" style="1763"/>
  </cols>
  <sheetData>
    <row r="1" spans="1:65" ht="15.75" customHeight="1">
      <c r="A1" s="2557" t="s">
        <v>1987</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2558"/>
      <c r="AP1" s="2558"/>
      <c r="AQ1" s="2558"/>
      <c r="AR1" s="2558"/>
      <c r="AS1" s="2558"/>
      <c r="AT1" s="2558"/>
      <c r="AU1" s="2558"/>
      <c r="AV1" s="2558"/>
      <c r="AW1" s="2558"/>
      <c r="AX1" s="2558"/>
      <c r="AY1" s="2558"/>
      <c r="AZ1" s="2558"/>
      <c r="BA1" s="2558"/>
      <c r="BB1" s="2558"/>
      <c r="BC1" s="2558"/>
      <c r="BD1" s="2558"/>
      <c r="BE1" s="2559"/>
    </row>
    <row r="2" spans="1:65" ht="15.75" customHeight="1">
      <c r="A2" s="2560" t="s">
        <v>1988</v>
      </c>
      <c r="B2" s="2561"/>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2"/>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692</v>
      </c>
      <c r="C4" s="1768"/>
      <c r="D4" s="1768"/>
      <c r="E4" s="1768"/>
      <c r="F4" s="1768"/>
      <c r="G4" s="1766"/>
      <c r="H4" s="1766"/>
      <c r="I4" s="1766"/>
      <c r="J4" s="1766"/>
      <c r="K4" s="1766"/>
      <c r="L4" s="2563" t="str">
        <f>IF(Application!H18="","",Application!H18)</f>
        <v>Anton Power Inn</v>
      </c>
      <c r="M4" s="2564"/>
      <c r="N4" s="2564"/>
      <c r="O4" s="2564"/>
      <c r="P4" s="2564"/>
      <c r="Q4" s="2564"/>
      <c r="R4" s="2564"/>
      <c r="S4" s="2564"/>
      <c r="T4" s="2564"/>
      <c r="U4" s="2564"/>
      <c r="V4" s="2564"/>
      <c r="W4" s="2564"/>
      <c r="X4" s="2564"/>
      <c r="Y4" s="2564"/>
      <c r="Z4" s="2564"/>
      <c r="AA4" s="2564"/>
      <c r="AB4" s="2564"/>
      <c r="AC4" s="2565"/>
      <c r="AD4" s="1766"/>
      <c r="AE4" s="1766"/>
      <c r="AF4" s="2566" t="s">
        <v>1989</v>
      </c>
      <c r="AG4" s="2567"/>
      <c r="AH4" s="2567"/>
      <c r="AI4" s="2567"/>
      <c r="AJ4" s="2567"/>
      <c r="AK4" s="2567"/>
      <c r="AL4" s="2567"/>
      <c r="AM4" s="2567"/>
      <c r="AN4" s="2567"/>
      <c r="AO4" s="2567"/>
      <c r="AP4" s="2568">
        <v>44896</v>
      </c>
      <c r="AQ4" s="2569"/>
      <c r="AR4" s="2569"/>
      <c r="AS4" s="2569"/>
      <c r="AT4" s="2569"/>
      <c r="AU4" s="2570"/>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571" t="s">
        <v>1990</v>
      </c>
      <c r="AG5" s="2572"/>
      <c r="AH5" s="2572"/>
      <c r="AI5" s="2572"/>
      <c r="AJ5" s="2572"/>
      <c r="AK5" s="2572"/>
      <c r="AL5" s="2572"/>
      <c r="AM5" s="2572"/>
      <c r="AN5" s="2572"/>
      <c r="AO5" s="2572"/>
      <c r="AP5" s="2568">
        <v>44256</v>
      </c>
      <c r="AQ5" s="2569"/>
      <c r="AR5" s="2569"/>
      <c r="AS5" s="2569"/>
      <c r="AT5" s="2569"/>
      <c r="AU5" s="2570"/>
      <c r="AV5" s="1766"/>
      <c r="AW5" s="1766"/>
      <c r="AX5" s="1766"/>
      <c r="AY5" s="1766"/>
      <c r="AZ5" s="1766"/>
      <c r="BA5" s="1766"/>
      <c r="BB5" s="1766"/>
      <c r="BC5" s="1766"/>
      <c r="BD5" s="1766"/>
      <c r="BE5" s="1767"/>
    </row>
    <row r="6" spans="1:65" ht="15.75" customHeight="1" thickBot="1">
      <c r="A6" s="1765"/>
      <c r="B6" s="1768" t="s">
        <v>1991</v>
      </c>
      <c r="C6" s="1766"/>
      <c r="D6" s="1766"/>
      <c r="E6" s="1766"/>
      <c r="F6" s="1766"/>
      <c r="G6" s="1766"/>
      <c r="H6" s="1766"/>
      <c r="I6" s="1766"/>
      <c r="J6" s="1766"/>
      <c r="K6" s="1766"/>
      <c r="L6" s="2587" t="str">
        <f>IF(Application!H16="","",Application!H16)</f>
        <v>Power Inn Sacramento, L.P.</v>
      </c>
      <c r="M6" s="2588"/>
      <c r="N6" s="2588"/>
      <c r="O6" s="2588"/>
      <c r="P6" s="2588"/>
      <c r="Q6" s="2588"/>
      <c r="R6" s="2588"/>
      <c r="S6" s="2588"/>
      <c r="T6" s="2588"/>
      <c r="U6" s="2588"/>
      <c r="V6" s="2588"/>
      <c r="W6" s="2588"/>
      <c r="X6" s="2588"/>
      <c r="Y6" s="2588"/>
      <c r="Z6" s="2588"/>
      <c r="AA6" s="2588"/>
      <c r="AB6" s="2588"/>
      <c r="AC6" s="2589"/>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thickBot="1">
      <c r="A8" s="1765"/>
      <c r="B8" s="1768" t="s">
        <v>1992</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590" t="str">
        <f>Application!T196</f>
        <v>No</v>
      </c>
      <c r="AC8" s="2580"/>
      <c r="AD8" s="2581"/>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thickBot="1">
      <c r="A10" s="1765"/>
      <c r="B10" s="1768" t="s">
        <v>1993</v>
      </c>
      <c r="C10" s="1768"/>
      <c r="D10" s="1768"/>
      <c r="E10" s="1768"/>
      <c r="F10" s="1768"/>
      <c r="G10" s="1768"/>
      <c r="H10" s="1768"/>
      <c r="I10" s="1768"/>
      <c r="J10" s="1768"/>
      <c r="K10" s="1768"/>
      <c r="L10" s="1768"/>
      <c r="M10" s="1766"/>
      <c r="N10" s="2591">
        <f>Application!AO637</f>
        <v>22553000</v>
      </c>
      <c r="O10" s="2592"/>
      <c r="P10" s="2592"/>
      <c r="Q10" s="2592"/>
      <c r="R10" s="2592"/>
      <c r="S10" s="2592"/>
      <c r="T10" s="2593"/>
      <c r="U10" s="1766"/>
      <c r="V10" s="1766"/>
      <c r="W10" s="1766"/>
      <c r="X10" s="2573" t="s">
        <v>1994</v>
      </c>
      <c r="Y10" s="2574"/>
      <c r="Z10" s="2574"/>
      <c r="AA10" s="2574"/>
      <c r="AB10" s="2574"/>
      <c r="AC10" s="2574"/>
      <c r="AD10" s="2574"/>
      <c r="AE10" s="2574"/>
      <c r="AF10" s="2574"/>
      <c r="AG10" s="2574"/>
      <c r="AH10" s="2574"/>
      <c r="AI10" s="2574"/>
      <c r="AJ10" s="2574"/>
      <c r="AK10" s="2575"/>
      <c r="AL10" s="2579">
        <f>Application!W471</f>
        <v>30</v>
      </c>
      <c r="AM10" s="2580"/>
      <c r="AN10" s="2580"/>
      <c r="AO10" s="2580"/>
      <c r="AP10" s="2581"/>
      <c r="AQ10" s="1769"/>
      <c r="AR10" s="1769"/>
      <c r="AS10" s="1769"/>
      <c r="AT10" s="1769"/>
      <c r="AU10" s="1769"/>
      <c r="AV10" s="1769"/>
      <c r="AW10" s="1769"/>
      <c r="AX10" s="1766"/>
      <c r="AY10" s="1766"/>
      <c r="AZ10" s="1766"/>
      <c r="BA10" s="1766"/>
      <c r="BB10" s="1766"/>
      <c r="BC10" s="1766"/>
      <c r="BD10" s="1766"/>
      <c r="BE10" s="1767"/>
    </row>
    <row r="11" spans="1:65" thickBot="1">
      <c r="A11" s="1765"/>
      <c r="B11" s="1768" t="s">
        <v>1995</v>
      </c>
      <c r="C11" s="1768"/>
      <c r="D11" s="1768"/>
      <c r="E11" s="1768"/>
      <c r="F11" s="1768"/>
      <c r="G11" s="1768"/>
      <c r="H11" s="1768"/>
      <c r="I11" s="1768"/>
      <c r="J11" s="1768"/>
      <c r="K11" s="1768"/>
      <c r="L11" s="1768"/>
      <c r="M11" s="1766"/>
      <c r="N11" s="2594">
        <f>Application!AA925</f>
        <v>8000000</v>
      </c>
      <c r="O11" s="2595"/>
      <c r="P11" s="2595"/>
      <c r="Q11" s="2595"/>
      <c r="R11" s="2595"/>
      <c r="S11" s="2595"/>
      <c r="T11" s="2596"/>
      <c r="U11" s="1766"/>
      <c r="V11" s="1766"/>
      <c r="W11" s="1766"/>
      <c r="X11" s="2597" t="s">
        <v>1996</v>
      </c>
      <c r="Y11" s="2598"/>
      <c r="Z11" s="2598"/>
      <c r="AA11" s="2598"/>
      <c r="AB11" s="2598"/>
      <c r="AC11" s="2598"/>
      <c r="AD11" s="2598"/>
      <c r="AE11" s="2598"/>
      <c r="AF11" s="2598"/>
      <c r="AG11" s="2598"/>
      <c r="AH11" s="2598"/>
      <c r="AI11" s="2598"/>
      <c r="AJ11" s="2598"/>
      <c r="AK11" s="2599"/>
      <c r="AL11" s="2576">
        <v>44623</v>
      </c>
      <c r="AM11" s="2577"/>
      <c r="AN11" s="2577"/>
      <c r="AO11" s="2577"/>
      <c r="AP11" s="2578"/>
      <c r="AQ11" s="1770"/>
      <c r="AR11" s="1771"/>
      <c r="AS11" s="1769"/>
      <c r="AT11" s="1769"/>
      <c r="AU11" s="1769"/>
      <c r="AV11" s="1769"/>
      <c r="AW11" s="1769"/>
      <c r="AX11" s="1766"/>
      <c r="AY11" s="1766"/>
      <c r="AZ11" s="1766"/>
      <c r="BA11" s="1766"/>
      <c r="BB11" s="1766"/>
      <c r="BC11" s="1766"/>
      <c r="BD11" s="1766"/>
      <c r="BE11" s="1767"/>
    </row>
    <row r="12" spans="1:6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573" t="s">
        <v>1997</v>
      </c>
      <c r="Y12" s="2574"/>
      <c r="Z12" s="2574"/>
      <c r="AA12" s="2574"/>
      <c r="AB12" s="2574"/>
      <c r="AC12" s="2574"/>
      <c r="AD12" s="2574"/>
      <c r="AE12" s="2574"/>
      <c r="AF12" s="2574"/>
      <c r="AG12" s="2574"/>
      <c r="AH12" s="2574"/>
      <c r="AI12" s="2574"/>
      <c r="AJ12" s="2574"/>
      <c r="AK12" s="2575"/>
      <c r="AL12" s="2576">
        <v>44636</v>
      </c>
      <c r="AM12" s="2577"/>
      <c r="AN12" s="2577"/>
      <c r="AO12" s="2577"/>
      <c r="AP12" s="2578"/>
      <c r="AQ12" s="1769"/>
      <c r="AR12" s="1769"/>
      <c r="AS12" s="1769"/>
      <c r="AT12" s="1769"/>
      <c r="AU12" s="1769"/>
      <c r="AV12" s="1766"/>
      <c r="AW12" s="1766"/>
      <c r="AX12" s="1766"/>
      <c r="AY12" s="1766"/>
      <c r="AZ12" s="1766"/>
      <c r="BA12" s="1766"/>
      <c r="BB12" s="1766"/>
      <c r="BC12" s="1766"/>
      <c r="BD12" s="1766"/>
      <c r="BE12" s="1772"/>
    </row>
    <row r="13" spans="1:65" thickBot="1">
      <c r="A13" s="1766"/>
      <c r="B13" s="2573" t="s">
        <v>1998</v>
      </c>
      <c r="C13" s="2574"/>
      <c r="D13" s="2574"/>
      <c r="E13" s="2574"/>
      <c r="F13" s="2574"/>
      <c r="G13" s="2574"/>
      <c r="H13" s="2574"/>
      <c r="I13" s="2574"/>
      <c r="J13" s="2574"/>
      <c r="K13" s="2574"/>
      <c r="L13" s="2574"/>
      <c r="M13" s="2574"/>
      <c r="N13" s="2574"/>
      <c r="O13" s="2574"/>
      <c r="P13" s="2575"/>
      <c r="Q13" s="2582" t="s">
        <v>2635</v>
      </c>
      <c r="R13" s="2569"/>
      <c r="S13" s="2569"/>
      <c r="T13" s="2570"/>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5">
      <c r="A15" s="1766"/>
      <c r="B15" s="2583" t="s">
        <v>1999</v>
      </c>
      <c r="C15" s="2583"/>
      <c r="D15" s="2583"/>
      <c r="E15" s="2583"/>
      <c r="F15" s="2583"/>
      <c r="G15" s="2583"/>
      <c r="H15" s="2583"/>
      <c r="I15" s="2583"/>
      <c r="J15" s="2583"/>
      <c r="K15" s="2583"/>
      <c r="L15" s="2584"/>
      <c r="M15" s="2566" t="s">
        <v>2000</v>
      </c>
      <c r="N15" s="2567"/>
      <c r="O15" s="2567"/>
      <c r="P15" s="2567"/>
      <c r="Q15" s="2567"/>
      <c r="R15" s="2567"/>
      <c r="S15" s="2585" t="str">
        <f>IF(Application!AB214="","",Application!AB214)</f>
        <v/>
      </c>
      <c r="T15" s="2585"/>
      <c r="U15" s="2585"/>
      <c r="V15" s="2585"/>
      <c r="W15" s="2586"/>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5">
      <c r="A17" s="1766"/>
      <c r="B17" s="2600" t="s">
        <v>2001</v>
      </c>
      <c r="C17" s="2601"/>
      <c r="D17" s="2601"/>
      <c r="E17" s="2601"/>
      <c r="F17" s="2601"/>
      <c r="G17" s="2601"/>
      <c r="H17" s="2601"/>
      <c r="I17" s="2601"/>
      <c r="J17" s="2601"/>
      <c r="K17" s="2601"/>
      <c r="L17" s="2601"/>
      <c r="M17" s="2601"/>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c r="AL17" s="2601"/>
      <c r="AM17" s="2601"/>
      <c r="AN17" s="2601"/>
      <c r="AO17" s="2601"/>
      <c r="AP17" s="2601"/>
      <c r="AQ17" s="2601"/>
      <c r="AR17" s="2601"/>
      <c r="AS17" s="2601"/>
      <c r="AT17" s="2601"/>
      <c r="AU17" s="2601"/>
      <c r="AV17" s="2601"/>
      <c r="AW17" s="2601"/>
      <c r="AX17" s="2601"/>
      <c r="AY17" s="2602"/>
      <c r="AZ17" s="1766"/>
      <c r="BA17" s="1766"/>
      <c r="BB17" s="1766"/>
      <c r="BC17" s="1766"/>
      <c r="BD17" s="1766"/>
      <c r="BE17" s="1772"/>
      <c r="BF17" s="1764"/>
    </row>
    <row r="18" spans="1:58" ht="15.75" customHeight="1">
      <c r="A18" s="1766"/>
      <c r="B18" s="2603" t="s">
        <v>2002</v>
      </c>
      <c r="C18" s="2604"/>
      <c r="D18" s="2604"/>
      <c r="E18" s="2604"/>
      <c r="F18" s="2604"/>
      <c r="G18" s="2604"/>
      <c r="H18" s="2604"/>
      <c r="I18" s="2605"/>
      <c r="J18" s="2606" t="s">
        <v>1876</v>
      </c>
      <c r="K18" s="2607"/>
      <c r="L18" s="2607"/>
      <c r="M18" s="2607"/>
      <c r="N18" s="2607"/>
      <c r="O18" s="2608"/>
      <c r="P18" s="2606" t="s">
        <v>332</v>
      </c>
      <c r="Q18" s="2607"/>
      <c r="R18" s="2607"/>
      <c r="S18" s="2607"/>
      <c r="T18" s="2607"/>
      <c r="U18" s="2608"/>
      <c r="V18" s="2606" t="s">
        <v>333</v>
      </c>
      <c r="W18" s="2607"/>
      <c r="X18" s="2607"/>
      <c r="Y18" s="2607"/>
      <c r="Z18" s="2607"/>
      <c r="AA18" s="2608"/>
      <c r="AB18" s="2606" t="s">
        <v>168</v>
      </c>
      <c r="AC18" s="2607"/>
      <c r="AD18" s="2607"/>
      <c r="AE18" s="2607"/>
      <c r="AF18" s="2607"/>
      <c r="AG18" s="2608"/>
      <c r="AH18" s="2606" t="s">
        <v>169</v>
      </c>
      <c r="AI18" s="2607"/>
      <c r="AJ18" s="2607"/>
      <c r="AK18" s="2607"/>
      <c r="AL18" s="2607"/>
      <c r="AM18" s="2608"/>
      <c r="AN18" s="2606" t="s">
        <v>170</v>
      </c>
      <c r="AO18" s="2607"/>
      <c r="AP18" s="2607"/>
      <c r="AQ18" s="2607"/>
      <c r="AR18" s="2607"/>
      <c r="AS18" s="2608"/>
      <c r="AT18" s="2606" t="s">
        <v>2003</v>
      </c>
      <c r="AU18" s="2607"/>
      <c r="AV18" s="2607"/>
      <c r="AW18" s="2607"/>
      <c r="AX18" s="2607"/>
      <c r="AY18" s="2609"/>
      <c r="AZ18" s="1766"/>
      <c r="BA18" s="1766"/>
      <c r="BB18" s="1766"/>
      <c r="BC18" s="1766"/>
      <c r="BD18" s="1766"/>
      <c r="BE18" s="1772"/>
    </row>
    <row r="19" spans="1:58" ht="15">
      <c r="A19" s="1766"/>
      <c r="B19" s="2616">
        <v>0.2</v>
      </c>
      <c r="C19" s="2617"/>
      <c r="D19" s="2617"/>
      <c r="E19" s="2617"/>
      <c r="F19" s="2617"/>
      <c r="G19" s="2617"/>
      <c r="H19" s="2617"/>
      <c r="I19" s="2617"/>
      <c r="J19" s="2610">
        <f>SUM(P19:AS19)</f>
        <v>0</v>
      </c>
      <c r="K19" s="2611"/>
      <c r="L19" s="2611"/>
      <c r="M19" s="2611"/>
      <c r="N19" s="2611"/>
      <c r="O19" s="2612"/>
      <c r="P19" s="2610" cm="1">
        <f t="array" ref="P19">SUMPRODUCT((Application!$B$728:$B$752 = 'CalHFA Addendum'!P$18)*(Application!$AH$728:$AH$752 = 'CalHFA Addendum'!$B19),Application!$G$728:$G$752)</f>
        <v>0</v>
      </c>
      <c r="Q19" s="2611"/>
      <c r="R19" s="2611"/>
      <c r="S19" s="2611"/>
      <c r="T19" s="2611"/>
      <c r="U19" s="2612"/>
      <c r="V19" s="2610" cm="1">
        <f t="array" ref="V19">SUMPRODUCT((Application!$B$728:$B$752 = 'CalHFA Addendum'!V$18)*(Application!$AH$728:$AH$752 = 'CalHFA Addendum'!$B19),Application!$G$728:$G$752)</f>
        <v>0</v>
      </c>
      <c r="W19" s="2611"/>
      <c r="X19" s="2611"/>
      <c r="Y19" s="2611"/>
      <c r="Z19" s="2611"/>
      <c r="AA19" s="2612"/>
      <c r="AB19" s="2610" cm="1">
        <f t="array" ref="AB19">SUMPRODUCT((Application!$B$728:$B$752 = 'CalHFA Addendum'!AB$18)*(Application!$AH$728:$AH$752 = 'CalHFA Addendum'!$B19),Application!$G$728:$G$752)</f>
        <v>0</v>
      </c>
      <c r="AC19" s="2611"/>
      <c r="AD19" s="2611"/>
      <c r="AE19" s="2611"/>
      <c r="AF19" s="2611"/>
      <c r="AG19" s="2612"/>
      <c r="AH19" s="2610" cm="1">
        <f t="array" ref="AH19">SUMPRODUCT((Application!$B$728:$B$752 = 'CalHFA Addendum'!AH$18)*(Application!$AH$728:$AH$752 = 'CalHFA Addendum'!$B19),Application!$G$728:$G$752)</f>
        <v>0</v>
      </c>
      <c r="AI19" s="2611"/>
      <c r="AJ19" s="2611"/>
      <c r="AK19" s="2611"/>
      <c r="AL19" s="2611"/>
      <c r="AM19" s="2612"/>
      <c r="AN19" s="2610" cm="1">
        <f t="array" ref="AN19">SUMPRODUCT((Application!$B$728:$B$752 = 'CalHFA Addendum'!AN$18)*(Application!$AH$728:$AH$752 = 'CalHFA Addendum'!$B19),Application!$G$728:$G$752)</f>
        <v>0</v>
      </c>
      <c r="AO19" s="2611"/>
      <c r="AP19" s="2611"/>
      <c r="AQ19" s="2611"/>
      <c r="AR19" s="2611"/>
      <c r="AS19" s="2612"/>
      <c r="AT19" s="2613">
        <f t="shared" ref="AT19:AT28" si="0">J19/$J$29</f>
        <v>0</v>
      </c>
      <c r="AU19" s="2614"/>
      <c r="AV19" s="2614"/>
      <c r="AW19" s="2614"/>
      <c r="AX19" s="2614"/>
      <c r="AY19" s="2615"/>
      <c r="AZ19" s="1773"/>
      <c r="BA19" s="1766"/>
      <c r="BB19" s="1766"/>
      <c r="BC19" s="1766"/>
      <c r="BD19" s="1766"/>
      <c r="BE19" s="1772"/>
    </row>
    <row r="20" spans="1:58" ht="15" customHeight="1">
      <c r="A20" s="1766"/>
      <c r="B20" s="2616">
        <v>0.3</v>
      </c>
      <c r="C20" s="2617"/>
      <c r="D20" s="2617"/>
      <c r="E20" s="2617"/>
      <c r="F20" s="2617"/>
      <c r="G20" s="2617"/>
      <c r="H20" s="2617"/>
      <c r="I20" s="2617"/>
      <c r="J20" s="2610">
        <f t="shared" ref="J20:J28" si="1">SUM(P20:AS20)</f>
        <v>20</v>
      </c>
      <c r="K20" s="2611"/>
      <c r="L20" s="2611"/>
      <c r="M20" s="2611"/>
      <c r="N20" s="2611"/>
      <c r="O20" s="2612"/>
      <c r="P20" s="2610" cm="1">
        <f t="array" ref="P20">SUMPRODUCT((Application!$B$728:$B$752 = 'CalHFA Addendum'!P$18)*(Application!$AH$728:$AH$752 = 'CalHFA Addendum'!$B20),Application!$G$728:$G$752)</f>
        <v>0</v>
      </c>
      <c r="Q20" s="2611"/>
      <c r="R20" s="2611"/>
      <c r="S20" s="2611"/>
      <c r="T20" s="2611"/>
      <c r="U20" s="2612"/>
      <c r="V20" s="2610" cm="1">
        <f t="array" ref="V20">SUMPRODUCT((Application!$B$728:$B$752 = 'CalHFA Addendum'!V$18)*(Application!$AH$728:$AH$752 = 'CalHFA Addendum'!$B20),Application!$G$728:$G$752)</f>
        <v>10</v>
      </c>
      <c r="W20" s="2611"/>
      <c r="X20" s="2611"/>
      <c r="Y20" s="2611"/>
      <c r="Z20" s="2611"/>
      <c r="AA20" s="2612"/>
      <c r="AB20" s="2610" cm="1">
        <f t="array" ref="AB20">SUMPRODUCT((Application!$B$728:$B$752 = 'CalHFA Addendum'!AB$18)*(Application!$AH$728:$AH$752 = 'CalHFA Addendum'!$B20),Application!$G$728:$G$752)</f>
        <v>5</v>
      </c>
      <c r="AC20" s="2611"/>
      <c r="AD20" s="2611"/>
      <c r="AE20" s="2611"/>
      <c r="AF20" s="2611"/>
      <c r="AG20" s="2612"/>
      <c r="AH20" s="2610" cm="1">
        <f t="array" ref="AH20">SUMPRODUCT((Application!$B$728:$B$752 = 'CalHFA Addendum'!AH$18)*(Application!$AH$728:$AH$752 = 'CalHFA Addendum'!$B20),Application!$G$728:$G$752)</f>
        <v>5</v>
      </c>
      <c r="AI20" s="2611"/>
      <c r="AJ20" s="2611"/>
      <c r="AK20" s="2611"/>
      <c r="AL20" s="2611"/>
      <c r="AM20" s="2612"/>
      <c r="AN20" s="2610" cm="1">
        <f t="array" ref="AN20">SUMPRODUCT((Application!$B$728:$B$752 = 'CalHFA Addendum'!AN$18)*(Application!$AH$728:$AH$752 = 'CalHFA Addendum'!$B20),Application!$G$728:$G$752)</f>
        <v>0</v>
      </c>
      <c r="AO20" s="2611"/>
      <c r="AP20" s="2611"/>
      <c r="AQ20" s="2611"/>
      <c r="AR20" s="2611"/>
      <c r="AS20" s="2612"/>
      <c r="AT20" s="2613">
        <f t="shared" si="0"/>
        <v>0.10309278350515463</v>
      </c>
      <c r="AU20" s="2614"/>
      <c r="AV20" s="2614"/>
      <c r="AW20" s="2614"/>
      <c r="AX20" s="2614"/>
      <c r="AY20" s="2615"/>
      <c r="AZ20" s="1766"/>
      <c r="BA20" s="1766"/>
      <c r="BB20" s="1766"/>
      <c r="BC20" s="1766"/>
      <c r="BD20" s="1766"/>
      <c r="BE20" s="1772"/>
    </row>
    <row r="21" spans="1:58" ht="15">
      <c r="A21" s="1766"/>
      <c r="B21" s="2616">
        <v>0.4</v>
      </c>
      <c r="C21" s="2617"/>
      <c r="D21" s="2617"/>
      <c r="E21" s="2617"/>
      <c r="F21" s="2617"/>
      <c r="G21" s="2617"/>
      <c r="H21" s="2617"/>
      <c r="I21" s="2617"/>
      <c r="J21" s="2610">
        <f t="shared" si="1"/>
        <v>0</v>
      </c>
      <c r="K21" s="2611"/>
      <c r="L21" s="2611"/>
      <c r="M21" s="2611"/>
      <c r="N21" s="2611"/>
      <c r="O21" s="2612"/>
      <c r="P21" s="2610" cm="1">
        <f t="array" ref="P21">SUMPRODUCT((Application!$B$728:$B$752 = 'CalHFA Addendum'!P$18)*(Application!$AH$728:$AH$752 = 'CalHFA Addendum'!$B21),Application!$G$728:$G$752)</f>
        <v>0</v>
      </c>
      <c r="Q21" s="2611"/>
      <c r="R21" s="2611"/>
      <c r="S21" s="2611"/>
      <c r="T21" s="2611"/>
      <c r="U21" s="2612"/>
      <c r="V21" s="2610" cm="1">
        <f t="array" ref="V21">SUMPRODUCT((Application!$B$728:$B$752 = 'CalHFA Addendum'!V$18)*(Application!$AH$728:$AH$752 = 'CalHFA Addendum'!$B21),Application!$G$728:$G$752)</f>
        <v>0</v>
      </c>
      <c r="W21" s="2611"/>
      <c r="X21" s="2611"/>
      <c r="Y21" s="2611"/>
      <c r="Z21" s="2611"/>
      <c r="AA21" s="2612"/>
      <c r="AB21" s="2610" cm="1">
        <f t="array" ref="AB21">SUMPRODUCT((Application!$B$728:$B$752 = 'CalHFA Addendum'!AB$18)*(Application!$AH$728:$AH$752 = 'CalHFA Addendum'!$B21),Application!$G$728:$G$752)</f>
        <v>0</v>
      </c>
      <c r="AC21" s="2611"/>
      <c r="AD21" s="2611"/>
      <c r="AE21" s="2611"/>
      <c r="AF21" s="2611"/>
      <c r="AG21" s="2612"/>
      <c r="AH21" s="2610" cm="1">
        <f t="array" ref="AH21">SUMPRODUCT((Application!$B$728:$B$752 = 'CalHFA Addendum'!AH$18)*(Application!$AH$728:$AH$752 = 'CalHFA Addendum'!$B21),Application!$G$728:$G$752)</f>
        <v>0</v>
      </c>
      <c r="AI21" s="2611"/>
      <c r="AJ21" s="2611"/>
      <c r="AK21" s="2611"/>
      <c r="AL21" s="2611"/>
      <c r="AM21" s="2612"/>
      <c r="AN21" s="2610" cm="1">
        <f t="array" ref="AN21">SUMPRODUCT((Application!$B$728:$B$752 = 'CalHFA Addendum'!AN$18)*(Application!$AH$728:$AH$752 = 'CalHFA Addendum'!$B21),Application!$G$728:$G$752)</f>
        <v>0</v>
      </c>
      <c r="AO21" s="2611"/>
      <c r="AP21" s="2611"/>
      <c r="AQ21" s="2611"/>
      <c r="AR21" s="2611"/>
      <c r="AS21" s="2612"/>
      <c r="AT21" s="2613">
        <f t="shared" si="0"/>
        <v>0</v>
      </c>
      <c r="AU21" s="2614"/>
      <c r="AV21" s="2614"/>
      <c r="AW21" s="2614"/>
      <c r="AX21" s="2614"/>
      <c r="AY21" s="2615"/>
      <c r="AZ21" s="1766"/>
      <c r="BA21" s="1766"/>
      <c r="BB21" s="1766"/>
      <c r="BC21" s="1766"/>
      <c r="BD21" s="1766"/>
      <c r="BE21" s="1772"/>
    </row>
    <row r="22" spans="1:58" ht="15">
      <c r="A22" s="1766"/>
      <c r="B22" s="2616">
        <v>0.5</v>
      </c>
      <c r="C22" s="2617"/>
      <c r="D22" s="2617"/>
      <c r="E22" s="2617"/>
      <c r="F22" s="2617"/>
      <c r="G22" s="2617"/>
      <c r="H22" s="2617"/>
      <c r="I22" s="2617"/>
      <c r="J22" s="2610">
        <f t="shared" si="1"/>
        <v>39</v>
      </c>
      <c r="K22" s="2611"/>
      <c r="L22" s="2611"/>
      <c r="M22" s="2611"/>
      <c r="N22" s="2611"/>
      <c r="O22" s="2612"/>
      <c r="P22" s="2610" cm="1">
        <f t="array" ref="P22">SUMPRODUCT((Application!$B$728:$B$752 = 'CalHFA Addendum'!P$18)*(Application!$AH$728:$AH$752 = 'CalHFA Addendum'!$B22),Application!$G$728:$G$752)</f>
        <v>0</v>
      </c>
      <c r="Q22" s="2611"/>
      <c r="R22" s="2611"/>
      <c r="S22" s="2611"/>
      <c r="T22" s="2611"/>
      <c r="U22" s="2612"/>
      <c r="V22" s="2610" cm="1">
        <f t="array" ref="V22">SUMPRODUCT((Application!$B$728:$B$752 = 'CalHFA Addendum'!V$18)*(Application!$AH$728:$AH$752 = 'CalHFA Addendum'!$B22),Application!$G$728:$G$752)</f>
        <v>30</v>
      </c>
      <c r="W22" s="2611"/>
      <c r="X22" s="2611"/>
      <c r="Y22" s="2611"/>
      <c r="Z22" s="2611"/>
      <c r="AA22" s="2612"/>
      <c r="AB22" s="2610" cm="1">
        <f t="array" ref="AB22">SUMPRODUCT((Application!$B$728:$B$752 = 'CalHFA Addendum'!AB$18)*(Application!$AH$728:$AH$752 = 'CalHFA Addendum'!$B22),Application!$G$728:$G$752)</f>
        <v>5</v>
      </c>
      <c r="AC22" s="2611"/>
      <c r="AD22" s="2611"/>
      <c r="AE22" s="2611"/>
      <c r="AF22" s="2611"/>
      <c r="AG22" s="2612"/>
      <c r="AH22" s="2610" cm="1">
        <f t="array" ref="AH22">SUMPRODUCT((Application!$B$728:$B$752 = 'CalHFA Addendum'!AH$18)*(Application!$AH$728:$AH$752 = 'CalHFA Addendum'!$B22),Application!$G$728:$G$752)</f>
        <v>4</v>
      </c>
      <c r="AI22" s="2611"/>
      <c r="AJ22" s="2611"/>
      <c r="AK22" s="2611"/>
      <c r="AL22" s="2611"/>
      <c r="AM22" s="2612"/>
      <c r="AN22" s="2610" cm="1">
        <f t="array" ref="AN22">SUMPRODUCT((Application!$B$728:$B$752 = 'CalHFA Addendum'!AN$18)*(Application!$AH$728:$AH$752 = 'CalHFA Addendum'!$B22),Application!$G$728:$G$752)</f>
        <v>0</v>
      </c>
      <c r="AO22" s="2611"/>
      <c r="AP22" s="2611"/>
      <c r="AQ22" s="2611"/>
      <c r="AR22" s="2611"/>
      <c r="AS22" s="2612"/>
      <c r="AT22" s="2613">
        <f t="shared" si="0"/>
        <v>0.20103092783505155</v>
      </c>
      <c r="AU22" s="2614"/>
      <c r="AV22" s="2614"/>
      <c r="AW22" s="2614"/>
      <c r="AX22" s="2614"/>
      <c r="AY22" s="2615"/>
      <c r="AZ22" s="1766"/>
      <c r="BA22" s="1766"/>
      <c r="BB22" s="1766"/>
      <c r="BC22" s="1766"/>
      <c r="BD22" s="1766"/>
      <c r="BE22" s="1772"/>
    </row>
    <row r="23" spans="1:58" ht="15">
      <c r="A23" s="1766"/>
      <c r="B23" s="2616">
        <v>0.6</v>
      </c>
      <c r="C23" s="2617"/>
      <c r="D23" s="2617"/>
      <c r="E23" s="2617"/>
      <c r="F23" s="2617"/>
      <c r="G23" s="2617"/>
      <c r="H23" s="2617"/>
      <c r="I23" s="2617"/>
      <c r="J23" s="2610">
        <f t="shared" si="1"/>
        <v>42</v>
      </c>
      <c r="K23" s="2611"/>
      <c r="L23" s="2611"/>
      <c r="M23" s="2611"/>
      <c r="N23" s="2611"/>
      <c r="O23" s="2612"/>
      <c r="P23" s="2610" cm="1">
        <f t="array" ref="P23">SUMPRODUCT((Application!$B$728:$B$752 = 'CalHFA Addendum'!P$18)*(Application!$AH$728:$AH$752 = 'CalHFA Addendum'!$B23),Application!$G$728:$G$752)</f>
        <v>0</v>
      </c>
      <c r="Q23" s="2611"/>
      <c r="R23" s="2611"/>
      <c r="S23" s="2611"/>
      <c r="T23" s="2611"/>
      <c r="U23" s="2612"/>
      <c r="V23" s="2610" cm="1">
        <f t="array" ref="V23">SUMPRODUCT((Application!$B$728:$B$752 = 'CalHFA Addendum'!V$18)*(Application!$AH$728:$AH$752 = 'CalHFA Addendum'!$B23),Application!$G$728:$G$752)</f>
        <v>35</v>
      </c>
      <c r="W23" s="2611"/>
      <c r="X23" s="2611"/>
      <c r="Y23" s="2611"/>
      <c r="Z23" s="2611"/>
      <c r="AA23" s="2612"/>
      <c r="AB23" s="2610" cm="1">
        <f t="array" ref="AB23">SUMPRODUCT((Application!$B$728:$B$752 = 'CalHFA Addendum'!AB$18)*(Application!$AH$728:$AH$752 = 'CalHFA Addendum'!$B23),Application!$G$728:$G$752)</f>
        <v>7</v>
      </c>
      <c r="AC23" s="2611"/>
      <c r="AD23" s="2611"/>
      <c r="AE23" s="2611"/>
      <c r="AF23" s="2611"/>
      <c r="AG23" s="2612"/>
      <c r="AH23" s="2610" cm="1">
        <f t="array" ref="AH23">SUMPRODUCT((Application!$B$728:$B$752 = 'CalHFA Addendum'!AH$18)*(Application!$AH$728:$AH$752 = 'CalHFA Addendum'!$B23),Application!$G$728:$G$752)</f>
        <v>0</v>
      </c>
      <c r="AI23" s="2611"/>
      <c r="AJ23" s="2611"/>
      <c r="AK23" s="2611"/>
      <c r="AL23" s="2611"/>
      <c r="AM23" s="2612"/>
      <c r="AN23" s="2610" cm="1">
        <f t="array" ref="AN23">SUMPRODUCT((Application!$B$728:$B$752 = 'CalHFA Addendum'!AN$18)*(Application!$AH$728:$AH$752 = 'CalHFA Addendum'!$B23),Application!$G$728:$G$752)</f>
        <v>0</v>
      </c>
      <c r="AO23" s="2611"/>
      <c r="AP23" s="2611"/>
      <c r="AQ23" s="2611"/>
      <c r="AR23" s="2611"/>
      <c r="AS23" s="2612"/>
      <c r="AT23" s="2613">
        <f t="shared" si="0"/>
        <v>0.21649484536082475</v>
      </c>
      <c r="AU23" s="2614"/>
      <c r="AV23" s="2614"/>
      <c r="AW23" s="2614"/>
      <c r="AX23" s="2614"/>
      <c r="AY23" s="2615"/>
      <c r="AZ23" s="1766"/>
      <c r="BA23" s="1766"/>
      <c r="BB23" s="1766"/>
      <c r="BC23" s="1766"/>
      <c r="BD23" s="1766"/>
      <c r="BE23" s="1772"/>
    </row>
    <row r="24" spans="1:58" ht="15">
      <c r="A24" s="1766"/>
      <c r="B24" s="2616">
        <v>0.7</v>
      </c>
      <c r="C24" s="2617"/>
      <c r="D24" s="2617"/>
      <c r="E24" s="2617"/>
      <c r="F24" s="2617"/>
      <c r="G24" s="2617"/>
      <c r="H24" s="2617"/>
      <c r="I24" s="2617"/>
      <c r="J24" s="2610">
        <f t="shared" si="1"/>
        <v>91</v>
      </c>
      <c r="K24" s="2611"/>
      <c r="L24" s="2611"/>
      <c r="M24" s="2611"/>
      <c r="N24" s="2611"/>
      <c r="O24" s="2612"/>
      <c r="P24" s="2610" cm="1">
        <f t="array" ref="P24">SUMPRODUCT((Application!$B$728:$B$752 = 'CalHFA Addendum'!P$18)*(Application!$AH$728:$AH$752 = 'CalHFA Addendum'!$B24),Application!$G$728:$G$752)</f>
        <v>0</v>
      </c>
      <c r="Q24" s="2611"/>
      <c r="R24" s="2611"/>
      <c r="S24" s="2611"/>
      <c r="T24" s="2611"/>
      <c r="U24" s="2612"/>
      <c r="V24" s="2610" cm="1">
        <f t="array" ref="V24">SUMPRODUCT((Application!$B$728:$B$752 = 'CalHFA Addendum'!V$18)*(Application!$AH$728:$AH$752 = 'CalHFA Addendum'!$B24),Application!$G$728:$G$752)</f>
        <v>21</v>
      </c>
      <c r="W24" s="2611"/>
      <c r="X24" s="2611"/>
      <c r="Y24" s="2611"/>
      <c r="Z24" s="2611"/>
      <c r="AA24" s="2612"/>
      <c r="AB24" s="2610" cm="1">
        <f t="array" ref="AB24">SUMPRODUCT((Application!$B$728:$B$752 = 'CalHFA Addendum'!AB$18)*(Application!$AH$728:$AH$752 = 'CalHFA Addendum'!$B24),Application!$G$728:$G$752)</f>
        <v>31</v>
      </c>
      <c r="AC24" s="2611"/>
      <c r="AD24" s="2611"/>
      <c r="AE24" s="2611"/>
      <c r="AF24" s="2611"/>
      <c r="AG24" s="2612"/>
      <c r="AH24" s="2610" cm="1">
        <f t="array" ref="AH24">SUMPRODUCT((Application!$B$728:$B$752 = 'CalHFA Addendum'!AH$18)*(Application!$AH$728:$AH$752 = 'CalHFA Addendum'!$B24),Application!$G$728:$G$752)</f>
        <v>39</v>
      </c>
      <c r="AI24" s="2611"/>
      <c r="AJ24" s="2611"/>
      <c r="AK24" s="2611"/>
      <c r="AL24" s="2611"/>
      <c r="AM24" s="2612"/>
      <c r="AN24" s="2610" cm="1">
        <f t="array" ref="AN24">SUMPRODUCT((Application!$B$728:$B$752 = 'CalHFA Addendum'!AN$18)*(Application!$AH$728:$AH$752 = 'CalHFA Addendum'!$B24),Application!$G$728:$G$752)</f>
        <v>0</v>
      </c>
      <c r="AO24" s="2611"/>
      <c r="AP24" s="2611"/>
      <c r="AQ24" s="2611"/>
      <c r="AR24" s="2611"/>
      <c r="AS24" s="2612"/>
      <c r="AT24" s="2613">
        <f t="shared" si="0"/>
        <v>0.46907216494845361</v>
      </c>
      <c r="AU24" s="2614"/>
      <c r="AV24" s="2614"/>
      <c r="AW24" s="2614"/>
      <c r="AX24" s="2614"/>
      <c r="AY24" s="2615"/>
      <c r="AZ24" s="1766"/>
      <c r="BA24" s="1766"/>
      <c r="BB24" s="1766"/>
      <c r="BC24" s="1766"/>
      <c r="BD24" s="1766"/>
      <c r="BE24" s="1772"/>
    </row>
    <row r="25" spans="1:58" ht="15">
      <c r="A25" s="1766"/>
      <c r="B25" s="2616">
        <v>0.8</v>
      </c>
      <c r="C25" s="2617"/>
      <c r="D25" s="2617"/>
      <c r="E25" s="2617"/>
      <c r="F25" s="2617"/>
      <c r="G25" s="2617"/>
      <c r="H25" s="2617"/>
      <c r="I25" s="2617"/>
      <c r="J25" s="2610">
        <f t="shared" si="1"/>
        <v>0</v>
      </c>
      <c r="K25" s="2611"/>
      <c r="L25" s="2611"/>
      <c r="M25" s="2611"/>
      <c r="N25" s="2611"/>
      <c r="O25" s="2612"/>
      <c r="P25" s="2610" cm="1">
        <f t="array" ref="P25">SUMPRODUCT((Application!$B$728:$B$752 = 'CalHFA Addendum'!P$18)*(Application!$AH$728:$AH$752 = 'CalHFA Addendum'!$B25),Application!$G$728:$G$752)</f>
        <v>0</v>
      </c>
      <c r="Q25" s="2611"/>
      <c r="R25" s="2611"/>
      <c r="S25" s="2611"/>
      <c r="T25" s="2611"/>
      <c r="U25" s="2612"/>
      <c r="V25" s="2610" cm="1">
        <f t="array" ref="V25">SUMPRODUCT((Application!$B$728:$B$752 = 'CalHFA Addendum'!V$18)*(Application!$AH$728:$AH$752 = 'CalHFA Addendum'!$B25),Application!$G$728:$G$752)</f>
        <v>0</v>
      </c>
      <c r="W25" s="2611"/>
      <c r="X25" s="2611"/>
      <c r="Y25" s="2611"/>
      <c r="Z25" s="2611"/>
      <c r="AA25" s="2612"/>
      <c r="AB25" s="2610" cm="1">
        <f t="array" ref="AB25">SUMPRODUCT((Application!$B$728:$B$752 = 'CalHFA Addendum'!AB$18)*(Application!$AH$728:$AH$752 = 'CalHFA Addendum'!$B25),Application!$G$728:$G$752)</f>
        <v>0</v>
      </c>
      <c r="AC25" s="2611"/>
      <c r="AD25" s="2611"/>
      <c r="AE25" s="2611"/>
      <c r="AF25" s="2611"/>
      <c r="AG25" s="2612"/>
      <c r="AH25" s="2610" cm="1">
        <f t="array" ref="AH25">SUMPRODUCT((Application!$B$728:$B$752 = 'CalHFA Addendum'!AH$18)*(Application!$AH$728:$AH$752 = 'CalHFA Addendum'!$B25),Application!$G$728:$G$752)</f>
        <v>0</v>
      </c>
      <c r="AI25" s="2611"/>
      <c r="AJ25" s="2611"/>
      <c r="AK25" s="2611"/>
      <c r="AL25" s="2611"/>
      <c r="AM25" s="2612"/>
      <c r="AN25" s="2610" cm="1">
        <f t="array" ref="AN25">SUMPRODUCT((Application!$B$728:$B$752 = 'CalHFA Addendum'!AN$18)*(Application!$AH$728:$AH$752 = 'CalHFA Addendum'!$B25),Application!$G$728:$G$752)</f>
        <v>0</v>
      </c>
      <c r="AO25" s="2611"/>
      <c r="AP25" s="2611"/>
      <c r="AQ25" s="2611"/>
      <c r="AR25" s="2611"/>
      <c r="AS25" s="2612"/>
      <c r="AT25" s="2613">
        <f t="shared" si="0"/>
        <v>0</v>
      </c>
      <c r="AU25" s="2614"/>
      <c r="AV25" s="2614"/>
      <c r="AW25" s="2614"/>
      <c r="AX25" s="2614"/>
      <c r="AY25" s="2615"/>
      <c r="AZ25" s="1766"/>
      <c r="BA25" s="1766"/>
      <c r="BB25" s="1766"/>
      <c r="BC25" s="1766"/>
      <c r="BD25" s="1766"/>
      <c r="BE25" s="1772"/>
    </row>
    <row r="26" spans="1:58" ht="15">
      <c r="A26" s="1766"/>
      <c r="B26" s="2616">
        <v>0.9</v>
      </c>
      <c r="C26" s="2617"/>
      <c r="D26" s="2617"/>
      <c r="E26" s="2617"/>
      <c r="F26" s="2617"/>
      <c r="G26" s="2617"/>
      <c r="H26" s="2617"/>
      <c r="I26" s="2617"/>
      <c r="J26" s="2610">
        <f t="shared" si="1"/>
        <v>0</v>
      </c>
      <c r="K26" s="2611"/>
      <c r="L26" s="2611"/>
      <c r="M26" s="2611"/>
      <c r="N26" s="2611"/>
      <c r="O26" s="2612"/>
      <c r="P26" s="2610" cm="1">
        <f t="array" ref="P26">SUMPRODUCT((Application!$B$728:$B$752 = 'CalHFA Addendum'!P$18)*(Application!$AH$728:$AH$752 = 'CalHFA Addendum'!$B26),Application!$G$728:$G$752)</f>
        <v>0</v>
      </c>
      <c r="Q26" s="2611"/>
      <c r="R26" s="2611"/>
      <c r="S26" s="2611"/>
      <c r="T26" s="2611"/>
      <c r="U26" s="2612"/>
      <c r="V26" s="2610" cm="1">
        <f t="array" ref="V26">SUMPRODUCT((Application!$B$728:$B$752 = 'CalHFA Addendum'!V$18)*(Application!$AH$728:$AH$752 = 'CalHFA Addendum'!$B26),Application!$G$728:$G$752)</f>
        <v>0</v>
      </c>
      <c r="W26" s="2611"/>
      <c r="X26" s="2611"/>
      <c r="Y26" s="2611"/>
      <c r="Z26" s="2611"/>
      <c r="AA26" s="2612"/>
      <c r="AB26" s="2610" cm="1">
        <f t="array" ref="AB26">SUMPRODUCT((Application!$B$728:$B$752 = 'CalHFA Addendum'!AB$18)*(Application!$AH$728:$AH$752 = 'CalHFA Addendum'!$B26),Application!$G$728:$G$752)</f>
        <v>0</v>
      </c>
      <c r="AC26" s="2611"/>
      <c r="AD26" s="2611"/>
      <c r="AE26" s="2611"/>
      <c r="AF26" s="2611"/>
      <c r="AG26" s="2612"/>
      <c r="AH26" s="2610" cm="1">
        <f t="array" ref="AH26">SUMPRODUCT((Application!$B$728:$B$752 = 'CalHFA Addendum'!AH$18)*(Application!$AH$728:$AH$752 = 'CalHFA Addendum'!$B26),Application!$G$728:$G$752)</f>
        <v>0</v>
      </c>
      <c r="AI26" s="2611"/>
      <c r="AJ26" s="2611"/>
      <c r="AK26" s="2611"/>
      <c r="AL26" s="2611"/>
      <c r="AM26" s="2612"/>
      <c r="AN26" s="2610" cm="1">
        <f t="array" ref="AN26">SUMPRODUCT((Application!$B$728:$B$752 = 'CalHFA Addendum'!AN$18)*(Application!$AH$728:$AH$752 = 'CalHFA Addendum'!$B26),Application!$G$728:$G$752)</f>
        <v>0</v>
      </c>
      <c r="AO26" s="2611"/>
      <c r="AP26" s="2611"/>
      <c r="AQ26" s="2611"/>
      <c r="AR26" s="2611"/>
      <c r="AS26" s="2612"/>
      <c r="AT26" s="2613">
        <f t="shared" si="0"/>
        <v>0</v>
      </c>
      <c r="AU26" s="2614"/>
      <c r="AV26" s="2614"/>
      <c r="AW26" s="2614"/>
      <c r="AX26" s="2614"/>
      <c r="AY26" s="2615"/>
      <c r="AZ26" s="1766"/>
      <c r="BA26" s="1766"/>
      <c r="BB26" s="1766"/>
      <c r="BC26" s="1766"/>
      <c r="BD26" s="1766"/>
      <c r="BE26" s="1772"/>
    </row>
    <row r="27" spans="1:58" ht="15">
      <c r="A27" s="1766"/>
      <c r="B27" s="2616">
        <v>1</v>
      </c>
      <c r="C27" s="2617"/>
      <c r="D27" s="2617"/>
      <c r="E27" s="2617"/>
      <c r="F27" s="2617"/>
      <c r="G27" s="2617"/>
      <c r="H27" s="2617"/>
      <c r="I27" s="2617"/>
      <c r="J27" s="2610">
        <f t="shared" si="1"/>
        <v>0</v>
      </c>
      <c r="K27" s="2611"/>
      <c r="L27" s="2611"/>
      <c r="M27" s="2611"/>
      <c r="N27" s="2611"/>
      <c r="O27" s="2612"/>
      <c r="P27" s="2610" cm="1">
        <f t="array" ref="P27">SUMPRODUCT((Application!$B$728:$B$752 = 'CalHFA Addendum'!P$18)*(Application!$AH$728:$AH$752 = 'CalHFA Addendum'!$B27),Application!$G$728:$G$752)</f>
        <v>0</v>
      </c>
      <c r="Q27" s="2611"/>
      <c r="R27" s="2611"/>
      <c r="S27" s="2611"/>
      <c r="T27" s="2611"/>
      <c r="U27" s="2612"/>
      <c r="V27" s="2610" cm="1">
        <f t="array" ref="V27">SUMPRODUCT((Application!$B$728:$B$752 = 'CalHFA Addendum'!V$18)*(Application!$AH$728:$AH$752 = 'CalHFA Addendum'!$B27),Application!$G$728:$G$752)</f>
        <v>0</v>
      </c>
      <c r="W27" s="2611"/>
      <c r="X27" s="2611"/>
      <c r="Y27" s="2611"/>
      <c r="Z27" s="2611"/>
      <c r="AA27" s="2612"/>
      <c r="AB27" s="2610" cm="1">
        <f t="array" ref="AB27">SUMPRODUCT((Application!$B$728:$B$752 = 'CalHFA Addendum'!AB$18)*(Application!$AH$728:$AH$752 = 'CalHFA Addendum'!$B27),Application!$G$728:$G$752)</f>
        <v>0</v>
      </c>
      <c r="AC27" s="2611"/>
      <c r="AD27" s="2611"/>
      <c r="AE27" s="2611"/>
      <c r="AF27" s="2611"/>
      <c r="AG27" s="2612"/>
      <c r="AH27" s="2610" cm="1">
        <f t="array" ref="AH27">SUMPRODUCT((Application!$B$728:$B$752 = 'CalHFA Addendum'!AH$18)*(Application!$AH$728:$AH$752 = 'CalHFA Addendum'!$B27),Application!$G$728:$G$752)</f>
        <v>0</v>
      </c>
      <c r="AI27" s="2611"/>
      <c r="AJ27" s="2611"/>
      <c r="AK27" s="2611"/>
      <c r="AL27" s="2611"/>
      <c r="AM27" s="2612"/>
      <c r="AN27" s="2610" cm="1">
        <f t="array" ref="AN27">SUMPRODUCT((Application!$B$728:$B$752 = 'CalHFA Addendum'!AN$18)*(Application!$AH$728:$AH$752 = 'CalHFA Addendum'!$B27),Application!$G$728:$G$752)</f>
        <v>0</v>
      </c>
      <c r="AO27" s="2611"/>
      <c r="AP27" s="2611"/>
      <c r="AQ27" s="2611"/>
      <c r="AR27" s="2611"/>
      <c r="AS27" s="2612"/>
      <c r="AT27" s="2613">
        <f t="shared" si="0"/>
        <v>0</v>
      </c>
      <c r="AU27" s="2614"/>
      <c r="AV27" s="2614"/>
      <c r="AW27" s="2614"/>
      <c r="AX27" s="2614"/>
      <c r="AY27" s="2615"/>
      <c r="AZ27" s="1766"/>
      <c r="BA27" s="1766"/>
      <c r="BB27" s="1766"/>
      <c r="BC27" s="1766"/>
      <c r="BD27" s="1766"/>
      <c r="BE27" s="1772"/>
    </row>
    <row r="28" spans="1:58" thickBot="1">
      <c r="A28" s="1766"/>
      <c r="B28" s="2618" t="s">
        <v>2004</v>
      </c>
      <c r="C28" s="2619"/>
      <c r="D28" s="2619"/>
      <c r="E28" s="2619"/>
      <c r="F28" s="2619"/>
      <c r="G28" s="2619"/>
      <c r="H28" s="2619"/>
      <c r="I28" s="2620"/>
      <c r="J28" s="2610">
        <f t="shared" si="1"/>
        <v>2</v>
      </c>
      <c r="K28" s="2611"/>
      <c r="L28" s="2611"/>
      <c r="M28" s="2611"/>
      <c r="N28" s="2611"/>
      <c r="O28" s="2612"/>
      <c r="P28" s="2610">
        <f>_xlfn.IFNA(VLOOKUP(P$18,Application!$J$772:$S$775,6,FALSE), 0)</f>
        <v>0</v>
      </c>
      <c r="Q28" s="2611"/>
      <c r="R28" s="2611"/>
      <c r="S28" s="2611"/>
      <c r="T28" s="2611"/>
      <c r="U28" s="2612"/>
      <c r="V28" s="2610">
        <f>_xlfn.IFNA(VLOOKUP(V$18,Application!$J$772:$S$775,6,FALSE), 0)</f>
        <v>0</v>
      </c>
      <c r="W28" s="2611"/>
      <c r="X28" s="2611"/>
      <c r="Y28" s="2611"/>
      <c r="Z28" s="2611"/>
      <c r="AA28" s="2612"/>
      <c r="AB28" s="2610">
        <f>_xlfn.IFNA(VLOOKUP(AB$18,Application!$J$772:$S$775,6,FALSE), 0)</f>
        <v>0</v>
      </c>
      <c r="AC28" s="2611"/>
      <c r="AD28" s="2611"/>
      <c r="AE28" s="2611"/>
      <c r="AF28" s="2611"/>
      <c r="AG28" s="2612"/>
      <c r="AH28" s="2610">
        <f>_xlfn.IFNA(VLOOKUP(AH$18,Application!$J$772:$S$775,6,FALSE), 0)</f>
        <v>2</v>
      </c>
      <c r="AI28" s="2611"/>
      <c r="AJ28" s="2611"/>
      <c r="AK28" s="2611"/>
      <c r="AL28" s="2611"/>
      <c r="AM28" s="2612"/>
      <c r="AN28" s="2610">
        <f>_xlfn.IFNA(VLOOKUP(AN$18,Application!$J$772:$S$775,6,FALSE), 0)</f>
        <v>0</v>
      </c>
      <c r="AO28" s="2611"/>
      <c r="AP28" s="2611"/>
      <c r="AQ28" s="2611"/>
      <c r="AR28" s="2611"/>
      <c r="AS28" s="2612"/>
      <c r="AT28" s="2613">
        <f t="shared" si="0"/>
        <v>1.0309278350515464E-2</v>
      </c>
      <c r="AU28" s="2614"/>
      <c r="AV28" s="2614"/>
      <c r="AW28" s="2614"/>
      <c r="AX28" s="2614"/>
      <c r="AY28" s="2615"/>
      <c r="AZ28" s="1766"/>
      <c r="BA28" s="1766"/>
      <c r="BB28" s="1766"/>
      <c r="BC28" s="1766"/>
      <c r="BD28" s="1766"/>
      <c r="BE28" s="1772"/>
    </row>
    <row r="29" spans="1:58" thickBot="1">
      <c r="A29" s="1766"/>
      <c r="B29" s="2650" t="s">
        <v>1876</v>
      </c>
      <c r="C29" s="2625"/>
      <c r="D29" s="2625"/>
      <c r="E29" s="2625"/>
      <c r="F29" s="2625"/>
      <c r="G29" s="2625"/>
      <c r="H29" s="2625"/>
      <c r="I29" s="2626"/>
      <c r="J29" s="2624">
        <f>SUM(J19:O28)</f>
        <v>194</v>
      </c>
      <c r="K29" s="2625"/>
      <c r="L29" s="2625"/>
      <c r="M29" s="2625"/>
      <c r="N29" s="2625"/>
      <c r="O29" s="2626"/>
      <c r="P29" s="2624">
        <f>SUM(P19:U28)</f>
        <v>0</v>
      </c>
      <c r="Q29" s="2625"/>
      <c r="R29" s="2625"/>
      <c r="S29" s="2625"/>
      <c r="T29" s="2625"/>
      <c r="U29" s="2626"/>
      <c r="V29" s="2624">
        <f>SUM(V19:AA28)</f>
        <v>96</v>
      </c>
      <c r="W29" s="2625"/>
      <c r="X29" s="2625"/>
      <c r="Y29" s="2625"/>
      <c r="Z29" s="2625"/>
      <c r="AA29" s="2626"/>
      <c r="AB29" s="2624">
        <f>SUM(AB19:AG28)</f>
        <v>48</v>
      </c>
      <c r="AC29" s="2625"/>
      <c r="AD29" s="2625"/>
      <c r="AE29" s="2625"/>
      <c r="AF29" s="2625"/>
      <c r="AG29" s="2626"/>
      <c r="AH29" s="2624">
        <f>SUM(AH19:AM28)</f>
        <v>50</v>
      </c>
      <c r="AI29" s="2625"/>
      <c r="AJ29" s="2625"/>
      <c r="AK29" s="2625"/>
      <c r="AL29" s="2625"/>
      <c r="AM29" s="2626"/>
      <c r="AN29" s="2624">
        <f>SUM(AN19:AS28)</f>
        <v>0</v>
      </c>
      <c r="AO29" s="2625"/>
      <c r="AP29" s="2625"/>
      <c r="AQ29" s="2625"/>
      <c r="AR29" s="2625"/>
      <c r="AS29" s="2626"/>
      <c r="AT29" s="2627">
        <f>J29/$J$29</f>
        <v>1</v>
      </c>
      <c r="AU29" s="2628"/>
      <c r="AV29" s="2628"/>
      <c r="AW29" s="2628"/>
      <c r="AX29" s="2628"/>
      <c r="AY29" s="2629"/>
      <c r="AZ29" s="1766"/>
      <c r="BA29" s="1766"/>
      <c r="BB29" s="1766"/>
      <c r="BC29" s="1766"/>
      <c r="BD29" s="1766"/>
      <c r="BE29" s="1772"/>
    </row>
    <row r="30" spans="1:58"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thickBot="1">
      <c r="A31" s="1766"/>
      <c r="B31" s="2630" t="s">
        <v>2005</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2631"/>
      <c r="AO31" s="2631"/>
      <c r="AP31" s="2631"/>
      <c r="AQ31" s="2631"/>
      <c r="AR31" s="2631"/>
      <c r="AS31" s="2631"/>
      <c r="AT31" s="2631"/>
      <c r="AU31" s="2631"/>
      <c r="AV31" s="2631"/>
      <c r="AW31" s="2631"/>
      <c r="AX31" s="2631"/>
      <c r="AY31" s="2631"/>
      <c r="AZ31" s="2632"/>
      <c r="BA31" s="1766"/>
      <c r="BB31" s="1766"/>
      <c r="BC31" s="1766"/>
      <c r="BD31" s="1766"/>
      <c r="BE31" s="1772"/>
    </row>
    <row r="32" spans="1:58" thickBot="1">
      <c r="A32" s="1766"/>
      <c r="B32" s="2633" t="s">
        <v>2006</v>
      </c>
      <c r="C32" s="2634"/>
      <c r="D32" s="2634"/>
      <c r="E32" s="2634"/>
      <c r="F32" s="2634"/>
      <c r="G32" s="2634"/>
      <c r="H32" s="2634"/>
      <c r="I32" s="2635"/>
      <c r="J32" s="2637" t="s">
        <v>2007</v>
      </c>
      <c r="K32" s="2638"/>
      <c r="L32" s="2638"/>
      <c r="M32" s="2639"/>
      <c r="N32" s="2637" t="s">
        <v>2008</v>
      </c>
      <c r="O32" s="2638"/>
      <c r="P32" s="2638"/>
      <c r="Q32" s="2638"/>
      <c r="R32" s="2641" t="s">
        <v>2009</v>
      </c>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2642"/>
      <c r="AT32" s="2642"/>
      <c r="AU32" s="2642"/>
      <c r="AV32" s="2642"/>
      <c r="AW32" s="2642"/>
      <c r="AX32" s="2642"/>
      <c r="AY32" s="2642"/>
      <c r="AZ32" s="2643"/>
      <c r="BA32" s="1766"/>
      <c r="BB32" s="1766"/>
      <c r="BC32" s="1766"/>
      <c r="BD32" s="1766"/>
      <c r="BE32" s="1772"/>
    </row>
    <row r="33" spans="1:58" ht="15" customHeight="1">
      <c r="A33" s="1766"/>
      <c r="B33" s="2636"/>
      <c r="C33" s="2634"/>
      <c r="D33" s="2634"/>
      <c r="E33" s="2634"/>
      <c r="F33" s="2634"/>
      <c r="G33" s="2634"/>
      <c r="H33" s="2634"/>
      <c r="I33" s="2635"/>
      <c r="J33" s="2640"/>
      <c r="K33" s="2638"/>
      <c r="L33" s="2638"/>
      <c r="M33" s="2639"/>
      <c r="N33" s="2640"/>
      <c r="O33" s="2638"/>
      <c r="P33" s="2638"/>
      <c r="Q33" s="2638"/>
      <c r="R33" s="2644" t="s">
        <v>2010</v>
      </c>
      <c r="S33" s="2645"/>
      <c r="T33" s="2645"/>
      <c r="U33" s="2645"/>
      <c r="V33" s="2645"/>
      <c r="W33" s="2645"/>
      <c r="X33" s="2645"/>
      <c r="Y33" s="2645"/>
      <c r="Z33" s="2645"/>
      <c r="AA33" s="2645"/>
      <c r="AB33" s="2645"/>
      <c r="AC33" s="2645"/>
      <c r="AD33" s="2645"/>
      <c r="AE33" s="2645"/>
      <c r="AF33" s="2645"/>
      <c r="AG33" s="2645"/>
      <c r="AH33" s="2645"/>
      <c r="AI33" s="2645"/>
      <c r="AJ33" s="2645"/>
      <c r="AK33" s="2645"/>
      <c r="AL33" s="2645"/>
      <c r="AM33" s="2645"/>
      <c r="AN33" s="2645"/>
      <c r="AO33" s="2645"/>
      <c r="AP33" s="2645"/>
      <c r="AQ33" s="2645"/>
      <c r="AR33" s="2645"/>
      <c r="AS33" s="2645"/>
      <c r="AT33" s="2645"/>
      <c r="AU33" s="2645"/>
      <c r="AV33" s="2645"/>
      <c r="AW33" s="2645"/>
      <c r="AX33" s="2645"/>
      <c r="AY33" s="2645"/>
      <c r="AZ33" s="2646"/>
      <c r="BA33" s="1773"/>
      <c r="BB33" s="1766"/>
      <c r="BC33" s="1766"/>
      <c r="BD33" s="1766"/>
      <c r="BE33" s="1772"/>
    </row>
    <row r="34" spans="1:58" ht="15.75" customHeight="1" thickBot="1">
      <c r="A34" s="1766"/>
      <c r="B34" s="2636"/>
      <c r="C34" s="2634"/>
      <c r="D34" s="2634"/>
      <c r="E34" s="2634"/>
      <c r="F34" s="2634"/>
      <c r="G34" s="2634"/>
      <c r="H34" s="2634"/>
      <c r="I34" s="2635"/>
      <c r="J34" s="2640"/>
      <c r="K34" s="2638"/>
      <c r="L34" s="2638"/>
      <c r="M34" s="2639"/>
      <c r="N34" s="2640"/>
      <c r="O34" s="2638"/>
      <c r="P34" s="2638"/>
      <c r="Q34" s="2638"/>
      <c r="R34" s="2647"/>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2648"/>
      <c r="AT34" s="2648"/>
      <c r="AU34" s="2648"/>
      <c r="AV34" s="2648"/>
      <c r="AW34" s="2648"/>
      <c r="AX34" s="2648"/>
      <c r="AY34" s="2648"/>
      <c r="AZ34" s="2649"/>
      <c r="BA34" s="1773"/>
      <c r="BB34" s="1766"/>
      <c r="BC34" s="1766"/>
      <c r="BD34" s="1766"/>
      <c r="BE34" s="1772"/>
    </row>
    <row r="35" spans="1:58" ht="15.75" customHeight="1" thickBot="1">
      <c r="A35" s="1766"/>
      <c r="B35" s="2636"/>
      <c r="C35" s="2634"/>
      <c r="D35" s="2634"/>
      <c r="E35" s="2634"/>
      <c r="F35" s="2634"/>
      <c r="G35" s="2634"/>
      <c r="H35" s="2634"/>
      <c r="I35" s="2635"/>
      <c r="J35" s="2640"/>
      <c r="K35" s="2638"/>
      <c r="L35" s="2638"/>
      <c r="M35" s="2639"/>
      <c r="N35" s="2640"/>
      <c r="O35" s="2638"/>
      <c r="P35" s="2638"/>
      <c r="Q35" s="2638"/>
      <c r="R35" s="2621">
        <v>0.3</v>
      </c>
      <c r="S35" s="2622"/>
      <c r="T35" s="2622"/>
      <c r="U35" s="2623"/>
      <c r="V35" s="2621">
        <v>0.4</v>
      </c>
      <c r="W35" s="2622"/>
      <c r="X35" s="2622"/>
      <c r="Y35" s="2623"/>
      <c r="Z35" s="2621">
        <v>0.5</v>
      </c>
      <c r="AA35" s="2622"/>
      <c r="AB35" s="2622"/>
      <c r="AC35" s="2623"/>
      <c r="AD35" s="2621">
        <v>0.6</v>
      </c>
      <c r="AE35" s="2622"/>
      <c r="AF35" s="2622"/>
      <c r="AG35" s="2623"/>
      <c r="AH35" s="2621">
        <v>0.7</v>
      </c>
      <c r="AI35" s="2622"/>
      <c r="AJ35" s="2622"/>
      <c r="AK35" s="2623"/>
      <c r="AL35" s="2621" t="s">
        <v>2449</v>
      </c>
      <c r="AM35" s="2622"/>
      <c r="AN35" s="2623"/>
      <c r="AO35" s="2563" t="s">
        <v>2011</v>
      </c>
      <c r="AP35" s="2564"/>
      <c r="AQ35" s="2564"/>
      <c r="AR35" s="2564"/>
      <c r="AS35" s="2564"/>
      <c r="AT35" s="2565"/>
      <c r="AU35" s="2563" t="s">
        <v>2012</v>
      </c>
      <c r="AV35" s="2564"/>
      <c r="AW35" s="2564"/>
      <c r="AX35" s="2564"/>
      <c r="AY35" s="2564"/>
      <c r="AZ35" s="2565"/>
      <c r="BA35" s="1773"/>
      <c r="BB35" s="1766"/>
      <c r="BC35" s="1766"/>
      <c r="BD35" s="1766"/>
      <c r="BE35" s="1772"/>
      <c r="BF35" s="1764"/>
    </row>
    <row r="36" spans="1:58" ht="15.75" customHeight="1">
      <c r="A36" s="1766"/>
      <c r="B36" s="2660" t="s">
        <v>2013</v>
      </c>
      <c r="C36" s="2661"/>
      <c r="D36" s="2661"/>
      <c r="E36" s="2661"/>
      <c r="F36" s="2661"/>
      <c r="G36" s="2661"/>
      <c r="H36" s="2661"/>
      <c r="I36" s="2662"/>
      <c r="J36" s="2663" t="s">
        <v>2014</v>
      </c>
      <c r="K36" s="2664"/>
      <c r="L36" s="2664"/>
      <c r="M36" s="2665"/>
      <c r="N36" s="2666">
        <v>55</v>
      </c>
      <c r="O36" s="2667"/>
      <c r="P36" s="2667"/>
      <c r="Q36" s="2668"/>
      <c r="R36" s="2659">
        <v>20</v>
      </c>
      <c r="S36" s="2659"/>
      <c r="T36" s="2659"/>
      <c r="U36" s="2659"/>
      <c r="V36" s="2659">
        <v>0</v>
      </c>
      <c r="W36" s="2659"/>
      <c r="X36" s="2659"/>
      <c r="Y36" s="2659"/>
      <c r="Z36" s="2659">
        <v>39</v>
      </c>
      <c r="AA36" s="2659"/>
      <c r="AB36" s="2659"/>
      <c r="AC36" s="2659"/>
      <c r="AD36" s="2659">
        <v>42</v>
      </c>
      <c r="AE36" s="2659"/>
      <c r="AF36" s="2659"/>
      <c r="AG36" s="2659"/>
      <c r="AH36" s="2669">
        <v>91</v>
      </c>
      <c r="AI36" s="2669"/>
      <c r="AJ36" s="2669"/>
      <c r="AK36" s="2669"/>
      <c r="AL36" s="2669"/>
      <c r="AM36" s="2669"/>
      <c r="AN36" s="2669"/>
      <c r="AO36" s="2671">
        <f>SUM(R36:AN36)</f>
        <v>192</v>
      </c>
      <c r="AP36" s="2671"/>
      <c r="AQ36" s="2671"/>
      <c r="AR36" s="2671"/>
      <c r="AS36" s="2671"/>
      <c r="AT36" s="2671"/>
      <c r="AU36" s="2672">
        <f>AO36/$J$29</f>
        <v>0.98969072164948457</v>
      </c>
      <c r="AV36" s="2672"/>
      <c r="AW36" s="2672"/>
      <c r="AX36" s="2672"/>
      <c r="AY36" s="2672"/>
      <c r="AZ36" s="2672"/>
      <c r="BA36" s="1766"/>
      <c r="BB36" s="1766"/>
      <c r="BC36" s="1766"/>
      <c r="BD36" s="1766"/>
      <c r="BE36" s="1772"/>
      <c r="BF36" s="1764"/>
    </row>
    <row r="37" spans="1:58" ht="15.75" customHeight="1">
      <c r="A37" s="1766"/>
      <c r="B37" s="2651" t="s">
        <v>2015</v>
      </c>
      <c r="C37" s="2652"/>
      <c r="D37" s="2652"/>
      <c r="E37" s="2652"/>
      <c r="F37" s="2652"/>
      <c r="G37" s="2652"/>
      <c r="H37" s="2652"/>
      <c r="I37" s="2653"/>
      <c r="J37" s="2654" t="s">
        <v>2016</v>
      </c>
      <c r="K37" s="2655"/>
      <c r="L37" s="2655"/>
      <c r="M37" s="2656"/>
      <c r="N37" s="2657">
        <v>55</v>
      </c>
      <c r="O37" s="2655"/>
      <c r="P37" s="2655"/>
      <c r="Q37" s="2658"/>
      <c r="R37" s="2659">
        <v>20</v>
      </c>
      <c r="S37" s="2659"/>
      <c r="T37" s="2659"/>
      <c r="U37" s="2659"/>
      <c r="V37" s="2659">
        <v>0</v>
      </c>
      <c r="W37" s="2659"/>
      <c r="X37" s="2659"/>
      <c r="Y37" s="2659"/>
      <c r="Z37" s="2659">
        <v>39</v>
      </c>
      <c r="AA37" s="2659"/>
      <c r="AB37" s="2659"/>
      <c r="AC37" s="2659"/>
      <c r="AD37" s="2659">
        <v>20</v>
      </c>
      <c r="AE37" s="2659"/>
      <c r="AF37" s="2659"/>
      <c r="AG37" s="2659"/>
      <c r="AH37" s="2669">
        <v>0</v>
      </c>
      <c r="AI37" s="2669"/>
      <c r="AJ37" s="2669"/>
      <c r="AK37" s="2669"/>
      <c r="AL37" s="2670">
        <v>113</v>
      </c>
      <c r="AM37" s="2670"/>
      <c r="AN37" s="2670"/>
      <c r="AO37" s="2671">
        <f t="shared" ref="AO37:AO47" si="2">SUM(R37:AN37)</f>
        <v>192</v>
      </c>
      <c r="AP37" s="2671"/>
      <c r="AQ37" s="2671"/>
      <c r="AR37" s="2671"/>
      <c r="AS37" s="2671"/>
      <c r="AT37" s="2671"/>
      <c r="AU37" s="2672">
        <f t="shared" ref="AU37:AU47" si="3">AO37/$J$29</f>
        <v>0.98969072164948457</v>
      </c>
      <c r="AV37" s="2672"/>
      <c r="AW37" s="2672"/>
      <c r="AX37" s="2672"/>
      <c r="AY37" s="2672"/>
      <c r="AZ37" s="2672"/>
      <c r="BA37" s="1766"/>
      <c r="BB37" s="1766"/>
      <c r="BC37" s="1766"/>
      <c r="BD37" s="1766"/>
      <c r="BE37" s="1772"/>
      <c r="BF37" s="1764"/>
    </row>
    <row r="38" spans="1:58" ht="15.75" customHeight="1">
      <c r="A38" s="1766"/>
      <c r="B38" s="2651" t="s">
        <v>2017</v>
      </c>
      <c r="C38" s="2652"/>
      <c r="D38" s="2652"/>
      <c r="E38" s="2652"/>
      <c r="F38" s="2652"/>
      <c r="G38" s="2652"/>
      <c r="H38" s="2652"/>
      <c r="I38" s="2653"/>
      <c r="J38" s="2654" t="s">
        <v>2018</v>
      </c>
      <c r="K38" s="2655"/>
      <c r="L38" s="2655"/>
      <c r="M38" s="2656"/>
      <c r="N38" s="2657">
        <v>55</v>
      </c>
      <c r="O38" s="2655"/>
      <c r="P38" s="2655"/>
      <c r="Q38" s="2658"/>
      <c r="R38" s="2659">
        <v>20</v>
      </c>
      <c r="S38" s="2659"/>
      <c r="T38" s="2659"/>
      <c r="U38" s="2659"/>
      <c r="V38" s="2659">
        <v>0</v>
      </c>
      <c r="W38" s="2659"/>
      <c r="X38" s="2659"/>
      <c r="Y38" s="2659"/>
      <c r="Z38" s="2659">
        <v>39</v>
      </c>
      <c r="AA38" s="2659"/>
      <c r="AB38" s="2659"/>
      <c r="AC38" s="2659"/>
      <c r="AD38" s="2659">
        <v>42</v>
      </c>
      <c r="AE38" s="2659"/>
      <c r="AF38" s="2659"/>
      <c r="AG38" s="2659"/>
      <c r="AH38" s="2669">
        <v>91</v>
      </c>
      <c r="AI38" s="2669"/>
      <c r="AJ38" s="2669"/>
      <c r="AK38" s="2669"/>
      <c r="AL38" s="2670"/>
      <c r="AM38" s="2670"/>
      <c r="AN38" s="2670"/>
      <c r="AO38" s="2671">
        <f t="shared" si="2"/>
        <v>192</v>
      </c>
      <c r="AP38" s="2671"/>
      <c r="AQ38" s="2671"/>
      <c r="AR38" s="2671"/>
      <c r="AS38" s="2671"/>
      <c r="AT38" s="2671"/>
      <c r="AU38" s="2672">
        <f t="shared" si="3"/>
        <v>0.98969072164948457</v>
      </c>
      <c r="AV38" s="2672"/>
      <c r="AW38" s="2672"/>
      <c r="AX38" s="2672"/>
      <c r="AY38" s="2672"/>
      <c r="AZ38" s="2672"/>
      <c r="BA38" s="1766"/>
      <c r="BB38" s="1766"/>
      <c r="BC38" s="1766"/>
      <c r="BD38" s="1766"/>
      <c r="BE38" s="1772"/>
      <c r="BF38" s="1764"/>
    </row>
    <row r="39" spans="1:58" ht="15.75" customHeight="1">
      <c r="A39" s="1766"/>
      <c r="B39" s="2651" t="s">
        <v>2019</v>
      </c>
      <c r="C39" s="2652"/>
      <c r="D39" s="2652"/>
      <c r="E39" s="2652"/>
      <c r="F39" s="2652"/>
      <c r="G39" s="2652"/>
      <c r="H39" s="2652"/>
      <c r="I39" s="2653"/>
      <c r="J39" s="2673"/>
      <c r="K39" s="2674"/>
      <c r="L39" s="2674"/>
      <c r="M39" s="2675"/>
      <c r="N39" s="2676"/>
      <c r="O39" s="2674"/>
      <c r="P39" s="2674"/>
      <c r="Q39" s="2677"/>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1">
        <f t="shared" si="2"/>
        <v>0</v>
      </c>
      <c r="AP39" s="2671"/>
      <c r="AQ39" s="2671"/>
      <c r="AR39" s="2671"/>
      <c r="AS39" s="2671"/>
      <c r="AT39" s="2671"/>
      <c r="AU39" s="2672">
        <f t="shared" si="3"/>
        <v>0</v>
      </c>
      <c r="AV39" s="2672"/>
      <c r="AW39" s="2672"/>
      <c r="AX39" s="2672"/>
      <c r="AY39" s="2672"/>
      <c r="AZ39" s="2672"/>
      <c r="BA39" s="1766"/>
      <c r="BB39" s="1766"/>
      <c r="BC39" s="1766"/>
      <c r="BD39" s="1766"/>
      <c r="BE39" s="1772"/>
    </row>
    <row r="40" spans="1:58" ht="15.75" customHeight="1">
      <c r="A40" s="1766"/>
      <c r="B40" s="2651" t="s">
        <v>2019</v>
      </c>
      <c r="C40" s="2652"/>
      <c r="D40" s="2652"/>
      <c r="E40" s="2652"/>
      <c r="F40" s="2652"/>
      <c r="G40" s="2652"/>
      <c r="H40" s="2652"/>
      <c r="I40" s="2653"/>
      <c r="J40" s="2673"/>
      <c r="K40" s="2674"/>
      <c r="L40" s="2674"/>
      <c r="M40" s="2675"/>
      <c r="N40" s="2676"/>
      <c r="O40" s="2674"/>
      <c r="P40" s="2674"/>
      <c r="Q40" s="2677"/>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1">
        <f t="shared" si="2"/>
        <v>0</v>
      </c>
      <c r="AP40" s="2671"/>
      <c r="AQ40" s="2671"/>
      <c r="AR40" s="2671"/>
      <c r="AS40" s="2671"/>
      <c r="AT40" s="2671"/>
      <c r="AU40" s="2672">
        <f t="shared" si="3"/>
        <v>0</v>
      </c>
      <c r="AV40" s="2672"/>
      <c r="AW40" s="2672"/>
      <c r="AX40" s="2672"/>
      <c r="AY40" s="2672"/>
      <c r="AZ40" s="2672"/>
      <c r="BA40" s="1766"/>
      <c r="BB40" s="1766"/>
      <c r="BC40" s="1766"/>
      <c r="BD40" s="1766"/>
      <c r="BE40" s="1772"/>
    </row>
    <row r="41" spans="1:58" ht="15.75" customHeight="1">
      <c r="A41" s="1766"/>
      <c r="B41" s="2678" t="s">
        <v>2020</v>
      </c>
      <c r="C41" s="2679"/>
      <c r="D41" s="2679"/>
      <c r="E41" s="2679"/>
      <c r="F41" s="2679"/>
      <c r="G41" s="2679"/>
      <c r="H41" s="2679"/>
      <c r="I41" s="2680"/>
      <c r="J41" s="2673"/>
      <c r="K41" s="2674"/>
      <c r="L41" s="2674"/>
      <c r="M41" s="2675"/>
      <c r="N41" s="2676"/>
      <c r="O41" s="2674"/>
      <c r="P41" s="2674"/>
      <c r="Q41" s="2677"/>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1">
        <f t="shared" si="2"/>
        <v>0</v>
      </c>
      <c r="AP41" s="2671"/>
      <c r="AQ41" s="2671"/>
      <c r="AR41" s="2671"/>
      <c r="AS41" s="2671"/>
      <c r="AT41" s="2671"/>
      <c r="AU41" s="2672">
        <f t="shared" si="3"/>
        <v>0</v>
      </c>
      <c r="AV41" s="2672"/>
      <c r="AW41" s="2672"/>
      <c r="AX41" s="2672"/>
      <c r="AY41" s="2672"/>
      <c r="AZ41" s="2672"/>
      <c r="BA41" s="1766"/>
      <c r="BB41" s="1766"/>
      <c r="BC41" s="1766"/>
      <c r="BD41" s="1766"/>
      <c r="BE41" s="1772"/>
    </row>
    <row r="42" spans="1:58" ht="15.75" customHeight="1">
      <c r="A42" s="1766"/>
      <c r="B42" s="2678" t="s">
        <v>2020</v>
      </c>
      <c r="C42" s="2679"/>
      <c r="D42" s="2679"/>
      <c r="E42" s="2679"/>
      <c r="F42" s="2679"/>
      <c r="G42" s="2679"/>
      <c r="H42" s="2679"/>
      <c r="I42" s="2680"/>
      <c r="J42" s="2673"/>
      <c r="K42" s="2674"/>
      <c r="L42" s="2674"/>
      <c r="M42" s="2675"/>
      <c r="N42" s="2676"/>
      <c r="O42" s="2674"/>
      <c r="P42" s="2674"/>
      <c r="Q42" s="2677"/>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1">
        <f t="shared" si="2"/>
        <v>0</v>
      </c>
      <c r="AP42" s="2671"/>
      <c r="AQ42" s="2671"/>
      <c r="AR42" s="2671"/>
      <c r="AS42" s="2671"/>
      <c r="AT42" s="2671"/>
      <c r="AU42" s="2672">
        <f t="shared" si="3"/>
        <v>0</v>
      </c>
      <c r="AV42" s="2672"/>
      <c r="AW42" s="2672"/>
      <c r="AX42" s="2672"/>
      <c r="AY42" s="2672"/>
      <c r="AZ42" s="2672"/>
      <c r="BA42" s="1766"/>
      <c r="BB42" s="1766"/>
      <c r="BC42" s="1766"/>
      <c r="BD42" s="1766"/>
      <c r="BE42" s="1772"/>
    </row>
    <row r="43" spans="1:58" ht="15.75" customHeight="1">
      <c r="A43" s="1766"/>
      <c r="B43" s="2681" t="s">
        <v>2021</v>
      </c>
      <c r="C43" s="2682"/>
      <c r="D43" s="2682"/>
      <c r="E43" s="2682"/>
      <c r="F43" s="2682"/>
      <c r="G43" s="2682"/>
      <c r="H43" s="2682"/>
      <c r="I43" s="2683"/>
      <c r="J43" s="2673"/>
      <c r="K43" s="2674"/>
      <c r="L43" s="2674"/>
      <c r="M43" s="2675"/>
      <c r="N43" s="2676"/>
      <c r="O43" s="2674"/>
      <c r="P43" s="2674"/>
      <c r="Q43" s="2677"/>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1">
        <f t="shared" si="2"/>
        <v>0</v>
      </c>
      <c r="AP43" s="2671"/>
      <c r="AQ43" s="2671"/>
      <c r="AR43" s="2671"/>
      <c r="AS43" s="2671"/>
      <c r="AT43" s="2671"/>
      <c r="AU43" s="2672">
        <f t="shared" si="3"/>
        <v>0</v>
      </c>
      <c r="AV43" s="2672"/>
      <c r="AW43" s="2672"/>
      <c r="AX43" s="2672"/>
      <c r="AY43" s="2672"/>
      <c r="AZ43" s="2672"/>
      <c r="BA43" s="1766"/>
      <c r="BB43" s="1766"/>
      <c r="BC43" s="1766"/>
      <c r="BD43" s="1766"/>
      <c r="BE43" s="1772"/>
    </row>
    <row r="44" spans="1:58" ht="15.75" customHeight="1">
      <c r="A44" s="1766"/>
      <c r="B44" s="2681" t="s">
        <v>2022</v>
      </c>
      <c r="C44" s="2682"/>
      <c r="D44" s="2682"/>
      <c r="E44" s="2682"/>
      <c r="F44" s="2682"/>
      <c r="G44" s="2682"/>
      <c r="H44" s="2682"/>
      <c r="I44" s="2683"/>
      <c r="J44" s="2673"/>
      <c r="K44" s="2674"/>
      <c r="L44" s="2674"/>
      <c r="M44" s="2675"/>
      <c r="N44" s="2676"/>
      <c r="O44" s="2674"/>
      <c r="P44" s="2674"/>
      <c r="Q44" s="2677"/>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1">
        <f t="shared" si="2"/>
        <v>0</v>
      </c>
      <c r="AP44" s="2671"/>
      <c r="AQ44" s="2671"/>
      <c r="AR44" s="2671"/>
      <c r="AS44" s="2671"/>
      <c r="AT44" s="2671"/>
      <c r="AU44" s="2672">
        <f t="shared" si="3"/>
        <v>0</v>
      </c>
      <c r="AV44" s="2672"/>
      <c r="AW44" s="2672"/>
      <c r="AX44" s="2672"/>
      <c r="AY44" s="2672"/>
      <c r="AZ44" s="2672"/>
      <c r="BA44" s="1766"/>
      <c r="BB44" s="1766"/>
      <c r="BC44" s="1766"/>
      <c r="BD44" s="1766"/>
      <c r="BE44" s="1772"/>
    </row>
    <row r="45" spans="1:58" ht="15.75" customHeight="1">
      <c r="A45" s="1766"/>
      <c r="B45" s="2684" t="s">
        <v>2023</v>
      </c>
      <c r="C45" s="2685"/>
      <c r="D45" s="2685"/>
      <c r="E45" s="2685"/>
      <c r="F45" s="2685"/>
      <c r="G45" s="2685"/>
      <c r="H45" s="2685"/>
      <c r="I45" s="2686"/>
      <c r="J45" s="2687" t="s">
        <v>2624</v>
      </c>
      <c r="K45" s="2674"/>
      <c r="L45" s="2674"/>
      <c r="M45" s="2675"/>
      <c r="N45" s="2676">
        <v>30</v>
      </c>
      <c r="O45" s="2674"/>
      <c r="P45" s="2674"/>
      <c r="Q45" s="2677"/>
      <c r="R45" s="2670">
        <v>20</v>
      </c>
      <c r="S45" s="2670"/>
      <c r="T45" s="2670"/>
      <c r="U45" s="2670"/>
      <c r="V45" s="2670">
        <v>0</v>
      </c>
      <c r="W45" s="2670"/>
      <c r="X45" s="2670"/>
      <c r="Y45" s="2670"/>
      <c r="Z45" s="2670">
        <v>39</v>
      </c>
      <c r="AA45" s="2670"/>
      <c r="AB45" s="2670"/>
      <c r="AC45" s="2670"/>
      <c r="AD45" s="2670">
        <v>42</v>
      </c>
      <c r="AE45" s="2670"/>
      <c r="AF45" s="2670"/>
      <c r="AG45" s="2670"/>
      <c r="AH45" s="2670">
        <v>91</v>
      </c>
      <c r="AI45" s="2670"/>
      <c r="AJ45" s="2670"/>
      <c r="AK45" s="2670"/>
      <c r="AL45" s="2670"/>
      <c r="AM45" s="2670"/>
      <c r="AN45" s="2670"/>
      <c r="AO45" s="2671">
        <f t="shared" si="2"/>
        <v>192</v>
      </c>
      <c r="AP45" s="2671"/>
      <c r="AQ45" s="2671"/>
      <c r="AR45" s="2671"/>
      <c r="AS45" s="2671"/>
      <c r="AT45" s="2671"/>
      <c r="AU45" s="2672">
        <f t="shared" si="3"/>
        <v>0.98969072164948457</v>
      </c>
      <c r="AV45" s="2672"/>
      <c r="AW45" s="2672"/>
      <c r="AX45" s="2672"/>
      <c r="AY45" s="2672"/>
      <c r="AZ45" s="2672"/>
      <c r="BA45" s="1766"/>
      <c r="BB45" s="1766"/>
      <c r="BC45" s="1766"/>
      <c r="BD45" s="1766"/>
      <c r="BE45" s="1772"/>
    </row>
    <row r="46" spans="1:58" ht="15.75" customHeight="1">
      <c r="A46" s="1766"/>
      <c r="B46" s="2684" t="s">
        <v>2024</v>
      </c>
      <c r="C46" s="2685"/>
      <c r="D46" s="2685"/>
      <c r="E46" s="2685"/>
      <c r="F46" s="2685"/>
      <c r="G46" s="2685"/>
      <c r="H46" s="2685"/>
      <c r="I46" s="2686"/>
      <c r="J46" s="2673"/>
      <c r="K46" s="2674"/>
      <c r="L46" s="2674"/>
      <c r="M46" s="2675"/>
      <c r="N46" s="2657"/>
      <c r="O46" s="2655"/>
      <c r="P46" s="2655"/>
      <c r="Q46" s="2658"/>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1">
        <f t="shared" si="2"/>
        <v>0</v>
      </c>
      <c r="AP46" s="2671"/>
      <c r="AQ46" s="2671"/>
      <c r="AR46" s="2671"/>
      <c r="AS46" s="2671"/>
      <c r="AT46" s="2671"/>
      <c r="AU46" s="2672">
        <f t="shared" si="3"/>
        <v>0</v>
      </c>
      <c r="AV46" s="2672"/>
      <c r="AW46" s="2672"/>
      <c r="AX46" s="2672"/>
      <c r="AY46" s="2672"/>
      <c r="AZ46" s="2672"/>
      <c r="BA46" s="1766"/>
      <c r="BB46" s="1766"/>
      <c r="BC46" s="1766"/>
      <c r="BD46" s="1766"/>
      <c r="BE46" s="1772"/>
    </row>
    <row r="47" spans="1:58" ht="15.75" customHeight="1" thickBot="1">
      <c r="A47" s="1766"/>
      <c r="B47" s="2688" t="s">
        <v>307</v>
      </c>
      <c r="C47" s="2689"/>
      <c r="D47" s="2689"/>
      <c r="E47" s="2689"/>
      <c r="F47" s="2689"/>
      <c r="G47" s="2689"/>
      <c r="H47" s="2689"/>
      <c r="I47" s="2690"/>
      <c r="J47" s="2691"/>
      <c r="K47" s="2692"/>
      <c r="L47" s="2692"/>
      <c r="M47" s="2693"/>
      <c r="N47" s="2694"/>
      <c r="O47" s="2692"/>
      <c r="P47" s="2692"/>
      <c r="Q47" s="2695"/>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1">
        <f t="shared" si="2"/>
        <v>0</v>
      </c>
      <c r="AP47" s="2671"/>
      <c r="AQ47" s="2671"/>
      <c r="AR47" s="2671"/>
      <c r="AS47" s="2671"/>
      <c r="AT47" s="2671"/>
      <c r="AU47" s="2672">
        <f t="shared" si="3"/>
        <v>0</v>
      </c>
      <c r="AV47" s="2672"/>
      <c r="AW47" s="2672"/>
      <c r="AX47" s="2672"/>
      <c r="AY47" s="2672"/>
      <c r="AZ47" s="2672"/>
      <c r="BA47" s="1766"/>
      <c r="BB47" s="1766"/>
      <c r="BC47" s="1766"/>
      <c r="BD47" s="1766"/>
      <c r="BE47" s="1772"/>
    </row>
    <row r="48" spans="1:58" ht="15.75" customHeight="1">
      <c r="A48" s="1766"/>
      <c r="B48" s="1774" t="s">
        <v>2025</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2470</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696" t="s">
        <v>2026</v>
      </c>
      <c r="C50" s="2697"/>
      <c r="D50" s="2697"/>
      <c r="E50" s="2697"/>
      <c r="F50" s="2697"/>
      <c r="G50" s="2697"/>
      <c r="H50" s="2697"/>
      <c r="I50" s="2697"/>
      <c r="J50" s="2697"/>
      <c r="K50" s="2697"/>
      <c r="L50" s="2697"/>
      <c r="M50" s="2697"/>
      <c r="N50" s="2697"/>
      <c r="O50" s="2697"/>
      <c r="P50" s="2697"/>
      <c r="Q50" s="2697"/>
      <c r="R50" s="2697"/>
      <c r="S50" s="2697"/>
      <c r="T50" s="2697"/>
      <c r="U50" s="2697"/>
      <c r="V50" s="2697"/>
      <c r="W50" s="2697"/>
      <c r="X50" s="2697"/>
      <c r="Y50" s="2697"/>
      <c r="Z50" s="2697"/>
      <c r="AA50" s="2697"/>
      <c r="AB50" s="2697"/>
      <c r="AC50" s="2697"/>
      <c r="AD50" s="2697"/>
      <c r="AE50" s="2697"/>
      <c r="AF50" s="2697"/>
      <c r="AG50" s="2697"/>
      <c r="AH50" s="2697"/>
      <c r="AI50" s="2697"/>
      <c r="AJ50" s="2697"/>
      <c r="AK50" s="2697"/>
      <c r="AL50" s="2697"/>
      <c r="AM50" s="2697"/>
      <c r="AN50" s="2697"/>
      <c r="AO50" s="2698"/>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699" t="s">
        <v>2027</v>
      </c>
      <c r="C51" s="2700"/>
      <c r="D51" s="2700"/>
      <c r="E51" s="2700"/>
      <c r="F51" s="2700"/>
      <c r="G51" s="2700"/>
      <c r="H51" s="2700"/>
      <c r="I51" s="2701"/>
      <c r="J51" s="2699" t="s">
        <v>2028</v>
      </c>
      <c r="K51" s="2700"/>
      <c r="L51" s="2700"/>
      <c r="M51" s="2700"/>
      <c r="N51" s="2700"/>
      <c r="O51" s="2700"/>
      <c r="P51" s="2700"/>
      <c r="Q51" s="2701"/>
      <c r="R51" s="2644" t="s">
        <v>2029</v>
      </c>
      <c r="S51" s="2702"/>
      <c r="T51" s="2702"/>
      <c r="U51" s="2702"/>
      <c r="V51" s="2702"/>
      <c r="W51" s="2702"/>
      <c r="X51" s="2702"/>
      <c r="Y51" s="2703"/>
      <c r="Z51" s="2704" t="s">
        <v>2030</v>
      </c>
      <c r="AA51" s="2705"/>
      <c r="AB51" s="2705"/>
      <c r="AC51" s="2705"/>
      <c r="AD51" s="2705"/>
      <c r="AE51" s="2705"/>
      <c r="AF51" s="2705"/>
      <c r="AG51" s="2706"/>
      <c r="AH51" s="2704" t="s">
        <v>2031</v>
      </c>
      <c r="AI51" s="2705"/>
      <c r="AJ51" s="2705"/>
      <c r="AK51" s="2705"/>
      <c r="AL51" s="2705"/>
      <c r="AM51" s="2705"/>
      <c r="AN51" s="2705"/>
      <c r="AO51" s="2706"/>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707" t="s">
        <v>2522</v>
      </c>
      <c r="C52" s="2708"/>
      <c r="D52" s="2708"/>
      <c r="E52" s="2708"/>
      <c r="F52" s="2708"/>
      <c r="G52" s="2708"/>
      <c r="H52" s="2708"/>
      <c r="I52" s="2708"/>
      <c r="J52" s="2708" t="s">
        <v>2625</v>
      </c>
      <c r="K52" s="2708"/>
      <c r="L52" s="2708"/>
      <c r="M52" s="2708"/>
      <c r="N52" s="2708"/>
      <c r="O52" s="2708"/>
      <c r="P52" s="2708"/>
      <c r="Q52" s="2708"/>
      <c r="R52" s="2709">
        <v>20016</v>
      </c>
      <c r="S52" s="2709"/>
      <c r="T52" s="2709"/>
      <c r="U52" s="2709"/>
      <c r="V52" s="2709"/>
      <c r="W52" s="2709"/>
      <c r="X52" s="2709"/>
      <c r="Y52" s="2709"/>
      <c r="Z52" s="2710">
        <v>15</v>
      </c>
      <c r="AA52" s="2710"/>
      <c r="AB52" s="2710"/>
      <c r="AC52" s="2710"/>
      <c r="AD52" s="2710"/>
      <c r="AE52" s="2710"/>
      <c r="AF52" s="2710"/>
      <c r="AG52" s="2710"/>
      <c r="AH52" s="2711">
        <v>0</v>
      </c>
      <c r="AI52" s="2711"/>
      <c r="AJ52" s="2711"/>
      <c r="AK52" s="2711"/>
      <c r="AL52" s="2711"/>
      <c r="AM52" s="2711"/>
      <c r="AN52" s="2711"/>
      <c r="AO52" s="2712"/>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707"/>
      <c r="C53" s="2708"/>
      <c r="D53" s="2708"/>
      <c r="E53" s="2708"/>
      <c r="F53" s="2708"/>
      <c r="G53" s="2708"/>
      <c r="H53" s="2708"/>
      <c r="I53" s="2708"/>
      <c r="J53" s="2708"/>
      <c r="K53" s="2708"/>
      <c r="L53" s="2708"/>
      <c r="M53" s="2708"/>
      <c r="N53" s="2708"/>
      <c r="O53" s="2708"/>
      <c r="P53" s="2708"/>
      <c r="Q53" s="2708"/>
      <c r="R53" s="2709">
        <v>0</v>
      </c>
      <c r="S53" s="2709"/>
      <c r="T53" s="2709"/>
      <c r="U53" s="2709"/>
      <c r="V53" s="2709"/>
      <c r="W53" s="2709"/>
      <c r="X53" s="2709"/>
      <c r="Y53" s="2709"/>
      <c r="Z53" s="2710"/>
      <c r="AA53" s="2710"/>
      <c r="AB53" s="2710"/>
      <c r="AC53" s="2710"/>
      <c r="AD53" s="2710"/>
      <c r="AE53" s="2710"/>
      <c r="AF53" s="2710"/>
      <c r="AG53" s="2710"/>
      <c r="AH53" s="2711">
        <v>0</v>
      </c>
      <c r="AI53" s="2711"/>
      <c r="AJ53" s="2711"/>
      <c r="AK53" s="2711"/>
      <c r="AL53" s="2711"/>
      <c r="AM53" s="2711"/>
      <c r="AN53" s="2711"/>
      <c r="AO53" s="2712"/>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707"/>
      <c r="C54" s="2708"/>
      <c r="D54" s="2708"/>
      <c r="E54" s="2708"/>
      <c r="F54" s="2708"/>
      <c r="G54" s="2708"/>
      <c r="H54" s="2708"/>
      <c r="I54" s="2708"/>
      <c r="J54" s="2708"/>
      <c r="K54" s="2708"/>
      <c r="L54" s="2708"/>
      <c r="M54" s="2708"/>
      <c r="N54" s="2708"/>
      <c r="O54" s="2708"/>
      <c r="P54" s="2708"/>
      <c r="Q54" s="2708"/>
      <c r="R54" s="2709">
        <v>0</v>
      </c>
      <c r="S54" s="2709"/>
      <c r="T54" s="2709"/>
      <c r="U54" s="2709"/>
      <c r="V54" s="2709"/>
      <c r="W54" s="2709"/>
      <c r="X54" s="2709"/>
      <c r="Y54" s="2709"/>
      <c r="Z54" s="2710"/>
      <c r="AA54" s="2710"/>
      <c r="AB54" s="2710"/>
      <c r="AC54" s="2710"/>
      <c r="AD54" s="2710"/>
      <c r="AE54" s="2710"/>
      <c r="AF54" s="2710"/>
      <c r="AG54" s="2710"/>
      <c r="AH54" s="2711">
        <v>0</v>
      </c>
      <c r="AI54" s="2711"/>
      <c r="AJ54" s="2711"/>
      <c r="AK54" s="2711"/>
      <c r="AL54" s="2711"/>
      <c r="AM54" s="2711"/>
      <c r="AN54" s="2711"/>
      <c r="AO54" s="2712"/>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707"/>
      <c r="C55" s="2708"/>
      <c r="D55" s="2708"/>
      <c r="E55" s="2708"/>
      <c r="F55" s="2708"/>
      <c r="G55" s="2708"/>
      <c r="H55" s="2708"/>
      <c r="I55" s="2708"/>
      <c r="J55" s="2708"/>
      <c r="K55" s="2708"/>
      <c r="L55" s="2708"/>
      <c r="M55" s="2708"/>
      <c r="N55" s="2708"/>
      <c r="O55" s="2708"/>
      <c r="P55" s="2708"/>
      <c r="Q55" s="2708"/>
      <c r="R55" s="2709">
        <v>0</v>
      </c>
      <c r="S55" s="2709"/>
      <c r="T55" s="2709"/>
      <c r="U55" s="2709"/>
      <c r="V55" s="2709"/>
      <c r="W55" s="2709"/>
      <c r="X55" s="2709"/>
      <c r="Y55" s="2709"/>
      <c r="Z55" s="2710"/>
      <c r="AA55" s="2710"/>
      <c r="AB55" s="2710"/>
      <c r="AC55" s="2710"/>
      <c r="AD55" s="2710"/>
      <c r="AE55" s="2710"/>
      <c r="AF55" s="2710"/>
      <c r="AG55" s="2710"/>
      <c r="AH55" s="2711">
        <v>0</v>
      </c>
      <c r="AI55" s="2711"/>
      <c r="AJ55" s="2711"/>
      <c r="AK55" s="2711"/>
      <c r="AL55" s="2711"/>
      <c r="AM55" s="2711"/>
      <c r="AN55" s="2711"/>
      <c r="AO55" s="2712"/>
      <c r="AP55" s="1768"/>
      <c r="AQ55" s="1768"/>
      <c r="AR55" s="1768"/>
      <c r="AS55" s="1768"/>
      <c r="AT55" s="1768" t="s">
        <v>255</v>
      </c>
      <c r="AU55" s="1768"/>
      <c r="AV55" s="1768"/>
      <c r="AW55" s="1768"/>
      <c r="AX55" s="1766"/>
      <c r="AY55" s="1766"/>
      <c r="AZ55" s="1766"/>
      <c r="BA55" s="1766"/>
      <c r="BB55" s="1766"/>
      <c r="BC55" s="1766"/>
      <c r="BD55" s="1766"/>
      <c r="BE55" s="1772"/>
    </row>
    <row r="56" spans="1:58" ht="15.75" customHeight="1" thickBot="1">
      <c r="A56" s="1766"/>
      <c r="B56" s="2720"/>
      <c r="C56" s="2721"/>
      <c r="D56" s="2721"/>
      <c r="E56" s="2721"/>
      <c r="F56" s="2721"/>
      <c r="G56" s="2721"/>
      <c r="H56" s="2721"/>
      <c r="I56" s="2721"/>
      <c r="J56" s="2721"/>
      <c r="K56" s="2721"/>
      <c r="L56" s="2721"/>
      <c r="M56" s="2721"/>
      <c r="N56" s="2721"/>
      <c r="O56" s="2721"/>
      <c r="P56" s="2721"/>
      <c r="Q56" s="2721"/>
      <c r="R56" s="2722">
        <v>0</v>
      </c>
      <c r="S56" s="2722"/>
      <c r="T56" s="2722"/>
      <c r="U56" s="2722"/>
      <c r="V56" s="2722"/>
      <c r="W56" s="2722"/>
      <c r="X56" s="2722"/>
      <c r="Y56" s="2722"/>
      <c r="Z56" s="2723"/>
      <c r="AA56" s="2723"/>
      <c r="AB56" s="2723"/>
      <c r="AC56" s="2723"/>
      <c r="AD56" s="2723"/>
      <c r="AE56" s="2723"/>
      <c r="AF56" s="2723"/>
      <c r="AG56" s="2723"/>
      <c r="AH56" s="2724"/>
      <c r="AI56" s="2724"/>
      <c r="AJ56" s="2724"/>
      <c r="AK56" s="2724"/>
      <c r="AL56" s="2724"/>
      <c r="AM56" s="2724"/>
      <c r="AN56" s="2724"/>
      <c r="AO56" s="2725"/>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726" t="s">
        <v>1876</v>
      </c>
      <c r="C57" s="2727"/>
      <c r="D57" s="2727"/>
      <c r="E57" s="2727"/>
      <c r="F57" s="2727"/>
      <c r="G57" s="2727"/>
      <c r="H57" s="2727"/>
      <c r="I57" s="2727"/>
      <c r="J57" s="2727"/>
      <c r="K57" s="2727"/>
      <c r="L57" s="2727"/>
      <c r="M57" s="2727"/>
      <c r="N57" s="2727"/>
      <c r="O57" s="2727"/>
      <c r="P57" s="2727"/>
      <c r="Q57" s="2727"/>
      <c r="R57" s="2728">
        <f>SUM(R52:Y56)</f>
        <v>20016</v>
      </c>
      <c r="S57" s="2728"/>
      <c r="T57" s="2728"/>
      <c r="U57" s="2728"/>
      <c r="V57" s="2728"/>
      <c r="W57" s="2728"/>
      <c r="X57" s="2728"/>
      <c r="Y57" s="2728"/>
      <c r="Z57" s="2729">
        <f t="shared" ref="Z57" si="4">SUM(Z52:AG56)</f>
        <v>15</v>
      </c>
      <c r="AA57" s="2729"/>
      <c r="AB57" s="2729"/>
      <c r="AC57" s="2729"/>
      <c r="AD57" s="2729"/>
      <c r="AE57" s="2729"/>
      <c r="AF57" s="2729"/>
      <c r="AG57" s="2729"/>
      <c r="AH57" s="2730">
        <f>SUM(AH52:AO56)</f>
        <v>0</v>
      </c>
      <c r="AI57" s="2730"/>
      <c r="AJ57" s="2730"/>
      <c r="AK57" s="2730"/>
      <c r="AL57" s="2730"/>
      <c r="AM57" s="2730"/>
      <c r="AN57" s="2730"/>
      <c r="AO57" s="2730"/>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713" t="s">
        <v>2027</v>
      </c>
      <c r="C59" s="2714"/>
      <c r="D59" s="2714"/>
      <c r="E59" s="2714"/>
      <c r="F59" s="2714"/>
      <c r="G59" s="2714"/>
      <c r="H59" s="2714"/>
      <c r="I59" s="2715"/>
      <c r="J59" s="2716" t="s">
        <v>2032</v>
      </c>
      <c r="K59" s="2716"/>
      <c r="L59" s="2716"/>
      <c r="M59" s="2716"/>
      <c r="N59" s="2716"/>
      <c r="O59" s="2716"/>
      <c r="P59" s="2716"/>
      <c r="Q59" s="2716"/>
      <c r="R59" s="2716"/>
      <c r="S59" s="2716"/>
      <c r="T59" s="2716"/>
      <c r="U59" s="2716"/>
      <c r="V59" s="2716"/>
      <c r="W59" s="2716"/>
      <c r="X59" s="2716"/>
      <c r="Y59" s="2716"/>
      <c r="Z59" s="2716"/>
      <c r="AA59" s="2716"/>
      <c r="AB59" s="2716"/>
      <c r="AC59" s="2716"/>
      <c r="AD59" s="2716"/>
      <c r="AE59" s="2716"/>
      <c r="AF59" s="2716"/>
      <c r="AG59" s="2716"/>
      <c r="AH59" s="2716"/>
      <c r="AI59" s="2716"/>
      <c r="AJ59" s="2716"/>
      <c r="AK59" s="2716"/>
      <c r="AL59" s="2716"/>
      <c r="AM59" s="2716"/>
      <c r="AN59" s="2716"/>
      <c r="AO59" s="2716"/>
      <c r="AP59" s="2716"/>
      <c r="AQ59" s="2716"/>
      <c r="AR59" s="2716"/>
      <c r="AS59" s="2716"/>
      <c r="AT59" s="2716"/>
      <c r="AU59" s="2716"/>
      <c r="AV59" s="2716"/>
      <c r="AW59" s="2717"/>
      <c r="AX59" s="1766"/>
      <c r="AY59" s="1766"/>
      <c r="AZ59" s="1766"/>
      <c r="BA59" s="1766"/>
      <c r="BB59" s="1766"/>
      <c r="BC59" s="1766"/>
      <c r="BD59" s="1766"/>
      <c r="BE59" s="1772"/>
    </row>
    <row r="60" spans="1:58" ht="15.75" customHeight="1">
      <c r="A60" s="1766"/>
      <c r="B60" s="2707" t="str">
        <f>IF(B52="", "", B52)</f>
        <v>Pacific Housing, Inc.</v>
      </c>
      <c r="C60" s="2708"/>
      <c r="D60" s="2708"/>
      <c r="E60" s="2708"/>
      <c r="F60" s="2708"/>
      <c r="G60" s="2708"/>
      <c r="H60" s="2708"/>
      <c r="I60" s="2718"/>
      <c r="J60" s="2719" t="s">
        <v>2626</v>
      </c>
      <c r="K60" s="2708"/>
      <c r="L60" s="2708"/>
      <c r="M60" s="2708"/>
      <c r="N60" s="2708"/>
      <c r="O60" s="2708"/>
      <c r="P60" s="2708"/>
      <c r="Q60" s="2708"/>
      <c r="R60" s="2708"/>
      <c r="S60" s="2708"/>
      <c r="T60" s="2708"/>
      <c r="U60" s="2708"/>
      <c r="V60" s="2708"/>
      <c r="W60" s="2708"/>
      <c r="X60" s="2708"/>
      <c r="Y60" s="2708"/>
      <c r="Z60" s="2708"/>
      <c r="AA60" s="2708"/>
      <c r="AB60" s="2708"/>
      <c r="AC60" s="2708"/>
      <c r="AD60" s="2708"/>
      <c r="AE60" s="2708"/>
      <c r="AF60" s="2708"/>
      <c r="AG60" s="2708"/>
      <c r="AH60" s="2708"/>
      <c r="AI60" s="2708"/>
      <c r="AJ60" s="2708"/>
      <c r="AK60" s="2708"/>
      <c r="AL60" s="2708"/>
      <c r="AM60" s="2708"/>
      <c r="AN60" s="2708"/>
      <c r="AO60" s="2708"/>
      <c r="AP60" s="2708"/>
      <c r="AQ60" s="2708"/>
      <c r="AR60" s="2708"/>
      <c r="AS60" s="2708"/>
      <c r="AT60" s="2708"/>
      <c r="AU60" s="2708"/>
      <c r="AV60" s="2708"/>
      <c r="AW60" s="2718"/>
      <c r="AX60" s="1766"/>
      <c r="AY60" s="1766"/>
      <c r="AZ60" s="1766"/>
      <c r="BA60" s="1766"/>
      <c r="BB60" s="1766"/>
      <c r="BC60" s="1766"/>
      <c r="BD60" s="1766"/>
      <c r="BE60" s="1772"/>
    </row>
    <row r="61" spans="1:58" ht="15.75" customHeight="1">
      <c r="A61" s="1766"/>
      <c r="B61" s="2707" t="str">
        <f t="shared" ref="B61:B64" si="5">IF(B53="", "", B53)</f>
        <v/>
      </c>
      <c r="C61" s="2708"/>
      <c r="D61" s="2708"/>
      <c r="E61" s="2708"/>
      <c r="F61" s="2708"/>
      <c r="G61" s="2708"/>
      <c r="H61" s="2708"/>
      <c r="I61" s="2718"/>
      <c r="J61" s="2719"/>
      <c r="K61" s="2708"/>
      <c r="L61" s="2708"/>
      <c r="M61" s="2708"/>
      <c r="N61" s="2708"/>
      <c r="O61" s="2708"/>
      <c r="P61" s="2708"/>
      <c r="Q61" s="2708"/>
      <c r="R61" s="2708"/>
      <c r="S61" s="2708"/>
      <c r="T61" s="2708"/>
      <c r="U61" s="2708"/>
      <c r="V61" s="2708"/>
      <c r="W61" s="2708"/>
      <c r="X61" s="2708"/>
      <c r="Y61" s="2708"/>
      <c r="Z61" s="2708"/>
      <c r="AA61" s="2708"/>
      <c r="AB61" s="2708"/>
      <c r="AC61" s="2708"/>
      <c r="AD61" s="2708"/>
      <c r="AE61" s="2708"/>
      <c r="AF61" s="2708"/>
      <c r="AG61" s="2708"/>
      <c r="AH61" s="2708"/>
      <c r="AI61" s="2708"/>
      <c r="AJ61" s="2708"/>
      <c r="AK61" s="2708"/>
      <c r="AL61" s="2708"/>
      <c r="AM61" s="2708"/>
      <c r="AN61" s="2708"/>
      <c r="AO61" s="2708"/>
      <c r="AP61" s="2708"/>
      <c r="AQ61" s="2708"/>
      <c r="AR61" s="2708"/>
      <c r="AS61" s="2708"/>
      <c r="AT61" s="2708"/>
      <c r="AU61" s="2708"/>
      <c r="AV61" s="2708"/>
      <c r="AW61" s="2718"/>
      <c r="AX61" s="1766"/>
      <c r="AY61" s="1766"/>
      <c r="AZ61" s="1766"/>
      <c r="BA61" s="1766"/>
      <c r="BB61" s="1766"/>
      <c r="BC61" s="1766"/>
      <c r="BD61" s="1766"/>
      <c r="BE61" s="1772"/>
    </row>
    <row r="62" spans="1:58" ht="15.75" customHeight="1">
      <c r="A62" s="1766"/>
      <c r="B62" s="2707" t="str">
        <f t="shared" si="5"/>
        <v/>
      </c>
      <c r="C62" s="2708"/>
      <c r="D62" s="2708"/>
      <c r="E62" s="2708"/>
      <c r="F62" s="2708"/>
      <c r="G62" s="2708"/>
      <c r="H62" s="2708"/>
      <c r="I62" s="2718"/>
      <c r="J62" s="2719"/>
      <c r="K62" s="2708"/>
      <c r="L62" s="2708"/>
      <c r="M62" s="2708"/>
      <c r="N62" s="2708"/>
      <c r="O62" s="2708"/>
      <c r="P62" s="2708"/>
      <c r="Q62" s="2708"/>
      <c r="R62" s="2708"/>
      <c r="S62" s="2708"/>
      <c r="T62" s="2708"/>
      <c r="U62" s="2708"/>
      <c r="V62" s="2708"/>
      <c r="W62" s="2708"/>
      <c r="X62" s="2708"/>
      <c r="Y62" s="2708"/>
      <c r="Z62" s="2708"/>
      <c r="AA62" s="2708"/>
      <c r="AB62" s="2708"/>
      <c r="AC62" s="2708"/>
      <c r="AD62" s="2708"/>
      <c r="AE62" s="2708"/>
      <c r="AF62" s="2708"/>
      <c r="AG62" s="2708"/>
      <c r="AH62" s="2708"/>
      <c r="AI62" s="2708"/>
      <c r="AJ62" s="2708"/>
      <c r="AK62" s="2708"/>
      <c r="AL62" s="2708"/>
      <c r="AM62" s="2708"/>
      <c r="AN62" s="2708"/>
      <c r="AO62" s="2708"/>
      <c r="AP62" s="2708"/>
      <c r="AQ62" s="2708"/>
      <c r="AR62" s="2708"/>
      <c r="AS62" s="2708"/>
      <c r="AT62" s="2708"/>
      <c r="AU62" s="2708"/>
      <c r="AV62" s="2708"/>
      <c r="AW62" s="2718"/>
      <c r="AX62" s="1766"/>
      <c r="AY62" s="1766"/>
      <c r="AZ62" s="1766"/>
      <c r="BA62" s="1766"/>
      <c r="BB62" s="1766"/>
      <c r="BC62" s="1766"/>
      <c r="BD62" s="1766"/>
      <c r="BE62" s="1772"/>
    </row>
    <row r="63" spans="1:58" ht="15.75" customHeight="1">
      <c r="A63" s="1766"/>
      <c r="B63" s="2707" t="str">
        <f t="shared" si="5"/>
        <v/>
      </c>
      <c r="C63" s="2708"/>
      <c r="D63" s="2708"/>
      <c r="E63" s="2708"/>
      <c r="F63" s="2708"/>
      <c r="G63" s="2708"/>
      <c r="H63" s="2708"/>
      <c r="I63" s="2718"/>
      <c r="J63" s="2719"/>
      <c r="K63" s="2708"/>
      <c r="L63" s="2708"/>
      <c r="M63" s="2708"/>
      <c r="N63" s="2708"/>
      <c r="O63" s="2708"/>
      <c r="P63" s="2708"/>
      <c r="Q63" s="2708"/>
      <c r="R63" s="2708"/>
      <c r="S63" s="2708"/>
      <c r="T63" s="2708"/>
      <c r="U63" s="2708"/>
      <c r="V63" s="2708"/>
      <c r="W63" s="2708"/>
      <c r="X63" s="2708"/>
      <c r="Y63" s="2708"/>
      <c r="Z63" s="2708"/>
      <c r="AA63" s="2708"/>
      <c r="AB63" s="2708"/>
      <c r="AC63" s="2708"/>
      <c r="AD63" s="2708"/>
      <c r="AE63" s="2708"/>
      <c r="AF63" s="2708"/>
      <c r="AG63" s="2708"/>
      <c r="AH63" s="2708"/>
      <c r="AI63" s="2708"/>
      <c r="AJ63" s="2708"/>
      <c r="AK63" s="2708"/>
      <c r="AL63" s="2708"/>
      <c r="AM63" s="2708"/>
      <c r="AN63" s="2708"/>
      <c r="AO63" s="2708"/>
      <c r="AP63" s="2708"/>
      <c r="AQ63" s="2708"/>
      <c r="AR63" s="2708"/>
      <c r="AS63" s="2708"/>
      <c r="AT63" s="2708"/>
      <c r="AU63" s="2708"/>
      <c r="AV63" s="2708"/>
      <c r="AW63" s="2718"/>
      <c r="AX63" s="1766"/>
      <c r="AY63" s="1766"/>
      <c r="AZ63" s="1766"/>
      <c r="BA63" s="1766"/>
      <c r="BB63" s="1766"/>
      <c r="BC63" s="1766"/>
      <c r="BD63" s="1766"/>
      <c r="BE63" s="1772"/>
    </row>
    <row r="64" spans="1:58" ht="15.75" customHeight="1" thickBot="1">
      <c r="A64" s="1766"/>
      <c r="B64" s="2720" t="str">
        <f t="shared" si="5"/>
        <v/>
      </c>
      <c r="C64" s="2721"/>
      <c r="D64" s="2721"/>
      <c r="E64" s="2721"/>
      <c r="F64" s="2721"/>
      <c r="G64" s="2721"/>
      <c r="H64" s="2721"/>
      <c r="I64" s="2743"/>
      <c r="J64" s="2744"/>
      <c r="K64" s="2721"/>
      <c r="L64" s="2721"/>
      <c r="M64" s="2721"/>
      <c r="N64" s="2721"/>
      <c r="O64" s="2721"/>
      <c r="P64" s="2721"/>
      <c r="Q64" s="2721"/>
      <c r="R64" s="2721"/>
      <c r="S64" s="2721"/>
      <c r="T64" s="2721"/>
      <c r="U64" s="2721"/>
      <c r="V64" s="2721"/>
      <c r="W64" s="2721"/>
      <c r="X64" s="2721"/>
      <c r="Y64" s="2721"/>
      <c r="Z64" s="2721"/>
      <c r="AA64" s="2721"/>
      <c r="AB64" s="2721"/>
      <c r="AC64" s="2721"/>
      <c r="AD64" s="2721"/>
      <c r="AE64" s="2721"/>
      <c r="AF64" s="2721"/>
      <c r="AG64" s="2721"/>
      <c r="AH64" s="2721"/>
      <c r="AI64" s="2721"/>
      <c r="AJ64" s="2721"/>
      <c r="AK64" s="2721"/>
      <c r="AL64" s="2721"/>
      <c r="AM64" s="2721"/>
      <c r="AN64" s="2721"/>
      <c r="AO64" s="2721"/>
      <c r="AP64" s="2721"/>
      <c r="AQ64" s="2721"/>
      <c r="AR64" s="2721"/>
      <c r="AS64" s="2721"/>
      <c r="AT64" s="2721"/>
      <c r="AU64" s="2721"/>
      <c r="AV64" s="2721"/>
      <c r="AW64" s="2743"/>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2033</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00" t="s">
        <v>2034</v>
      </c>
      <c r="C68" s="2601"/>
      <c r="D68" s="2601"/>
      <c r="E68" s="2601"/>
      <c r="F68" s="2601"/>
      <c r="G68" s="2601"/>
      <c r="H68" s="2601"/>
      <c r="I68" s="2601"/>
      <c r="J68" s="2601"/>
      <c r="K68" s="2601"/>
      <c r="L68" s="2601"/>
      <c r="M68" s="2601"/>
      <c r="N68" s="2601"/>
      <c r="O68" s="2601"/>
      <c r="P68" s="2601"/>
      <c r="Q68" s="2601"/>
      <c r="R68" s="2601"/>
      <c r="S68" s="2601"/>
      <c r="T68" s="2601"/>
      <c r="U68" s="2601"/>
      <c r="V68" s="2601"/>
      <c r="W68" s="2601"/>
      <c r="X68" s="2601"/>
      <c r="Y68" s="2601"/>
      <c r="Z68" s="2601"/>
      <c r="AA68" s="2602"/>
      <c r="AB68" s="1766"/>
      <c r="AC68" s="2757" t="s">
        <v>2035</v>
      </c>
      <c r="AD68" s="2758"/>
      <c r="AE68" s="2758"/>
      <c r="AF68" s="2758"/>
      <c r="AG68" s="2758"/>
      <c r="AH68" s="2758"/>
      <c r="AI68" s="2758"/>
      <c r="AJ68" s="2758"/>
      <c r="AK68" s="2758"/>
      <c r="AL68" s="2758"/>
      <c r="AM68" s="2758"/>
      <c r="AN68" s="2758"/>
      <c r="AO68" s="2758"/>
      <c r="AP68" s="2758"/>
      <c r="AQ68" s="2758"/>
      <c r="AR68" s="2758"/>
      <c r="AS68" s="2758"/>
      <c r="AT68" s="2758"/>
      <c r="AU68" s="2758"/>
      <c r="AV68" s="2731" t="s">
        <v>2635</v>
      </c>
      <c r="AW68" s="2731"/>
      <c r="AX68" s="2731"/>
      <c r="AY68" s="2731"/>
      <c r="AZ68" s="2731"/>
      <c r="BA68" s="2731"/>
      <c r="BB68" s="2731"/>
      <c r="BC68" s="2732"/>
      <c r="BD68" s="1766"/>
      <c r="BE68" s="1772"/>
    </row>
    <row r="69" spans="1:57" ht="15.75" customHeight="1" thickBot="1">
      <c r="A69" s="1766"/>
      <c r="B69" s="2733" t="s">
        <v>2036</v>
      </c>
      <c r="C69" s="2734"/>
      <c r="D69" s="2734"/>
      <c r="E69" s="2734"/>
      <c r="F69" s="2734"/>
      <c r="G69" s="2734"/>
      <c r="H69" s="2734"/>
      <c r="I69" s="2734"/>
      <c r="J69" s="2734"/>
      <c r="K69" s="2734"/>
      <c r="L69" s="2734"/>
      <c r="M69" s="2734"/>
      <c r="N69" s="2734"/>
      <c r="O69" s="2735" t="s">
        <v>2037</v>
      </c>
      <c r="P69" s="2736"/>
      <c r="Q69" s="2736"/>
      <c r="R69" s="2736"/>
      <c r="S69" s="2736"/>
      <c r="T69" s="2736"/>
      <c r="U69" s="2736"/>
      <c r="V69" s="2736"/>
      <c r="W69" s="2736"/>
      <c r="X69" s="2736"/>
      <c r="Y69" s="2736"/>
      <c r="Z69" s="2736"/>
      <c r="AA69" s="2737"/>
      <c r="AB69" s="1766"/>
      <c r="AC69" s="2738" t="s">
        <v>2038</v>
      </c>
      <c r="AD69" s="2739"/>
      <c r="AE69" s="2739"/>
      <c r="AF69" s="2739"/>
      <c r="AG69" s="2739"/>
      <c r="AH69" s="2739"/>
      <c r="AI69" s="2739"/>
      <c r="AJ69" s="2739"/>
      <c r="AK69" s="2739"/>
      <c r="AL69" s="2739"/>
      <c r="AM69" s="2739"/>
      <c r="AN69" s="2739"/>
      <c r="AO69" s="2739"/>
      <c r="AP69" s="2739"/>
      <c r="AQ69" s="2739"/>
      <c r="AR69" s="2739"/>
      <c r="AS69" s="2739"/>
      <c r="AT69" s="2739"/>
      <c r="AU69" s="2739"/>
      <c r="AV69" s="2740"/>
      <c r="AW69" s="2741"/>
      <c r="AX69" s="2741"/>
      <c r="AY69" s="2741"/>
      <c r="AZ69" s="2741"/>
      <c r="BA69" s="2741"/>
      <c r="BB69" s="2741"/>
      <c r="BC69" s="2742"/>
      <c r="BD69" s="1766"/>
      <c r="BE69" s="1772"/>
    </row>
    <row r="70" spans="1:57" ht="15.75" customHeight="1">
      <c r="A70" s="1766"/>
      <c r="B70" s="2745" t="s">
        <v>2636</v>
      </c>
      <c r="C70" s="2746"/>
      <c r="D70" s="2746"/>
      <c r="E70" s="2746"/>
      <c r="F70" s="2746"/>
      <c r="G70" s="2746"/>
      <c r="H70" s="2746"/>
      <c r="I70" s="2746"/>
      <c r="J70" s="2746"/>
      <c r="K70" s="2746"/>
      <c r="L70" s="2746"/>
      <c r="M70" s="2746"/>
      <c r="N70" s="2746"/>
      <c r="O70" s="2747">
        <v>100000</v>
      </c>
      <c r="P70" s="2747"/>
      <c r="Q70" s="2747"/>
      <c r="R70" s="2747"/>
      <c r="S70" s="2747"/>
      <c r="T70" s="2747"/>
      <c r="U70" s="2747"/>
      <c r="V70" s="2747"/>
      <c r="W70" s="2747"/>
      <c r="X70" s="2747"/>
      <c r="Y70" s="2747"/>
      <c r="Z70" s="2747"/>
      <c r="AA70" s="2748"/>
      <c r="AB70" s="1766"/>
      <c r="AC70" s="2749" t="s">
        <v>2039</v>
      </c>
      <c r="AD70" s="2750"/>
      <c r="AE70" s="2750"/>
      <c r="AF70" s="2751" t="s">
        <v>2572</v>
      </c>
      <c r="AG70" s="2752"/>
      <c r="AH70" s="2752"/>
      <c r="AI70" s="2752"/>
      <c r="AJ70" s="2752"/>
      <c r="AK70" s="2752"/>
      <c r="AL70" s="2752"/>
      <c r="AM70" s="2752"/>
      <c r="AN70" s="2752"/>
      <c r="AO70" s="2752"/>
      <c r="AP70" s="2752"/>
      <c r="AQ70" s="2752"/>
      <c r="AR70" s="2752"/>
      <c r="AS70" s="2752"/>
      <c r="AT70" s="2752"/>
      <c r="AU70" s="2753"/>
      <c r="AV70" s="1766"/>
      <c r="AW70" s="1766"/>
      <c r="AX70" s="1766"/>
      <c r="AY70" s="1766"/>
      <c r="AZ70" s="1766"/>
      <c r="BA70" s="1766"/>
      <c r="BB70" s="1766"/>
      <c r="BC70" s="1766"/>
      <c r="BD70" s="1766"/>
      <c r="BE70" s="1772"/>
    </row>
    <row r="71" spans="1:57" ht="15.75" customHeight="1" thickBot="1">
      <c r="A71" s="1766"/>
      <c r="B71" s="2676"/>
      <c r="C71" s="2674"/>
      <c r="D71" s="2674"/>
      <c r="E71" s="2674"/>
      <c r="F71" s="2674"/>
      <c r="G71" s="2674"/>
      <c r="H71" s="2674"/>
      <c r="I71" s="2674"/>
      <c r="J71" s="2674"/>
      <c r="K71" s="2674"/>
      <c r="L71" s="2674"/>
      <c r="M71" s="2674"/>
      <c r="N71" s="2674"/>
      <c r="O71" s="2747"/>
      <c r="P71" s="2747"/>
      <c r="Q71" s="2747"/>
      <c r="R71" s="2747"/>
      <c r="S71" s="2747"/>
      <c r="T71" s="2747"/>
      <c r="U71" s="2747"/>
      <c r="V71" s="2747"/>
      <c r="W71" s="2747"/>
      <c r="X71" s="2747"/>
      <c r="Y71" s="2747"/>
      <c r="Z71" s="2747"/>
      <c r="AA71" s="2748"/>
      <c r="AB71" s="1766"/>
      <c r="AC71" s="2754" t="s">
        <v>2040</v>
      </c>
      <c r="AD71" s="2755"/>
      <c r="AE71" s="2755"/>
      <c r="AF71" s="2756" t="s">
        <v>2515</v>
      </c>
      <c r="AG71" s="2692"/>
      <c r="AH71" s="2692"/>
      <c r="AI71" s="2692"/>
      <c r="AJ71" s="2692"/>
      <c r="AK71" s="2692"/>
      <c r="AL71" s="2692"/>
      <c r="AM71" s="2692"/>
      <c r="AN71" s="2692"/>
      <c r="AO71" s="2692"/>
      <c r="AP71" s="2692"/>
      <c r="AQ71" s="2692"/>
      <c r="AR71" s="2692"/>
      <c r="AS71" s="2692"/>
      <c r="AT71" s="2692"/>
      <c r="AU71" s="2693"/>
      <c r="AV71" s="1766"/>
      <c r="AW71" s="1766"/>
      <c r="AX71" s="1766"/>
      <c r="AY71" s="1766"/>
      <c r="AZ71" s="1766"/>
      <c r="BA71" s="1766"/>
      <c r="BB71" s="1766"/>
      <c r="BC71" s="1766"/>
      <c r="BD71" s="1766"/>
      <c r="BE71" s="1772"/>
    </row>
    <row r="72" spans="1:57" ht="15.75" customHeight="1">
      <c r="A72" s="1766"/>
      <c r="B72" s="2676"/>
      <c r="C72" s="2674"/>
      <c r="D72" s="2674"/>
      <c r="E72" s="2674"/>
      <c r="F72" s="2674"/>
      <c r="G72" s="2674"/>
      <c r="H72" s="2674"/>
      <c r="I72" s="2674"/>
      <c r="J72" s="2674"/>
      <c r="K72" s="2674"/>
      <c r="L72" s="2674"/>
      <c r="M72" s="2674"/>
      <c r="N72" s="2674"/>
      <c r="O72" s="2747"/>
      <c r="P72" s="2747"/>
      <c r="Q72" s="2747"/>
      <c r="R72" s="2747"/>
      <c r="S72" s="2747"/>
      <c r="T72" s="2747"/>
      <c r="U72" s="2747"/>
      <c r="V72" s="2747"/>
      <c r="W72" s="2747"/>
      <c r="X72" s="2747"/>
      <c r="Y72" s="2747"/>
      <c r="Z72" s="2747"/>
      <c r="AA72" s="2748"/>
      <c r="AB72" s="1766"/>
      <c r="AC72" s="2759" t="s">
        <v>2041</v>
      </c>
      <c r="AD72" s="2760"/>
      <c r="AE72" s="2760"/>
      <c r="AF72" s="2760"/>
      <c r="AG72" s="2760"/>
      <c r="AH72" s="2760"/>
      <c r="AI72" s="2760"/>
      <c r="AJ72" s="2760"/>
      <c r="AK72" s="2760"/>
      <c r="AL72" s="2760"/>
      <c r="AM72" s="2760"/>
      <c r="AN72" s="2760"/>
      <c r="AO72" s="2760"/>
      <c r="AP72" s="2760"/>
      <c r="AQ72" s="2760"/>
      <c r="AR72" s="2760"/>
      <c r="AS72" s="2760"/>
      <c r="AT72" s="2760"/>
      <c r="AU72" s="2760"/>
      <c r="AV72" s="2760"/>
      <c r="AW72" s="2760"/>
      <c r="AX72" s="2760"/>
      <c r="AY72" s="2760"/>
      <c r="AZ72" s="2760"/>
      <c r="BA72" s="2760"/>
      <c r="BB72" s="2760"/>
      <c r="BC72" s="2761"/>
      <c r="BD72" s="1766"/>
      <c r="BE72" s="1772"/>
    </row>
    <row r="73" spans="1:57" ht="15.75" customHeight="1">
      <c r="A73" s="1766"/>
      <c r="B73" s="2676"/>
      <c r="C73" s="2674"/>
      <c r="D73" s="2674"/>
      <c r="E73" s="2674"/>
      <c r="F73" s="2674"/>
      <c r="G73" s="2674"/>
      <c r="H73" s="2674"/>
      <c r="I73" s="2674"/>
      <c r="J73" s="2674"/>
      <c r="K73" s="2674"/>
      <c r="L73" s="2674"/>
      <c r="M73" s="2674"/>
      <c r="N73" s="2674"/>
      <c r="O73" s="2747"/>
      <c r="P73" s="2747"/>
      <c r="Q73" s="2747"/>
      <c r="R73" s="2747"/>
      <c r="S73" s="2747"/>
      <c r="T73" s="2747"/>
      <c r="U73" s="2747"/>
      <c r="V73" s="2747"/>
      <c r="W73" s="2747"/>
      <c r="X73" s="2747"/>
      <c r="Y73" s="2747"/>
      <c r="Z73" s="2747"/>
      <c r="AA73" s="2748"/>
      <c r="AB73" s="1766"/>
      <c r="AC73" s="2762" t="s">
        <v>2471</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6"/>
      <c r="BE73" s="1772"/>
    </row>
    <row r="74" spans="1:57" ht="15.75" customHeight="1" thickBot="1">
      <c r="A74" s="1766"/>
      <c r="B74" s="2676"/>
      <c r="C74" s="2674"/>
      <c r="D74" s="2674"/>
      <c r="E74" s="2674"/>
      <c r="F74" s="2674"/>
      <c r="G74" s="2674"/>
      <c r="H74" s="2674"/>
      <c r="I74" s="2674"/>
      <c r="J74" s="2674"/>
      <c r="K74" s="2674"/>
      <c r="L74" s="2674"/>
      <c r="M74" s="2674"/>
      <c r="N74" s="2674"/>
      <c r="O74" s="2768"/>
      <c r="P74" s="2768"/>
      <c r="Q74" s="2768"/>
      <c r="R74" s="2768"/>
      <c r="S74" s="2768"/>
      <c r="T74" s="2768"/>
      <c r="U74" s="2768"/>
      <c r="V74" s="2768"/>
      <c r="W74" s="2768"/>
      <c r="X74" s="2768"/>
      <c r="Y74" s="2768"/>
      <c r="Z74" s="2768"/>
      <c r="AA74" s="2769"/>
      <c r="AB74" s="1766"/>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6"/>
      <c r="BE74" s="1772"/>
    </row>
    <row r="75" spans="1:57" ht="15.75" customHeight="1" thickTop="1" thickBot="1">
      <c r="A75" s="1766"/>
      <c r="B75" s="2770" t="s">
        <v>129</v>
      </c>
      <c r="C75" s="2771"/>
      <c r="D75" s="2771"/>
      <c r="E75" s="2771"/>
      <c r="F75" s="2771"/>
      <c r="G75" s="2771"/>
      <c r="H75" s="2771"/>
      <c r="I75" s="2771"/>
      <c r="J75" s="2771"/>
      <c r="K75" s="2771"/>
      <c r="L75" s="2771"/>
      <c r="M75" s="2771"/>
      <c r="N75" s="2771"/>
      <c r="O75" s="2772">
        <f>SUM(O70:AA74)</f>
        <v>100000</v>
      </c>
      <c r="P75" s="2773"/>
      <c r="Q75" s="2773"/>
      <c r="R75" s="2773"/>
      <c r="S75" s="2773"/>
      <c r="T75" s="2773"/>
      <c r="U75" s="2773"/>
      <c r="V75" s="2773"/>
      <c r="W75" s="2773"/>
      <c r="X75" s="2773"/>
      <c r="Y75" s="2773"/>
      <c r="Z75" s="2773"/>
      <c r="AA75" s="2774"/>
      <c r="AB75" s="1766"/>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6"/>
      <c r="BE76" s="1772"/>
    </row>
    <row r="77" spans="1:57" ht="15.75" customHeight="1" thickBot="1">
      <c r="A77" s="1766"/>
      <c r="B77" s="1777" t="s">
        <v>2042</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75" t="s">
        <v>2450</v>
      </c>
      <c r="C79" s="2776"/>
      <c r="D79" s="2776"/>
      <c r="E79" s="2776"/>
      <c r="F79" s="2776"/>
      <c r="G79" s="2776"/>
      <c r="H79" s="2776"/>
      <c r="I79" s="2776"/>
      <c r="J79" s="2776"/>
      <c r="K79" s="2776"/>
      <c r="L79" s="2776"/>
      <c r="M79" s="2776"/>
      <c r="N79" s="2776"/>
      <c r="O79" s="2776"/>
      <c r="P79" s="2776"/>
      <c r="Q79" s="2776"/>
      <c r="R79" s="2776"/>
      <c r="S79" s="2776"/>
      <c r="T79" s="2776"/>
      <c r="U79" s="2776"/>
      <c r="V79" s="2776"/>
      <c r="W79" s="2776"/>
      <c r="X79" s="2776"/>
      <c r="Y79" s="2776"/>
      <c r="Z79" s="2776"/>
      <c r="AA79" s="2776"/>
      <c r="AB79" s="2776"/>
      <c r="AC79" s="2776"/>
      <c r="AD79" s="2776"/>
      <c r="AE79" s="2776"/>
      <c r="AF79" s="2776"/>
      <c r="AG79" s="2776"/>
      <c r="AH79" s="2777"/>
      <c r="AI79" s="1766"/>
      <c r="AJ79" s="2778" t="s">
        <v>2472</v>
      </c>
      <c r="AK79" s="2779"/>
      <c r="AL79" s="2779"/>
      <c r="AM79" s="2779"/>
      <c r="AN79" s="2779"/>
      <c r="AO79" s="2779"/>
      <c r="AP79" s="2779"/>
      <c r="AQ79" s="2779"/>
      <c r="AR79" s="2779"/>
      <c r="AS79" s="2779"/>
      <c r="AT79" s="2779"/>
      <c r="AU79" s="2779"/>
      <c r="AV79" s="2779"/>
      <c r="AW79" s="2779"/>
      <c r="AX79" s="2779"/>
      <c r="AY79" s="2784" t="s">
        <v>2627</v>
      </c>
      <c r="AZ79" s="2784"/>
      <c r="BA79" s="2784"/>
      <c r="BB79" s="2785"/>
      <c r="BC79" s="1766"/>
      <c r="BD79" s="1766"/>
      <c r="BE79" s="1772"/>
    </row>
    <row r="80" spans="1:57" ht="15.75" customHeight="1">
      <c r="A80" s="1766"/>
      <c r="B80" s="2790"/>
      <c r="C80" s="2791"/>
      <c r="D80" s="2791"/>
      <c r="E80" s="2791"/>
      <c r="F80" s="2791"/>
      <c r="G80" s="2791"/>
      <c r="H80" s="2792"/>
      <c r="I80" s="2757" t="s">
        <v>2043</v>
      </c>
      <c r="J80" s="2758"/>
      <c r="K80" s="2758"/>
      <c r="L80" s="2758"/>
      <c r="M80" s="2758"/>
      <c r="N80" s="2758"/>
      <c r="O80" s="2758" t="s">
        <v>2044</v>
      </c>
      <c r="P80" s="2758"/>
      <c r="Q80" s="2758"/>
      <c r="R80" s="2758"/>
      <c r="S80" s="2758"/>
      <c r="T80" s="2758"/>
      <c r="U80" s="2758"/>
      <c r="V80" s="2798" t="s">
        <v>2473</v>
      </c>
      <c r="W80" s="2798"/>
      <c r="X80" s="2798"/>
      <c r="Y80" s="2798"/>
      <c r="Z80" s="2798"/>
      <c r="AA80" s="2798"/>
      <c r="AB80" s="2760" t="s">
        <v>2045</v>
      </c>
      <c r="AC80" s="2760"/>
      <c r="AD80" s="2760"/>
      <c r="AE80" s="2760"/>
      <c r="AF80" s="2760"/>
      <c r="AG80" s="2760"/>
      <c r="AH80" s="2761"/>
      <c r="AI80" s="1766"/>
      <c r="AJ80" s="2780"/>
      <c r="AK80" s="2781"/>
      <c r="AL80" s="2781"/>
      <c r="AM80" s="2781"/>
      <c r="AN80" s="2781"/>
      <c r="AO80" s="2781"/>
      <c r="AP80" s="2781"/>
      <c r="AQ80" s="2781"/>
      <c r="AR80" s="2781"/>
      <c r="AS80" s="2781"/>
      <c r="AT80" s="2781"/>
      <c r="AU80" s="2781"/>
      <c r="AV80" s="2781"/>
      <c r="AW80" s="2781"/>
      <c r="AX80" s="2781"/>
      <c r="AY80" s="2786"/>
      <c r="AZ80" s="2786"/>
      <c r="BA80" s="2786"/>
      <c r="BB80" s="2787"/>
      <c r="BC80" s="1766"/>
      <c r="BD80" s="1766"/>
      <c r="BE80" s="1772"/>
    </row>
    <row r="81" spans="1:57" ht="15.75" customHeight="1" thickBot="1">
      <c r="A81" s="1766"/>
      <c r="B81" s="2793"/>
      <c r="C81" s="2794"/>
      <c r="D81" s="2794"/>
      <c r="E81" s="2794"/>
      <c r="F81" s="2794"/>
      <c r="G81" s="2794"/>
      <c r="H81" s="2795"/>
      <c r="I81" s="2796"/>
      <c r="J81" s="2797"/>
      <c r="K81" s="2797"/>
      <c r="L81" s="2797"/>
      <c r="M81" s="2797"/>
      <c r="N81" s="2797"/>
      <c r="O81" s="2797"/>
      <c r="P81" s="2797"/>
      <c r="Q81" s="2797"/>
      <c r="R81" s="2797"/>
      <c r="S81" s="2797"/>
      <c r="T81" s="2797"/>
      <c r="U81" s="2797"/>
      <c r="V81" s="2799"/>
      <c r="W81" s="2799"/>
      <c r="X81" s="2799"/>
      <c r="Y81" s="2799"/>
      <c r="Z81" s="2799"/>
      <c r="AA81" s="2799"/>
      <c r="AB81" s="2734"/>
      <c r="AC81" s="2734"/>
      <c r="AD81" s="2734"/>
      <c r="AE81" s="2734"/>
      <c r="AF81" s="2734"/>
      <c r="AG81" s="2734"/>
      <c r="AH81" s="2800"/>
      <c r="AI81" s="1766"/>
      <c r="AJ81" s="2780"/>
      <c r="AK81" s="2781"/>
      <c r="AL81" s="2781"/>
      <c r="AM81" s="2781"/>
      <c r="AN81" s="2781"/>
      <c r="AO81" s="2781"/>
      <c r="AP81" s="2781"/>
      <c r="AQ81" s="2781"/>
      <c r="AR81" s="2781"/>
      <c r="AS81" s="2781"/>
      <c r="AT81" s="2781"/>
      <c r="AU81" s="2781"/>
      <c r="AV81" s="2781"/>
      <c r="AW81" s="2781"/>
      <c r="AX81" s="2781"/>
      <c r="AY81" s="2786"/>
      <c r="AZ81" s="2786"/>
      <c r="BA81" s="2786"/>
      <c r="BB81" s="2787"/>
      <c r="BC81" s="1766"/>
      <c r="BD81" s="1766"/>
      <c r="BE81" s="1772"/>
    </row>
    <row r="82" spans="1:57" ht="15.75" customHeight="1" thickBot="1">
      <c r="A82" s="1766"/>
      <c r="B82" s="2573" t="s">
        <v>2451</v>
      </c>
      <c r="C82" s="2574"/>
      <c r="D82" s="2574"/>
      <c r="E82" s="2574"/>
      <c r="F82" s="2574"/>
      <c r="G82" s="2574"/>
      <c r="H82" s="2575"/>
      <c r="I82" s="2801">
        <f>149+170+170+194</f>
        <v>683</v>
      </c>
      <c r="J82" s="2802"/>
      <c r="K82" s="2802"/>
      <c r="L82" s="2802"/>
      <c r="M82" s="2802"/>
      <c r="N82" s="2802"/>
      <c r="O82" s="2802">
        <v>170</v>
      </c>
      <c r="P82" s="2802"/>
      <c r="Q82" s="2802"/>
      <c r="R82" s="2802"/>
      <c r="S82" s="2802"/>
      <c r="T82" s="2802"/>
      <c r="U82" s="2802"/>
      <c r="V82" s="2802">
        <f>256+148</f>
        <v>404</v>
      </c>
      <c r="W82" s="2802"/>
      <c r="X82" s="2802"/>
      <c r="Y82" s="2802"/>
      <c r="Z82" s="2802"/>
      <c r="AA82" s="2816"/>
      <c r="AB82" s="2817">
        <v>170</v>
      </c>
      <c r="AC82" s="2817"/>
      <c r="AD82" s="2817"/>
      <c r="AE82" s="2817"/>
      <c r="AF82" s="2817"/>
      <c r="AG82" s="2817"/>
      <c r="AH82" s="2818"/>
      <c r="AI82" s="1766"/>
      <c r="AJ82" s="2782"/>
      <c r="AK82" s="2783"/>
      <c r="AL82" s="2783"/>
      <c r="AM82" s="2783"/>
      <c r="AN82" s="2783"/>
      <c r="AO82" s="2783"/>
      <c r="AP82" s="2783"/>
      <c r="AQ82" s="2783"/>
      <c r="AR82" s="2783"/>
      <c r="AS82" s="2783"/>
      <c r="AT82" s="2783"/>
      <c r="AU82" s="2783"/>
      <c r="AV82" s="2783"/>
      <c r="AW82" s="2783"/>
      <c r="AX82" s="2783"/>
      <c r="AY82" s="2788"/>
      <c r="AZ82" s="2788"/>
      <c r="BA82" s="2788"/>
      <c r="BB82" s="2789"/>
      <c r="BC82" s="1766"/>
      <c r="BD82" s="1766"/>
      <c r="BE82" s="1772"/>
    </row>
    <row r="83" spans="1:57" ht="15.75" customHeight="1" thickBot="1">
      <c r="A83" s="1766"/>
      <c r="B83" s="2573" t="s">
        <v>2452</v>
      </c>
      <c r="C83" s="2574"/>
      <c r="D83" s="2574"/>
      <c r="E83" s="2574"/>
      <c r="F83" s="2574"/>
      <c r="G83" s="2574"/>
      <c r="H83" s="2575"/>
      <c r="I83" s="2801">
        <f>320+350+483+500+200+440+542</f>
        <v>2835</v>
      </c>
      <c r="J83" s="2802"/>
      <c r="K83" s="2802"/>
      <c r="L83" s="2802"/>
      <c r="M83" s="2802"/>
      <c r="N83" s="2802"/>
      <c r="O83" s="2802">
        <f>135+314+205</f>
        <v>654</v>
      </c>
      <c r="P83" s="2802"/>
      <c r="Q83" s="2802"/>
      <c r="R83" s="2802"/>
      <c r="S83" s="2802"/>
      <c r="T83" s="2802"/>
      <c r="U83" s="2802"/>
      <c r="V83" s="2802">
        <f>91+266+144+317+394</f>
        <v>1212</v>
      </c>
      <c r="W83" s="2802"/>
      <c r="X83" s="2802"/>
      <c r="Y83" s="2802"/>
      <c r="Z83" s="2802"/>
      <c r="AA83" s="2816"/>
      <c r="AB83" s="2817">
        <v>0</v>
      </c>
      <c r="AC83" s="2817"/>
      <c r="AD83" s="2817"/>
      <c r="AE83" s="2817"/>
      <c r="AF83" s="2817"/>
      <c r="AG83" s="2817"/>
      <c r="AH83" s="2818"/>
      <c r="AI83" s="1766"/>
      <c r="AJ83" s="2803" t="s">
        <v>2474</v>
      </c>
      <c r="AK83" s="2804"/>
      <c r="AL83" s="2804"/>
      <c r="AM83" s="2804"/>
      <c r="AN83" s="2804"/>
      <c r="AO83" s="2804"/>
      <c r="AP83" s="2804"/>
      <c r="AQ83" s="2804"/>
      <c r="AR83" s="2804"/>
      <c r="AS83" s="2804"/>
      <c r="AT83" s="2804"/>
      <c r="AU83" s="2804"/>
      <c r="AV83" s="2804"/>
      <c r="AW83" s="2804"/>
      <c r="AX83" s="2804"/>
      <c r="AY83" s="2804"/>
      <c r="AZ83" s="2804"/>
      <c r="BA83" s="2804"/>
      <c r="BB83" s="2805"/>
      <c r="BC83" s="1766"/>
      <c r="BD83" s="1766"/>
      <c r="BE83" s="1772"/>
    </row>
    <row r="84" spans="1:57" ht="15.75" customHeight="1" thickBot="1">
      <c r="A84" s="1766"/>
      <c r="B84" s="2809" t="s">
        <v>2046</v>
      </c>
      <c r="C84" s="2810"/>
      <c r="D84" s="2810"/>
      <c r="E84" s="2810"/>
      <c r="F84" s="2810"/>
      <c r="G84" s="2810"/>
      <c r="H84" s="2811"/>
      <c r="I84" s="2812">
        <f>I82+I83</f>
        <v>3518</v>
      </c>
      <c r="J84" s="2813"/>
      <c r="K84" s="2813"/>
      <c r="L84" s="2813"/>
      <c r="M84" s="2813"/>
      <c r="N84" s="2813"/>
      <c r="O84" s="2813">
        <f>O82+O83</f>
        <v>824</v>
      </c>
      <c r="P84" s="2813"/>
      <c r="Q84" s="2813"/>
      <c r="R84" s="2813"/>
      <c r="S84" s="2813"/>
      <c r="T84" s="2813"/>
      <c r="U84" s="2813"/>
      <c r="V84" s="2813">
        <f>V82+V83</f>
        <v>1616</v>
      </c>
      <c r="W84" s="2813"/>
      <c r="X84" s="2813"/>
      <c r="Y84" s="2813"/>
      <c r="Z84" s="2813"/>
      <c r="AA84" s="2814"/>
      <c r="AB84" s="2813">
        <f>AB82+AB83</f>
        <v>170</v>
      </c>
      <c r="AC84" s="2813"/>
      <c r="AD84" s="2813"/>
      <c r="AE84" s="2813"/>
      <c r="AF84" s="2813"/>
      <c r="AG84" s="2813"/>
      <c r="AH84" s="2815"/>
      <c r="AI84" s="1766"/>
      <c r="AJ84" s="2806"/>
      <c r="AK84" s="2807"/>
      <c r="AL84" s="2807"/>
      <c r="AM84" s="2807"/>
      <c r="AN84" s="2807"/>
      <c r="AO84" s="2807"/>
      <c r="AP84" s="2807"/>
      <c r="AQ84" s="2807"/>
      <c r="AR84" s="2807"/>
      <c r="AS84" s="2807"/>
      <c r="AT84" s="2807"/>
      <c r="AU84" s="2807"/>
      <c r="AV84" s="2807"/>
      <c r="AW84" s="2807"/>
      <c r="AX84" s="2807"/>
      <c r="AY84" s="2807"/>
      <c r="AZ84" s="2807"/>
      <c r="BA84" s="2807"/>
      <c r="BB84" s="2808"/>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2047</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790" t="s">
        <v>2048</v>
      </c>
      <c r="C88" s="2791"/>
      <c r="D88" s="2791"/>
      <c r="E88" s="2791"/>
      <c r="F88" s="2791"/>
      <c r="G88" s="2791"/>
      <c r="H88" s="2791"/>
      <c r="I88" s="2791"/>
      <c r="J88" s="2791"/>
      <c r="K88" s="2791"/>
      <c r="L88" s="2791"/>
      <c r="M88" s="2791"/>
      <c r="N88" s="2791"/>
      <c r="O88" s="2791"/>
      <c r="P88" s="2791"/>
      <c r="Q88" s="2791"/>
      <c r="R88" s="2791"/>
      <c r="S88" s="2791"/>
      <c r="T88" s="2791"/>
      <c r="U88" s="2791"/>
      <c r="V88" s="2791"/>
      <c r="W88" s="2791"/>
      <c r="X88" s="2791"/>
      <c r="Y88" s="2791"/>
      <c r="Z88" s="2791"/>
      <c r="AA88" s="2791"/>
      <c r="AB88" s="2791"/>
      <c r="AC88" s="2791"/>
      <c r="AD88" s="2791"/>
      <c r="AE88" s="2791"/>
      <c r="AF88" s="2791"/>
      <c r="AG88" s="2791"/>
      <c r="AH88" s="2792"/>
      <c r="AI88" s="1766"/>
      <c r="AJ88" s="2778" t="s">
        <v>2475</v>
      </c>
      <c r="AK88" s="2779"/>
      <c r="AL88" s="2779"/>
      <c r="AM88" s="2779"/>
      <c r="AN88" s="2779"/>
      <c r="AO88" s="2779"/>
      <c r="AP88" s="2779"/>
      <c r="AQ88" s="2779"/>
      <c r="AR88" s="2779"/>
      <c r="AS88" s="2779"/>
      <c r="AT88" s="2779"/>
      <c r="AU88" s="2779"/>
      <c r="AV88" s="2779"/>
      <c r="AW88" s="2779"/>
      <c r="AX88" s="2779"/>
      <c r="AY88" s="2784" t="s">
        <v>2627</v>
      </c>
      <c r="AZ88" s="2784"/>
      <c r="BA88" s="2784"/>
      <c r="BB88" s="2785"/>
      <c r="BC88" s="1766"/>
      <c r="BD88" s="1766"/>
      <c r="BE88" s="1772"/>
    </row>
    <row r="89" spans="1:57" ht="16.5" customHeight="1">
      <c r="A89" s="1766"/>
      <c r="B89" s="2790"/>
      <c r="C89" s="2791"/>
      <c r="D89" s="2791"/>
      <c r="E89" s="2791"/>
      <c r="F89" s="2791"/>
      <c r="G89" s="2791"/>
      <c r="H89" s="2791"/>
      <c r="I89" s="2757" t="s">
        <v>2043</v>
      </c>
      <c r="J89" s="2758"/>
      <c r="K89" s="2758"/>
      <c r="L89" s="2758"/>
      <c r="M89" s="2758"/>
      <c r="N89" s="2758"/>
      <c r="O89" s="2758" t="s">
        <v>2044</v>
      </c>
      <c r="P89" s="2758"/>
      <c r="Q89" s="2758"/>
      <c r="R89" s="2758"/>
      <c r="S89" s="2758"/>
      <c r="T89" s="2758"/>
      <c r="U89" s="2758"/>
      <c r="V89" s="2798" t="s">
        <v>2473</v>
      </c>
      <c r="W89" s="2798"/>
      <c r="X89" s="2798"/>
      <c r="Y89" s="2798"/>
      <c r="Z89" s="2798"/>
      <c r="AA89" s="2798"/>
      <c r="AB89" s="2760" t="s">
        <v>2045</v>
      </c>
      <c r="AC89" s="2760"/>
      <c r="AD89" s="2760"/>
      <c r="AE89" s="2760"/>
      <c r="AF89" s="2760"/>
      <c r="AG89" s="2760"/>
      <c r="AH89" s="2761"/>
      <c r="AI89" s="1766"/>
      <c r="AJ89" s="2780"/>
      <c r="AK89" s="2781"/>
      <c r="AL89" s="2781"/>
      <c r="AM89" s="2781"/>
      <c r="AN89" s="2781"/>
      <c r="AO89" s="2781"/>
      <c r="AP89" s="2781"/>
      <c r="AQ89" s="2781"/>
      <c r="AR89" s="2781"/>
      <c r="AS89" s="2781"/>
      <c r="AT89" s="2781"/>
      <c r="AU89" s="2781"/>
      <c r="AV89" s="2781"/>
      <c r="AW89" s="2781"/>
      <c r="AX89" s="2781"/>
      <c r="AY89" s="2786"/>
      <c r="AZ89" s="2786"/>
      <c r="BA89" s="2786"/>
      <c r="BB89" s="2787"/>
      <c r="BC89" s="1766"/>
      <c r="BD89" s="1766"/>
      <c r="BE89" s="1772"/>
    </row>
    <row r="90" spans="1:57" ht="16.5" customHeight="1" thickBot="1">
      <c r="A90" s="1766"/>
      <c r="B90" s="2793"/>
      <c r="C90" s="2794"/>
      <c r="D90" s="2794"/>
      <c r="E90" s="2794"/>
      <c r="F90" s="2794"/>
      <c r="G90" s="2794"/>
      <c r="H90" s="2794"/>
      <c r="I90" s="2796"/>
      <c r="J90" s="2797"/>
      <c r="K90" s="2797"/>
      <c r="L90" s="2797"/>
      <c r="M90" s="2797"/>
      <c r="N90" s="2797"/>
      <c r="O90" s="2797"/>
      <c r="P90" s="2797"/>
      <c r="Q90" s="2797"/>
      <c r="R90" s="2797"/>
      <c r="S90" s="2797"/>
      <c r="T90" s="2797"/>
      <c r="U90" s="2797"/>
      <c r="V90" s="2799"/>
      <c r="W90" s="2799"/>
      <c r="X90" s="2799"/>
      <c r="Y90" s="2799"/>
      <c r="Z90" s="2799"/>
      <c r="AA90" s="2799"/>
      <c r="AB90" s="2734"/>
      <c r="AC90" s="2734"/>
      <c r="AD90" s="2734"/>
      <c r="AE90" s="2734"/>
      <c r="AF90" s="2734"/>
      <c r="AG90" s="2734"/>
      <c r="AH90" s="2800"/>
      <c r="AI90" s="1766"/>
      <c r="AJ90" s="2780"/>
      <c r="AK90" s="2781"/>
      <c r="AL90" s="2781"/>
      <c r="AM90" s="2781"/>
      <c r="AN90" s="2781"/>
      <c r="AO90" s="2781"/>
      <c r="AP90" s="2781"/>
      <c r="AQ90" s="2781"/>
      <c r="AR90" s="2781"/>
      <c r="AS90" s="2781"/>
      <c r="AT90" s="2781"/>
      <c r="AU90" s="2781"/>
      <c r="AV90" s="2781"/>
      <c r="AW90" s="2781"/>
      <c r="AX90" s="2781"/>
      <c r="AY90" s="2786"/>
      <c r="AZ90" s="2786"/>
      <c r="BA90" s="2786"/>
      <c r="BB90" s="2787"/>
      <c r="BC90" s="1766"/>
      <c r="BD90" s="1766"/>
      <c r="BE90" s="1772"/>
    </row>
    <row r="91" spans="1:57" ht="15.75" customHeight="1" thickBot="1">
      <c r="A91" s="1766"/>
      <c r="B91" s="2573" t="s">
        <v>2451</v>
      </c>
      <c r="C91" s="2574"/>
      <c r="D91" s="2574"/>
      <c r="E91" s="2574"/>
      <c r="F91" s="2574"/>
      <c r="G91" s="2574"/>
      <c r="H91" s="2574"/>
      <c r="I91" s="2801">
        <v>1000</v>
      </c>
      <c r="J91" s="2802"/>
      <c r="K91" s="2802"/>
      <c r="L91" s="2802"/>
      <c r="M91" s="2802"/>
      <c r="N91" s="2802"/>
      <c r="O91" s="2802">
        <v>500</v>
      </c>
      <c r="P91" s="2802"/>
      <c r="Q91" s="2802"/>
      <c r="R91" s="2802"/>
      <c r="S91" s="2802"/>
      <c r="T91" s="2802"/>
      <c r="U91" s="2802"/>
      <c r="V91" s="2802">
        <v>18000</v>
      </c>
      <c r="W91" s="2802"/>
      <c r="X91" s="2802"/>
      <c r="Y91" s="2802"/>
      <c r="Z91" s="2802"/>
      <c r="AA91" s="2816"/>
      <c r="AB91" s="2752">
        <v>800</v>
      </c>
      <c r="AC91" s="2752"/>
      <c r="AD91" s="2752"/>
      <c r="AE91" s="2752"/>
      <c r="AF91" s="2752"/>
      <c r="AG91" s="2752"/>
      <c r="AH91" s="2753"/>
      <c r="AI91" s="1766"/>
      <c r="AJ91" s="2782"/>
      <c r="AK91" s="2783"/>
      <c r="AL91" s="2783"/>
      <c r="AM91" s="2783"/>
      <c r="AN91" s="2783"/>
      <c r="AO91" s="2783"/>
      <c r="AP91" s="2783"/>
      <c r="AQ91" s="2783"/>
      <c r="AR91" s="2783"/>
      <c r="AS91" s="2783"/>
      <c r="AT91" s="2783"/>
      <c r="AU91" s="2783"/>
      <c r="AV91" s="2783"/>
      <c r="AW91" s="2783"/>
      <c r="AX91" s="2783"/>
      <c r="AY91" s="2788"/>
      <c r="AZ91" s="2788"/>
      <c r="BA91" s="2788"/>
      <c r="BB91" s="2789"/>
      <c r="BC91" s="1766"/>
      <c r="BD91" s="1766"/>
      <c r="BE91" s="1772"/>
    </row>
    <row r="92" spans="1:57" ht="15.75" customHeight="1" thickBot="1">
      <c r="A92" s="1766"/>
      <c r="B92" s="2573" t="s">
        <v>2452</v>
      </c>
      <c r="C92" s="2574"/>
      <c r="D92" s="2574"/>
      <c r="E92" s="2574"/>
      <c r="F92" s="2574"/>
      <c r="G92" s="2574"/>
      <c r="H92" s="2574"/>
      <c r="I92" s="2801">
        <v>0</v>
      </c>
      <c r="J92" s="2802"/>
      <c r="K92" s="2802"/>
      <c r="L92" s="2802"/>
      <c r="M92" s="2802"/>
      <c r="N92" s="2802"/>
      <c r="O92" s="2802">
        <v>0</v>
      </c>
      <c r="P92" s="2802"/>
      <c r="Q92" s="2802"/>
      <c r="R92" s="2802"/>
      <c r="S92" s="2802"/>
      <c r="T92" s="2802"/>
      <c r="U92" s="2802"/>
      <c r="V92" s="2802">
        <v>0</v>
      </c>
      <c r="W92" s="2802"/>
      <c r="X92" s="2802"/>
      <c r="Y92" s="2802"/>
      <c r="Z92" s="2802"/>
      <c r="AA92" s="2816"/>
      <c r="AB92" s="2752">
        <v>0</v>
      </c>
      <c r="AC92" s="2752"/>
      <c r="AD92" s="2752"/>
      <c r="AE92" s="2752"/>
      <c r="AF92" s="2752"/>
      <c r="AG92" s="2752"/>
      <c r="AH92" s="2753"/>
      <c r="AI92" s="1766"/>
      <c r="AJ92" s="2803" t="s">
        <v>2474</v>
      </c>
      <c r="AK92" s="2804"/>
      <c r="AL92" s="2804"/>
      <c r="AM92" s="2804"/>
      <c r="AN92" s="2804"/>
      <c r="AO92" s="2804"/>
      <c r="AP92" s="2804"/>
      <c r="AQ92" s="2804"/>
      <c r="AR92" s="2804"/>
      <c r="AS92" s="2804"/>
      <c r="AT92" s="2804"/>
      <c r="AU92" s="2804"/>
      <c r="AV92" s="2804"/>
      <c r="AW92" s="2804"/>
      <c r="AX92" s="2804"/>
      <c r="AY92" s="2804"/>
      <c r="AZ92" s="2804"/>
      <c r="BA92" s="2804"/>
      <c r="BB92" s="2805"/>
      <c r="BC92" s="1766"/>
      <c r="BD92" s="1766"/>
      <c r="BE92" s="1772"/>
    </row>
    <row r="93" spans="1:57" ht="15.75" customHeight="1" thickBot="1">
      <c r="A93" s="1766"/>
      <c r="B93" s="2809" t="s">
        <v>2046</v>
      </c>
      <c r="C93" s="2810"/>
      <c r="D93" s="2810"/>
      <c r="E93" s="2810"/>
      <c r="F93" s="2810"/>
      <c r="G93" s="2810"/>
      <c r="H93" s="2819"/>
      <c r="I93" s="2812">
        <f>I91+I92</f>
        <v>1000</v>
      </c>
      <c r="J93" s="2813"/>
      <c r="K93" s="2813"/>
      <c r="L93" s="2813"/>
      <c r="M93" s="2813"/>
      <c r="N93" s="2813"/>
      <c r="O93" s="2813">
        <f>O91+O92</f>
        <v>500</v>
      </c>
      <c r="P93" s="2813"/>
      <c r="Q93" s="2813"/>
      <c r="R93" s="2813"/>
      <c r="S93" s="2813"/>
      <c r="T93" s="2813"/>
      <c r="U93" s="2813"/>
      <c r="V93" s="2813">
        <f>V91+V92</f>
        <v>18000</v>
      </c>
      <c r="W93" s="2813"/>
      <c r="X93" s="2813"/>
      <c r="Y93" s="2813"/>
      <c r="Z93" s="2813"/>
      <c r="AA93" s="2814"/>
      <c r="AB93" s="2692">
        <f>AB91+AB92</f>
        <v>800</v>
      </c>
      <c r="AC93" s="2692"/>
      <c r="AD93" s="2692"/>
      <c r="AE93" s="2692"/>
      <c r="AF93" s="2692"/>
      <c r="AG93" s="2692"/>
      <c r="AH93" s="2693"/>
      <c r="AI93" s="1766"/>
      <c r="AJ93" s="2806"/>
      <c r="AK93" s="2807"/>
      <c r="AL93" s="2807"/>
      <c r="AM93" s="2807"/>
      <c r="AN93" s="2807"/>
      <c r="AO93" s="2807"/>
      <c r="AP93" s="2807"/>
      <c r="AQ93" s="2807"/>
      <c r="AR93" s="2807"/>
      <c r="AS93" s="2807"/>
      <c r="AT93" s="2807"/>
      <c r="AU93" s="2807"/>
      <c r="AV93" s="2807"/>
      <c r="AW93" s="2807"/>
      <c r="AX93" s="2807"/>
      <c r="AY93" s="2807"/>
      <c r="AZ93" s="2807"/>
      <c r="BA93" s="2807"/>
      <c r="BB93" s="2808"/>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255</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2049</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840" t="s">
        <v>2453</v>
      </c>
      <c r="Y96" s="2841"/>
      <c r="Z96" s="2841"/>
      <c r="AA96" s="2841"/>
      <c r="AB96" s="2841"/>
      <c r="AC96" s="2841"/>
      <c r="AD96" s="2841"/>
      <c r="AE96" s="2841"/>
      <c r="AF96" s="2841"/>
      <c r="AG96" s="2841"/>
      <c r="AH96" s="2841"/>
      <c r="AI96" s="2841"/>
      <c r="AJ96" s="2841"/>
      <c r="AK96" s="2841"/>
      <c r="AL96" s="2841"/>
      <c r="AM96" s="2841"/>
      <c r="AN96" s="2841"/>
      <c r="AO96" s="2841"/>
      <c r="AP96" s="2841"/>
      <c r="AQ96" s="2841"/>
      <c r="AR96" s="2841"/>
      <c r="AS96" s="2841"/>
      <c r="AT96" s="2841"/>
      <c r="AU96" s="2841"/>
      <c r="AV96" s="2841"/>
      <c r="AW96" s="2841"/>
      <c r="AX96" s="2841"/>
      <c r="AY96" s="2841"/>
      <c r="AZ96" s="2841"/>
      <c r="BA96" s="2841"/>
      <c r="BB96" s="2841"/>
      <c r="BC96" s="2841"/>
      <c r="BD96" s="2842"/>
      <c r="BE96" s="1772"/>
    </row>
    <row r="97" spans="1:57" ht="15.75" customHeight="1" thickBot="1">
      <c r="A97" s="1766"/>
      <c r="B97" s="2573" t="s">
        <v>1865</v>
      </c>
      <c r="C97" s="2574"/>
      <c r="D97" s="2574"/>
      <c r="E97" s="2574"/>
      <c r="F97" s="2574"/>
      <c r="G97" s="2574"/>
      <c r="H97" s="2574"/>
      <c r="I97" s="2574"/>
      <c r="J97" s="2574"/>
      <c r="K97" s="2574"/>
      <c r="L97" s="2574"/>
      <c r="M97" s="2574"/>
      <c r="N97" s="2574"/>
      <c r="O97" s="2574"/>
      <c r="P97" s="2574"/>
      <c r="Q97" s="2574"/>
      <c r="R97" s="2574"/>
      <c r="S97" s="2574"/>
      <c r="T97" s="2574"/>
      <c r="U97" s="2575"/>
      <c r="V97" s="1766"/>
      <c r="W97" s="1766"/>
      <c r="X97" s="2843"/>
      <c r="Y97" s="2844"/>
      <c r="Z97" s="2844"/>
      <c r="AA97" s="2844"/>
      <c r="AB97" s="2844"/>
      <c r="AC97" s="2844"/>
      <c r="AD97" s="2844"/>
      <c r="AE97" s="2844"/>
      <c r="AF97" s="2844"/>
      <c r="AG97" s="2844"/>
      <c r="AH97" s="2844"/>
      <c r="AI97" s="2844"/>
      <c r="AJ97" s="2844"/>
      <c r="AK97" s="2844"/>
      <c r="AL97" s="2844"/>
      <c r="AM97" s="2844"/>
      <c r="AN97" s="2844"/>
      <c r="AO97" s="2844"/>
      <c r="AP97" s="2844"/>
      <c r="AQ97" s="2844"/>
      <c r="AR97" s="2844"/>
      <c r="AS97" s="2844"/>
      <c r="AT97" s="2844"/>
      <c r="AU97" s="2844"/>
      <c r="AV97" s="2844"/>
      <c r="AW97" s="2844"/>
      <c r="AX97" s="2844"/>
      <c r="AY97" s="2844"/>
      <c r="AZ97" s="2844"/>
      <c r="BA97" s="2844"/>
      <c r="BB97" s="2844"/>
      <c r="BC97" s="2844"/>
      <c r="BD97" s="2845"/>
      <c r="BE97" s="1772"/>
    </row>
    <row r="98" spans="1:57" ht="15.75" customHeight="1" thickBot="1">
      <c r="A98" s="1766"/>
      <c r="B98" s="2573"/>
      <c r="C98" s="2574"/>
      <c r="D98" s="2574"/>
      <c r="E98" s="2574"/>
      <c r="F98" s="2574"/>
      <c r="G98" s="2574"/>
      <c r="H98" s="2575"/>
      <c r="I98" s="2573" t="s">
        <v>2454</v>
      </c>
      <c r="J98" s="2574"/>
      <c r="K98" s="2574"/>
      <c r="L98" s="2574"/>
      <c r="M98" s="2574"/>
      <c r="N98" s="2575"/>
      <c r="O98" s="2846" t="s">
        <v>2455</v>
      </c>
      <c r="P98" s="2847"/>
      <c r="Q98" s="2847"/>
      <c r="R98" s="2847"/>
      <c r="S98" s="2847"/>
      <c r="T98" s="2847"/>
      <c r="U98" s="2848"/>
      <c r="V98" s="1766"/>
      <c r="W98" s="1766"/>
      <c r="X98" s="2762" t="s">
        <v>2630</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72"/>
    </row>
    <row r="99" spans="1:57" ht="15.75" customHeight="1" thickBot="1">
      <c r="A99" s="1766"/>
      <c r="B99" s="2849" t="s">
        <v>2456</v>
      </c>
      <c r="C99" s="2850"/>
      <c r="D99" s="2850"/>
      <c r="E99" s="2850"/>
      <c r="F99" s="2850"/>
      <c r="G99" s="2850"/>
      <c r="H99" s="2851"/>
      <c r="I99" s="2852">
        <v>16</v>
      </c>
      <c r="J99" s="2802"/>
      <c r="K99" s="2802"/>
      <c r="L99" s="2802"/>
      <c r="M99" s="2802"/>
      <c r="N99" s="2802"/>
      <c r="O99" s="2802">
        <v>1</v>
      </c>
      <c r="P99" s="2802"/>
      <c r="Q99" s="2802"/>
      <c r="R99" s="2802"/>
      <c r="S99" s="2802"/>
      <c r="T99" s="2802"/>
      <c r="U99" s="2853"/>
      <c r="V99" s="1766"/>
      <c r="W99" s="1766"/>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72"/>
    </row>
    <row r="100" spans="1:57" ht="15.75" customHeight="1" thickBot="1">
      <c r="A100" s="1766"/>
      <c r="B100" s="2849" t="s">
        <v>2457</v>
      </c>
      <c r="C100" s="2850"/>
      <c r="D100" s="2850"/>
      <c r="E100" s="2850"/>
      <c r="F100" s="2850"/>
      <c r="G100" s="2850"/>
      <c r="H100" s="2851"/>
      <c r="I100" s="2820">
        <v>6</v>
      </c>
      <c r="J100" s="2813"/>
      <c r="K100" s="2813"/>
      <c r="L100" s="2813"/>
      <c r="M100" s="2813"/>
      <c r="N100" s="2813"/>
      <c r="O100" s="2821"/>
      <c r="P100" s="2821"/>
      <c r="Q100" s="2821"/>
      <c r="R100" s="2821"/>
      <c r="S100" s="2821"/>
      <c r="T100" s="2821"/>
      <c r="U100" s="2822"/>
      <c r="V100" s="1766"/>
      <c r="W100" s="1766"/>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72"/>
    </row>
    <row r="102" spans="1:57" ht="15.75" customHeight="1">
      <c r="A102" s="1766"/>
      <c r="B102" s="1777" t="s">
        <v>2050</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255</v>
      </c>
      <c r="W102" s="1766"/>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72"/>
    </row>
    <row r="104" spans="1:57" ht="15.75" customHeight="1">
      <c r="A104" s="1766"/>
      <c r="B104" s="2600" t="s">
        <v>2051</v>
      </c>
      <c r="C104" s="2601"/>
      <c r="D104" s="2601"/>
      <c r="E104" s="2601"/>
      <c r="F104" s="2601"/>
      <c r="G104" s="2601"/>
      <c r="H104" s="2601"/>
      <c r="I104" s="2601"/>
      <c r="J104" s="2601"/>
      <c r="K104" s="2601"/>
      <c r="L104" s="2601"/>
      <c r="M104" s="2601"/>
      <c r="N104" s="2601"/>
      <c r="O104" s="2601"/>
      <c r="P104" s="2601"/>
      <c r="Q104" s="2601"/>
      <c r="R104" s="2601"/>
      <c r="S104" s="2601"/>
      <c r="T104" s="2601"/>
      <c r="U104" s="2823"/>
      <c r="V104" s="1766"/>
      <c r="W104" s="1766"/>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72"/>
    </row>
    <row r="105" spans="1:57" ht="15.75" customHeight="1">
      <c r="A105" s="1766"/>
      <c r="B105" s="2824"/>
      <c r="C105" s="2825"/>
      <c r="D105" s="2825"/>
      <c r="E105" s="2825"/>
      <c r="F105" s="2825"/>
      <c r="G105" s="2825"/>
      <c r="H105" s="2826"/>
      <c r="I105" s="2828" t="s">
        <v>2044</v>
      </c>
      <c r="J105" s="2829"/>
      <c r="K105" s="2829"/>
      <c r="L105" s="2829"/>
      <c r="M105" s="2829"/>
      <c r="N105" s="2829"/>
      <c r="O105" s="2830"/>
      <c r="P105" s="2834" t="s">
        <v>2473</v>
      </c>
      <c r="Q105" s="2835"/>
      <c r="R105" s="2835"/>
      <c r="S105" s="2835"/>
      <c r="T105" s="2835"/>
      <c r="U105" s="2836"/>
      <c r="V105" s="1766"/>
      <c r="W105" s="1766"/>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72"/>
    </row>
    <row r="106" spans="1:57" ht="15.75" customHeight="1" thickBot="1">
      <c r="A106" s="1766"/>
      <c r="B106" s="2793"/>
      <c r="C106" s="2794"/>
      <c r="D106" s="2794"/>
      <c r="E106" s="2794"/>
      <c r="F106" s="2794"/>
      <c r="G106" s="2794"/>
      <c r="H106" s="2827"/>
      <c r="I106" s="2831"/>
      <c r="J106" s="2832"/>
      <c r="K106" s="2832"/>
      <c r="L106" s="2832"/>
      <c r="M106" s="2832"/>
      <c r="N106" s="2832"/>
      <c r="O106" s="2833"/>
      <c r="P106" s="2837"/>
      <c r="Q106" s="2838"/>
      <c r="R106" s="2838"/>
      <c r="S106" s="2838"/>
      <c r="T106" s="2838"/>
      <c r="U106" s="2839"/>
      <c r="V106" s="1766"/>
      <c r="W106" s="1766"/>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72"/>
    </row>
    <row r="107" spans="1:57" ht="15.75" customHeight="1" thickBot="1">
      <c r="A107" s="1766"/>
      <c r="B107" s="2849" t="s">
        <v>2456</v>
      </c>
      <c r="C107" s="2850"/>
      <c r="D107" s="2850"/>
      <c r="E107" s="2850"/>
      <c r="F107" s="2850"/>
      <c r="G107" s="2850"/>
      <c r="H107" s="2851"/>
      <c r="I107" s="2870">
        <v>1</v>
      </c>
      <c r="J107" s="2871"/>
      <c r="K107" s="2871"/>
      <c r="L107" s="2871"/>
      <c r="M107" s="2871"/>
      <c r="N107" s="2871"/>
      <c r="O107" s="2872"/>
      <c r="P107" s="2870">
        <v>2</v>
      </c>
      <c r="Q107" s="2871"/>
      <c r="R107" s="2871"/>
      <c r="S107" s="2871"/>
      <c r="T107" s="2871"/>
      <c r="U107" s="2872"/>
      <c r="V107" s="1766"/>
      <c r="W107" s="1766"/>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72"/>
    </row>
    <row r="108" spans="1:57" ht="15.75" customHeight="1" thickBot="1">
      <c r="A108" s="1766"/>
      <c r="B108" s="2849" t="s">
        <v>2457</v>
      </c>
      <c r="C108" s="2850"/>
      <c r="D108" s="2850"/>
      <c r="E108" s="2850"/>
      <c r="F108" s="2850"/>
      <c r="G108" s="2850"/>
      <c r="H108" s="2851"/>
      <c r="I108" s="2870">
        <v>3</v>
      </c>
      <c r="J108" s="2871"/>
      <c r="K108" s="2871"/>
      <c r="L108" s="2871"/>
      <c r="M108" s="2871"/>
      <c r="N108" s="2871"/>
      <c r="O108" s="2872"/>
      <c r="P108" s="2870">
        <v>6</v>
      </c>
      <c r="Q108" s="2871"/>
      <c r="R108" s="2871"/>
      <c r="S108" s="2871"/>
      <c r="T108" s="2871"/>
      <c r="U108" s="2872"/>
      <c r="V108" s="1766"/>
      <c r="W108" s="1766"/>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696" t="s">
        <v>2052</v>
      </c>
      <c r="C110" s="2697"/>
      <c r="D110" s="2697"/>
      <c r="E110" s="2697"/>
      <c r="F110" s="2697"/>
      <c r="G110" s="2697"/>
      <c r="H110" s="2697"/>
      <c r="I110" s="2697"/>
      <c r="J110" s="2697"/>
      <c r="K110" s="2697"/>
      <c r="L110" s="2697"/>
      <c r="M110" s="2697"/>
      <c r="N110" s="2697"/>
      <c r="O110" s="2697"/>
      <c r="P110" s="2697"/>
      <c r="Q110" s="2697"/>
      <c r="R110" s="2854"/>
      <c r="S110" s="2854"/>
      <c r="T110" s="2854"/>
      <c r="U110" s="2854"/>
      <c r="V110" s="2854"/>
      <c r="W110" s="2854"/>
      <c r="X110" s="2854"/>
      <c r="Y110" s="2854"/>
      <c r="Z110" s="2854"/>
      <c r="AA110" s="2854"/>
      <c r="AB110" s="2854"/>
      <c r="AC110" s="2854"/>
      <c r="AD110" s="2854"/>
      <c r="AE110" s="2854"/>
      <c r="AF110" s="2854"/>
      <c r="AG110" s="2784" t="s">
        <v>2627</v>
      </c>
      <c r="AH110" s="2784"/>
      <c r="AI110" s="2784"/>
      <c r="AJ110" s="2785"/>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855" t="s">
        <v>2053</v>
      </c>
      <c r="C111" s="2856"/>
      <c r="D111" s="2856"/>
      <c r="E111" s="2856"/>
      <c r="F111" s="2856"/>
      <c r="G111" s="2856"/>
      <c r="H111" s="2856"/>
      <c r="I111" s="2856"/>
      <c r="J111" s="2856"/>
      <c r="K111" s="2856"/>
      <c r="L111" s="2856"/>
      <c r="M111" s="2856"/>
      <c r="N111" s="2856"/>
      <c r="O111" s="2856"/>
      <c r="P111" s="2856"/>
      <c r="Q111" s="2857"/>
      <c r="R111" s="2858" t="s">
        <v>2628</v>
      </c>
      <c r="S111" s="2859"/>
      <c r="T111" s="2859"/>
      <c r="U111" s="2859"/>
      <c r="V111" s="2859"/>
      <c r="W111" s="2859"/>
      <c r="X111" s="2859"/>
      <c r="Y111" s="2859"/>
      <c r="Z111" s="2859"/>
      <c r="AA111" s="2859"/>
      <c r="AB111" s="2859"/>
      <c r="AC111" s="2859"/>
      <c r="AD111" s="2859"/>
      <c r="AE111" s="2859"/>
      <c r="AF111" s="2859"/>
      <c r="AG111" s="2859"/>
      <c r="AH111" s="2859"/>
      <c r="AI111" s="2859"/>
      <c r="AJ111" s="2859"/>
      <c r="AK111" s="2859"/>
      <c r="AL111" s="2859"/>
      <c r="AM111" s="2859"/>
      <c r="AN111" s="2859"/>
      <c r="AO111" s="2859"/>
      <c r="AP111" s="2859"/>
      <c r="AQ111" s="2859"/>
      <c r="AR111" s="2859"/>
      <c r="AS111" s="2859"/>
      <c r="AT111" s="2859"/>
      <c r="AU111" s="2859"/>
      <c r="AV111" s="2859"/>
      <c r="AW111" s="2859"/>
      <c r="AX111" s="2860"/>
      <c r="AY111" s="1766"/>
      <c r="AZ111" s="1766"/>
      <c r="BA111" s="1766"/>
      <c r="BB111" s="1766"/>
      <c r="BC111" s="1766" t="s">
        <v>255</v>
      </c>
      <c r="BD111" s="1766"/>
      <c r="BE111" s="1772"/>
    </row>
    <row r="112" spans="1:57" ht="15.75" customHeight="1">
      <c r="A112" s="1766"/>
      <c r="B112" s="2861" t="s">
        <v>2629</v>
      </c>
      <c r="C112" s="2862"/>
      <c r="D112" s="2862"/>
      <c r="E112" s="2862"/>
      <c r="F112" s="2862"/>
      <c r="G112" s="2862"/>
      <c r="H112" s="2862"/>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62"/>
      <c r="AD112" s="2862"/>
      <c r="AE112" s="2862"/>
      <c r="AF112" s="2862"/>
      <c r="AG112" s="2862"/>
      <c r="AH112" s="2862"/>
      <c r="AI112" s="2862"/>
      <c r="AJ112" s="2862"/>
      <c r="AK112" s="2862"/>
      <c r="AL112" s="2862"/>
      <c r="AM112" s="2862"/>
      <c r="AN112" s="2862"/>
      <c r="AO112" s="2862"/>
      <c r="AP112" s="2862"/>
      <c r="AQ112" s="2862"/>
      <c r="AR112" s="2862"/>
      <c r="AS112" s="2862"/>
      <c r="AT112" s="2862"/>
      <c r="AU112" s="2862"/>
      <c r="AV112" s="2862"/>
      <c r="AW112" s="2862"/>
      <c r="AX112" s="2863"/>
      <c r="AY112" s="1766"/>
      <c r="AZ112" s="1766"/>
      <c r="BA112" s="1766"/>
      <c r="BB112" s="1766"/>
      <c r="BC112" s="1766"/>
      <c r="BD112" s="1766"/>
      <c r="BE112" s="1772"/>
    </row>
    <row r="113" spans="1:57" ht="15.75" customHeight="1">
      <c r="A113" s="1766"/>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766"/>
      <c r="AZ113" s="1766"/>
      <c r="BA113" s="1766"/>
      <c r="BB113" s="1766"/>
      <c r="BC113" s="1766"/>
      <c r="BD113" s="1766"/>
      <c r="BE113" s="1772"/>
    </row>
    <row r="114" spans="1:57" ht="15.75" customHeight="1">
      <c r="A114" s="1766"/>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766"/>
      <c r="AZ114" s="1766"/>
      <c r="BA114" s="1766"/>
      <c r="BB114" s="1766"/>
      <c r="BC114" s="1766"/>
      <c r="BD114" s="1766"/>
      <c r="BE114" s="1772"/>
    </row>
    <row r="115" spans="1:57" ht="15.75" customHeight="1">
      <c r="A115" s="1766"/>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766"/>
      <c r="AZ115" s="1766"/>
      <c r="BA115" s="1766"/>
      <c r="BB115" s="1766"/>
      <c r="BC115" s="1766"/>
      <c r="BD115" s="1766"/>
      <c r="BE115" s="1772"/>
    </row>
    <row r="116" spans="1:57" ht="15.75" customHeight="1">
      <c r="A116" s="1766"/>
      <c r="B116" s="2864"/>
      <c r="C116" s="2865"/>
      <c r="D116" s="2865"/>
      <c r="E116" s="2865"/>
      <c r="F116" s="2865"/>
      <c r="G116" s="2865"/>
      <c r="H116" s="2865"/>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5"/>
      <c r="AD116" s="2865"/>
      <c r="AE116" s="2865"/>
      <c r="AF116" s="2865"/>
      <c r="AG116" s="2865"/>
      <c r="AH116" s="2865"/>
      <c r="AI116" s="2865"/>
      <c r="AJ116" s="2865"/>
      <c r="AK116" s="2865"/>
      <c r="AL116" s="2865"/>
      <c r="AM116" s="2865"/>
      <c r="AN116" s="2865"/>
      <c r="AO116" s="2865"/>
      <c r="AP116" s="2865"/>
      <c r="AQ116" s="2865"/>
      <c r="AR116" s="2865"/>
      <c r="AS116" s="2865"/>
      <c r="AT116" s="2865"/>
      <c r="AU116" s="2865"/>
      <c r="AV116" s="2865"/>
      <c r="AW116" s="2865"/>
      <c r="AX116" s="2866"/>
      <c r="AY116" s="1766"/>
      <c r="AZ116" s="1766"/>
      <c r="BA116" s="1766"/>
      <c r="BB116" s="1766"/>
      <c r="BC116" s="1766"/>
      <c r="BD116" s="1766"/>
      <c r="BE116" s="1772"/>
    </row>
    <row r="117" spans="1:57" ht="15.75" customHeight="1">
      <c r="A117" s="1766"/>
      <c r="B117" s="2864"/>
      <c r="C117" s="2865"/>
      <c r="D117" s="2865"/>
      <c r="E117" s="2865"/>
      <c r="F117" s="2865"/>
      <c r="G117" s="2865"/>
      <c r="H117" s="2865"/>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5"/>
      <c r="AD117" s="2865"/>
      <c r="AE117" s="2865"/>
      <c r="AF117" s="2865"/>
      <c r="AG117" s="2865"/>
      <c r="AH117" s="2865"/>
      <c r="AI117" s="2865"/>
      <c r="AJ117" s="2865"/>
      <c r="AK117" s="2865"/>
      <c r="AL117" s="2865"/>
      <c r="AM117" s="2865"/>
      <c r="AN117" s="2865"/>
      <c r="AO117" s="2865"/>
      <c r="AP117" s="2865"/>
      <c r="AQ117" s="2865"/>
      <c r="AR117" s="2865"/>
      <c r="AS117" s="2865"/>
      <c r="AT117" s="2865"/>
      <c r="AU117" s="2865"/>
      <c r="AV117" s="2865"/>
      <c r="AW117" s="2865"/>
      <c r="AX117" s="2866"/>
      <c r="AY117" s="1766"/>
      <c r="AZ117" s="1766"/>
      <c r="BA117" s="1766"/>
      <c r="BB117" s="1766"/>
      <c r="BC117" s="1766"/>
      <c r="BD117" s="1766"/>
      <c r="BE117" s="1772"/>
    </row>
    <row r="118" spans="1:57" ht="15.75" customHeight="1">
      <c r="A118" s="1766"/>
      <c r="B118" s="2864"/>
      <c r="C118" s="2865"/>
      <c r="D118" s="2865"/>
      <c r="E118" s="2865"/>
      <c r="F118" s="2865"/>
      <c r="G118" s="2865"/>
      <c r="H118" s="2865"/>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5"/>
      <c r="AD118" s="2865"/>
      <c r="AE118" s="2865"/>
      <c r="AF118" s="2865"/>
      <c r="AG118" s="2865"/>
      <c r="AH118" s="2865"/>
      <c r="AI118" s="2865"/>
      <c r="AJ118" s="2865"/>
      <c r="AK118" s="2865"/>
      <c r="AL118" s="2865"/>
      <c r="AM118" s="2865"/>
      <c r="AN118" s="2865"/>
      <c r="AO118" s="2865"/>
      <c r="AP118" s="2865"/>
      <c r="AQ118" s="2865"/>
      <c r="AR118" s="2865"/>
      <c r="AS118" s="2865"/>
      <c r="AT118" s="2865"/>
      <c r="AU118" s="2865"/>
      <c r="AV118" s="2865"/>
      <c r="AW118" s="2865"/>
      <c r="AX118" s="2866"/>
      <c r="AY118" s="1766"/>
      <c r="AZ118" s="1766"/>
      <c r="BA118" s="1766"/>
      <c r="BB118" s="1766"/>
      <c r="BC118" s="1766"/>
      <c r="BD118" s="1766"/>
      <c r="BE118" s="1772"/>
    </row>
    <row r="119" spans="1:57" ht="15.75" customHeight="1">
      <c r="A119" s="1766"/>
      <c r="B119" s="2864"/>
      <c r="C119" s="2865"/>
      <c r="D119" s="2865"/>
      <c r="E119" s="2865"/>
      <c r="F119" s="2865"/>
      <c r="G119" s="2865"/>
      <c r="H119" s="2865"/>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5"/>
      <c r="AD119" s="2865"/>
      <c r="AE119" s="2865"/>
      <c r="AF119" s="2865"/>
      <c r="AG119" s="2865"/>
      <c r="AH119" s="2865"/>
      <c r="AI119" s="2865"/>
      <c r="AJ119" s="2865"/>
      <c r="AK119" s="2865"/>
      <c r="AL119" s="2865"/>
      <c r="AM119" s="2865"/>
      <c r="AN119" s="2865"/>
      <c r="AO119" s="2865"/>
      <c r="AP119" s="2865"/>
      <c r="AQ119" s="2865"/>
      <c r="AR119" s="2865"/>
      <c r="AS119" s="2865"/>
      <c r="AT119" s="2865"/>
      <c r="AU119" s="2865"/>
      <c r="AV119" s="2865"/>
      <c r="AW119" s="2865"/>
      <c r="AX119" s="2866"/>
      <c r="AY119" s="1766"/>
      <c r="AZ119" s="1766"/>
      <c r="BA119" s="1766"/>
      <c r="BB119" s="1766"/>
      <c r="BC119" s="1766"/>
      <c r="BD119" s="1766"/>
      <c r="BE119" s="1772"/>
    </row>
    <row r="120" spans="1:57" ht="15.75" customHeight="1">
      <c r="A120" s="1766"/>
      <c r="B120" s="2864"/>
      <c r="C120" s="2865"/>
      <c r="D120" s="2865"/>
      <c r="E120" s="2865"/>
      <c r="F120" s="2865"/>
      <c r="G120" s="2865"/>
      <c r="H120" s="2865"/>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5"/>
      <c r="AD120" s="2865"/>
      <c r="AE120" s="2865"/>
      <c r="AF120" s="2865"/>
      <c r="AG120" s="2865"/>
      <c r="AH120" s="2865"/>
      <c r="AI120" s="2865"/>
      <c r="AJ120" s="2865"/>
      <c r="AK120" s="2865"/>
      <c r="AL120" s="2865"/>
      <c r="AM120" s="2865"/>
      <c r="AN120" s="2865"/>
      <c r="AO120" s="2865"/>
      <c r="AP120" s="2865"/>
      <c r="AQ120" s="2865"/>
      <c r="AR120" s="2865"/>
      <c r="AS120" s="2865"/>
      <c r="AT120" s="2865"/>
      <c r="AU120" s="2865"/>
      <c r="AV120" s="2865"/>
      <c r="AW120" s="2865"/>
      <c r="AX120" s="2866"/>
      <c r="AY120" s="1766"/>
      <c r="AZ120" s="1766"/>
      <c r="BA120" s="1766"/>
      <c r="BB120" s="1766"/>
      <c r="BC120" s="1766"/>
      <c r="BD120" s="1766"/>
      <c r="BE120" s="1772"/>
    </row>
    <row r="121" spans="1:57" ht="15.75" customHeight="1" thickBot="1">
      <c r="A121" s="1766"/>
      <c r="B121" s="2867"/>
      <c r="C121" s="2868"/>
      <c r="D121" s="2868"/>
      <c r="E121" s="2868"/>
      <c r="F121" s="2868"/>
      <c r="G121" s="2868"/>
      <c r="H121" s="2868"/>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68"/>
      <c r="AD121" s="2868"/>
      <c r="AE121" s="2868"/>
      <c r="AF121" s="2868"/>
      <c r="AG121" s="2868"/>
      <c r="AH121" s="2868"/>
      <c r="AI121" s="2868"/>
      <c r="AJ121" s="2868"/>
      <c r="AK121" s="2868"/>
      <c r="AL121" s="2868"/>
      <c r="AM121" s="2868"/>
      <c r="AN121" s="2868"/>
      <c r="AO121" s="2868"/>
      <c r="AP121" s="2868"/>
      <c r="AQ121" s="2868"/>
      <c r="AR121" s="2868"/>
      <c r="AS121" s="2868"/>
      <c r="AT121" s="2868"/>
      <c r="AU121" s="2868"/>
      <c r="AV121" s="2868"/>
      <c r="AW121" s="2868"/>
      <c r="AX121" s="2869"/>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2054</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2476</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00" t="s">
        <v>2055</v>
      </c>
      <c r="C125" s="2601"/>
      <c r="D125" s="2601"/>
      <c r="E125" s="2601"/>
      <c r="F125" s="2601"/>
      <c r="G125" s="2601"/>
      <c r="H125" s="2601"/>
      <c r="I125" s="2601"/>
      <c r="J125" s="2601"/>
      <c r="K125" s="2601"/>
      <c r="L125" s="2601"/>
      <c r="M125" s="2601"/>
      <c r="N125" s="2601"/>
      <c r="O125" s="2601"/>
      <c r="P125" s="2601"/>
      <c r="Q125" s="2601"/>
      <c r="R125" s="2601"/>
      <c r="S125" s="2601"/>
      <c r="T125" s="2601"/>
      <c r="U125" s="2823"/>
      <c r="V125" s="1766"/>
      <c r="W125" s="1768"/>
      <c r="X125" s="2600" t="s">
        <v>2477</v>
      </c>
      <c r="Y125" s="2601"/>
      <c r="Z125" s="2601"/>
      <c r="AA125" s="2601"/>
      <c r="AB125" s="2601"/>
      <c r="AC125" s="2601"/>
      <c r="AD125" s="2601"/>
      <c r="AE125" s="2601"/>
      <c r="AF125" s="2601"/>
      <c r="AG125" s="2601"/>
      <c r="AH125" s="2601"/>
      <c r="AI125" s="2601"/>
      <c r="AJ125" s="2601"/>
      <c r="AK125" s="2601"/>
      <c r="AL125" s="2601"/>
      <c r="AM125" s="2601"/>
      <c r="AN125" s="2601"/>
      <c r="AO125" s="2601"/>
      <c r="AP125" s="2601"/>
      <c r="AQ125" s="2823"/>
      <c r="AR125" s="1766"/>
      <c r="AS125" s="1766"/>
      <c r="AT125" s="1766"/>
      <c r="AU125" s="1766"/>
      <c r="AV125" s="1766"/>
      <c r="AW125" s="1766"/>
      <c r="AX125" s="1766"/>
      <c r="AY125" s="1766"/>
      <c r="AZ125" s="1766"/>
      <c r="BA125" s="1766"/>
      <c r="BB125" s="1766"/>
      <c r="BC125" s="1766"/>
      <c r="BD125" s="1766"/>
      <c r="BE125" s="1772"/>
    </row>
    <row r="126" spans="1:57" ht="15.75" customHeight="1">
      <c r="A126" s="1766"/>
      <c r="B126" s="2824"/>
      <c r="C126" s="2825"/>
      <c r="D126" s="2825"/>
      <c r="E126" s="2825"/>
      <c r="F126" s="2825"/>
      <c r="G126" s="2825"/>
      <c r="H126" s="2826"/>
      <c r="I126" s="2828" t="s">
        <v>2044</v>
      </c>
      <c r="J126" s="2829"/>
      <c r="K126" s="2829"/>
      <c r="L126" s="2829"/>
      <c r="M126" s="2829"/>
      <c r="N126" s="2829"/>
      <c r="O126" s="2830"/>
      <c r="P126" s="2834" t="s">
        <v>2478</v>
      </c>
      <c r="Q126" s="2835"/>
      <c r="R126" s="2835"/>
      <c r="S126" s="2835"/>
      <c r="T126" s="2835"/>
      <c r="U126" s="2836"/>
      <c r="V126" s="1766"/>
      <c r="W126" s="1766"/>
      <c r="X126" s="2824"/>
      <c r="Y126" s="2825"/>
      <c r="Z126" s="2825"/>
      <c r="AA126" s="2825"/>
      <c r="AB126" s="2825"/>
      <c r="AC126" s="2825"/>
      <c r="AD126" s="2826"/>
      <c r="AE126" s="2828" t="s">
        <v>2044</v>
      </c>
      <c r="AF126" s="2829"/>
      <c r="AG126" s="2829"/>
      <c r="AH126" s="2829"/>
      <c r="AI126" s="2829"/>
      <c r="AJ126" s="2829"/>
      <c r="AK126" s="2830"/>
      <c r="AL126" s="2834" t="s">
        <v>2473</v>
      </c>
      <c r="AM126" s="2835"/>
      <c r="AN126" s="2835"/>
      <c r="AO126" s="2835"/>
      <c r="AP126" s="2835"/>
      <c r="AQ126" s="2836"/>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93"/>
      <c r="C127" s="2794"/>
      <c r="D127" s="2794"/>
      <c r="E127" s="2794"/>
      <c r="F127" s="2794"/>
      <c r="G127" s="2794"/>
      <c r="H127" s="2827"/>
      <c r="I127" s="2831"/>
      <c r="J127" s="2832"/>
      <c r="K127" s="2832"/>
      <c r="L127" s="2832"/>
      <c r="M127" s="2832"/>
      <c r="N127" s="2832"/>
      <c r="O127" s="2833"/>
      <c r="P127" s="2837"/>
      <c r="Q127" s="2838"/>
      <c r="R127" s="2838"/>
      <c r="S127" s="2838"/>
      <c r="T127" s="2838"/>
      <c r="U127" s="2839"/>
      <c r="V127" s="1766"/>
      <c r="W127" s="1766"/>
      <c r="X127" s="2793"/>
      <c r="Y127" s="2794"/>
      <c r="Z127" s="2794"/>
      <c r="AA127" s="2794"/>
      <c r="AB127" s="2794"/>
      <c r="AC127" s="2794"/>
      <c r="AD127" s="2827"/>
      <c r="AE127" s="2831"/>
      <c r="AF127" s="2832"/>
      <c r="AG127" s="2832"/>
      <c r="AH127" s="2832"/>
      <c r="AI127" s="2832"/>
      <c r="AJ127" s="2832"/>
      <c r="AK127" s="2833"/>
      <c r="AL127" s="2837"/>
      <c r="AM127" s="2838"/>
      <c r="AN127" s="2838"/>
      <c r="AO127" s="2838"/>
      <c r="AP127" s="2838"/>
      <c r="AQ127" s="2839"/>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849" t="s">
        <v>2456</v>
      </c>
      <c r="C128" s="2850"/>
      <c r="D128" s="2850"/>
      <c r="E128" s="2850"/>
      <c r="F128" s="2850"/>
      <c r="G128" s="2850"/>
      <c r="H128" s="2851"/>
      <c r="I128" s="2870">
        <v>10</v>
      </c>
      <c r="J128" s="2871"/>
      <c r="K128" s="2871"/>
      <c r="L128" s="2871"/>
      <c r="M128" s="2871"/>
      <c r="N128" s="2871"/>
      <c r="O128" s="2872"/>
      <c r="P128" s="2870">
        <v>6</v>
      </c>
      <c r="Q128" s="2871"/>
      <c r="R128" s="2871"/>
      <c r="S128" s="2871"/>
      <c r="T128" s="2871"/>
      <c r="U128" s="2872"/>
      <c r="V128" s="1766"/>
      <c r="W128" s="1766"/>
      <c r="X128" s="2849" t="s">
        <v>2456</v>
      </c>
      <c r="Y128" s="2850"/>
      <c r="Z128" s="2850"/>
      <c r="AA128" s="2850"/>
      <c r="AB128" s="2850"/>
      <c r="AC128" s="2850"/>
      <c r="AD128" s="2851"/>
      <c r="AE128" s="2870">
        <v>127</v>
      </c>
      <c r="AF128" s="2871"/>
      <c r="AG128" s="2871"/>
      <c r="AH128" s="2871"/>
      <c r="AI128" s="2871"/>
      <c r="AJ128" s="2871"/>
      <c r="AK128" s="2872"/>
      <c r="AL128" s="2870">
        <v>154</v>
      </c>
      <c r="AM128" s="2871"/>
      <c r="AN128" s="2871"/>
      <c r="AO128" s="2871"/>
      <c r="AP128" s="2871"/>
      <c r="AQ128" s="2872"/>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849" t="s">
        <v>2457</v>
      </c>
      <c r="C129" s="2850"/>
      <c r="D129" s="2850"/>
      <c r="E129" s="2850"/>
      <c r="F129" s="2850"/>
      <c r="G129" s="2850"/>
      <c r="H129" s="2851"/>
      <c r="I129" s="2870">
        <v>4</v>
      </c>
      <c r="J129" s="2871"/>
      <c r="K129" s="2871"/>
      <c r="L129" s="2871"/>
      <c r="M129" s="2871"/>
      <c r="N129" s="2871"/>
      <c r="O129" s="2872"/>
      <c r="P129" s="2870">
        <v>10</v>
      </c>
      <c r="Q129" s="2871"/>
      <c r="R129" s="2871"/>
      <c r="S129" s="2871"/>
      <c r="T129" s="2871"/>
      <c r="U129" s="2872"/>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00" t="s">
        <v>2458</v>
      </c>
      <c r="D131" s="2601"/>
      <c r="E131" s="2601"/>
      <c r="F131" s="2601"/>
      <c r="G131" s="2601"/>
      <c r="H131" s="2601"/>
      <c r="I131" s="2601"/>
      <c r="J131" s="2601"/>
      <c r="K131" s="2601"/>
      <c r="L131" s="2601"/>
      <c r="M131" s="2601"/>
      <c r="N131" s="2601"/>
      <c r="O131" s="2601"/>
      <c r="P131" s="2601"/>
      <c r="Q131" s="2601"/>
      <c r="R131" s="2601"/>
      <c r="S131" s="2601"/>
      <c r="T131" s="2601"/>
      <c r="U131" s="2601"/>
      <c r="V131" s="2601"/>
      <c r="W131" s="2601"/>
      <c r="X131" s="2601"/>
      <c r="Y131" s="2601"/>
      <c r="Z131" s="2601"/>
      <c r="AA131" s="2601"/>
      <c r="AB131" s="2601"/>
      <c r="AC131" s="2601"/>
      <c r="AD131" s="2601"/>
      <c r="AE131" s="2601"/>
      <c r="AF131" s="2601"/>
      <c r="AG131" s="2602"/>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883" t="s">
        <v>2056</v>
      </c>
      <c r="D132" s="2884"/>
      <c r="E132" s="2884"/>
      <c r="F132" s="2884"/>
      <c r="G132" s="2884"/>
      <c r="H132" s="2884"/>
      <c r="I132" s="2884"/>
      <c r="J132" s="2884"/>
      <c r="K132" s="2884"/>
      <c r="L132" s="2884"/>
      <c r="M132" s="2884"/>
      <c r="N132" s="2884"/>
      <c r="O132" s="2884"/>
      <c r="P132" s="2885"/>
      <c r="Q132" s="2886" t="s">
        <v>2057</v>
      </c>
      <c r="R132" s="2884"/>
      <c r="S132" s="2885"/>
      <c r="T132" s="2887" t="s">
        <v>2459</v>
      </c>
      <c r="U132" s="2888"/>
      <c r="V132" s="2888"/>
      <c r="W132" s="2888"/>
      <c r="X132" s="2888"/>
      <c r="Y132" s="2888"/>
      <c r="Z132" s="2888"/>
      <c r="AA132" s="2889"/>
      <c r="AB132" s="2890" t="s">
        <v>2058</v>
      </c>
      <c r="AC132" s="2891"/>
      <c r="AD132" s="2891"/>
      <c r="AE132" s="2891"/>
      <c r="AF132" s="2891"/>
      <c r="AG132" s="2892"/>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873" t="s">
        <v>2059</v>
      </c>
      <c r="D133" s="2874"/>
      <c r="E133" s="2874"/>
      <c r="F133" s="2874"/>
      <c r="G133" s="2874"/>
      <c r="H133" s="2874"/>
      <c r="I133" s="2874"/>
      <c r="J133" s="2874"/>
      <c r="K133" s="2874"/>
      <c r="L133" s="2874"/>
      <c r="M133" s="2874"/>
      <c r="N133" s="2874"/>
      <c r="O133" s="2874"/>
      <c r="P133" s="2875"/>
      <c r="Q133" s="2876">
        <v>5</v>
      </c>
      <c r="R133" s="2877"/>
      <c r="S133" s="2878"/>
      <c r="T133" s="2879">
        <v>44204</v>
      </c>
      <c r="U133" s="2880"/>
      <c r="V133" s="2880"/>
      <c r="W133" s="2880"/>
      <c r="X133" s="2880"/>
      <c r="Y133" s="2880"/>
      <c r="Z133" s="2880"/>
      <c r="AA133" s="2880"/>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873" t="s">
        <v>2060</v>
      </c>
      <c r="D134" s="2874"/>
      <c r="E134" s="2874"/>
      <c r="F134" s="2874"/>
      <c r="G134" s="2874"/>
      <c r="H134" s="2874"/>
      <c r="I134" s="2874"/>
      <c r="J134" s="2874"/>
      <c r="K134" s="2874"/>
      <c r="L134" s="2874"/>
      <c r="M134" s="2874"/>
      <c r="N134" s="2874"/>
      <c r="O134" s="2874"/>
      <c r="P134" s="2875"/>
      <c r="Q134" s="2876">
        <v>30</v>
      </c>
      <c r="R134" s="2877"/>
      <c r="S134" s="2878"/>
      <c r="T134" s="2881">
        <v>44204</v>
      </c>
      <c r="U134" s="2882"/>
      <c r="V134" s="2882"/>
      <c r="W134" s="2882"/>
      <c r="X134" s="2882"/>
      <c r="Y134" s="2882"/>
      <c r="Z134" s="2882"/>
      <c r="AA134" s="2882"/>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873" t="s">
        <v>2061</v>
      </c>
      <c r="D135" s="2874"/>
      <c r="E135" s="2874"/>
      <c r="F135" s="2874"/>
      <c r="G135" s="2874"/>
      <c r="H135" s="2874"/>
      <c r="I135" s="2874"/>
      <c r="J135" s="2874"/>
      <c r="K135" s="2874"/>
      <c r="L135" s="2874"/>
      <c r="M135" s="2874"/>
      <c r="N135" s="2874"/>
      <c r="O135" s="2874"/>
      <c r="P135" s="2875"/>
      <c r="Q135" s="2876"/>
      <c r="R135" s="2877"/>
      <c r="S135" s="2878"/>
      <c r="T135" s="2879"/>
      <c r="U135" s="2880"/>
      <c r="V135" s="2880"/>
      <c r="W135" s="2880"/>
      <c r="X135" s="2880"/>
      <c r="Y135" s="2880"/>
      <c r="Z135" s="2880"/>
      <c r="AA135" s="2880"/>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873" t="s">
        <v>2024</v>
      </c>
      <c r="D136" s="2874"/>
      <c r="E136" s="2874"/>
      <c r="F136" s="2874"/>
      <c r="G136" s="2874"/>
      <c r="H136" s="2874"/>
      <c r="I136" s="2874"/>
      <c r="J136" s="2874"/>
      <c r="K136" s="2874"/>
      <c r="L136" s="2874"/>
      <c r="M136" s="2874"/>
      <c r="N136" s="2874"/>
      <c r="O136" s="2874"/>
      <c r="P136" s="2875"/>
      <c r="Q136" s="2876"/>
      <c r="R136" s="2877"/>
      <c r="S136" s="2878"/>
      <c r="T136" s="2879"/>
      <c r="U136" s="2880"/>
      <c r="V136" s="2880"/>
      <c r="W136" s="2880"/>
      <c r="X136" s="2880"/>
      <c r="Y136" s="2880"/>
      <c r="Z136" s="2880"/>
      <c r="AA136" s="2902"/>
      <c r="AB136" s="2893">
        <v>0</v>
      </c>
      <c r="AC136" s="2894"/>
      <c r="AD136" s="2894"/>
      <c r="AE136" s="2894"/>
      <c r="AF136" s="2894"/>
      <c r="AG136" s="2895"/>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571" t="s">
        <v>174</v>
      </c>
      <c r="D137" s="2572"/>
      <c r="E137" s="2572"/>
      <c r="F137" s="2896" t="s">
        <v>2062</v>
      </c>
      <c r="G137" s="2896"/>
      <c r="H137" s="2896"/>
      <c r="I137" s="2896"/>
      <c r="J137" s="2896"/>
      <c r="K137" s="2896"/>
      <c r="L137" s="2896"/>
      <c r="M137" s="2896"/>
      <c r="N137" s="2896"/>
      <c r="O137" s="2896"/>
      <c r="P137" s="2896"/>
      <c r="Q137" s="2897"/>
      <c r="R137" s="2897"/>
      <c r="S137" s="2897"/>
      <c r="T137" s="2898"/>
      <c r="U137" s="2898"/>
      <c r="V137" s="2898"/>
      <c r="W137" s="2898"/>
      <c r="X137" s="2898"/>
      <c r="Y137" s="2898"/>
      <c r="Z137" s="2898"/>
      <c r="AA137" s="2898"/>
      <c r="AB137" s="2899">
        <v>0</v>
      </c>
      <c r="AC137" s="2900"/>
      <c r="AD137" s="2900"/>
      <c r="AE137" s="2900"/>
      <c r="AF137" s="2900"/>
      <c r="AG137" s="2901"/>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571" t="s">
        <v>174</v>
      </c>
      <c r="D138" s="2572"/>
      <c r="E138" s="2572"/>
      <c r="F138" s="2896" t="s">
        <v>2062</v>
      </c>
      <c r="G138" s="2896"/>
      <c r="H138" s="2896"/>
      <c r="I138" s="2896"/>
      <c r="J138" s="2896"/>
      <c r="K138" s="2896"/>
      <c r="L138" s="2896"/>
      <c r="M138" s="2896"/>
      <c r="N138" s="2896"/>
      <c r="O138" s="2896"/>
      <c r="P138" s="2896"/>
      <c r="Q138" s="2897"/>
      <c r="R138" s="2897"/>
      <c r="S138" s="2897"/>
      <c r="T138" s="2898"/>
      <c r="U138" s="2898"/>
      <c r="V138" s="2898"/>
      <c r="W138" s="2898"/>
      <c r="X138" s="2898"/>
      <c r="Y138" s="2898"/>
      <c r="Z138" s="2898"/>
      <c r="AA138" s="2898"/>
      <c r="AB138" s="2899">
        <v>0</v>
      </c>
      <c r="AC138" s="2900"/>
      <c r="AD138" s="2900"/>
      <c r="AE138" s="2900"/>
      <c r="AF138" s="2900"/>
      <c r="AG138" s="2901"/>
      <c r="AH138" s="1766"/>
      <c r="AI138" s="1766"/>
      <c r="AJ138" s="1766"/>
      <c r="AK138" s="1766" t="s">
        <v>255</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571" t="s">
        <v>174</v>
      </c>
      <c r="D139" s="2572"/>
      <c r="E139" s="2572"/>
      <c r="F139" s="2903" t="s">
        <v>2062</v>
      </c>
      <c r="G139" s="2903"/>
      <c r="H139" s="2903"/>
      <c r="I139" s="2903"/>
      <c r="J139" s="2903"/>
      <c r="K139" s="2903"/>
      <c r="L139" s="2903"/>
      <c r="M139" s="2903"/>
      <c r="N139" s="2903"/>
      <c r="O139" s="2903"/>
      <c r="P139" s="2903"/>
      <c r="Q139" s="2741"/>
      <c r="R139" s="2741"/>
      <c r="S139" s="2741"/>
      <c r="T139" s="2740"/>
      <c r="U139" s="2740"/>
      <c r="V139" s="2740"/>
      <c r="W139" s="2740"/>
      <c r="X139" s="2740"/>
      <c r="Y139" s="2740"/>
      <c r="Z139" s="2740"/>
      <c r="AA139" s="2740"/>
      <c r="AB139" s="2904">
        <v>0</v>
      </c>
      <c r="AC139" s="2905"/>
      <c r="AD139" s="2905"/>
      <c r="AE139" s="2905"/>
      <c r="AF139" s="2905"/>
      <c r="AG139" s="2906"/>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573" t="s">
        <v>2063</v>
      </c>
      <c r="D141" s="2574"/>
      <c r="E141" s="2574"/>
      <c r="F141" s="2574"/>
      <c r="G141" s="2574"/>
      <c r="H141" s="2574"/>
      <c r="I141" s="2574"/>
      <c r="J141" s="2574"/>
      <c r="K141" s="2574"/>
      <c r="L141" s="2574"/>
      <c r="M141" s="2574"/>
      <c r="N141" s="2575"/>
      <c r="O141" s="1766"/>
      <c r="P141" s="2908" t="s">
        <v>2064</v>
      </c>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790" t="s">
        <v>2065</v>
      </c>
      <c r="D142" s="2791"/>
      <c r="E142" s="2791"/>
      <c r="F142" s="2791"/>
      <c r="G142" s="2791"/>
      <c r="H142" s="2792"/>
      <c r="I142" s="2790" t="s">
        <v>2066</v>
      </c>
      <c r="J142" s="2791"/>
      <c r="K142" s="2791"/>
      <c r="L142" s="2791"/>
      <c r="M142" s="2791"/>
      <c r="N142" s="2792"/>
      <c r="O142" s="1766"/>
      <c r="P142" s="2911" t="s">
        <v>625</v>
      </c>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74"/>
      <c r="D143" s="2674"/>
      <c r="E143" s="2674"/>
      <c r="F143" s="2674"/>
      <c r="G143" s="2674"/>
      <c r="H143" s="2674"/>
      <c r="I143" s="2907"/>
      <c r="J143" s="2907"/>
      <c r="K143" s="2907"/>
      <c r="L143" s="2907"/>
      <c r="M143" s="2907"/>
      <c r="N143" s="2907"/>
      <c r="O143" s="1766"/>
      <c r="P143" s="2914"/>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74"/>
      <c r="D144" s="2674"/>
      <c r="E144" s="2674"/>
      <c r="F144" s="2674"/>
      <c r="G144" s="2674"/>
      <c r="H144" s="2674"/>
      <c r="I144" s="2907"/>
      <c r="J144" s="2907"/>
      <c r="K144" s="2907"/>
      <c r="L144" s="2907"/>
      <c r="M144" s="2907"/>
      <c r="N144" s="2907"/>
      <c r="O144" s="1766"/>
      <c r="P144" s="2914"/>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74"/>
      <c r="D145" s="2674"/>
      <c r="E145" s="2674"/>
      <c r="F145" s="2674"/>
      <c r="G145" s="2674"/>
      <c r="H145" s="2674"/>
      <c r="I145" s="2907"/>
      <c r="J145" s="2907"/>
      <c r="K145" s="2907"/>
      <c r="L145" s="2907"/>
      <c r="M145" s="2907"/>
      <c r="N145" s="2907"/>
      <c r="O145" s="1766"/>
      <c r="P145" s="2914"/>
      <c r="Q145" s="2912"/>
      <c r="R145" s="2912"/>
      <c r="S145" s="2912"/>
      <c r="T145" s="2912"/>
      <c r="U145" s="2912"/>
      <c r="V145" s="2912"/>
      <c r="W145" s="2912"/>
      <c r="X145" s="2912"/>
      <c r="Y145" s="2912"/>
      <c r="Z145" s="2912"/>
      <c r="AA145" s="2912"/>
      <c r="AB145" s="2912"/>
      <c r="AC145" s="2912"/>
      <c r="AD145" s="2912"/>
      <c r="AE145" s="2912"/>
      <c r="AF145" s="2912"/>
      <c r="AG145" s="2912"/>
      <c r="AH145" s="2912"/>
      <c r="AI145" s="2912"/>
      <c r="AJ145" s="2912"/>
      <c r="AK145" s="2912"/>
      <c r="AL145" s="2912"/>
      <c r="AM145" s="2912"/>
      <c r="AN145" s="2912"/>
      <c r="AO145" s="2913"/>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74"/>
      <c r="D146" s="2674"/>
      <c r="E146" s="2674"/>
      <c r="F146" s="2674"/>
      <c r="G146" s="2674"/>
      <c r="H146" s="2674"/>
      <c r="I146" s="2907"/>
      <c r="J146" s="2907"/>
      <c r="K146" s="2907"/>
      <c r="L146" s="2907"/>
      <c r="M146" s="2907"/>
      <c r="N146" s="2907"/>
      <c r="O146" s="1766"/>
      <c r="P146" s="2914"/>
      <c r="Q146" s="2912"/>
      <c r="R146" s="2912"/>
      <c r="S146" s="2912"/>
      <c r="T146" s="2912"/>
      <c r="U146" s="2912"/>
      <c r="V146" s="2912"/>
      <c r="W146" s="2912"/>
      <c r="X146" s="2912"/>
      <c r="Y146" s="2912"/>
      <c r="Z146" s="2912"/>
      <c r="AA146" s="2912"/>
      <c r="AB146" s="2912"/>
      <c r="AC146" s="2912"/>
      <c r="AD146" s="2912"/>
      <c r="AE146" s="2912"/>
      <c r="AF146" s="2912"/>
      <c r="AG146" s="2912"/>
      <c r="AH146" s="2912"/>
      <c r="AI146" s="2912"/>
      <c r="AJ146" s="2912"/>
      <c r="AK146" s="2912"/>
      <c r="AL146" s="2912"/>
      <c r="AM146" s="2912"/>
      <c r="AN146" s="2912"/>
      <c r="AO146" s="2913"/>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74"/>
      <c r="D147" s="2674"/>
      <c r="E147" s="2674"/>
      <c r="F147" s="2674"/>
      <c r="G147" s="2674"/>
      <c r="H147" s="2674"/>
      <c r="I147" s="2907"/>
      <c r="J147" s="2907"/>
      <c r="K147" s="2907"/>
      <c r="L147" s="2907"/>
      <c r="M147" s="2907"/>
      <c r="N147" s="2907"/>
      <c r="O147" s="1766"/>
      <c r="P147" s="2914"/>
      <c r="Q147" s="2912"/>
      <c r="R147" s="2912"/>
      <c r="S147" s="2912"/>
      <c r="T147" s="2912"/>
      <c r="U147" s="2912"/>
      <c r="V147" s="2912"/>
      <c r="W147" s="2912"/>
      <c r="X147" s="2912"/>
      <c r="Y147" s="2912"/>
      <c r="Z147" s="2912"/>
      <c r="AA147" s="2912"/>
      <c r="AB147" s="2912"/>
      <c r="AC147" s="2912"/>
      <c r="AD147" s="2912"/>
      <c r="AE147" s="2912"/>
      <c r="AF147" s="2912"/>
      <c r="AG147" s="2912"/>
      <c r="AH147" s="2912"/>
      <c r="AI147" s="2912"/>
      <c r="AJ147" s="2912"/>
      <c r="AK147" s="2912"/>
      <c r="AL147" s="2912"/>
      <c r="AM147" s="2912"/>
      <c r="AN147" s="2912"/>
      <c r="AO147" s="2913"/>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74"/>
      <c r="D148" s="2674"/>
      <c r="E148" s="2674"/>
      <c r="F148" s="2674"/>
      <c r="G148" s="2674"/>
      <c r="H148" s="2674"/>
      <c r="I148" s="2907"/>
      <c r="J148" s="2907"/>
      <c r="K148" s="2907"/>
      <c r="L148" s="2907"/>
      <c r="M148" s="2907"/>
      <c r="N148" s="2907"/>
      <c r="O148" s="1766"/>
      <c r="P148" s="2914"/>
      <c r="Q148" s="2912"/>
      <c r="R148" s="2912"/>
      <c r="S148" s="2912"/>
      <c r="T148" s="2912"/>
      <c r="U148" s="2912"/>
      <c r="V148" s="2912"/>
      <c r="W148" s="2912"/>
      <c r="X148" s="2912"/>
      <c r="Y148" s="2912"/>
      <c r="Z148" s="2912"/>
      <c r="AA148" s="2912"/>
      <c r="AB148" s="2912"/>
      <c r="AC148" s="2912"/>
      <c r="AD148" s="2912"/>
      <c r="AE148" s="2912"/>
      <c r="AF148" s="2912"/>
      <c r="AG148" s="2912"/>
      <c r="AH148" s="2912"/>
      <c r="AI148" s="2912"/>
      <c r="AJ148" s="2912"/>
      <c r="AK148" s="2912"/>
      <c r="AL148" s="2912"/>
      <c r="AM148" s="2912"/>
      <c r="AN148" s="2912"/>
      <c r="AO148" s="2913"/>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74"/>
      <c r="D149" s="2674"/>
      <c r="E149" s="2674"/>
      <c r="F149" s="2674"/>
      <c r="G149" s="2674"/>
      <c r="H149" s="2674"/>
      <c r="I149" s="2907"/>
      <c r="J149" s="2907"/>
      <c r="K149" s="2907"/>
      <c r="L149" s="2907"/>
      <c r="M149" s="2907"/>
      <c r="N149" s="2907"/>
      <c r="O149" s="1766"/>
      <c r="P149" s="2915"/>
      <c r="Q149" s="2916"/>
      <c r="R149" s="2916"/>
      <c r="S149" s="2916"/>
      <c r="T149" s="2916"/>
      <c r="U149" s="2916"/>
      <c r="V149" s="2916"/>
      <c r="W149" s="2916"/>
      <c r="X149" s="2916"/>
      <c r="Y149" s="2916"/>
      <c r="Z149" s="2916"/>
      <c r="AA149" s="2916"/>
      <c r="AB149" s="2916"/>
      <c r="AC149" s="2916"/>
      <c r="AD149" s="2916"/>
      <c r="AE149" s="2916"/>
      <c r="AF149" s="2916"/>
      <c r="AG149" s="2916"/>
      <c r="AH149" s="2916"/>
      <c r="AI149" s="2916"/>
      <c r="AJ149" s="2916"/>
      <c r="AK149" s="2916"/>
      <c r="AL149" s="2916"/>
      <c r="AM149" s="2916"/>
      <c r="AN149" s="2916"/>
      <c r="AO149" s="2917"/>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2460</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27"/>
      <c r="D153" s="2928"/>
      <c r="E153" s="2928"/>
      <c r="F153" s="2928"/>
      <c r="G153" s="2928"/>
      <c r="H153" s="2928"/>
      <c r="I153" s="2928"/>
      <c r="J153" s="2928"/>
      <c r="K153" s="2928"/>
      <c r="L153" s="2928"/>
      <c r="M153" s="2929"/>
      <c r="N153" s="2930" t="s">
        <v>2067</v>
      </c>
      <c r="O153" s="2930"/>
      <c r="P153" s="2930"/>
      <c r="Q153" s="2930"/>
      <c r="R153" s="2930"/>
      <c r="S153" s="2930"/>
      <c r="T153" s="2931"/>
      <c r="U153" s="2932" t="s">
        <v>2056</v>
      </c>
      <c r="V153" s="2716"/>
      <c r="W153" s="2716"/>
      <c r="X153" s="2716"/>
      <c r="Y153" s="2716"/>
      <c r="Z153" s="2716"/>
      <c r="AA153" s="2716"/>
      <c r="AB153" s="2716"/>
      <c r="AC153" s="2716"/>
      <c r="AD153" s="2716"/>
      <c r="AE153" s="2717"/>
      <c r="AF153" s="1766"/>
      <c r="AG153" s="1766"/>
      <c r="AH153" s="2566" t="s">
        <v>2068</v>
      </c>
      <c r="AI153" s="2567"/>
      <c r="AJ153" s="2567"/>
      <c r="AK153" s="2567"/>
      <c r="AL153" s="2567"/>
      <c r="AM153" s="2567"/>
      <c r="AN153" s="2567"/>
      <c r="AO153" s="2567"/>
      <c r="AP153" s="2567"/>
      <c r="AQ153" s="2567"/>
      <c r="AR153" s="2567"/>
      <c r="AS153" s="2918">
        <v>2557797</v>
      </c>
      <c r="AT153" s="2918"/>
      <c r="AU153" s="2918"/>
      <c r="AV153" s="2918"/>
      <c r="AW153" s="2918"/>
      <c r="AX153" s="1766"/>
      <c r="AY153" s="1766"/>
      <c r="AZ153" s="1766"/>
      <c r="BA153" s="1766"/>
      <c r="BB153" s="1766"/>
      <c r="BC153" s="1766"/>
      <c r="BD153" s="1766"/>
      <c r="BE153" s="1772"/>
    </row>
    <row r="154" spans="1:57" ht="15.75" customHeight="1">
      <c r="A154" s="1766"/>
      <c r="B154" s="1766"/>
      <c r="C154" s="2883" t="s">
        <v>2069</v>
      </c>
      <c r="D154" s="2884"/>
      <c r="E154" s="2884"/>
      <c r="F154" s="2884"/>
      <c r="G154" s="2884"/>
      <c r="H154" s="2884"/>
      <c r="I154" s="2884"/>
      <c r="J154" s="2884"/>
      <c r="K154" s="2884"/>
      <c r="L154" s="2884"/>
      <c r="M154" s="2919"/>
      <c r="N154" s="2920">
        <f>'Sources and Uses Budget'!B105</f>
        <v>67776784</v>
      </c>
      <c r="O154" s="2920"/>
      <c r="P154" s="2920"/>
      <c r="Q154" s="2920"/>
      <c r="R154" s="2920"/>
      <c r="S154" s="2920"/>
      <c r="T154" s="2921"/>
      <c r="U154" s="2922"/>
      <c r="V154" s="2923"/>
      <c r="W154" s="2923"/>
      <c r="X154" s="2923"/>
      <c r="Y154" s="2923"/>
      <c r="Z154" s="2923"/>
      <c r="AA154" s="2923"/>
      <c r="AB154" s="2923"/>
      <c r="AC154" s="2923"/>
      <c r="AD154" s="2923"/>
      <c r="AE154" s="2924"/>
      <c r="AF154" s="1766"/>
      <c r="AG154" s="1766"/>
      <c r="AH154" s="2925" t="s">
        <v>2070</v>
      </c>
      <c r="AI154" s="2926"/>
      <c r="AJ154" s="2926"/>
      <c r="AK154" s="2926"/>
      <c r="AL154" s="2926"/>
      <c r="AM154" s="2926"/>
      <c r="AN154" s="2926"/>
      <c r="AO154" s="2926"/>
      <c r="AP154" s="2926"/>
      <c r="AQ154" s="2926"/>
      <c r="AR154" s="2926"/>
      <c r="AS154" s="2918">
        <v>0</v>
      </c>
      <c r="AT154" s="2918"/>
      <c r="AU154" s="2918"/>
      <c r="AV154" s="2918"/>
      <c r="AW154" s="2918"/>
      <c r="AX154" s="1766"/>
      <c r="AY154" s="1766"/>
      <c r="AZ154" s="1766"/>
      <c r="BA154" s="1766"/>
      <c r="BB154" s="1766"/>
      <c r="BC154" s="1766"/>
      <c r="BD154" s="1766"/>
      <c r="BE154" s="1772"/>
    </row>
    <row r="155" spans="1:57" ht="15.75" customHeight="1">
      <c r="A155" s="1766"/>
      <c r="B155" s="1766"/>
      <c r="C155" s="2883" t="s">
        <v>2071</v>
      </c>
      <c r="D155" s="2884"/>
      <c r="E155" s="2884"/>
      <c r="F155" s="2884"/>
      <c r="G155" s="2884"/>
      <c r="H155" s="2884"/>
      <c r="I155" s="2884"/>
      <c r="J155" s="2884"/>
      <c r="K155" s="2884"/>
      <c r="L155" s="2884"/>
      <c r="M155" s="2919"/>
      <c r="N155" s="2920">
        <f>N154/J29</f>
        <v>349364.86597938143</v>
      </c>
      <c r="O155" s="2920"/>
      <c r="P155" s="2920"/>
      <c r="Q155" s="2920"/>
      <c r="R155" s="2920"/>
      <c r="S155" s="2920"/>
      <c r="T155" s="2921"/>
      <c r="U155" s="1789"/>
      <c r="V155" s="1789"/>
      <c r="W155" s="1789"/>
      <c r="X155" s="1789"/>
      <c r="Y155" s="1789"/>
      <c r="Z155" s="1789"/>
      <c r="AA155" s="1789"/>
      <c r="AB155" s="1789"/>
      <c r="AC155" s="1789"/>
      <c r="AD155" s="1789"/>
      <c r="AE155" s="1790"/>
      <c r="AF155" s="1766"/>
      <c r="AG155" s="1766"/>
      <c r="AH155" s="2873" t="s">
        <v>2072</v>
      </c>
      <c r="AI155" s="2874"/>
      <c r="AJ155" s="2874"/>
      <c r="AK155" s="2874"/>
      <c r="AL155" s="2874"/>
      <c r="AM155" s="2874"/>
      <c r="AN155" s="2874"/>
      <c r="AO155" s="2874"/>
      <c r="AP155" s="2874"/>
      <c r="AQ155" s="2874"/>
      <c r="AR155" s="2875"/>
      <c r="AS155" s="2918">
        <v>942203</v>
      </c>
      <c r="AT155" s="2918"/>
      <c r="AU155" s="2918"/>
      <c r="AV155" s="2918"/>
      <c r="AW155" s="2918"/>
      <c r="AX155" s="1766"/>
      <c r="AY155" s="1766"/>
      <c r="AZ155" s="1766"/>
      <c r="BA155" s="1766"/>
      <c r="BB155" s="1766"/>
      <c r="BC155" s="1766"/>
      <c r="BD155" s="1766"/>
      <c r="BE155" s="1772"/>
    </row>
    <row r="156" spans="1:57" ht="15.75" customHeight="1">
      <c r="A156" s="1766"/>
      <c r="B156" s="1766"/>
      <c r="C156" s="2942" t="s">
        <v>2073</v>
      </c>
      <c r="D156" s="2736"/>
      <c r="E156" s="2736"/>
      <c r="F156" s="2736"/>
      <c r="G156" s="2736"/>
      <c r="H156" s="2736"/>
      <c r="I156" s="2736"/>
      <c r="J156" s="2736"/>
      <c r="K156" s="2736"/>
      <c r="L156" s="2736"/>
      <c r="M156" s="2737"/>
      <c r="N156" s="2943">
        <v>0</v>
      </c>
      <c r="O156" s="2943"/>
      <c r="P156" s="2943"/>
      <c r="Q156" s="2943"/>
      <c r="R156" s="2943"/>
      <c r="S156" s="2943"/>
      <c r="T156" s="2944"/>
      <c r="U156" s="2945"/>
      <c r="V156" s="2946"/>
      <c r="W156" s="2946"/>
      <c r="X156" s="2946"/>
      <c r="Y156" s="2946"/>
      <c r="Z156" s="2946"/>
      <c r="AA156" s="2946"/>
      <c r="AB156" s="2946"/>
      <c r="AC156" s="2946"/>
      <c r="AD156" s="2946"/>
      <c r="AE156" s="2947"/>
      <c r="AF156" s="1766"/>
      <c r="AG156" s="1766"/>
      <c r="AH156" s="2922"/>
      <c r="AI156" s="2923"/>
      <c r="AJ156" s="2923"/>
      <c r="AK156" s="2923"/>
      <c r="AL156" s="2923"/>
      <c r="AM156" s="2923"/>
      <c r="AN156" s="2923"/>
      <c r="AO156" s="2923"/>
      <c r="AP156" s="2923"/>
      <c r="AQ156" s="2923"/>
      <c r="AR156" s="2948"/>
      <c r="AS156" s="2949"/>
      <c r="AT156" s="2950"/>
      <c r="AU156" s="2950"/>
      <c r="AV156" s="2950"/>
      <c r="AW156" s="2951"/>
      <c r="AX156" s="1766"/>
      <c r="AY156" s="1766"/>
      <c r="AZ156" s="1766"/>
      <c r="BA156" s="1766"/>
      <c r="BB156" s="1766"/>
      <c r="BC156" s="1766"/>
      <c r="BD156" s="1766"/>
      <c r="BE156" s="1772"/>
    </row>
    <row r="157" spans="1:57" ht="15.75" customHeight="1" thickBot="1">
      <c r="A157" s="1766"/>
      <c r="B157" s="1766"/>
      <c r="C157" s="2873" t="s">
        <v>2074</v>
      </c>
      <c r="D157" s="2874"/>
      <c r="E157" s="2874"/>
      <c r="F157" s="2874"/>
      <c r="G157" s="2874"/>
      <c r="H157" s="2874"/>
      <c r="I157" s="2874"/>
      <c r="J157" s="2874"/>
      <c r="K157" s="2874"/>
      <c r="L157" s="2874"/>
      <c r="M157" s="2933"/>
      <c r="N157" s="2934">
        <f>SUM('Sources and Uses Budget'!B85:B86)</f>
        <v>5540252</v>
      </c>
      <c r="O157" s="2934"/>
      <c r="P157" s="2934"/>
      <c r="Q157" s="2934"/>
      <c r="R157" s="2934"/>
      <c r="S157" s="2934"/>
      <c r="T157" s="2935"/>
      <c r="U157" s="2936"/>
      <c r="V157" s="2937"/>
      <c r="W157" s="2937"/>
      <c r="X157" s="2937"/>
      <c r="Y157" s="2937"/>
      <c r="Z157" s="2937"/>
      <c r="AA157" s="2937"/>
      <c r="AB157" s="2937"/>
      <c r="AC157" s="2937"/>
      <c r="AD157" s="2937"/>
      <c r="AE157" s="2938"/>
      <c r="AF157" s="1766"/>
      <c r="AG157" s="1766"/>
      <c r="AH157" s="2939" t="s">
        <v>2479</v>
      </c>
      <c r="AI157" s="2940"/>
      <c r="AJ157" s="2940"/>
      <c r="AK157" s="2940"/>
      <c r="AL157" s="2940"/>
      <c r="AM157" s="2940"/>
      <c r="AN157" s="2940"/>
      <c r="AO157" s="2940"/>
      <c r="AP157" s="2940"/>
      <c r="AQ157" s="2940"/>
      <c r="AR157" s="2940"/>
      <c r="AS157" s="2941">
        <f>SUM(AS153:AW155)</f>
        <v>3500000</v>
      </c>
      <c r="AT157" s="2941"/>
      <c r="AU157" s="2941"/>
      <c r="AV157" s="2941"/>
      <c r="AW157" s="2941"/>
      <c r="AX157" s="1766"/>
      <c r="AY157" s="1766"/>
      <c r="AZ157" s="1766"/>
      <c r="BA157" s="1766"/>
      <c r="BB157" s="1766"/>
      <c r="BC157" s="1766"/>
      <c r="BD157" s="1766"/>
      <c r="BE157" s="1772"/>
    </row>
    <row r="158" spans="1:57" ht="15.75" customHeight="1" thickBot="1">
      <c r="A158" s="1766"/>
      <c r="B158" s="1766"/>
      <c r="C158" s="2873" t="s">
        <v>2076</v>
      </c>
      <c r="D158" s="2874"/>
      <c r="E158" s="2874"/>
      <c r="F158" s="2874"/>
      <c r="G158" s="2874"/>
      <c r="H158" s="2874"/>
      <c r="I158" s="2874"/>
      <c r="J158" s="2874"/>
      <c r="K158" s="2874"/>
      <c r="L158" s="2874"/>
      <c r="M158" s="2933"/>
      <c r="N158" s="2934">
        <f>'Sources and Uses Budget'!B8</f>
        <v>1275000</v>
      </c>
      <c r="O158" s="2934"/>
      <c r="P158" s="2934"/>
      <c r="Q158" s="2934"/>
      <c r="R158" s="2934"/>
      <c r="S158" s="2934"/>
      <c r="T158" s="2935"/>
      <c r="U158" s="2936"/>
      <c r="V158" s="2937"/>
      <c r="W158" s="2937"/>
      <c r="X158" s="2937"/>
      <c r="Y158" s="2937"/>
      <c r="Z158" s="2937"/>
      <c r="AA158" s="2937"/>
      <c r="AB158" s="2937"/>
      <c r="AC158" s="2937"/>
      <c r="AD158" s="2937"/>
      <c r="AE158" s="2938"/>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873" t="s">
        <v>2077</v>
      </c>
      <c r="D159" s="2874"/>
      <c r="E159" s="2874"/>
      <c r="F159" s="2874"/>
      <c r="G159" s="2874"/>
      <c r="H159" s="2874"/>
      <c r="I159" s="2874"/>
      <c r="J159" s="2874"/>
      <c r="K159" s="2874"/>
      <c r="L159" s="2874"/>
      <c r="M159" s="2933"/>
      <c r="N159" s="2952">
        <v>0</v>
      </c>
      <c r="O159" s="2952"/>
      <c r="P159" s="2952"/>
      <c r="Q159" s="2952"/>
      <c r="R159" s="2952"/>
      <c r="S159" s="2952"/>
      <c r="T159" s="2953"/>
      <c r="U159" s="2936"/>
      <c r="V159" s="2937"/>
      <c r="W159" s="2937"/>
      <c r="X159" s="2937"/>
      <c r="Y159" s="2937"/>
      <c r="Z159" s="2937"/>
      <c r="AA159" s="2937"/>
      <c r="AB159" s="2937"/>
      <c r="AC159" s="2937"/>
      <c r="AD159" s="2937"/>
      <c r="AE159" s="2938"/>
      <c r="AF159" s="1766"/>
      <c r="AG159" s="1766"/>
      <c r="AH159" s="2566" t="s">
        <v>2480</v>
      </c>
      <c r="AI159" s="2567"/>
      <c r="AJ159" s="2567"/>
      <c r="AK159" s="2567"/>
      <c r="AL159" s="2567"/>
      <c r="AM159" s="2567"/>
      <c r="AN159" s="2567"/>
      <c r="AO159" s="2567"/>
      <c r="AP159" s="2567"/>
      <c r="AQ159" s="2567"/>
      <c r="AR159" s="2567"/>
      <c r="AS159" s="2958" t="s">
        <v>2481</v>
      </c>
      <c r="AT159" s="2958"/>
      <c r="AU159" s="2958"/>
      <c r="AV159" s="2958"/>
      <c r="AW159" s="2958"/>
      <c r="AX159" s="2958"/>
      <c r="AY159" s="2958" t="s">
        <v>2482</v>
      </c>
      <c r="AZ159" s="2958"/>
      <c r="BA159" s="2958"/>
      <c r="BB159" s="2958"/>
      <c r="BC159" s="2958"/>
      <c r="BD159" s="2959"/>
      <c r="BE159" s="1772"/>
    </row>
    <row r="160" spans="1:57" ht="15.75" customHeight="1">
      <c r="A160" s="1766"/>
      <c r="B160" s="1766"/>
      <c r="C160" s="2873" t="s">
        <v>2070</v>
      </c>
      <c r="D160" s="2874"/>
      <c r="E160" s="2874"/>
      <c r="F160" s="2874"/>
      <c r="G160" s="2874"/>
      <c r="H160" s="2874"/>
      <c r="I160" s="2874"/>
      <c r="J160" s="2874"/>
      <c r="K160" s="2874"/>
      <c r="L160" s="2874"/>
      <c r="M160" s="2933"/>
      <c r="N160" s="2952">
        <v>0</v>
      </c>
      <c r="O160" s="2952"/>
      <c r="P160" s="2952"/>
      <c r="Q160" s="2952"/>
      <c r="R160" s="2952"/>
      <c r="S160" s="2952"/>
      <c r="T160" s="2953"/>
      <c r="U160" s="2936"/>
      <c r="V160" s="2937"/>
      <c r="W160" s="2937"/>
      <c r="X160" s="2937"/>
      <c r="Y160" s="2937"/>
      <c r="Z160" s="2937"/>
      <c r="AA160" s="2937"/>
      <c r="AB160" s="2937"/>
      <c r="AC160" s="2937"/>
      <c r="AD160" s="2937"/>
      <c r="AE160" s="2938"/>
      <c r="AF160" s="1766"/>
      <c r="AG160" s="1766"/>
      <c r="AH160" s="2954" t="s">
        <v>2483</v>
      </c>
      <c r="AI160" s="2955"/>
      <c r="AJ160" s="2955"/>
      <c r="AK160" s="2955"/>
      <c r="AL160" s="2955"/>
      <c r="AM160" s="2955"/>
      <c r="AN160" s="2955"/>
      <c r="AO160" s="2955"/>
      <c r="AP160" s="2955"/>
      <c r="AQ160" s="2955"/>
      <c r="AR160" s="2955"/>
      <c r="AS160" s="2956">
        <v>9500000</v>
      </c>
      <c r="AT160" s="2956"/>
      <c r="AU160" s="2956"/>
      <c r="AV160" s="2956"/>
      <c r="AW160" s="2956"/>
      <c r="AX160" s="2956"/>
      <c r="AY160" s="2956">
        <v>235000</v>
      </c>
      <c r="AZ160" s="2956"/>
      <c r="BA160" s="2956"/>
      <c r="BB160" s="2956"/>
      <c r="BC160" s="2956"/>
      <c r="BD160" s="2957"/>
      <c r="BE160" s="1772"/>
    </row>
    <row r="161" spans="1:57" ht="15.75" customHeight="1">
      <c r="A161" s="1766"/>
      <c r="B161" s="1766"/>
      <c r="C161" s="2961" t="s">
        <v>307</v>
      </c>
      <c r="D161" s="2962"/>
      <c r="E161" s="2896" t="s">
        <v>2062</v>
      </c>
      <c r="F161" s="2896"/>
      <c r="G161" s="2896"/>
      <c r="H161" s="2896"/>
      <c r="I161" s="2896"/>
      <c r="J161" s="2896"/>
      <c r="K161" s="2896"/>
      <c r="L161" s="2896"/>
      <c r="M161" s="2960"/>
      <c r="N161" s="2952">
        <v>0</v>
      </c>
      <c r="O161" s="2952"/>
      <c r="P161" s="2952"/>
      <c r="Q161" s="2952"/>
      <c r="R161" s="2952"/>
      <c r="S161" s="2952"/>
      <c r="T161" s="2953"/>
      <c r="U161" s="2936"/>
      <c r="V161" s="2937"/>
      <c r="W161" s="2937"/>
      <c r="X161" s="2937"/>
      <c r="Y161" s="2937"/>
      <c r="Z161" s="2937"/>
      <c r="AA161" s="2937"/>
      <c r="AB161" s="2937"/>
      <c r="AC161" s="2937"/>
      <c r="AD161" s="2937"/>
      <c r="AE161" s="2938"/>
      <c r="AF161" s="1766"/>
      <c r="AG161" s="1766"/>
      <c r="AH161" s="2954" t="s">
        <v>2484</v>
      </c>
      <c r="AI161" s="2955"/>
      <c r="AJ161" s="2955"/>
      <c r="AK161" s="2955"/>
      <c r="AL161" s="2955"/>
      <c r="AM161" s="2955"/>
      <c r="AN161" s="2955"/>
      <c r="AO161" s="2955"/>
      <c r="AP161" s="2955"/>
      <c r="AQ161" s="2955"/>
      <c r="AR161" s="2955"/>
      <c r="AS161" s="2956">
        <f>3166000+4750000</f>
        <v>7916000</v>
      </c>
      <c r="AT161" s="2956"/>
      <c r="AU161" s="2956"/>
      <c r="AV161" s="2956"/>
      <c r="AW161" s="2956"/>
      <c r="AX161" s="2956"/>
      <c r="AY161" s="2956">
        <f>471000+236203</f>
        <v>707203</v>
      </c>
      <c r="AZ161" s="2956"/>
      <c r="BA161" s="2956"/>
      <c r="BB161" s="2956"/>
      <c r="BC161" s="2956"/>
      <c r="BD161" s="2957"/>
      <c r="BE161" s="1772"/>
    </row>
    <row r="162" spans="1:57" ht="15.75" customHeight="1">
      <c r="A162" s="1766"/>
      <c r="B162" s="1766"/>
      <c r="C162" s="2945" t="s">
        <v>307</v>
      </c>
      <c r="D162" s="2946"/>
      <c r="E162" s="2896" t="s">
        <v>2062</v>
      </c>
      <c r="F162" s="2896"/>
      <c r="G162" s="2896"/>
      <c r="H162" s="2896"/>
      <c r="I162" s="2896"/>
      <c r="J162" s="2896"/>
      <c r="K162" s="2896"/>
      <c r="L162" s="2896"/>
      <c r="M162" s="2960"/>
      <c r="N162" s="2952">
        <v>0</v>
      </c>
      <c r="O162" s="2952"/>
      <c r="P162" s="2952"/>
      <c r="Q162" s="2952"/>
      <c r="R162" s="2952"/>
      <c r="S162" s="2952"/>
      <c r="T162" s="2953"/>
      <c r="U162" s="2936"/>
      <c r="V162" s="2937"/>
      <c r="W162" s="2937"/>
      <c r="X162" s="2937"/>
      <c r="Y162" s="2937"/>
      <c r="Z162" s="2937"/>
      <c r="AA162" s="2937"/>
      <c r="AB162" s="2937"/>
      <c r="AC162" s="2937"/>
      <c r="AD162" s="2937"/>
      <c r="AE162" s="2938"/>
      <c r="AF162" s="1766"/>
      <c r="AG162" s="1766"/>
      <c r="AH162" s="2954" t="s">
        <v>2485</v>
      </c>
      <c r="AI162" s="2955"/>
      <c r="AJ162" s="2955"/>
      <c r="AK162" s="2955"/>
      <c r="AL162" s="2955"/>
      <c r="AM162" s="2955"/>
      <c r="AN162" s="2955"/>
      <c r="AO162" s="2955"/>
      <c r="AP162" s="2955"/>
      <c r="AQ162" s="2955"/>
      <c r="AR162" s="2955"/>
      <c r="AS162" s="2956">
        <v>13933000</v>
      </c>
      <c r="AT162" s="2956"/>
      <c r="AU162" s="2956"/>
      <c r="AV162" s="2956"/>
      <c r="AW162" s="2956"/>
      <c r="AX162" s="2956"/>
      <c r="AY162" s="2956"/>
      <c r="AZ162" s="2956"/>
      <c r="BA162" s="2956"/>
      <c r="BB162" s="2956"/>
      <c r="BC162" s="2956"/>
      <c r="BD162" s="2957"/>
      <c r="BE162" s="1772"/>
    </row>
    <row r="163" spans="1:57" ht="15.75" customHeight="1" thickBot="1">
      <c r="A163" s="1766"/>
      <c r="B163" s="1766"/>
      <c r="C163" s="2969" t="s">
        <v>307</v>
      </c>
      <c r="D163" s="2970"/>
      <c r="E163" s="2903" t="s">
        <v>2062</v>
      </c>
      <c r="F163" s="2903"/>
      <c r="G163" s="2903"/>
      <c r="H163" s="2903"/>
      <c r="I163" s="2903"/>
      <c r="J163" s="2903"/>
      <c r="K163" s="2903"/>
      <c r="L163" s="2903"/>
      <c r="M163" s="2971"/>
      <c r="N163" s="2972">
        <v>0</v>
      </c>
      <c r="O163" s="2972"/>
      <c r="P163" s="2972"/>
      <c r="Q163" s="2972"/>
      <c r="R163" s="2972"/>
      <c r="S163" s="2972"/>
      <c r="T163" s="2973"/>
      <c r="U163" s="2974"/>
      <c r="V163" s="2975"/>
      <c r="W163" s="2975"/>
      <c r="X163" s="2975"/>
      <c r="Y163" s="2975"/>
      <c r="Z163" s="2975"/>
      <c r="AA163" s="2975"/>
      <c r="AB163" s="2975"/>
      <c r="AC163" s="2975"/>
      <c r="AD163" s="2975"/>
      <c r="AE163" s="2976"/>
      <c r="AF163" s="1766"/>
      <c r="AG163" s="1766"/>
      <c r="AH163" s="2954" t="s">
        <v>2486</v>
      </c>
      <c r="AI163" s="2955"/>
      <c r="AJ163" s="2955"/>
      <c r="AK163" s="2955"/>
      <c r="AL163" s="2955"/>
      <c r="AM163" s="2955"/>
      <c r="AN163" s="2955"/>
      <c r="AO163" s="2955"/>
      <c r="AP163" s="2955"/>
      <c r="AQ163" s="2955"/>
      <c r="AR163" s="2955"/>
      <c r="AS163" s="2956">
        <v>318516</v>
      </c>
      <c r="AT163" s="2956"/>
      <c r="AU163" s="2956"/>
      <c r="AV163" s="2956"/>
      <c r="AW163" s="2956"/>
      <c r="AX163" s="2956"/>
      <c r="AY163" s="2956"/>
      <c r="AZ163" s="2956"/>
      <c r="BA163" s="2956"/>
      <c r="BB163" s="2956"/>
      <c r="BC163" s="2956"/>
      <c r="BD163" s="2957"/>
      <c r="BE163" s="1772"/>
    </row>
    <row r="164" spans="1:57" ht="15.75" customHeight="1">
      <c r="A164" s="1766"/>
      <c r="B164" s="1766"/>
      <c r="C164" s="2963" t="s">
        <v>2078</v>
      </c>
      <c r="D164" s="2964"/>
      <c r="E164" s="2964"/>
      <c r="F164" s="2964"/>
      <c r="G164" s="2964"/>
      <c r="H164" s="2964"/>
      <c r="I164" s="2964"/>
      <c r="J164" s="2964"/>
      <c r="K164" s="2964"/>
      <c r="L164" s="2964"/>
      <c r="M164" s="2965"/>
      <c r="N164" s="2966">
        <f>SUM(N156:T163)</f>
        <v>6815252</v>
      </c>
      <c r="O164" s="2967"/>
      <c r="P164" s="2967"/>
      <c r="Q164" s="2967"/>
      <c r="R164" s="2967"/>
      <c r="S164" s="2967"/>
      <c r="T164" s="2968"/>
      <c r="U164" s="1766"/>
      <c r="V164" s="1766"/>
      <c r="W164" s="1766"/>
      <c r="X164" s="1766"/>
      <c r="Y164" s="1766"/>
      <c r="Z164" s="1766"/>
      <c r="AA164" s="1766"/>
      <c r="AB164" s="1766"/>
      <c r="AC164" s="1766"/>
      <c r="AD164" s="1766"/>
      <c r="AE164" s="1766"/>
      <c r="AF164" s="1766"/>
      <c r="AG164" s="1766"/>
      <c r="AH164" s="2954" t="s">
        <v>2487</v>
      </c>
      <c r="AI164" s="2955"/>
      <c r="AJ164" s="2955"/>
      <c r="AK164" s="2955"/>
      <c r="AL164" s="2955"/>
      <c r="AM164" s="2955"/>
      <c r="AN164" s="2955"/>
      <c r="AO164" s="2955"/>
      <c r="AP164" s="2955"/>
      <c r="AQ164" s="2955"/>
      <c r="AR164" s="2955"/>
      <c r="AS164" s="2956"/>
      <c r="AT164" s="2956"/>
      <c r="AU164" s="2956"/>
      <c r="AV164" s="2956"/>
      <c r="AW164" s="2956"/>
      <c r="AX164" s="2956"/>
      <c r="AY164" s="2956">
        <v>0</v>
      </c>
      <c r="AZ164" s="2956"/>
      <c r="BA164" s="2956"/>
      <c r="BB164" s="2956"/>
      <c r="BC164" s="2956"/>
      <c r="BD164" s="2957"/>
      <c r="BE164" s="1772"/>
    </row>
    <row r="165" spans="1:57" ht="15.75" customHeight="1" thickBot="1">
      <c r="A165" s="1766"/>
      <c r="B165" s="1766"/>
      <c r="C165" s="2738" t="s">
        <v>2079</v>
      </c>
      <c r="D165" s="2739"/>
      <c r="E165" s="2739"/>
      <c r="F165" s="2739"/>
      <c r="G165" s="2739"/>
      <c r="H165" s="2739"/>
      <c r="I165" s="2739"/>
      <c r="J165" s="2739"/>
      <c r="K165" s="2739"/>
      <c r="L165" s="2739"/>
      <c r="M165" s="2739"/>
      <c r="N165" s="2990">
        <f>(N154-N164)/J29</f>
        <v>314234.70103092783</v>
      </c>
      <c r="O165" s="2990"/>
      <c r="P165" s="2990"/>
      <c r="Q165" s="2990"/>
      <c r="R165" s="2990"/>
      <c r="S165" s="2990"/>
      <c r="T165" s="2991"/>
      <c r="U165" s="1773"/>
      <c r="V165" s="1766"/>
      <c r="W165" s="1766"/>
      <c r="X165" s="1766"/>
      <c r="Y165" s="1766"/>
      <c r="Z165" s="1766"/>
      <c r="AA165" s="1766"/>
      <c r="AB165" s="1766"/>
      <c r="AC165" s="1766"/>
      <c r="AD165" s="1766"/>
      <c r="AE165" s="1766"/>
      <c r="AF165" s="1766"/>
      <c r="AG165" s="1766"/>
      <c r="AH165" s="2954" t="s">
        <v>2488</v>
      </c>
      <c r="AI165" s="2955"/>
      <c r="AJ165" s="2955"/>
      <c r="AK165" s="2955"/>
      <c r="AL165" s="2955"/>
      <c r="AM165" s="2955"/>
      <c r="AN165" s="2955"/>
      <c r="AO165" s="2955"/>
      <c r="AP165" s="2955"/>
      <c r="AQ165" s="2955"/>
      <c r="AR165" s="2955"/>
      <c r="AS165" s="2956">
        <v>0</v>
      </c>
      <c r="AT165" s="2956"/>
      <c r="AU165" s="2956"/>
      <c r="AV165" s="2956"/>
      <c r="AW165" s="2956"/>
      <c r="AX165" s="2956"/>
      <c r="AY165" s="2956">
        <v>0</v>
      </c>
      <c r="AZ165" s="2956"/>
      <c r="BA165" s="2956"/>
      <c r="BB165" s="2956"/>
      <c r="BC165" s="2956"/>
      <c r="BD165" s="2957"/>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754" t="s">
        <v>2075</v>
      </c>
      <c r="AI166" s="2755"/>
      <c r="AJ166" s="2755"/>
      <c r="AK166" s="2755"/>
      <c r="AL166" s="2755"/>
      <c r="AM166" s="2755"/>
      <c r="AN166" s="2755"/>
      <c r="AO166" s="2755"/>
      <c r="AP166" s="2755"/>
      <c r="AQ166" s="2755"/>
      <c r="AR166" s="2755"/>
      <c r="AS166" s="2992">
        <f>SUM(AS160:AX165)</f>
        <v>31667516</v>
      </c>
      <c r="AT166" s="2992"/>
      <c r="AU166" s="2992"/>
      <c r="AV166" s="2992"/>
      <c r="AW166" s="2992"/>
      <c r="AX166" s="2992"/>
      <c r="AY166" s="2992">
        <f>SUM(AY160:BD165)</f>
        <v>942203</v>
      </c>
      <c r="AZ166" s="2992"/>
      <c r="BA166" s="2992"/>
      <c r="BB166" s="2992"/>
      <c r="BC166" s="2992"/>
      <c r="BD166" s="2993"/>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977" t="s">
        <v>2080</v>
      </c>
      <c r="C168" s="2978"/>
      <c r="D168" s="2978"/>
      <c r="E168" s="2978"/>
      <c r="F168" s="2978"/>
      <c r="G168" s="2978"/>
      <c r="H168" s="2978"/>
      <c r="I168" s="2978"/>
      <c r="J168" s="2978"/>
      <c r="K168" s="2978"/>
      <c r="L168" s="2978"/>
      <c r="M168" s="2978"/>
      <c r="N168" s="2978"/>
      <c r="O168" s="2978"/>
      <c r="P168" s="2978"/>
      <c r="Q168" s="2978"/>
      <c r="R168" s="2978"/>
      <c r="S168" s="2978"/>
      <c r="T168" s="2978"/>
      <c r="U168" s="2978"/>
      <c r="V168" s="2978"/>
      <c r="W168" s="2978"/>
      <c r="X168" s="2978"/>
      <c r="Y168" s="2978"/>
      <c r="Z168" s="2978"/>
      <c r="AA168" s="2978"/>
      <c r="AB168" s="2978"/>
      <c r="AC168" s="2978"/>
      <c r="AD168" s="2978"/>
      <c r="AE168" s="2978"/>
      <c r="AF168" s="2978"/>
      <c r="AG168" s="2978"/>
      <c r="AH168" s="2978"/>
      <c r="AI168" s="2978"/>
      <c r="AJ168" s="2978"/>
      <c r="AK168" s="2978"/>
      <c r="AL168" s="2978"/>
      <c r="AM168" s="2978"/>
      <c r="AN168" s="2978"/>
      <c r="AO168" s="2978"/>
      <c r="AP168" s="2978"/>
      <c r="AQ168" s="2978"/>
      <c r="AR168" s="2978"/>
      <c r="AS168" s="2978"/>
      <c r="AT168" s="2978"/>
      <c r="AU168" s="2978"/>
      <c r="AV168" s="2978"/>
      <c r="AW168" s="2978"/>
      <c r="AX168" s="2978"/>
      <c r="AY168" s="2978"/>
      <c r="AZ168" s="2978"/>
      <c r="BA168" s="2978"/>
      <c r="BB168" s="2978"/>
      <c r="BC168" s="2978"/>
      <c r="BD168" s="2979"/>
      <c r="BE168" s="1772"/>
    </row>
    <row r="169" spans="1:57" ht="15.75" customHeight="1">
      <c r="A169" s="1766"/>
      <c r="B169" s="2980"/>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772"/>
    </row>
    <row r="170" spans="1:57" ht="15.75" customHeight="1">
      <c r="A170" s="1766"/>
      <c r="B170" s="2983" t="s">
        <v>2081</v>
      </c>
      <c r="C170" s="2984"/>
      <c r="D170" s="2984"/>
      <c r="E170" s="2984"/>
      <c r="F170" s="2984"/>
      <c r="G170" s="2984"/>
      <c r="H170" s="2984"/>
      <c r="I170" s="2984"/>
      <c r="J170" s="2984"/>
      <c r="K170" s="2984"/>
      <c r="L170" s="2984"/>
      <c r="M170" s="2984"/>
      <c r="N170" s="2984"/>
      <c r="O170" s="2984"/>
      <c r="P170" s="2984"/>
      <c r="Q170" s="2984"/>
      <c r="R170" s="2984"/>
      <c r="S170" s="2984"/>
      <c r="T170" s="2984"/>
      <c r="U170" s="2984"/>
      <c r="V170" s="2984"/>
      <c r="W170" s="2984"/>
      <c r="X170" s="2984"/>
      <c r="Y170" s="2984"/>
      <c r="Z170" s="2984"/>
      <c r="AA170" s="2984"/>
      <c r="AB170" s="2984"/>
      <c r="AC170" s="2984"/>
      <c r="AD170" s="2984"/>
      <c r="AE170" s="2984"/>
      <c r="AF170" s="2984"/>
      <c r="AG170" s="2984"/>
      <c r="AH170" s="2984"/>
      <c r="AI170" s="2984"/>
      <c r="AJ170" s="2984"/>
      <c r="AK170" s="2984"/>
      <c r="AL170" s="2984"/>
      <c r="AM170" s="2984"/>
      <c r="AN170" s="2984"/>
      <c r="AO170" s="2984"/>
      <c r="AP170" s="2984"/>
      <c r="AQ170" s="2984"/>
      <c r="AR170" s="2984"/>
      <c r="AS170" s="2984"/>
      <c r="AT170" s="2984"/>
      <c r="AU170" s="2984"/>
      <c r="AV170" s="2984"/>
      <c r="AW170" s="2984"/>
      <c r="AX170" s="2984"/>
      <c r="AY170" s="2984"/>
      <c r="AZ170" s="2984"/>
      <c r="BA170" s="2984"/>
      <c r="BB170" s="2984"/>
      <c r="BC170" s="2984"/>
      <c r="BD170" s="2985"/>
      <c r="BE170" s="1772"/>
    </row>
    <row r="171" spans="1:57" ht="15.75" customHeight="1">
      <c r="A171" s="1766"/>
      <c r="B171" s="2983" t="s">
        <v>2082</v>
      </c>
      <c r="C171" s="2984"/>
      <c r="D171" s="2984"/>
      <c r="E171" s="2984"/>
      <c r="F171" s="2984"/>
      <c r="G171" s="2984"/>
      <c r="H171" s="2984"/>
      <c r="I171" s="2984"/>
      <c r="J171" s="2984"/>
      <c r="K171" s="2984"/>
      <c r="L171" s="2984"/>
      <c r="M171" s="2984"/>
      <c r="N171" s="2984"/>
      <c r="O171" s="2984"/>
      <c r="P171" s="2984"/>
      <c r="Q171" s="2984"/>
      <c r="R171" s="2984"/>
      <c r="S171" s="2984"/>
      <c r="T171" s="2984"/>
      <c r="U171" s="2984"/>
      <c r="V171" s="2984"/>
      <c r="W171" s="2984"/>
      <c r="X171" s="2984"/>
      <c r="Y171" s="2984"/>
      <c r="Z171" s="2984"/>
      <c r="AA171" s="2984"/>
      <c r="AB171" s="2984"/>
      <c r="AC171" s="2984"/>
      <c r="AD171" s="2984"/>
      <c r="AE171" s="2984"/>
      <c r="AF171" s="2984"/>
      <c r="AG171" s="2984"/>
      <c r="AH171" s="2984"/>
      <c r="AI171" s="2984"/>
      <c r="AJ171" s="2984"/>
      <c r="AK171" s="2984"/>
      <c r="AL171" s="2984"/>
      <c r="AM171" s="2984"/>
      <c r="AN171" s="2984"/>
      <c r="AO171" s="2984"/>
      <c r="AP171" s="2984"/>
      <c r="AQ171" s="2984"/>
      <c r="AR171" s="2984"/>
      <c r="AS171" s="2984"/>
      <c r="AT171" s="2984"/>
      <c r="AU171" s="2984"/>
      <c r="AV171" s="2984"/>
      <c r="AW171" s="2984"/>
      <c r="AX171" s="2984"/>
      <c r="AY171" s="2984"/>
      <c r="AZ171" s="2984"/>
      <c r="BA171" s="2984"/>
      <c r="BB171" s="2984"/>
      <c r="BC171" s="2984"/>
      <c r="BD171" s="2985"/>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986" t="s">
        <v>2083</v>
      </c>
      <c r="C173" s="2987"/>
      <c r="D173" s="2987"/>
      <c r="E173" s="2987"/>
      <c r="F173" s="2987"/>
      <c r="G173" s="2987"/>
      <c r="H173" s="2987"/>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2987"/>
      <c r="BA173" s="2987"/>
      <c r="BB173" s="2987"/>
      <c r="BC173" s="2987"/>
      <c r="BD173" s="2988"/>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2084</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989" t="s">
        <v>2085</v>
      </c>
      <c r="I177" s="2989"/>
      <c r="J177" s="2989"/>
      <c r="K177" s="2989"/>
      <c r="L177" s="2989"/>
      <c r="M177" s="2989"/>
      <c r="N177" s="2989"/>
      <c r="O177" s="2989"/>
      <c r="P177" s="2989"/>
      <c r="Q177" s="2989"/>
      <c r="R177" s="2989"/>
      <c r="S177" s="2989"/>
      <c r="T177" s="2989"/>
      <c r="U177" s="2989"/>
      <c r="V177" s="2989"/>
      <c r="W177" s="2989"/>
      <c r="X177" s="2989"/>
      <c r="Y177" s="2989"/>
      <c r="Z177" s="2989"/>
      <c r="AA177" s="2989"/>
      <c r="AB177" s="2989"/>
      <c r="AC177" s="2989"/>
      <c r="AD177" s="2989"/>
      <c r="AE177" s="2989"/>
      <c r="AF177" s="2989"/>
      <c r="AG177" s="2989"/>
      <c r="AH177" s="2989"/>
      <c r="AI177" s="2989"/>
      <c r="AJ177" s="2989"/>
      <c r="AK177" s="2989"/>
      <c r="AL177" s="2989"/>
      <c r="AM177" s="2989"/>
      <c r="AN177" s="2989"/>
      <c r="AO177" s="2989"/>
      <c r="AP177" s="2989"/>
      <c r="AQ177" s="2989"/>
      <c r="AR177" s="2989"/>
      <c r="AS177" s="2989"/>
      <c r="AT177" s="2989"/>
      <c r="AU177" s="2989"/>
      <c r="AV177" s="2989"/>
      <c r="AW177" s="2989"/>
      <c r="AX177" s="2989"/>
      <c r="AY177" s="2989"/>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3001" t="s">
        <v>2461</v>
      </c>
      <c r="I179" s="3001"/>
      <c r="J179" s="3001"/>
      <c r="K179" s="3001"/>
      <c r="L179" s="3001"/>
      <c r="M179" s="3001"/>
      <c r="N179" s="3001"/>
      <c r="O179" s="3001"/>
      <c r="P179" s="3001"/>
      <c r="Q179" s="3001"/>
      <c r="R179" s="3001"/>
      <c r="S179" s="3001"/>
      <c r="T179" s="3001"/>
      <c r="U179" s="3001"/>
      <c r="V179" s="3001"/>
      <c r="W179" s="3001"/>
      <c r="X179" s="3001"/>
      <c r="Y179" s="3001"/>
      <c r="Z179" s="3001"/>
      <c r="AA179" s="3001"/>
      <c r="AB179" s="3001"/>
      <c r="AC179" s="3001"/>
      <c r="AD179" s="3001"/>
      <c r="AE179" s="3001"/>
      <c r="AF179" s="3001"/>
      <c r="AG179" s="3001"/>
      <c r="AH179" s="3001"/>
      <c r="AI179" s="3001"/>
      <c r="AJ179" s="3001"/>
      <c r="AK179" s="3001"/>
      <c r="AL179" s="3001"/>
      <c r="AM179" s="3001"/>
      <c r="AN179" s="3001"/>
      <c r="AO179" s="3001"/>
      <c r="AP179" s="3001"/>
      <c r="AQ179" s="3001"/>
      <c r="AR179" s="3001"/>
      <c r="AS179" s="3001"/>
      <c r="AT179" s="3001"/>
      <c r="AU179" s="3001"/>
      <c r="AV179" s="3001"/>
      <c r="AW179" s="3001"/>
      <c r="AX179" s="3001"/>
      <c r="AY179" s="3001"/>
      <c r="AZ179" s="3001"/>
      <c r="BA179" s="1766"/>
      <c r="BB179" s="1766"/>
      <c r="BC179" s="1766"/>
      <c r="BD179" s="1772"/>
      <c r="BE179" s="1772"/>
    </row>
    <row r="180" spans="1:57" ht="15.75" customHeight="1">
      <c r="A180" s="1766"/>
      <c r="B180" s="1765"/>
      <c r="C180" s="1766"/>
      <c r="D180" s="1766"/>
      <c r="E180" s="1766"/>
      <c r="F180" s="1766"/>
      <c r="G180" s="1766"/>
      <c r="H180" s="3001"/>
      <c r="I180" s="3001"/>
      <c r="J180" s="3001"/>
      <c r="K180" s="3001"/>
      <c r="L180" s="3001"/>
      <c r="M180" s="3001"/>
      <c r="N180" s="3001"/>
      <c r="O180" s="3001"/>
      <c r="P180" s="3001"/>
      <c r="Q180" s="3001"/>
      <c r="R180" s="3001"/>
      <c r="S180" s="3001"/>
      <c r="T180" s="3001"/>
      <c r="U180" s="3001"/>
      <c r="V180" s="3001"/>
      <c r="W180" s="3001"/>
      <c r="X180" s="3001"/>
      <c r="Y180" s="3001"/>
      <c r="Z180" s="3001"/>
      <c r="AA180" s="3001"/>
      <c r="AB180" s="3001"/>
      <c r="AC180" s="3001"/>
      <c r="AD180" s="3001"/>
      <c r="AE180" s="3001"/>
      <c r="AF180" s="3001"/>
      <c r="AG180" s="3001"/>
      <c r="AH180" s="3001"/>
      <c r="AI180" s="3001"/>
      <c r="AJ180" s="3001"/>
      <c r="AK180" s="3001"/>
      <c r="AL180" s="3001"/>
      <c r="AM180" s="3001"/>
      <c r="AN180" s="3001"/>
      <c r="AO180" s="3001"/>
      <c r="AP180" s="3001"/>
      <c r="AQ180" s="3001"/>
      <c r="AR180" s="3001"/>
      <c r="AS180" s="3001"/>
      <c r="AT180" s="3001"/>
      <c r="AU180" s="3001"/>
      <c r="AV180" s="3001"/>
      <c r="AW180" s="3001"/>
      <c r="AX180" s="3001"/>
      <c r="AY180" s="3001"/>
      <c r="AZ180" s="3001"/>
      <c r="BA180" s="1766"/>
      <c r="BB180" s="1766"/>
      <c r="BC180" s="1766"/>
      <c r="BD180" s="1772"/>
      <c r="BE180" s="1772"/>
    </row>
    <row r="181" spans="1:57" ht="15.75" customHeight="1">
      <c r="A181" s="1766"/>
      <c r="B181" s="1765"/>
      <c r="C181" s="1766"/>
      <c r="D181" s="1766"/>
      <c r="E181" s="1766"/>
      <c r="F181" s="1766"/>
      <c r="G181" s="1766"/>
      <c r="H181" s="3001"/>
      <c r="I181" s="3001"/>
      <c r="J181" s="3001"/>
      <c r="K181" s="3001"/>
      <c r="L181" s="3001"/>
      <c r="M181" s="3001"/>
      <c r="N181" s="3001"/>
      <c r="O181" s="3001"/>
      <c r="P181" s="3001"/>
      <c r="Q181" s="3001"/>
      <c r="R181" s="3001"/>
      <c r="S181" s="3001"/>
      <c r="T181" s="3001"/>
      <c r="U181" s="3001"/>
      <c r="V181" s="3001"/>
      <c r="W181" s="3001"/>
      <c r="X181" s="3001"/>
      <c r="Y181" s="3001"/>
      <c r="Z181" s="3001"/>
      <c r="AA181" s="3001"/>
      <c r="AB181" s="3001"/>
      <c r="AC181" s="3001"/>
      <c r="AD181" s="3001"/>
      <c r="AE181" s="3001"/>
      <c r="AF181" s="3001"/>
      <c r="AG181" s="3001"/>
      <c r="AH181" s="3001"/>
      <c r="AI181" s="3001"/>
      <c r="AJ181" s="3001"/>
      <c r="AK181" s="3001"/>
      <c r="AL181" s="3001"/>
      <c r="AM181" s="3001"/>
      <c r="AN181" s="3001"/>
      <c r="AO181" s="3001"/>
      <c r="AP181" s="3001"/>
      <c r="AQ181" s="3001"/>
      <c r="AR181" s="3001"/>
      <c r="AS181" s="3001"/>
      <c r="AT181" s="3001"/>
      <c r="AU181" s="3001"/>
      <c r="AV181" s="3001"/>
      <c r="AW181" s="3001"/>
      <c r="AX181" s="3001"/>
      <c r="AY181" s="3001"/>
      <c r="AZ181" s="3001"/>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3002" t="s">
        <v>2086</v>
      </c>
      <c r="I184" s="3002"/>
      <c r="J184" s="3002"/>
      <c r="K184" s="3002"/>
      <c r="L184" s="3002"/>
      <c r="M184" s="3002"/>
      <c r="N184" s="3002"/>
      <c r="O184" s="3002"/>
      <c r="P184" s="3002"/>
      <c r="Q184" s="3002"/>
      <c r="R184" s="3002"/>
      <c r="S184" s="3002"/>
      <c r="T184" s="3002"/>
      <c r="U184" s="3002"/>
      <c r="V184" s="3002"/>
      <c r="W184" s="3002"/>
      <c r="X184" s="3002"/>
      <c r="Y184" s="3002"/>
      <c r="Z184" s="3002"/>
      <c r="AA184" s="3002"/>
      <c r="AB184" s="3002"/>
      <c r="AC184" s="3002"/>
      <c r="AD184" s="3002"/>
      <c r="AE184" s="3002"/>
      <c r="AF184" s="3002"/>
      <c r="AG184" s="3002"/>
      <c r="AH184" s="3002"/>
      <c r="AI184" s="3002"/>
      <c r="AJ184" s="3002"/>
      <c r="AK184" s="3002"/>
      <c r="AL184" s="3002"/>
      <c r="AM184" s="3002"/>
      <c r="AN184" s="3002"/>
      <c r="AO184" s="3002"/>
      <c r="AP184" s="3002"/>
      <c r="AQ184" s="3002"/>
      <c r="AR184" s="3002"/>
      <c r="AS184" s="3002"/>
      <c r="AT184" s="3002"/>
      <c r="AU184" s="3002"/>
      <c r="AV184" s="3002"/>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994" t="s">
        <v>2087</v>
      </c>
      <c r="I186" s="2994"/>
      <c r="J186" s="2994"/>
      <c r="K186" s="2994"/>
      <c r="L186" s="1778"/>
      <c r="M186" s="1778"/>
      <c r="N186" s="1778"/>
      <c r="O186" s="1778"/>
      <c r="P186" s="1778"/>
      <c r="Q186" s="1778"/>
      <c r="R186" s="1778"/>
      <c r="S186" s="3003"/>
      <c r="T186" s="2996"/>
      <c r="U186" s="2996"/>
      <c r="V186" s="2996"/>
      <c r="W186" s="2996"/>
      <c r="X186" s="2996"/>
      <c r="Y186" s="2996"/>
      <c r="Z186" s="2996"/>
      <c r="AA186" s="2996"/>
      <c r="AB186" s="2996"/>
      <c r="AC186" s="2996"/>
      <c r="AD186" s="2996"/>
      <c r="AE186" s="2996"/>
      <c r="AF186" s="2996"/>
      <c r="AG186" s="2996"/>
      <c r="AH186" s="2996"/>
      <c r="AI186" s="2996"/>
      <c r="AJ186" s="2997"/>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994" t="s">
        <v>2088</v>
      </c>
      <c r="I188" s="2994"/>
      <c r="J188" s="2994"/>
      <c r="K188" s="1799"/>
      <c r="L188" s="1778"/>
      <c r="M188" s="1778"/>
      <c r="N188" s="1778"/>
      <c r="O188" s="1778"/>
      <c r="P188" s="1778"/>
      <c r="Q188" s="1778"/>
      <c r="R188" s="1778"/>
      <c r="S188" s="2995" t="s">
        <v>2495</v>
      </c>
      <c r="T188" s="2996"/>
      <c r="U188" s="2996"/>
      <c r="V188" s="2996"/>
      <c r="W188" s="2996"/>
      <c r="X188" s="2996"/>
      <c r="Y188" s="2996"/>
      <c r="Z188" s="2996"/>
      <c r="AA188" s="2996"/>
      <c r="AB188" s="2996"/>
      <c r="AC188" s="2996"/>
      <c r="AD188" s="2996"/>
      <c r="AE188" s="2996"/>
      <c r="AF188" s="2996"/>
      <c r="AG188" s="2996"/>
      <c r="AH188" s="2996"/>
      <c r="AI188" s="2996"/>
      <c r="AJ188" s="2997"/>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994" t="s">
        <v>463</v>
      </c>
      <c r="I190" s="2994"/>
      <c r="J190" s="1799"/>
      <c r="K190" s="1799"/>
      <c r="L190" s="1778"/>
      <c r="M190" s="1778"/>
      <c r="N190" s="1778"/>
      <c r="O190" s="1778"/>
      <c r="P190" s="1778"/>
      <c r="Q190" s="1778"/>
      <c r="R190" s="1778"/>
      <c r="S190" s="2995" t="s">
        <v>2496</v>
      </c>
      <c r="T190" s="2996"/>
      <c r="U190" s="2996"/>
      <c r="V190" s="2996"/>
      <c r="W190" s="2996"/>
      <c r="X190" s="2996"/>
      <c r="Y190" s="2996"/>
      <c r="Z190" s="2996"/>
      <c r="AA190" s="2996"/>
      <c r="AB190" s="2996"/>
      <c r="AC190" s="2996"/>
      <c r="AD190" s="2996"/>
      <c r="AE190" s="2996"/>
      <c r="AF190" s="2996"/>
      <c r="AG190" s="2996"/>
      <c r="AH190" s="2996"/>
      <c r="AI190" s="2996"/>
      <c r="AJ190" s="2997"/>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998" t="s">
        <v>2089</v>
      </c>
      <c r="I192" s="2998"/>
      <c r="J192" s="2998"/>
      <c r="K192" s="2998"/>
      <c r="L192" s="2998"/>
      <c r="M192" s="2998"/>
      <c r="N192" s="2998"/>
      <c r="O192" s="2998"/>
      <c r="P192" s="1778"/>
      <c r="Q192" s="1778"/>
      <c r="R192" s="1778"/>
      <c r="S192" s="2995" t="s">
        <v>2515</v>
      </c>
      <c r="T192" s="2996"/>
      <c r="U192" s="2996"/>
      <c r="V192" s="2996"/>
      <c r="W192" s="2996"/>
      <c r="X192" s="2996"/>
      <c r="Y192" s="2996"/>
      <c r="Z192" s="2996"/>
      <c r="AA192" s="2996"/>
      <c r="AB192" s="2996"/>
      <c r="AC192" s="2996"/>
      <c r="AD192" s="2996"/>
      <c r="AE192" s="2996"/>
      <c r="AF192" s="2996"/>
      <c r="AG192" s="2996"/>
      <c r="AH192" s="2996"/>
      <c r="AI192" s="2996"/>
      <c r="AJ192" s="2997"/>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999" t="s">
        <v>2090</v>
      </c>
      <c r="I194" s="2999"/>
      <c r="J194" s="1778"/>
      <c r="K194" s="1778"/>
      <c r="L194" s="1778"/>
      <c r="M194" s="1778"/>
      <c r="N194" s="1778"/>
      <c r="O194" s="1778"/>
      <c r="P194" s="1778"/>
      <c r="Q194" s="1778"/>
      <c r="R194" s="1778"/>
      <c r="S194" s="3000">
        <v>44623</v>
      </c>
      <c r="T194" s="2996"/>
      <c r="U194" s="2996"/>
      <c r="V194" s="2996"/>
      <c r="W194" s="2996"/>
      <c r="X194" s="2996"/>
      <c r="Y194" s="2996"/>
      <c r="Z194" s="2996"/>
      <c r="AA194" s="2996"/>
      <c r="AB194" s="2996"/>
      <c r="AC194" s="2996"/>
      <c r="AD194" s="2996"/>
      <c r="AE194" s="2996"/>
      <c r="AF194" s="2996"/>
      <c r="AG194" s="2996"/>
      <c r="AH194" s="2996"/>
      <c r="AI194" s="2996"/>
      <c r="AJ194" s="2997"/>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255</v>
      </c>
    </row>
  </sheetData>
  <sheetProtection algorithmName="SHA-512" hashValue="dWOMEcUICU7vjiW8ZXpqxCk5x1ACUFEvtQ37tV6HJJtelF++wn/cIfeIWuhBzQPDvD37yNAZ/CQ1pptVI2xqnA==" saltValue="8SY5sqxgTTdr3gKJwEbKTQ=="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1" zoomScaleNormal="100" zoomScaleSheetLayoutView="100" workbookViewId="0">
      <selection activeCell="C91" sqref="C9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0" t="s">
        <v>1554</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4"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1555</v>
      </c>
      <c r="B4" s="929" t="s">
        <v>1556</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1557</v>
      </c>
      <c r="B7" s="929" t="s">
        <v>1558</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226" t="s">
        <v>1559</v>
      </c>
      <c r="AF7" s="3226"/>
      <c r="AG7" s="3226"/>
      <c r="AH7" s="3226"/>
      <c r="AI7" s="3226"/>
      <c r="AJ7" s="3226"/>
      <c r="AK7" s="3226"/>
      <c r="AL7" s="930"/>
      <c r="AM7" s="930"/>
      <c r="AN7" s="926"/>
    </row>
    <row r="8" spans="1:42" s="927" customFormat="1" ht="12.75" customHeight="1">
      <c r="A8" s="928"/>
      <c r="B8" s="929" t="s">
        <v>2159</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1560</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235" t="s">
        <v>625</v>
      </c>
      <c r="C12" s="3235"/>
      <c r="D12" s="937"/>
      <c r="E12" s="938" t="s">
        <v>1561</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252"/>
      <c r="AH12" s="3252"/>
      <c r="AI12" s="3252"/>
      <c r="AJ12" s="3253"/>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235" t="s">
        <v>625</v>
      </c>
      <c r="C15" s="3235"/>
      <c r="D15" s="937"/>
      <c r="E15" s="3254" t="s">
        <v>1562</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0"/>
      <c r="AL15" s="930"/>
      <c r="AM15" s="930"/>
      <c r="AN15" s="926"/>
      <c r="AO15" s="940">
        <f>IF($B24="yes",20,0)</f>
        <v>0</v>
      </c>
      <c r="AP15" s="51"/>
    </row>
    <row r="16" spans="1:42" s="927" customFormat="1" ht="12.75" customHeight="1">
      <c r="A16" s="930"/>
      <c r="B16" s="930"/>
      <c r="C16" s="930"/>
      <c r="D16" s="941"/>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0"/>
      <c r="AL16" s="930"/>
      <c r="AM16" s="930"/>
      <c r="AN16" s="926"/>
      <c r="AO16" s="927">
        <f>IF(SUM(AO12:AO15)&gt;20,20,(SUM(AO12:AO15)))</f>
        <v>0</v>
      </c>
      <c r="AP16" s="927" t="s">
        <v>1563</v>
      </c>
    </row>
    <row r="17" spans="1:42" s="927" customFormat="1" ht="12.75" customHeight="1">
      <c r="A17" s="930"/>
      <c r="B17" s="930"/>
      <c r="C17" s="930"/>
      <c r="D17" s="941"/>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0"/>
      <c r="AL17" s="930"/>
      <c r="AM17" s="930"/>
      <c r="AN17" s="926"/>
    </row>
    <row r="18" spans="1:42" s="927" customFormat="1" ht="12.75" customHeight="1">
      <c r="A18" s="930"/>
      <c r="B18" s="930"/>
      <c r="C18" s="930"/>
      <c r="D18" s="941"/>
      <c r="E18" s="942" t="s">
        <v>1564</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235" t="s">
        <v>625</v>
      </c>
      <c r="C21" s="3235"/>
      <c r="D21" s="937"/>
      <c r="E21" s="3264" t="s">
        <v>1565</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0"/>
      <c r="AL21" s="930"/>
      <c r="AM21" s="930"/>
      <c r="AN21" s="926"/>
      <c r="AO21" s="927">
        <f>SUM(AO20)</f>
        <v>0</v>
      </c>
      <c r="AP21" s="927" t="s">
        <v>1563</v>
      </c>
    </row>
    <row r="22" spans="1:42" s="927" customFormat="1" ht="12.75" customHeight="1">
      <c r="A22" s="930"/>
      <c r="B22" s="930"/>
      <c r="C22" s="930"/>
      <c r="D22" s="940"/>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235" t="s">
        <v>625</v>
      </c>
      <c r="C24" s="3235"/>
      <c r="D24" s="937"/>
      <c r="E24" s="3166" t="s">
        <v>1566</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30"/>
      <c r="AL24" s="930"/>
      <c r="AM24" s="930"/>
      <c r="AN24" s="926"/>
      <c r="AO24" s="940">
        <f>IF($B39="yes",6,0)</f>
        <v>0</v>
      </c>
    </row>
    <row r="25" spans="1:42" s="927" customFormat="1" ht="12.75" customHeight="1">
      <c r="A25" s="930"/>
      <c r="B25" s="930"/>
      <c r="C25" s="930"/>
      <c r="D25" s="940"/>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1567</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235" t="s">
        <v>625</v>
      </c>
      <c r="C29" s="3235"/>
      <c r="D29" s="937"/>
      <c r="E29" s="3166" t="s">
        <v>1568</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30"/>
      <c r="AL29" s="930"/>
      <c r="AM29" s="930"/>
      <c r="AN29" s="926"/>
      <c r="AO29" s="940">
        <f>IF($B49="yes",6,0)</f>
        <v>0</v>
      </c>
    </row>
    <row r="30" spans="1:42" s="927" customFormat="1" ht="12.75" customHeight="1">
      <c r="A30" s="930"/>
      <c r="B30" s="930"/>
      <c r="C30" s="930"/>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30"/>
      <c r="AL30" s="930"/>
      <c r="AM30" s="930"/>
      <c r="AN30" s="926"/>
      <c r="AO30" s="927">
        <f>IF(SUM(AO23:AO29)&gt;6,6,(SUM(AO23:AO29)))</f>
        <v>0</v>
      </c>
      <c r="AP30" s="927" t="s">
        <v>1563</v>
      </c>
    </row>
    <row r="31" spans="1:42" s="927" customFormat="1" ht="12.75" customHeight="1">
      <c r="A31" s="930"/>
      <c r="B31" s="930"/>
      <c r="C31" s="930"/>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1569</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260" t="s">
        <v>2329</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0"/>
      <c r="AM34" s="930"/>
      <c r="AN34" s="926"/>
    </row>
    <row r="35" spans="1:41" s="927" customFormat="1" ht="12.75" customHeight="1">
      <c r="A35" s="930"/>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235" t="s">
        <v>625</v>
      </c>
      <c r="C37" s="3235"/>
      <c r="D37" s="937"/>
      <c r="E37" s="945" t="s">
        <v>1570</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235" t="s">
        <v>625</v>
      </c>
      <c r="C39" s="3235"/>
      <c r="D39" s="937"/>
      <c r="E39" s="947" t="s">
        <v>1571</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235" t="s">
        <v>625</v>
      </c>
      <c r="C41" s="3235"/>
      <c r="D41" s="937"/>
      <c r="E41" s="948" t="s">
        <v>1572</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235" t="s">
        <v>625</v>
      </c>
      <c r="C43" s="3235"/>
      <c r="D43" s="937"/>
      <c r="E43" s="948" t="s">
        <v>1573</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235" t="s">
        <v>625</v>
      </c>
      <c r="C45" s="3235"/>
      <c r="D45" s="937"/>
      <c r="E45" s="948" t="s">
        <v>1574</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235" t="s">
        <v>625</v>
      </c>
      <c r="C47" s="3235"/>
      <c r="D47" s="937"/>
      <c r="E47" s="950" t="s">
        <v>1575</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235" t="s">
        <v>625</v>
      </c>
      <c r="C49" s="3235"/>
      <c r="D49" s="937"/>
      <c r="E49" s="950" t="s">
        <v>1576</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1577</v>
      </c>
      <c r="AK51" s="3210">
        <f>AO32</f>
        <v>0</v>
      </c>
      <c r="AL51" s="3211"/>
      <c r="AM51" s="3212"/>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1578</v>
      </c>
      <c r="B54" s="929" t="s">
        <v>1579</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226" t="s">
        <v>1580</v>
      </c>
      <c r="AF54" s="3226"/>
      <c r="AG54" s="3226"/>
      <c r="AH54" s="3226"/>
      <c r="AI54" s="3226"/>
      <c r="AJ54" s="3226"/>
      <c r="AK54" s="3226"/>
      <c r="AL54" s="930"/>
      <c r="AM54" s="930"/>
      <c r="AN54" s="926"/>
    </row>
    <row r="55" spans="1:50" s="927" customFormat="1" ht="12.75" customHeight="1">
      <c r="A55" s="928"/>
      <c r="B55" s="929" t="s">
        <v>2158</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235" t="s">
        <v>625</v>
      </c>
      <c r="C57" s="3235"/>
      <c r="D57" s="937" t="s">
        <v>1581</v>
      </c>
      <c r="E57" s="3254" t="s">
        <v>2170</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3"/>
      <c r="AL57" s="930"/>
      <c r="AM57" s="930"/>
      <c r="AN57" s="926"/>
      <c r="AO57" s="940">
        <f>IF($B57="yes",10,0)</f>
        <v>0</v>
      </c>
    </row>
    <row r="58" spans="1:50" s="927" customFormat="1" ht="12.75" customHeight="1">
      <c r="A58" s="928"/>
      <c r="B58" s="930"/>
      <c r="C58" s="930"/>
      <c r="D58" s="941"/>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3"/>
      <c r="AL58" s="930"/>
      <c r="AM58" s="930"/>
      <c r="AN58" s="926"/>
      <c r="AO58" s="940">
        <f>IF($B62="yes",10,0)</f>
        <v>10</v>
      </c>
    </row>
    <row r="59" spans="1:50" s="927" customFormat="1" ht="12.75" customHeight="1">
      <c r="A59" s="928"/>
      <c r="B59" s="930"/>
      <c r="C59" s="930"/>
      <c r="D59" s="941"/>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3"/>
      <c r="AL59" s="930"/>
      <c r="AM59" s="930"/>
      <c r="AN59" s="926"/>
      <c r="AO59" s="940">
        <f>IF($B69="yes",10,0)</f>
        <v>0</v>
      </c>
    </row>
    <row r="60" spans="1:50" s="927" customFormat="1" ht="12.75" customHeight="1">
      <c r="A60" s="928"/>
      <c r="B60" s="930"/>
      <c r="C60" s="930"/>
      <c r="D60" s="941"/>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3"/>
      <c r="AL60" s="930"/>
      <c r="AM60" s="930"/>
      <c r="AN60" s="926"/>
      <c r="AO60" s="927">
        <f>IF(SUM(AO57:AO59)&gt;10,10,(SUM(AO57:AO59)))</f>
        <v>10</v>
      </c>
      <c r="AP60" s="965" t="s">
        <v>1582</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235" t="s">
        <v>577</v>
      </c>
      <c r="C62" s="3235"/>
      <c r="D62" s="937" t="s">
        <v>1583</v>
      </c>
      <c r="E62" s="1594" t="s">
        <v>2154</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239" t="s">
        <v>625</v>
      </c>
      <c r="F63" s="3235"/>
      <c r="G63" s="966"/>
      <c r="H63" s="1593" t="s">
        <v>1584</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233" t="s">
        <v>625</v>
      </c>
      <c r="F64" s="3234"/>
      <c r="G64" s="966"/>
      <c r="H64" s="1593" t="s">
        <v>1585</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233" t="s">
        <v>625</v>
      </c>
      <c r="F65" s="3234"/>
      <c r="G65" s="966"/>
      <c r="H65" s="1593" t="s">
        <v>2169</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239" t="s">
        <v>577</v>
      </c>
      <c r="F67" s="3235"/>
      <c r="G67" s="1496"/>
      <c r="H67" s="1602" t="s">
        <v>2168</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235" t="s">
        <v>625</v>
      </c>
      <c r="C69" s="3235"/>
      <c r="D69" s="937" t="s">
        <v>1586</v>
      </c>
      <c r="E69" s="3166" t="s">
        <v>2171</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3"/>
      <c r="AL69" s="930"/>
      <c r="AM69" s="930"/>
      <c r="AN69" s="926"/>
    </row>
    <row r="70" spans="1:40" s="927" customFormat="1" ht="12.75" customHeight="1">
      <c r="A70" s="928"/>
      <c r="B70" s="930"/>
      <c r="C70" s="930"/>
      <c r="D70" s="940"/>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1587</v>
      </c>
      <c r="AK72" s="3210">
        <f>IF(AK51&gt;0,0,AO60)</f>
        <v>10</v>
      </c>
      <c r="AL72" s="3211"/>
      <c r="AM72" s="3212"/>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1588</v>
      </c>
      <c r="B75" s="929" t="s">
        <v>1589</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226" t="s">
        <v>1559</v>
      </c>
      <c r="AF75" s="3226"/>
      <c r="AG75" s="3226"/>
      <c r="AH75" s="3226"/>
      <c r="AI75" s="3226"/>
      <c r="AJ75" s="3226"/>
      <c r="AK75" s="3226"/>
      <c r="AL75" s="930"/>
      <c r="AM75" s="930"/>
      <c r="AN75" s="926"/>
    </row>
    <row r="76" spans="1:40" s="927" customFormat="1" ht="12.75" customHeight="1">
      <c r="A76" s="928"/>
      <c r="B76" s="929" t="s">
        <v>1590</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235" t="s">
        <v>625</v>
      </c>
      <c r="C78" s="3235"/>
      <c r="D78" s="937" t="s">
        <v>1581</v>
      </c>
      <c r="E78" s="3242" t="s">
        <v>1591</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3"/>
      <c r="AL78" s="930"/>
      <c r="AM78" s="930"/>
      <c r="AN78" s="926"/>
    </row>
    <row r="79" spans="1:40" s="927" customFormat="1" ht="12.75" customHeight="1">
      <c r="A79" s="928"/>
      <c r="B79" s="929"/>
      <c r="C79" s="929"/>
      <c r="D79" s="929"/>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224">
        <f>Application!AH753</f>
        <v>0.59583333333333333</v>
      </c>
      <c r="F81" s="3225"/>
      <c r="G81" s="3225"/>
      <c r="H81" s="3225"/>
      <c r="I81" s="968"/>
      <c r="J81" s="971" t="s">
        <v>1592</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248">
        <f>0.6-ROUNDUP(E81,2)</f>
        <v>0</v>
      </c>
      <c r="F82" s="3249"/>
      <c r="G82" s="3249"/>
      <c r="H82" s="3249"/>
      <c r="I82" s="968"/>
      <c r="J82" s="971" t="s">
        <v>1593</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240">
        <f>IF(E82*200&gt;20,20,E82*200)</f>
        <v>0</v>
      </c>
      <c r="F83" s="3241"/>
      <c r="G83" s="3241"/>
      <c r="H83" s="3241"/>
      <c r="I83" s="968"/>
      <c r="J83" s="971" t="s">
        <v>1594</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1563</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235" t="s">
        <v>577</v>
      </c>
      <c r="C86" s="3235"/>
      <c r="D86" s="937" t="s">
        <v>1583</v>
      </c>
      <c r="E86" s="3242" t="s">
        <v>2155</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3"/>
      <c r="AL86" s="930"/>
      <c r="AM86" s="930"/>
      <c r="AN86" s="926"/>
    </row>
    <row r="87" spans="1:47" s="927" customFormat="1" ht="12.75" customHeight="1">
      <c r="A87" s="928"/>
      <c r="B87" s="929"/>
      <c r="C87" s="929"/>
      <c r="D87" s="929"/>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3"/>
      <c r="AL87" s="930"/>
      <c r="AM87" s="930"/>
      <c r="AN87" s="926"/>
    </row>
    <row r="88" spans="1:47" s="927" customFormat="1" ht="12.75" customHeight="1">
      <c r="A88" s="928"/>
      <c r="B88" s="929"/>
      <c r="C88" s="929"/>
      <c r="D88" s="929"/>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3"/>
      <c r="AL88" s="930"/>
      <c r="AM88" s="930"/>
      <c r="AN88" s="926"/>
    </row>
    <row r="89" spans="1:47" s="927" customFormat="1" ht="12.75" customHeight="1">
      <c r="A89" s="928"/>
      <c r="B89" s="929"/>
      <c r="C89" s="929"/>
      <c r="D89" s="929"/>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224">
        <f>Application!AH753</f>
        <v>0.59583333333333333</v>
      </c>
      <c r="F91" s="3225"/>
      <c r="G91" s="3225"/>
      <c r="H91" s="3225"/>
      <c r="I91" s="968"/>
      <c r="J91" s="1430" t="s">
        <v>1592</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224">
        <f ca="1">SUMIF(Application!AH728:AL752,0.2,Application!G728:J752)/Application!G753+SUMIF(Application!AH728:AL752,0.25,Application!G728:J752)/Application!G753+SUMIF(Application!AH728:AL752,0.3,Application!G728:J752)/Application!G753</f>
        <v>0.10416666666666667</v>
      </c>
      <c r="F92" s="3225"/>
      <c r="G92" s="3225"/>
      <c r="H92" s="3225"/>
      <c r="I92" s="968"/>
      <c r="J92" s="971" t="s">
        <v>1595</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224">
        <f ca="1">SUMIF(Application!AH728:AL752,0.35,Application!G728:J752)/Application!G753+SUMIF(Application!AH728:AL752,0.4,Application!G728:J752)/Application!G753+SUMIF(Application!AH728:AL752,0.45,Application!G728:J752)/Application!G753+SUMIF(Application!AH728:AL752,0.5,Application!G728:J752)/Application!G753</f>
        <v>0.203125</v>
      </c>
      <c r="F93" s="3225"/>
      <c r="G93" s="3225"/>
      <c r="H93" s="3225"/>
      <c r="I93" s="968"/>
      <c r="J93" s="971" t="s">
        <v>1596</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227">
        <f ca="1">IF(AND(E91&lt;=0.6,E92&gt;=0.1,OR(E93&gt;=0.1,E92=1)),20,0)</f>
        <v>20</v>
      </c>
      <c r="F94" s="3228"/>
      <c r="G94" s="3228"/>
      <c r="H94" s="3228"/>
      <c r="I94" s="943"/>
      <c r="J94" s="978" t="s">
        <v>1594</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1563</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1597</v>
      </c>
      <c r="AK97" s="3210">
        <f ca="1">MAX(AP83,AP94)</f>
        <v>20</v>
      </c>
      <c r="AL97" s="3211"/>
      <c r="AM97" s="3212"/>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1598</v>
      </c>
      <c r="B100" s="929" t="s">
        <v>1599</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226" t="s">
        <v>1580</v>
      </c>
      <c r="AF100" s="3226"/>
      <c r="AG100" s="3226"/>
      <c r="AH100" s="3226"/>
      <c r="AI100" s="3226"/>
      <c r="AJ100" s="3226"/>
      <c r="AK100" s="3226"/>
      <c r="AL100" s="930"/>
      <c r="AM100" s="930"/>
      <c r="AN100" s="926"/>
      <c r="AO100" s="927" t="str">
        <f>Application!B728</f>
        <v>1 Bedroom</v>
      </c>
      <c r="AQ100" s="927">
        <f>Application!O728</f>
        <v>472</v>
      </c>
    </row>
    <row r="101" spans="1:49" s="927" customFormat="1" ht="12.75" customHeight="1">
      <c r="A101" s="930"/>
      <c r="B101" s="929" t="s">
        <v>1590</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812</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982</v>
      </c>
    </row>
    <row r="103" spans="1:49" s="927" customFormat="1" ht="12.75" customHeight="1">
      <c r="A103" s="930"/>
      <c r="B103" s="3235" t="s">
        <v>577</v>
      </c>
      <c r="C103" s="3235"/>
      <c r="D103" s="937" t="s">
        <v>1581</v>
      </c>
      <c r="E103" s="3242" t="s">
        <v>2315</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0"/>
      <c r="AL103" s="930"/>
      <c r="AM103" s="930"/>
      <c r="AN103" s="926"/>
      <c r="AO103" s="927" t="str">
        <f>Application!B731</f>
        <v>1 Bedroom</v>
      </c>
      <c r="AQ103" s="927">
        <f>Application!O731</f>
        <v>1152</v>
      </c>
      <c r="AU103" s="927" t="s">
        <v>2295</v>
      </c>
      <c r="AV103" s="1668" t="s">
        <v>2296</v>
      </c>
      <c r="AW103" s="927" t="s">
        <v>2297</v>
      </c>
    </row>
    <row r="104" spans="1:49" s="927" customFormat="1" ht="12.75" customHeight="1">
      <c r="A104" s="930"/>
      <c r="B104" s="929"/>
      <c r="C104" s="929"/>
      <c r="D104" s="929"/>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0"/>
      <c r="AL104" s="930"/>
      <c r="AM104" s="930"/>
      <c r="AN104" s="926"/>
      <c r="AO104" s="927" t="str">
        <f>Application!B732</f>
        <v>2 Bedrooms</v>
      </c>
      <c r="AQ104" s="927">
        <f>Application!O732</f>
        <v>568</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0"/>
      <c r="AL105" s="930"/>
      <c r="AM105" s="930"/>
      <c r="AN105" s="926"/>
      <c r="AO105" s="927" t="str">
        <f>Application!B733</f>
        <v>2 Bedrooms</v>
      </c>
      <c r="AQ105" s="927">
        <f>Application!O733</f>
        <v>976</v>
      </c>
      <c r="AU105" s="1671" t="str">
        <f>J112</f>
        <v>1-bedroom</v>
      </c>
      <c r="AV105" s="927">
        <f t="array" ref="AV105">SUM(IF(Application!B728:F752="1 Bedroom",Application!G728:J752))</f>
        <v>96</v>
      </c>
      <c r="AW105" s="1706">
        <f>AV105/AV110</f>
        <v>0.5</v>
      </c>
    </row>
    <row r="106" spans="1:49" s="927" customFormat="1" ht="12.75" customHeight="1">
      <c r="A106" s="930"/>
      <c r="B106" s="929"/>
      <c r="C106" s="929"/>
      <c r="D106" s="929"/>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0"/>
      <c r="AL106" s="930"/>
      <c r="AM106" s="930"/>
      <c r="AN106" s="926"/>
      <c r="AO106" s="927" t="str">
        <f>Application!B734</f>
        <v>2 Bedrooms</v>
      </c>
      <c r="AQ106" s="927">
        <f>Application!O734</f>
        <v>1180</v>
      </c>
      <c r="AU106" s="1671" t="str">
        <f>O112</f>
        <v>2-bedroom</v>
      </c>
      <c r="AV106" s="927">
        <f t="array" ref="AV106">SUM(IF(Application!B728:F752="2 Bedrooms",Application!G728:J752))</f>
        <v>48</v>
      </c>
      <c r="AW106" s="1706">
        <f>AV106/AV110</f>
        <v>0.25</v>
      </c>
    </row>
    <row r="107" spans="1:49" s="927" customFormat="1" ht="12.75" customHeight="1">
      <c r="A107" s="930"/>
      <c r="B107" s="929"/>
      <c r="C107" s="929"/>
      <c r="D107" s="929"/>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0"/>
      <c r="AL107" s="930"/>
      <c r="AM107" s="930"/>
      <c r="AN107" s="926"/>
      <c r="AO107" s="927" t="str">
        <f>Application!B735</f>
        <v>2 Bedrooms</v>
      </c>
      <c r="AQ107" s="927">
        <f>Application!O735</f>
        <v>1384</v>
      </c>
      <c r="AU107" s="1671" t="str">
        <f>T112</f>
        <v>3-bedroom</v>
      </c>
      <c r="AV107" s="927">
        <f t="array" ref="AV107">SUM(IF(Application!B728:F752="3 Bedrooms",Application!G728:J752))</f>
        <v>48</v>
      </c>
      <c r="AW107" s="1706">
        <f>AV107/AV110</f>
        <v>0.25</v>
      </c>
    </row>
    <row r="108" spans="1:49" s="927" customFormat="1" ht="12.75" customHeight="1">
      <c r="A108" s="930"/>
      <c r="B108" s="929"/>
      <c r="C108" s="929"/>
      <c r="D108" s="929"/>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0"/>
      <c r="AL108" s="930"/>
      <c r="AM108" s="930"/>
      <c r="AN108" s="926"/>
      <c r="AO108" s="927" t="str">
        <f>Application!B736</f>
        <v>3 Bedrooms</v>
      </c>
      <c r="AQ108" s="927">
        <f>Application!O736</f>
        <v>659</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0"/>
      <c r="AL109" s="930"/>
      <c r="AM109" s="930"/>
      <c r="AN109" s="926"/>
      <c r="AO109" s="927" t="str">
        <f>Application!B737</f>
        <v>3 Bedrooms</v>
      </c>
      <c r="AQ109" s="927">
        <f>Application!O737</f>
        <v>1130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0"/>
      <c r="AL110" s="930"/>
      <c r="AM110" s="930"/>
      <c r="AN110" s="926"/>
      <c r="AO110" s="927" t="str">
        <f>Application!B738</f>
        <v>3 Bedrooms</v>
      </c>
      <c r="AQ110" s="927">
        <f>Application!O738</f>
        <v>1601</v>
      </c>
      <c r="AV110" s="927">
        <f>SUM(AV104:AV109)</f>
        <v>192</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224" t="s">
        <v>1882</v>
      </c>
      <c r="F112" s="3225"/>
      <c r="G112" s="3225"/>
      <c r="H112" s="3225"/>
      <c r="I112" s="1423"/>
      <c r="J112" s="3225" t="s">
        <v>1935</v>
      </c>
      <c r="K112" s="3225"/>
      <c r="L112" s="3225"/>
      <c r="M112" s="3225"/>
      <c r="N112" s="1423"/>
      <c r="O112" s="3225" t="s">
        <v>1936</v>
      </c>
      <c r="P112" s="3225"/>
      <c r="Q112" s="3225"/>
      <c r="R112" s="3225"/>
      <c r="S112" s="1423"/>
      <c r="T112" s="3225" t="s">
        <v>1600</v>
      </c>
      <c r="U112" s="3225"/>
      <c r="V112" s="3225"/>
      <c r="W112" s="3225"/>
      <c r="X112" s="1423"/>
      <c r="Y112" s="3225" t="s">
        <v>1937</v>
      </c>
      <c r="Z112" s="3225"/>
      <c r="AA112" s="3225"/>
      <c r="AB112" s="3225"/>
      <c r="AC112" s="1423"/>
      <c r="AD112" s="3225" t="s">
        <v>1938</v>
      </c>
      <c r="AE112" s="3225"/>
      <c r="AF112" s="3225"/>
      <c r="AG112" s="3225"/>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1939</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229"/>
      <c r="F115" s="3230"/>
      <c r="G115" s="3230"/>
      <c r="H115" s="3230"/>
      <c r="I115" s="1425"/>
      <c r="J115" s="3230">
        <v>1949</v>
      </c>
      <c r="K115" s="3230"/>
      <c r="L115" s="3230"/>
      <c r="M115" s="3230"/>
      <c r="N115" s="1425"/>
      <c r="O115" s="3230">
        <v>2237</v>
      </c>
      <c r="P115" s="3230"/>
      <c r="Q115" s="3230"/>
      <c r="R115" s="3230"/>
      <c r="S115" s="1425"/>
      <c r="T115" s="3230">
        <v>2650</v>
      </c>
      <c r="U115" s="3230"/>
      <c r="V115" s="3230"/>
      <c r="W115" s="3230"/>
      <c r="X115" s="1425"/>
      <c r="Y115" s="3230"/>
      <c r="Z115" s="3230"/>
      <c r="AA115" s="3230"/>
      <c r="AB115" s="3230"/>
      <c r="AC115" s="1425"/>
      <c r="AD115" s="3230"/>
      <c r="AE115" s="3230"/>
      <c r="AF115" s="3230"/>
      <c r="AG115" s="3230"/>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2299</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231">
        <f>Application!DX663</f>
        <v>0</v>
      </c>
      <c r="F118" s="3232"/>
      <c r="G118" s="3232"/>
      <c r="H118" s="3232"/>
      <c r="I118" s="1425"/>
      <c r="J118" s="3232">
        <f>Application!EC663</f>
        <v>912.9375</v>
      </c>
      <c r="K118" s="3232"/>
      <c r="L118" s="3232"/>
      <c r="M118" s="3232"/>
      <c r="N118" s="1425"/>
      <c r="O118" s="3232">
        <f>Application!EH663</f>
        <v>1226.75</v>
      </c>
      <c r="P118" s="3232"/>
      <c r="Q118" s="3232"/>
      <c r="R118" s="3232"/>
      <c r="S118" s="1429"/>
      <c r="T118" s="3232">
        <f>Application!EM663</f>
        <v>1463.625</v>
      </c>
      <c r="U118" s="3232"/>
      <c r="V118" s="3232"/>
      <c r="W118" s="3232"/>
      <c r="X118" s="1429"/>
      <c r="Y118" s="3232">
        <f>Application!ER663</f>
        <v>0</v>
      </c>
      <c r="Z118" s="3232"/>
      <c r="AA118" s="3232"/>
      <c r="AB118" s="3232"/>
      <c r="AC118" s="1429"/>
      <c r="AD118" s="3232">
        <f>Application!EW663</f>
        <v>0</v>
      </c>
      <c r="AE118" s="3232"/>
      <c r="AF118" s="3232"/>
      <c r="AG118" s="3232"/>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2300</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017" t="e">
        <f>(E115-E118)/E115</f>
        <v>#DIV/0!</v>
      </c>
      <c r="F121" s="3018"/>
      <c r="G121" s="3018"/>
      <c r="H121" s="3019"/>
      <c r="I121" s="968"/>
      <c r="J121" s="3017">
        <f>(J115-J118)/J115</f>
        <v>0.53158671113391487</v>
      </c>
      <c r="K121" s="3018"/>
      <c r="L121" s="3018"/>
      <c r="M121" s="3019"/>
      <c r="N121" s="968"/>
      <c r="O121" s="3017">
        <f>(O115-O118)/O115</f>
        <v>0.4516092981671882</v>
      </c>
      <c r="P121" s="3018"/>
      <c r="Q121" s="3018"/>
      <c r="R121" s="3019"/>
      <c r="S121" s="968"/>
      <c r="T121" s="3017">
        <f>(T115-T118)/T115</f>
        <v>0.44768867924528299</v>
      </c>
      <c r="U121" s="3018"/>
      <c r="V121" s="3018"/>
      <c r="W121" s="3019"/>
      <c r="X121" s="968"/>
      <c r="Y121" s="3017" t="e">
        <f>(Y115-Y118)/Y115</f>
        <v>#DIV/0!</v>
      </c>
      <c r="Z121" s="3018"/>
      <c r="AA121" s="3018"/>
      <c r="AB121" s="3019"/>
      <c r="AC121" s="968"/>
      <c r="AD121" s="3017" t="e">
        <f>(AD115-AD118)/AD115</f>
        <v>#DIV/0!</v>
      </c>
      <c r="AE121" s="3018"/>
      <c r="AF121" s="3018"/>
      <c r="AG121" s="3019"/>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2301</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273" t="e">
        <f>IF(((E121-0.1)*AW104)&gt;0,((E121-0.1)*AW104),0)</f>
        <v>#DIV/0!</v>
      </c>
      <c r="F124" s="3274"/>
      <c r="G124" s="3274"/>
      <c r="H124" s="3275"/>
      <c r="I124" s="968"/>
      <c r="J124" s="3273">
        <f>IF(((J121-0.1)*AW105)&gt;0,((J121-0.1)*AW105),0)</f>
        <v>0.21579335556695745</v>
      </c>
      <c r="K124" s="3274"/>
      <c r="L124" s="3274"/>
      <c r="M124" s="3275"/>
      <c r="N124" s="968"/>
      <c r="O124" s="3273">
        <f>IF(((O121-0.1)*AW106)&gt;0,((O121-0.1)*AW106),0)</f>
        <v>8.7902324541797056E-2</v>
      </c>
      <c r="P124" s="3274"/>
      <c r="Q124" s="3274"/>
      <c r="R124" s="3275"/>
      <c r="S124" s="968"/>
      <c r="T124" s="3273">
        <f>IF(((T121-0.1)*AW107)&gt;0,((T121-0.1)*AW107),0)</f>
        <v>8.6922169811320754E-2</v>
      </c>
      <c r="U124" s="3274"/>
      <c r="V124" s="3274"/>
      <c r="W124" s="3275"/>
      <c r="X124" s="968"/>
      <c r="Y124" s="3273" t="e">
        <f>IF(((Y121-0.1)*AW108)&gt;0,((Y121-0.1)*AW108),0)</f>
        <v>#DIV/0!</v>
      </c>
      <c r="Z124" s="3274"/>
      <c r="AA124" s="3274"/>
      <c r="AB124" s="3275"/>
      <c r="AC124" s="968"/>
      <c r="AD124" s="3273" t="e">
        <f>IF(((AD121-0.1)*AW109)&gt;0,((AD121-0.1)*AW109),0)</f>
        <v>#DIV/0!</v>
      </c>
      <c r="AE124" s="3274"/>
      <c r="AF124" s="3274"/>
      <c r="AG124" s="3275"/>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017">
        <f>ROUNDDOWN(SUMIF(E124:AG124,"&gt;0"),2)</f>
        <v>0.39</v>
      </c>
      <c r="F126" s="3018"/>
      <c r="G126" s="3018"/>
      <c r="H126" s="3019"/>
      <c r="I126" s="1423"/>
      <c r="J126" s="1430" t="s">
        <v>2302</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210">
        <f>IF((E126*100)&gt;10,10,E126*100)</f>
        <v>10</v>
      </c>
      <c r="F127" s="3211"/>
      <c r="G127" s="3211"/>
      <c r="H127" s="3212"/>
      <c r="I127" s="968"/>
      <c r="J127" s="971" t="s">
        <v>1594</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1601</v>
      </c>
      <c r="AK131" s="3210">
        <f>E127</f>
        <v>10</v>
      </c>
      <c r="AL131" s="3211"/>
      <c r="AM131" s="3212"/>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1602</v>
      </c>
      <c r="AE134" s="3226" t="s">
        <v>1580</v>
      </c>
      <c r="AF134" s="3226"/>
      <c r="AG134" s="3226"/>
      <c r="AH134" s="3226"/>
      <c r="AI134" s="3226"/>
      <c r="AJ134" s="3226"/>
      <c r="AK134" s="3226"/>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1603</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156" t="s">
        <v>1604</v>
      </c>
      <c r="AG136" s="3156"/>
      <c r="AH136" s="3156"/>
      <c r="AI136" s="3156"/>
      <c r="AJ136" s="3156"/>
      <c r="AK136" s="3156"/>
      <c r="AL136" s="3156"/>
      <c r="AM136" s="983"/>
      <c r="AN136" s="923"/>
    </row>
    <row r="137" spans="1:52" s="924" customFormat="1" ht="12.75" customHeight="1">
      <c r="A137" s="928"/>
      <c r="B137" s="985" t="s">
        <v>564</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215" t="s">
        <v>2515</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315</v>
      </c>
      <c r="AP139" s="935"/>
    </row>
    <row r="140" spans="1:52" s="924" customFormat="1" ht="12.75" customHeight="1">
      <c r="A140" s="928"/>
      <c r="B140" s="929" t="s">
        <v>1605</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1606</v>
      </c>
      <c r="AP140" s="992">
        <v>5</v>
      </c>
    </row>
    <row r="141" spans="1:52" s="924" customFormat="1" ht="12.75" customHeight="1">
      <c r="A141" s="928"/>
      <c r="B141" s="3216" t="s">
        <v>1607</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3"/>
      <c r="AN141" s="923"/>
      <c r="AO141" s="991" t="s">
        <v>1607</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1942</v>
      </c>
      <c r="AP142" s="992">
        <v>7</v>
      </c>
    </row>
    <row r="143" spans="1:52" s="924" customFormat="1" ht="12.75" customHeight="1">
      <c r="A143" s="993"/>
      <c r="B143" s="929" t="s">
        <v>1608</v>
      </c>
      <c r="AB143" s="3161" t="s">
        <v>625</v>
      </c>
      <c r="AC143" s="3161"/>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1609</v>
      </c>
      <c r="AP144" s="992"/>
    </row>
    <row r="145" spans="1:42" s="924" customFormat="1" ht="12.75" customHeight="1">
      <c r="A145" s="928"/>
      <c r="B145" s="985" t="s">
        <v>1610</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1611</v>
      </c>
      <c r="AP145" s="992">
        <v>5</v>
      </c>
    </row>
    <row r="146" spans="1:42" s="924" customFormat="1" ht="12.75" customHeight="1">
      <c r="A146" s="928"/>
      <c r="B146" s="3216" t="s">
        <v>1609</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20"/>
      <c r="AL146" s="1020"/>
      <c r="AM146" s="1020"/>
      <c r="AN146" s="923"/>
      <c r="AO146" s="991" t="s">
        <v>1612</v>
      </c>
      <c r="AP146" s="992">
        <v>7</v>
      </c>
    </row>
    <row r="147" spans="1:42" s="924" customFormat="1" ht="12.75" customHeight="1">
      <c r="B147" s="1009" t="s">
        <v>1613</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1615</v>
      </c>
      <c r="AJ149" s="3217">
        <f>IF($AB$143="N/A",VLOOKUP($B$141,$AO$139:$AP$142,2,FALSE),VLOOKUP($B$146,$AO$144:$AP$147,2,FALSE))</f>
        <v>7</v>
      </c>
      <c r="AK149" s="3217"/>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1617</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156" t="s">
        <v>1618</v>
      </c>
      <c r="AG151" s="3156"/>
      <c r="AH151" s="3156"/>
      <c r="AI151" s="3156"/>
      <c r="AJ151" s="3156"/>
      <c r="AK151" s="3156"/>
      <c r="AL151" s="3156"/>
      <c r="AM151" s="1010"/>
      <c r="AN151" s="1000"/>
    </row>
    <row r="152" spans="1:42" s="940" customFormat="1" ht="12.75" customHeight="1">
      <c r="A152" s="924"/>
      <c r="B152" s="929" t="s">
        <v>1619</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216" t="s">
        <v>1616</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27"/>
      <c r="AK153" s="927"/>
      <c r="AL153" s="927"/>
      <c r="AM153" s="1010"/>
      <c r="AN153" s="997"/>
      <c r="AO153" s="1001" t="s">
        <v>315</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1614</v>
      </c>
      <c r="AP154" s="1004">
        <v>2</v>
      </c>
    </row>
    <row r="155" spans="1:42" s="940" customFormat="1" ht="12.75" customHeight="1">
      <c r="A155" s="927"/>
      <c r="B155" s="927"/>
      <c r="C155" s="929" t="s">
        <v>1621</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161" t="s">
        <v>625</v>
      </c>
      <c r="AD155" s="3161"/>
      <c r="AE155" s="927"/>
      <c r="AF155" s="927"/>
      <c r="AG155" s="927"/>
      <c r="AH155" s="927"/>
      <c r="AI155" s="927"/>
      <c r="AJ155" s="927"/>
      <c r="AK155" s="927"/>
      <c r="AL155" s="927"/>
      <c r="AM155" s="1012"/>
      <c r="AN155" s="997"/>
      <c r="AO155" s="995" t="s">
        <v>1616</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1943</v>
      </c>
      <c r="AP156" s="1004">
        <v>3</v>
      </c>
    </row>
    <row r="157" spans="1:42" s="940" customFormat="1" ht="12.75" customHeight="1">
      <c r="A157" s="927"/>
      <c r="B157" s="927"/>
      <c r="C157" s="3216" t="s">
        <v>1609</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1613</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1623</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1609</v>
      </c>
      <c r="AP160" s="995"/>
    </row>
    <row r="161" spans="1:81" s="999" customFormat="1" ht="12.75" customHeight="1">
      <c r="A161" s="924"/>
      <c r="B161" s="924"/>
      <c r="C161" s="3215" t="s">
        <v>2568</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27"/>
      <c r="AF161" s="927"/>
      <c r="AG161" s="927"/>
      <c r="AH161" s="927"/>
      <c r="AI161" s="927"/>
      <c r="AJ161" s="927"/>
      <c r="AK161" s="927"/>
      <c r="AL161" s="927"/>
      <c r="AM161" s="1010"/>
      <c r="AN161" s="998"/>
      <c r="AO161" s="995" t="s">
        <v>1620</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1622</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1624</v>
      </c>
      <c r="AJ163" s="3074">
        <f>IF($AC$155="N/A",VLOOKUP($C$153,$AO$153:$AP$156,2,FALSE),VLOOKUP($C$157,$AO$160:$AP$162,2,FALSE))</f>
        <v>3</v>
      </c>
      <c r="AK163" s="3074"/>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1625</v>
      </c>
      <c r="AK166" s="3210">
        <f>$AJ$149+$AJ$163</f>
        <v>10</v>
      </c>
      <c r="AL166" s="3211"/>
      <c r="AM166" s="3212"/>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1626</v>
      </c>
      <c r="AQ168" s="1027">
        <v>0</v>
      </c>
    </row>
    <row r="169" spans="1:81" s="940" customFormat="1" ht="12.75" customHeight="1">
      <c r="A169" s="985" t="s">
        <v>1627</v>
      </c>
      <c r="B169" s="985" t="s">
        <v>2157</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121" t="s">
        <v>1580</v>
      </c>
      <c r="AF169" s="3121"/>
      <c r="AG169" s="3121"/>
      <c r="AH169" s="3121"/>
      <c r="AI169" s="3121"/>
      <c r="AJ169" s="3121"/>
      <c r="AK169" s="3121"/>
      <c r="AL169" s="1506"/>
      <c r="AM169" s="1023"/>
      <c r="AN169" s="997"/>
      <c r="AP169" s="999" t="s">
        <v>1151</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1628</v>
      </c>
      <c r="AQ170" s="940">
        <v>10</v>
      </c>
    </row>
    <row r="171" spans="1:81" s="940" customFormat="1" ht="12.75" customHeight="1">
      <c r="A171" s="924"/>
      <c r="B171" s="3213" t="s">
        <v>1151</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20"/>
      <c r="AE171" s="1020"/>
      <c r="AF171" s="3156" t="s">
        <v>1629</v>
      </c>
      <c r="AG171" s="3156"/>
      <c r="AH171" s="3156"/>
      <c r="AI171" s="3156"/>
      <c r="AJ171" s="3156"/>
      <c r="AK171" s="3156"/>
      <c r="AL171" s="3156"/>
      <c r="AN171" s="997"/>
      <c r="AP171" s="940" t="s">
        <v>1153</v>
      </c>
      <c r="AQ171" s="940">
        <v>10</v>
      </c>
    </row>
    <row r="172" spans="1:81" s="940" customFormat="1" ht="12.75" customHeight="1">
      <c r="A172" s="924"/>
      <c r="B172" s="3214" t="s">
        <v>2156</v>
      </c>
      <c r="C172" s="3214"/>
      <c r="D172" s="3214"/>
      <c r="E172" s="3214"/>
      <c r="F172" s="3214"/>
      <c r="G172" s="3214"/>
      <c r="H172" s="3214"/>
      <c r="I172" s="3214"/>
      <c r="J172" s="3214"/>
      <c r="K172" s="3214"/>
      <c r="L172" s="3214"/>
      <c r="M172" s="3214"/>
      <c r="N172" s="3214"/>
      <c r="O172" s="3214"/>
      <c r="P172" s="3214"/>
      <c r="Q172" s="3214"/>
      <c r="R172" s="3214"/>
      <c r="S172" s="3214"/>
      <c r="T172" s="3215" t="s">
        <v>625</v>
      </c>
      <c r="U172" s="3215"/>
      <c r="V172" s="3215"/>
      <c r="W172" s="3215"/>
      <c r="X172" s="3215"/>
      <c r="Y172" s="3215"/>
      <c r="Z172" s="3215"/>
      <c r="AA172" s="3215"/>
      <c r="AB172" s="3215"/>
      <c r="AC172" s="3215"/>
      <c r="AD172" s="1003"/>
      <c r="AE172" s="1003"/>
      <c r="AF172" s="1003"/>
      <c r="AG172" s="1003"/>
      <c r="AH172" s="1003"/>
      <c r="AI172" s="1003"/>
      <c r="AJ172" s="1703"/>
      <c r="AK172" s="1002"/>
      <c r="AL172" s="1002"/>
      <c r="AM172" s="1002"/>
      <c r="AN172" s="997"/>
      <c r="AP172" s="940" t="s">
        <v>1152</v>
      </c>
      <c r="AQ172" s="940">
        <v>10</v>
      </c>
      <c r="AS172" s="940" t="s">
        <v>625</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1630</v>
      </c>
      <c r="AQ173" s="940">
        <v>10</v>
      </c>
      <c r="AS173" s="940" t="s">
        <v>1631</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1632</v>
      </c>
      <c r="AK174" s="3039">
        <f>IF(AK72&gt;0,VLOOKUP($B$171,AP168:AQ175,2,FALSE),0)</f>
        <v>10</v>
      </c>
      <c r="AL174" s="3040"/>
      <c r="AM174" s="3041"/>
      <c r="AN174" s="1036"/>
      <c r="AP174" s="940" t="s">
        <v>1633</v>
      </c>
      <c r="AQ174" s="940">
        <v>10</v>
      </c>
      <c r="AS174" s="940" t="s">
        <v>1634</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1635</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1636</v>
      </c>
      <c r="B177" s="985" t="s">
        <v>1637</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121" t="s">
        <v>1638</v>
      </c>
      <c r="AF177" s="3121"/>
      <c r="AG177" s="3121"/>
      <c r="AH177" s="3121"/>
      <c r="AI177" s="3121"/>
      <c r="AJ177" s="3121"/>
      <c r="AK177" s="3121"/>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1888</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1924</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207" t="s">
        <v>2618</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4"/>
      <c r="AD182" s="3197">
        <v>8000000</v>
      </c>
      <c r="AE182" s="3197"/>
      <c r="AF182" s="3197"/>
      <c r="AG182" s="3197"/>
      <c r="AH182" s="3197"/>
      <c r="AI182" s="3197"/>
      <c r="AJ182" s="3197"/>
      <c r="AK182" s="1021"/>
    </row>
    <row r="183" spans="1:37">
      <c r="A183" s="1013"/>
      <c r="B183" s="3207"/>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4"/>
      <c r="AD183" s="3197"/>
      <c r="AE183" s="3197"/>
      <c r="AF183" s="3197"/>
      <c r="AG183" s="3197"/>
      <c r="AH183" s="3197"/>
      <c r="AI183" s="3197"/>
      <c r="AJ183" s="3197"/>
      <c r="AK183" s="1021"/>
    </row>
    <row r="184" spans="1:37">
      <c r="A184" s="1013"/>
      <c r="B184" s="3207"/>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4"/>
      <c r="AD184" s="3197"/>
      <c r="AE184" s="3197"/>
      <c r="AF184" s="3197"/>
      <c r="AG184" s="3197"/>
      <c r="AH184" s="3197"/>
      <c r="AI184" s="3197"/>
      <c r="AJ184" s="3197"/>
      <c r="AK184" s="1021"/>
    </row>
    <row r="185" spans="1:37">
      <c r="A185" s="1013"/>
      <c r="B185" s="3207"/>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4"/>
      <c r="AD185" s="3197"/>
      <c r="AE185" s="3197"/>
      <c r="AF185" s="3197"/>
      <c r="AG185" s="3197"/>
      <c r="AH185" s="3197"/>
      <c r="AI185" s="3197"/>
      <c r="AJ185" s="3197"/>
      <c r="AK185" s="1021"/>
    </row>
    <row r="186" spans="1:37">
      <c r="A186" s="1013"/>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4"/>
      <c r="AD186" s="3197"/>
      <c r="AE186" s="3197"/>
      <c r="AF186" s="3197"/>
      <c r="AG186" s="3197"/>
      <c r="AH186" s="3197"/>
      <c r="AI186" s="3197"/>
      <c r="AJ186" s="3197"/>
      <c r="AK186" s="1021"/>
    </row>
    <row r="187" spans="1:37">
      <c r="A187" s="1013"/>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4"/>
      <c r="AD187" s="3197"/>
      <c r="AE187" s="3197"/>
      <c r="AF187" s="3197"/>
      <c r="AG187" s="3197"/>
      <c r="AH187" s="3197"/>
      <c r="AI187" s="3197"/>
      <c r="AJ187" s="3197"/>
      <c r="AK187" s="1021"/>
    </row>
    <row r="188" spans="1:37">
      <c r="A188" s="1013"/>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4"/>
      <c r="AD188" s="3197"/>
      <c r="AE188" s="3197"/>
      <c r="AF188" s="3197"/>
      <c r="AG188" s="3197"/>
      <c r="AH188" s="3197"/>
      <c r="AI188" s="3197"/>
      <c r="AJ188" s="3197"/>
      <c r="AK188" s="1021"/>
    </row>
    <row r="189" spans="1:37">
      <c r="A189" s="1013"/>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4"/>
      <c r="AD189" s="3197"/>
      <c r="AE189" s="3197"/>
      <c r="AF189" s="3197"/>
      <c r="AG189" s="3197"/>
      <c r="AH189" s="3197"/>
      <c r="AI189" s="3197"/>
      <c r="AJ189" s="3197"/>
      <c r="AK189" s="1021"/>
    </row>
    <row r="190" spans="1:37">
      <c r="A190" s="1013"/>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4"/>
      <c r="AD190" s="3197"/>
      <c r="AE190" s="3197"/>
      <c r="AF190" s="3197"/>
      <c r="AG190" s="3197"/>
      <c r="AH190" s="3197"/>
      <c r="AI190" s="3197"/>
      <c r="AJ190" s="3197"/>
      <c r="AK190" s="1021"/>
    </row>
    <row r="191" spans="1:37">
      <c r="A191" s="1013"/>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4"/>
      <c r="AD191" s="3197"/>
      <c r="AE191" s="3197"/>
      <c r="AF191" s="3197"/>
      <c r="AG191" s="3197"/>
      <c r="AH191" s="3197"/>
      <c r="AI191" s="3197"/>
      <c r="AJ191" s="3197"/>
      <c r="AK191" s="1021"/>
    </row>
    <row r="192" spans="1:37">
      <c r="A192" s="1013"/>
      <c r="B192" s="3061" t="s">
        <v>1926</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4"/>
      <c r="AD192" s="3195">
        <f>AB243</f>
        <v>0</v>
      </c>
      <c r="AE192" s="3195"/>
      <c r="AF192" s="3195"/>
      <c r="AG192" s="3195"/>
      <c r="AH192" s="3195"/>
      <c r="AI192" s="3195"/>
      <c r="AJ192" s="3195"/>
      <c r="AK192" s="1021"/>
    </row>
    <row r="193" spans="1:37">
      <c r="A193" s="1013"/>
      <c r="B193" s="3059" t="s">
        <v>1889</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4"/>
      <c r="AD193" s="3196">
        <f>'Sources and Uses Budget'!B15</f>
        <v>0</v>
      </c>
      <c r="AE193" s="3196"/>
      <c r="AF193" s="3196"/>
      <c r="AG193" s="3196"/>
      <c r="AH193" s="3196"/>
      <c r="AI193" s="3196"/>
      <c r="AJ193" s="3196"/>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967</v>
      </c>
      <c r="AC194" s="924"/>
      <c r="AD194" s="3201">
        <f>SUM(AD182:AJ192)-AD193</f>
        <v>8000000</v>
      </c>
      <c r="AE194" s="3201"/>
      <c r="AF194" s="3201"/>
      <c r="AG194" s="3201"/>
      <c r="AH194" s="3201"/>
      <c r="AI194" s="3201"/>
      <c r="AJ194" s="3201"/>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1894</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1925</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1896</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1897</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1940</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1898</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1899</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1941</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222" t="s">
        <v>1906</v>
      </c>
      <c r="J205" s="3222"/>
      <c r="K205" s="3222"/>
      <c r="L205" s="988"/>
      <c r="M205" s="988"/>
      <c r="N205" s="988"/>
      <c r="O205" s="988"/>
      <c r="P205" s="988"/>
      <c r="Q205" s="988"/>
      <c r="R205" s="988"/>
      <c r="S205" s="988"/>
      <c r="T205" s="3022" t="s">
        <v>1900</v>
      </c>
      <c r="U205" s="3022"/>
      <c r="V205" s="3022"/>
      <c r="W205" s="3022"/>
      <c r="X205" s="3022"/>
      <c r="Y205" s="3022"/>
      <c r="Z205" s="1398"/>
      <c r="AA205" s="1399"/>
      <c r="AB205" s="3218" t="s">
        <v>1901</v>
      </c>
      <c r="AC205" s="3218"/>
      <c r="AD205" s="3218"/>
      <c r="AE205" s="3218"/>
      <c r="AF205" s="3218"/>
      <c r="AG205" s="3218"/>
      <c r="AH205" s="1368"/>
      <c r="AI205" s="1368"/>
      <c r="AJ205" s="1368"/>
      <c r="AK205" s="1021"/>
    </row>
    <row r="206" spans="1:37">
      <c r="A206" s="1013"/>
      <c r="B206" s="3220" t="s">
        <v>1879</v>
      </c>
      <c r="C206" s="3220"/>
      <c r="D206" s="3220"/>
      <c r="E206" s="3220"/>
      <c r="F206" s="3220"/>
      <c r="G206" s="3220"/>
      <c r="I206" s="3221" t="s">
        <v>1907</v>
      </c>
      <c r="J206" s="3221"/>
      <c r="K206" s="3221"/>
      <c r="L206" s="1702"/>
      <c r="N206" s="3060" t="s">
        <v>1902</v>
      </c>
      <c r="O206" s="3060"/>
      <c r="P206" s="3060"/>
      <c r="Q206" s="3060"/>
      <c r="R206" s="3060"/>
      <c r="T206" s="3060" t="s">
        <v>1903</v>
      </c>
      <c r="U206" s="3060"/>
      <c r="V206" s="3060"/>
      <c r="W206" s="3060"/>
      <c r="X206" s="3060"/>
      <c r="Y206" s="3060"/>
      <c r="Z206" s="1400"/>
      <c r="AA206" s="1399"/>
      <c r="AB206" s="3063" t="s">
        <v>1904</v>
      </c>
      <c r="AC206" s="3063"/>
      <c r="AD206" s="3063"/>
      <c r="AE206" s="3063"/>
      <c r="AF206" s="3063"/>
      <c r="AG206" s="3063"/>
      <c r="AH206" s="1368"/>
      <c r="AI206" s="1368"/>
      <c r="AJ206" s="1368"/>
      <c r="AK206" s="1021"/>
    </row>
    <row r="207" spans="1:37">
      <c r="A207" s="1013"/>
      <c r="B207" s="3062" t="s">
        <v>1380</v>
      </c>
      <c r="C207" s="3062"/>
      <c r="D207" s="3062"/>
      <c r="E207" s="3062"/>
      <c r="F207" s="3062"/>
      <c r="G207" s="3062"/>
      <c r="H207" s="1402"/>
      <c r="I207" s="3027"/>
      <c r="J207" s="3027"/>
      <c r="K207" s="3027"/>
      <c r="L207" s="1702"/>
      <c r="N207" s="3024"/>
      <c r="O207" s="3024"/>
      <c r="P207" s="3024"/>
      <c r="Q207" s="3024"/>
      <c r="R207" s="3024"/>
      <c r="T207" s="3023"/>
      <c r="U207" s="3023"/>
      <c r="V207" s="3023"/>
      <c r="W207" s="3023"/>
      <c r="X207" s="3023"/>
      <c r="Y207" s="3023"/>
      <c r="Z207" s="1401"/>
      <c r="AA207" s="1401"/>
      <c r="AB207" s="3021">
        <f t="shared" ref="AB207:AB216" si="0">MAX(($T207-$N207)*$I207*12,0)</f>
        <v>0</v>
      </c>
      <c r="AC207" s="3021"/>
      <c r="AD207" s="3021"/>
      <c r="AE207" s="3021"/>
      <c r="AF207" s="3021"/>
      <c r="AG207" s="3021"/>
      <c r="AH207" s="1368"/>
      <c r="AI207" s="1368"/>
      <c r="AJ207" s="1368"/>
      <c r="AK207" s="1021"/>
    </row>
    <row r="208" spans="1:37">
      <c r="A208" s="1013"/>
      <c r="B208" s="3062" t="s">
        <v>1380</v>
      </c>
      <c r="C208" s="3062"/>
      <c r="D208" s="3062"/>
      <c r="E208" s="3062"/>
      <c r="F208" s="3062"/>
      <c r="G208" s="3062"/>
      <c r="I208" s="3027"/>
      <c r="J208" s="3027"/>
      <c r="K208" s="3027"/>
      <c r="L208" s="1702"/>
      <c r="N208" s="3024"/>
      <c r="O208" s="3024"/>
      <c r="P208" s="3024"/>
      <c r="Q208" s="3024"/>
      <c r="R208" s="3024"/>
      <c r="T208" s="3023"/>
      <c r="U208" s="3023"/>
      <c r="V208" s="3023"/>
      <c r="W208" s="3023"/>
      <c r="X208" s="3023"/>
      <c r="Y208" s="3023"/>
      <c r="Z208" s="1401"/>
      <c r="AA208" s="1401"/>
      <c r="AB208" s="3021">
        <f t="shared" si="0"/>
        <v>0</v>
      </c>
      <c r="AC208" s="3021"/>
      <c r="AD208" s="3021"/>
      <c r="AE208" s="3021"/>
      <c r="AF208" s="3021"/>
      <c r="AG208" s="3021"/>
      <c r="AH208" s="1368"/>
      <c r="AI208" s="1368"/>
      <c r="AJ208" s="1368"/>
      <c r="AK208" s="1021"/>
    </row>
    <row r="209" spans="1:37">
      <c r="A209" s="1013"/>
      <c r="B209" s="3062" t="s">
        <v>1380</v>
      </c>
      <c r="C209" s="3062"/>
      <c r="D209" s="3062"/>
      <c r="E209" s="3062"/>
      <c r="F209" s="3062"/>
      <c r="G209" s="3062"/>
      <c r="I209" s="3027"/>
      <c r="J209" s="3027"/>
      <c r="K209" s="3027"/>
      <c r="L209" s="1702"/>
      <c r="N209" s="3024"/>
      <c r="O209" s="3024"/>
      <c r="P209" s="3024"/>
      <c r="Q209" s="3024"/>
      <c r="R209" s="3024"/>
      <c r="T209" s="3023"/>
      <c r="U209" s="3023"/>
      <c r="V209" s="3023"/>
      <c r="W209" s="3023"/>
      <c r="X209" s="3023"/>
      <c r="Y209" s="3023"/>
      <c r="Z209" s="1401"/>
      <c r="AA209" s="1401"/>
      <c r="AB209" s="3021">
        <f t="shared" si="0"/>
        <v>0</v>
      </c>
      <c r="AC209" s="3021"/>
      <c r="AD209" s="3021"/>
      <c r="AE209" s="3021"/>
      <c r="AF209" s="3021"/>
      <c r="AG209" s="3021"/>
      <c r="AH209" s="1368"/>
      <c r="AI209" s="1368"/>
      <c r="AJ209" s="1368"/>
      <c r="AK209" s="1021"/>
    </row>
    <row r="210" spans="1:37">
      <c r="A210" s="1013"/>
      <c r="B210" s="3062" t="s">
        <v>1380</v>
      </c>
      <c r="C210" s="3062"/>
      <c r="D210" s="3062"/>
      <c r="E210" s="3062"/>
      <c r="F210" s="3062"/>
      <c r="G210" s="3062"/>
      <c r="I210" s="3027"/>
      <c r="J210" s="3027"/>
      <c r="K210" s="3027"/>
      <c r="L210" s="1702"/>
      <c r="N210" s="3024"/>
      <c r="O210" s="3024"/>
      <c r="P210" s="3024"/>
      <c r="Q210" s="3024"/>
      <c r="R210" s="3024"/>
      <c r="T210" s="3023"/>
      <c r="U210" s="3023"/>
      <c r="V210" s="3023"/>
      <c r="W210" s="3023"/>
      <c r="X210" s="3023"/>
      <c r="Y210" s="3023"/>
      <c r="Z210" s="1401"/>
      <c r="AA210" s="1401"/>
      <c r="AB210" s="3021">
        <f t="shared" si="0"/>
        <v>0</v>
      </c>
      <c r="AC210" s="3021"/>
      <c r="AD210" s="3021"/>
      <c r="AE210" s="3021"/>
      <c r="AF210" s="3021"/>
      <c r="AG210" s="3021"/>
      <c r="AH210" s="1368"/>
      <c r="AI210" s="1368"/>
      <c r="AJ210" s="1368"/>
      <c r="AK210" s="1021"/>
    </row>
    <row r="211" spans="1:37">
      <c r="A211" s="1013"/>
      <c r="B211" s="3062" t="s">
        <v>1380</v>
      </c>
      <c r="C211" s="3062"/>
      <c r="D211" s="3062"/>
      <c r="E211" s="3062"/>
      <c r="F211" s="3062"/>
      <c r="G211" s="3062"/>
      <c r="I211" s="3027"/>
      <c r="J211" s="3027"/>
      <c r="K211" s="3027"/>
      <c r="L211" s="1714"/>
      <c r="N211" s="3024"/>
      <c r="O211" s="3024"/>
      <c r="P211" s="3024"/>
      <c r="Q211" s="3024"/>
      <c r="R211" s="3024"/>
      <c r="T211" s="3023"/>
      <c r="U211" s="3023"/>
      <c r="V211" s="3023"/>
      <c r="W211" s="3023"/>
      <c r="X211" s="3023"/>
      <c r="Y211" s="3023"/>
      <c r="Z211" s="1401"/>
      <c r="AA211" s="1401"/>
      <c r="AB211" s="3021">
        <f t="shared" si="0"/>
        <v>0</v>
      </c>
      <c r="AC211" s="3021"/>
      <c r="AD211" s="3021"/>
      <c r="AE211" s="3021"/>
      <c r="AF211" s="3021"/>
      <c r="AG211" s="3021"/>
      <c r="AH211" s="1368"/>
      <c r="AI211" s="1368"/>
      <c r="AJ211" s="1368"/>
      <c r="AK211" s="1021"/>
    </row>
    <row r="212" spans="1:37">
      <c r="A212" s="1013"/>
      <c r="B212" s="3062" t="s">
        <v>1380</v>
      </c>
      <c r="C212" s="3062"/>
      <c r="D212" s="3062"/>
      <c r="E212" s="3062"/>
      <c r="F212" s="3062"/>
      <c r="G212" s="3062"/>
      <c r="I212" s="3027"/>
      <c r="J212" s="3027"/>
      <c r="K212" s="3027"/>
      <c r="L212" s="1714"/>
      <c r="N212" s="3024"/>
      <c r="O212" s="3024"/>
      <c r="P212" s="3024"/>
      <c r="Q212" s="3024"/>
      <c r="R212" s="3024"/>
      <c r="T212" s="3023"/>
      <c r="U212" s="3023"/>
      <c r="V212" s="3023"/>
      <c r="W212" s="3023"/>
      <c r="X212" s="3023"/>
      <c r="Y212" s="3023"/>
      <c r="Z212" s="1401"/>
      <c r="AA212" s="1401"/>
      <c r="AB212" s="3021">
        <f t="shared" si="0"/>
        <v>0</v>
      </c>
      <c r="AC212" s="3021"/>
      <c r="AD212" s="3021"/>
      <c r="AE212" s="3021"/>
      <c r="AF212" s="3021"/>
      <c r="AG212" s="3021"/>
      <c r="AH212" s="1368"/>
      <c r="AI212" s="1368"/>
      <c r="AJ212" s="1368"/>
      <c r="AK212" s="1021"/>
    </row>
    <row r="213" spans="1:37">
      <c r="A213" s="1013"/>
      <c r="B213" s="3062" t="s">
        <v>1380</v>
      </c>
      <c r="C213" s="3062"/>
      <c r="D213" s="3062"/>
      <c r="E213" s="3062"/>
      <c r="F213" s="3062"/>
      <c r="G213" s="3062"/>
      <c r="I213" s="3027"/>
      <c r="J213" s="3027"/>
      <c r="K213" s="3027"/>
      <c r="L213" s="1714"/>
      <c r="N213" s="3024"/>
      <c r="O213" s="3024"/>
      <c r="P213" s="3024"/>
      <c r="Q213" s="3024"/>
      <c r="R213" s="3024"/>
      <c r="T213" s="3023"/>
      <c r="U213" s="3023"/>
      <c r="V213" s="3023"/>
      <c r="W213" s="3023"/>
      <c r="X213" s="3023"/>
      <c r="Y213" s="3023"/>
      <c r="Z213" s="1401"/>
      <c r="AA213" s="1401"/>
      <c r="AB213" s="3021">
        <f t="shared" si="0"/>
        <v>0</v>
      </c>
      <c r="AC213" s="3021"/>
      <c r="AD213" s="3021"/>
      <c r="AE213" s="3021"/>
      <c r="AF213" s="3021"/>
      <c r="AG213" s="3021"/>
      <c r="AH213" s="1368"/>
      <c r="AI213" s="1368"/>
      <c r="AJ213" s="1368"/>
      <c r="AK213" s="1021"/>
    </row>
    <row r="214" spans="1:37">
      <c r="A214" s="1013"/>
      <c r="B214" s="3062" t="s">
        <v>1380</v>
      </c>
      <c r="C214" s="3062"/>
      <c r="D214" s="3062"/>
      <c r="E214" s="3062"/>
      <c r="F214" s="3062"/>
      <c r="G214" s="3062"/>
      <c r="I214" s="3027"/>
      <c r="J214" s="3027"/>
      <c r="K214" s="3027"/>
      <c r="L214" s="1714"/>
      <c r="N214" s="3024"/>
      <c r="O214" s="3024"/>
      <c r="P214" s="3024"/>
      <c r="Q214" s="3024"/>
      <c r="R214" s="3024"/>
      <c r="T214" s="3023"/>
      <c r="U214" s="3023"/>
      <c r="V214" s="3023"/>
      <c r="W214" s="3023"/>
      <c r="X214" s="3023"/>
      <c r="Y214" s="3023"/>
      <c r="Z214" s="1401"/>
      <c r="AA214" s="1401"/>
      <c r="AB214" s="3021">
        <f t="shared" si="0"/>
        <v>0</v>
      </c>
      <c r="AC214" s="3021"/>
      <c r="AD214" s="3021"/>
      <c r="AE214" s="3021"/>
      <c r="AF214" s="3021"/>
      <c r="AG214" s="3021"/>
      <c r="AH214" s="1368"/>
      <c r="AI214" s="1368"/>
      <c r="AJ214" s="1368"/>
      <c r="AK214" s="1021"/>
    </row>
    <row r="215" spans="1:37">
      <c r="A215" s="1013"/>
      <c r="B215" s="3062" t="s">
        <v>1380</v>
      </c>
      <c r="C215" s="3062"/>
      <c r="D215" s="3062"/>
      <c r="E215" s="3062"/>
      <c r="F215" s="3062"/>
      <c r="G215" s="3062"/>
      <c r="I215" s="3027"/>
      <c r="J215" s="3027"/>
      <c r="K215" s="3027"/>
      <c r="L215" s="1714"/>
      <c r="N215" s="3024"/>
      <c r="O215" s="3024"/>
      <c r="P215" s="3024"/>
      <c r="Q215" s="3024"/>
      <c r="R215" s="3024"/>
      <c r="T215" s="3023"/>
      <c r="U215" s="3023"/>
      <c r="V215" s="3023"/>
      <c r="W215" s="3023"/>
      <c r="X215" s="3023"/>
      <c r="Y215" s="3023"/>
      <c r="Z215" s="1401"/>
      <c r="AA215" s="1401"/>
      <c r="AB215" s="3021">
        <f t="shared" si="0"/>
        <v>0</v>
      </c>
      <c r="AC215" s="3021"/>
      <c r="AD215" s="3021"/>
      <c r="AE215" s="3021"/>
      <c r="AF215" s="3021"/>
      <c r="AG215" s="3021"/>
      <c r="AH215" s="1368"/>
      <c r="AI215" s="1368"/>
      <c r="AJ215" s="1368"/>
      <c r="AK215" s="1021"/>
    </row>
    <row r="216" spans="1:37">
      <c r="A216" s="1013"/>
      <c r="B216" s="3062" t="s">
        <v>1380</v>
      </c>
      <c r="C216" s="3062"/>
      <c r="D216" s="3062"/>
      <c r="E216" s="3062"/>
      <c r="F216" s="3062"/>
      <c r="G216" s="3062"/>
      <c r="I216" s="3223"/>
      <c r="J216" s="3223"/>
      <c r="K216" s="3223"/>
      <c r="L216" s="1714"/>
      <c r="N216" s="3024"/>
      <c r="O216" s="3024"/>
      <c r="P216" s="3024"/>
      <c r="Q216" s="3024"/>
      <c r="R216" s="3024"/>
      <c r="T216" s="3023"/>
      <c r="U216" s="3023"/>
      <c r="V216" s="3023"/>
      <c r="W216" s="3023"/>
      <c r="X216" s="3023"/>
      <c r="Y216" s="3023"/>
      <c r="Z216" s="1401"/>
      <c r="AA216" s="1401"/>
      <c r="AB216" s="3029">
        <f t="shared" si="0"/>
        <v>0</v>
      </c>
      <c r="AC216" s="3029"/>
      <c r="AD216" s="3029"/>
      <c r="AE216" s="3029"/>
      <c r="AF216" s="3029"/>
      <c r="AG216" s="3029"/>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1905</v>
      </c>
      <c r="AA217" s="1701"/>
      <c r="AB217" s="3021">
        <f>SUM(AB207:AB216)</f>
        <v>0</v>
      </c>
      <c r="AC217" s="3021"/>
      <c r="AD217" s="3021"/>
      <c r="AE217" s="3021"/>
      <c r="AF217" s="3021"/>
      <c r="AG217" s="3021"/>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1895</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1923</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1921</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1915</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064"/>
      <c r="AC223" s="3064"/>
      <c r="AD223" s="3064"/>
      <c r="AE223" s="3064"/>
      <c r="AF223" s="3064"/>
      <c r="AG223" s="3064"/>
      <c r="AH223" s="1021"/>
      <c r="AI223" s="1021"/>
      <c r="AJ223" s="1021"/>
      <c r="AK223" s="1021"/>
    </row>
    <row r="224" spans="1:37">
      <c r="A224" s="1013"/>
      <c r="B224" s="1380" t="s">
        <v>1920</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1922</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1916</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064"/>
      <c r="AC226" s="3064"/>
      <c r="AD226" s="3064"/>
      <c r="AE226" s="3064"/>
      <c r="AF226" s="3064"/>
      <c r="AG226" s="3064"/>
      <c r="AH226" s="1021"/>
      <c r="AI226" s="1021"/>
      <c r="AJ226" s="1021"/>
      <c r="AK226" s="1021"/>
    </row>
    <row r="227" spans="1:37">
      <c r="A227" s="1013"/>
      <c r="B227" s="1381" t="s">
        <v>1917</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020"/>
      <c r="AC227" s="3020"/>
      <c r="AD227" s="3020"/>
      <c r="AE227" s="3020"/>
      <c r="AF227" s="3020"/>
      <c r="AG227" s="3020"/>
      <c r="AH227" s="1021"/>
      <c r="AI227" s="1021"/>
      <c r="AJ227" s="1021"/>
      <c r="AK227" s="1021"/>
    </row>
    <row r="228" spans="1:37">
      <c r="A228" s="1013"/>
      <c r="B228" s="1381" t="s">
        <v>1918</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030">
        <f>IFERROR(AB226/AB227,0)</f>
        <v>0</v>
      </c>
      <c r="AC228" s="3030"/>
      <c r="AD228" s="3030"/>
      <c r="AE228" s="3030"/>
      <c r="AF228" s="3030"/>
      <c r="AG228" s="3030"/>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1919</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058">
        <f>MAX(AB223,AB228)</f>
        <v>0</v>
      </c>
      <c r="AC230" s="3058"/>
      <c r="AD230" s="3058"/>
      <c r="AE230" s="3058"/>
      <c r="AF230" s="3058"/>
      <c r="AG230" s="3058"/>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1908</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28">
        <f>AB217+AB230</f>
        <v>0</v>
      </c>
      <c r="AC233" s="3028"/>
      <c r="AD233" s="3028"/>
      <c r="AE233" s="3028"/>
      <c r="AF233" s="3028"/>
      <c r="AG233" s="3028"/>
      <c r="AH233" s="1021"/>
      <c r="AI233" s="1021"/>
      <c r="AJ233" s="1021"/>
      <c r="AK233" s="1021"/>
    </row>
    <row r="234" spans="1:37">
      <c r="A234" s="1013"/>
      <c r="B234" s="995" t="s">
        <v>900</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205">
        <v>0.05</v>
      </c>
      <c r="AC234" s="3205"/>
      <c r="AD234" s="3205"/>
      <c r="AE234" s="3205"/>
      <c r="AF234" s="3205"/>
      <c r="AG234" s="3205"/>
      <c r="AH234" s="1021"/>
      <c r="AI234" s="1021"/>
      <c r="AJ234" s="1021"/>
      <c r="AK234" s="1021"/>
    </row>
    <row r="235" spans="1:37">
      <c r="A235" s="1013"/>
      <c r="B235" s="995" t="s">
        <v>1909</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206">
        <f>AB233-(AB233*AB234)</f>
        <v>0</v>
      </c>
      <c r="AC235" s="3206"/>
      <c r="AD235" s="3206"/>
      <c r="AE235" s="3206"/>
      <c r="AF235" s="3206"/>
      <c r="AG235" s="3206"/>
      <c r="AH235" s="1021"/>
      <c r="AI235" s="1021"/>
      <c r="AJ235" s="1021"/>
      <c r="AK235" s="1021"/>
    </row>
    <row r="236" spans="1:37">
      <c r="A236" s="1013"/>
      <c r="B236" s="995" t="s">
        <v>1910</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1911</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28">
        <f>AB235/AB241</f>
        <v>0</v>
      </c>
      <c r="AC237" s="3028"/>
      <c r="AD237" s="3028"/>
      <c r="AE237" s="3028"/>
      <c r="AF237" s="3028"/>
      <c r="AG237" s="3028"/>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1912</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219">
        <v>15</v>
      </c>
      <c r="AC239" s="3219"/>
      <c r="AD239" s="3219"/>
      <c r="AE239" s="3219"/>
      <c r="AF239" s="3219"/>
      <c r="AG239" s="3219"/>
      <c r="AH239" s="1021"/>
      <c r="AI239" s="1021"/>
      <c r="AJ239" s="1021"/>
      <c r="AK239" s="1021"/>
    </row>
    <row r="240" spans="1:37">
      <c r="A240" s="1013"/>
      <c r="B240" s="995" t="s">
        <v>1913</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208">
        <v>0.04</v>
      </c>
      <c r="AC240" s="3208"/>
      <c r="AD240" s="3208"/>
      <c r="AE240" s="3208"/>
      <c r="AF240" s="3208"/>
      <c r="AG240" s="3208"/>
      <c r="AH240" s="1021"/>
      <c r="AI240" s="1021"/>
      <c r="AJ240" s="1021"/>
      <c r="AK240" s="1021"/>
    </row>
    <row r="241" spans="1:39">
      <c r="A241" s="1013"/>
      <c r="B241" s="995" t="s">
        <v>912</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209">
        <v>1.1499999999999999</v>
      </c>
      <c r="AC241" s="3209"/>
      <c r="AD241" s="3209"/>
      <c r="AE241" s="3209"/>
      <c r="AF241" s="3209"/>
      <c r="AG241" s="3209"/>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1914</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198">
        <f>PV(AB240/12,AB239*12,-AB237/12, ,0)</f>
        <v>0</v>
      </c>
      <c r="AC243" s="3199"/>
      <c r="AD243" s="3199"/>
      <c r="AE243" s="3199"/>
      <c r="AF243" s="3199"/>
      <c r="AG243" s="3200"/>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1890</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1893</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1892</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1891</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202">
        <f>IFERROR(('Sources and Uses Budget'!D105/'Sources and Uses Budget'!B105),0)</f>
        <v>0</v>
      </c>
      <c r="AC249" s="3203"/>
      <c r="AD249" s="3203"/>
      <c r="AE249" s="3203"/>
      <c r="AF249" s="3203"/>
      <c r="AG249" s="3204"/>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1639</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36">
        <f>AD194*(1-AB249)</f>
        <v>8000000</v>
      </c>
      <c r="AH251" s="3036"/>
      <c r="AI251" s="3036"/>
      <c r="AJ251" s="3036"/>
      <c r="AK251" s="3036"/>
    </row>
    <row r="252" spans="1:39">
      <c r="A252" s="1042"/>
      <c r="B252" s="1046" t="s">
        <v>1640</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36">
        <f>'Sources and Uses Budget'!C105</f>
        <v>67776784</v>
      </c>
      <c r="AH252" s="3036"/>
      <c r="AI252" s="3036"/>
      <c r="AJ252" s="3036"/>
      <c r="AK252" s="3036"/>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194">
        <f>ROUNDDOWN(IF(AND(C274="Yes",AK72=10),((AG251*2)/AG252),AG251/AG252),2)</f>
        <v>0.11</v>
      </c>
      <c r="AH253" s="3194"/>
      <c r="AI253" s="3194"/>
      <c r="AJ253" s="3194"/>
      <c r="AK253" s="3194"/>
    </row>
    <row r="254" spans="1:39">
      <c r="A254" s="1042"/>
      <c r="B254" s="1604" t="s">
        <v>2172</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1641</v>
      </c>
      <c r="AK256" s="3187">
        <f>IF(AG253=0,0,IF((AG253*100)&gt;8,8,(AG253*100)))</f>
        <v>8</v>
      </c>
      <c r="AL256" s="3187"/>
      <c r="AM256" s="3188"/>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1642</v>
      </c>
      <c r="B259" s="985" t="s">
        <v>1643</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1580</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053" t="s">
        <v>577</v>
      </c>
      <c r="D261" s="3053"/>
      <c r="E261" s="937"/>
      <c r="F261" s="3004" t="s">
        <v>2344</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40"/>
      <c r="AF261" s="1063"/>
      <c r="AG261" s="3192" t="s">
        <v>1629</v>
      </c>
      <c r="AH261" s="3192"/>
      <c r="AI261" s="3192"/>
      <c r="AJ261" s="3192"/>
      <c r="AK261" s="1023"/>
      <c r="AL261" s="1023"/>
      <c r="AM261" s="1023"/>
      <c r="AN261" s="1058"/>
      <c r="AO261" s="940"/>
      <c r="AS261" s="21"/>
      <c r="AT261" s="21"/>
    </row>
    <row r="262" spans="1:81" ht="13.7" customHeight="1">
      <c r="A262" s="1057"/>
      <c r="B262" s="1062"/>
      <c r="C262" s="1064"/>
      <c r="D262" s="940"/>
      <c r="E262" s="937"/>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193"/>
      <c r="D264" s="3193"/>
      <c r="E264" s="937"/>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40"/>
      <c r="AF264" s="1063"/>
      <c r="AG264" s="3192"/>
      <c r="AH264" s="3192"/>
      <c r="AI264" s="3192"/>
      <c r="AJ264" s="3192"/>
      <c r="AK264" s="1023"/>
      <c r="AL264" s="1023"/>
      <c r="AM264" s="1023"/>
      <c r="AN264" s="1058"/>
      <c r="AS264" s="21"/>
      <c r="AT264" s="21"/>
    </row>
    <row r="265" spans="1:81" ht="13.7"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1645</v>
      </c>
      <c r="AK267" s="3187">
        <f>IF($C$261="yes",10,0)</f>
        <v>10</v>
      </c>
      <c r="AL267" s="3187"/>
      <c r="AM267" s="3188"/>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1646</v>
      </c>
      <c r="B270" s="985" t="s">
        <v>2310</v>
      </c>
      <c r="AH270" s="1031" t="s">
        <v>1559</v>
      </c>
    </row>
    <row r="271" spans="1:81" ht="15" customHeight="1">
      <c r="B271" s="929" t="s">
        <v>2309</v>
      </c>
    </row>
    <row r="272" spans="1:81" ht="15" customHeight="1">
      <c r="B272" s="929" t="s">
        <v>2311</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65" t="s">
        <v>1648</v>
      </c>
      <c r="B274" s="3165"/>
      <c r="C274" s="3053" t="s">
        <v>625</v>
      </c>
      <c r="D274" s="3053"/>
      <c r="E274" s="937"/>
      <c r="F274" s="3189" t="s">
        <v>1649</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5"/>
      <c r="AF274" s="940"/>
      <c r="AG274" s="983" t="s">
        <v>1650</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82" t="s">
        <v>1651</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5"/>
      <c r="AF277" s="941"/>
      <c r="AH277" s="941"/>
      <c r="AI277" s="941"/>
      <c r="AJ277" s="940"/>
      <c r="AK277" s="1023"/>
      <c r="AL277" s="1023"/>
      <c r="AM277" s="1023"/>
      <c r="AN277" s="110"/>
      <c r="AO277" s="51"/>
      <c r="AP277" s="940">
        <f>IF($C$292="yes",9,0)</f>
        <v>9</v>
      </c>
      <c r="AQ277" s="21"/>
      <c r="AR277" s="21"/>
      <c r="AS277" s="1072"/>
      <c r="AT277" s="1072"/>
      <c r="AU277" s="1072"/>
      <c r="AV277" s="1074"/>
      <c r="AW277" s="1074"/>
      <c r="AX277" s="112"/>
      <c r="AY277" s="112"/>
      <c r="AZ277" s="112"/>
      <c r="BA277" s="112"/>
    </row>
    <row r="278" spans="1:53">
      <c r="A278" s="1071"/>
      <c r="B278" s="1062"/>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5"/>
      <c r="AF278" s="941"/>
      <c r="AH278" s="941"/>
      <c r="AI278" s="941"/>
      <c r="AJ278" s="940"/>
      <c r="AK278" s="1023"/>
      <c r="AL278" s="1023"/>
      <c r="AM278" s="1023"/>
      <c r="AN278" s="110"/>
      <c r="AO278" s="51"/>
      <c r="AP278" s="940">
        <f>IF($C$315="yes",9,0)</f>
        <v>0</v>
      </c>
      <c r="AR278" s="21"/>
      <c r="AS278" s="1072"/>
      <c r="AT278" s="1072"/>
      <c r="AU278" s="1072"/>
      <c r="AV278" s="1074"/>
      <c r="AW278" s="1074"/>
      <c r="AX278" s="112"/>
      <c r="AY278" s="112"/>
      <c r="AZ278" s="112"/>
      <c r="BA278" s="112"/>
    </row>
    <row r="279" spans="1:53" ht="12.75" customHeight="1">
      <c r="A279" s="1057"/>
      <c r="B279" s="941"/>
      <c r="C279" s="940"/>
      <c r="D279" s="941"/>
      <c r="E279" s="940"/>
      <c r="F279" s="3182" t="s">
        <v>1652</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5"/>
      <c r="AF279" s="941"/>
      <c r="AG279" s="941"/>
      <c r="AH279" s="941"/>
      <c r="AI279" s="941"/>
      <c r="AJ279" s="940"/>
      <c r="AK279" s="1023"/>
      <c r="AL279" s="1023"/>
      <c r="AM279" s="1023"/>
      <c r="AN279" s="110"/>
      <c r="AO279" s="51"/>
      <c r="AP279" s="1076">
        <f>MAX(AP275,AP276,AP277,AP278)</f>
        <v>9</v>
      </c>
      <c r="AQ279" s="965" t="s">
        <v>1582</v>
      </c>
      <c r="AR279" s="21"/>
      <c r="AS279" s="1072"/>
      <c r="AT279" s="1072"/>
      <c r="AU279" s="1072"/>
      <c r="AV279" s="1074"/>
      <c r="AW279" s="1074"/>
      <c r="AX279" s="112"/>
      <c r="AY279" s="112"/>
      <c r="AZ279" s="112"/>
      <c r="BA279" s="112"/>
    </row>
    <row r="280" spans="1:53" ht="15" customHeight="1">
      <c r="A280" s="1057"/>
      <c r="B280" s="941"/>
      <c r="C280" s="941"/>
      <c r="D280" s="941"/>
      <c r="E280" s="941"/>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82" t="s">
        <v>1653</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65" t="s">
        <v>1654</v>
      </c>
      <c r="B284" s="3165"/>
      <c r="C284" s="3053" t="s">
        <v>625</v>
      </c>
      <c r="D284" s="3053"/>
      <c r="E284" s="937"/>
      <c r="F284" s="1079" t="s">
        <v>1655</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1656</v>
      </c>
      <c r="AH284" s="941"/>
      <c r="AI284" s="941"/>
      <c r="AJ284" s="940"/>
      <c r="AK284" s="1023"/>
      <c r="AL284" s="1023"/>
      <c r="AM284" s="1023"/>
      <c r="AN284" s="1082"/>
      <c r="AO284" s="51"/>
      <c r="AR284" s="21"/>
    </row>
    <row r="285" spans="1:53">
      <c r="A285" s="1057"/>
      <c r="B285" s="941"/>
      <c r="C285" s="940"/>
      <c r="D285" s="941"/>
      <c r="E285" s="940"/>
      <c r="F285" s="3182" t="s">
        <v>1657</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1"/>
      <c r="AF285" s="941"/>
      <c r="AG285" s="941"/>
      <c r="AH285" s="941"/>
      <c r="AI285" s="941"/>
      <c r="AJ285" s="940"/>
      <c r="AK285" s="1023"/>
      <c r="AL285" s="1023"/>
      <c r="AM285" s="1023"/>
      <c r="AR285" s="1083"/>
    </row>
    <row r="286" spans="1:53" ht="15" customHeight="1">
      <c r="A286" s="1057"/>
      <c r="B286" s="941"/>
      <c r="C286" s="940"/>
      <c r="D286" s="941"/>
      <c r="E286" s="940"/>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1"/>
      <c r="AF286" s="941"/>
      <c r="AG286" s="941"/>
      <c r="AH286" s="941"/>
      <c r="AI286" s="941"/>
      <c r="AJ286" s="940"/>
      <c r="AK286" s="1023"/>
      <c r="AL286" s="1023"/>
      <c r="AM286" s="1023"/>
      <c r="AR286" s="1083"/>
    </row>
    <row r="287" spans="1:53">
      <c r="A287" s="1057"/>
      <c r="B287" s="941"/>
      <c r="C287" s="940"/>
      <c r="D287" s="941"/>
      <c r="E287" s="940"/>
      <c r="F287" s="3182" t="s">
        <v>1652</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1"/>
      <c r="AF288" s="941"/>
      <c r="AG288" s="941"/>
      <c r="AH288" s="941"/>
      <c r="AI288" s="941"/>
      <c r="AJ288" s="940"/>
      <c r="AK288" s="1023"/>
      <c r="AL288" s="1023"/>
      <c r="AM288" s="1023"/>
      <c r="AP288" s="1076"/>
      <c r="AQ288" s="965"/>
      <c r="AR288" s="1083"/>
    </row>
    <row r="289" spans="1:60">
      <c r="A289" s="1057"/>
      <c r="B289" s="941"/>
      <c r="C289" s="940"/>
      <c r="D289" s="941"/>
      <c r="E289" s="940"/>
      <c r="F289" s="3182" t="s">
        <v>1658</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1"/>
      <c r="AF289" s="941"/>
      <c r="AG289" s="941"/>
      <c r="AH289" s="941"/>
      <c r="AI289" s="941"/>
      <c r="AJ289" s="940"/>
      <c r="AK289" s="1023"/>
      <c r="AL289" s="1023"/>
      <c r="AM289" s="1023"/>
      <c r="AP289" s="1076"/>
      <c r="AQ289" s="965"/>
      <c r="AR289" s="1083"/>
    </row>
    <row r="290" spans="1:60">
      <c r="A290" s="1057"/>
      <c r="B290" s="941"/>
      <c r="C290" s="940"/>
      <c r="D290" s="941"/>
      <c r="E290" s="940"/>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165" t="s">
        <v>1659</v>
      </c>
      <c r="B292" s="3165"/>
      <c r="C292" s="3053" t="s">
        <v>577</v>
      </c>
      <c r="D292" s="3053"/>
      <c r="E292" s="937"/>
      <c r="F292" s="1079" t="s">
        <v>1655</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1656</v>
      </c>
      <c r="AH292" s="941"/>
      <c r="AI292" s="941"/>
      <c r="AJ292" s="940"/>
      <c r="AK292" s="1023"/>
      <c r="AL292" s="1023"/>
      <c r="AM292" s="1023"/>
      <c r="AN292" s="110"/>
      <c r="AO292" s="51"/>
      <c r="AR292" s="21"/>
    </row>
    <row r="293" spans="1:60">
      <c r="A293" s="1699"/>
      <c r="B293" s="1699"/>
      <c r="C293" s="1695"/>
      <c r="D293" s="1695"/>
      <c r="E293" s="937"/>
      <c r="F293" s="3182" t="s">
        <v>1660</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1"/>
      <c r="AF293" s="941"/>
      <c r="AG293" s="1009"/>
      <c r="AH293" s="941"/>
      <c r="AI293" s="941"/>
      <c r="AJ293" s="940"/>
      <c r="AK293" s="1023"/>
      <c r="AL293" s="1023"/>
      <c r="AM293" s="1023"/>
      <c r="AN293" s="110"/>
      <c r="AO293" s="51"/>
      <c r="AP293" s="947" t="s">
        <v>1380</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1"/>
      <c r="AF294" s="941"/>
      <c r="AH294" s="941"/>
      <c r="AI294" s="941"/>
      <c r="AJ294" s="1086"/>
      <c r="AK294" s="1057"/>
      <c r="AL294" s="1057"/>
      <c r="AM294" s="1057"/>
      <c r="AN294" s="1087"/>
      <c r="AP294" s="1088" t="s">
        <v>2160</v>
      </c>
      <c r="BD294" s="1089"/>
      <c r="BE294" s="1089"/>
      <c r="BF294" s="1089"/>
      <c r="BG294" s="1089"/>
      <c r="BH294" s="1089"/>
    </row>
    <row r="295" spans="1:60">
      <c r="A295" s="1057"/>
      <c r="B295" s="941"/>
      <c r="C295" s="1695"/>
      <c r="D295" s="1695"/>
      <c r="E295" s="937"/>
      <c r="F295" s="1091" t="s">
        <v>1661</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2162</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2313</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72" t="s">
        <v>2160</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2161</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1380</v>
      </c>
      <c r="AR305" s="21"/>
    </row>
    <row r="306" spans="1:60" ht="12.75" customHeight="1">
      <c r="A306" s="1057"/>
      <c r="B306" s="941"/>
      <c r="C306" s="1695"/>
      <c r="D306" s="1695"/>
      <c r="E306" s="937"/>
      <c r="F306" s="1095"/>
      <c r="G306" s="966" t="s">
        <v>724</v>
      </c>
      <c r="H306" s="966"/>
      <c r="I306" s="3178" t="s">
        <v>2619</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1"/>
      <c r="AF306" s="941"/>
      <c r="AG306" s="983"/>
      <c r="AH306" s="941"/>
      <c r="AI306" s="941"/>
      <c r="AJ306" s="940"/>
      <c r="AK306" s="1023"/>
      <c r="AL306" s="1023"/>
      <c r="AM306" s="1023"/>
      <c r="AN306" s="110"/>
      <c r="AO306" s="51"/>
      <c r="AP306" s="947" t="s">
        <v>1944</v>
      </c>
      <c r="AR306" s="21"/>
    </row>
    <row r="307" spans="1:60">
      <c r="A307" s="1057"/>
      <c r="B307" s="941"/>
      <c r="C307" s="1695"/>
      <c r="D307" s="1695"/>
      <c r="E307" s="937"/>
      <c r="F307" s="1095"/>
      <c r="G307" s="966"/>
      <c r="H307" s="966"/>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1"/>
      <c r="AF307" s="941"/>
      <c r="AG307" s="983"/>
      <c r="AH307" s="941"/>
      <c r="AI307" s="941"/>
      <c r="AJ307" s="940"/>
      <c r="AK307" s="1023"/>
      <c r="AL307" s="1023"/>
      <c r="AM307" s="1023"/>
      <c r="AN307" s="110"/>
      <c r="AO307" s="51"/>
      <c r="AP307" s="947" t="s">
        <v>2163</v>
      </c>
      <c r="AR307" s="21"/>
    </row>
    <row r="308" spans="1:60">
      <c r="A308" s="1057"/>
      <c r="B308" s="941"/>
      <c r="C308" s="1090"/>
      <c r="D308" s="1090"/>
      <c r="E308" s="937"/>
      <c r="F308" s="1095"/>
      <c r="G308" s="966"/>
      <c r="H308" s="966"/>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1"/>
      <c r="AF308" s="941"/>
      <c r="AG308" s="983"/>
      <c r="AH308" s="941"/>
      <c r="AI308" s="941"/>
      <c r="AJ308" s="940"/>
      <c r="AK308" s="1023"/>
      <c r="AL308" s="1023"/>
      <c r="AM308" s="1023"/>
      <c r="AN308" s="110"/>
      <c r="AO308" s="51"/>
      <c r="AP308" s="947" t="s">
        <v>2165</v>
      </c>
      <c r="AR308" s="21"/>
    </row>
    <row r="309" spans="1:60">
      <c r="A309" s="1057"/>
      <c r="B309" s="941"/>
      <c r="C309" s="1090"/>
      <c r="D309" s="1090"/>
      <c r="E309" s="937"/>
      <c r="F309" s="1093"/>
      <c r="G309" s="941"/>
      <c r="H309" s="941"/>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1"/>
      <c r="AF309" s="941"/>
      <c r="AG309" s="983"/>
      <c r="AH309" s="941"/>
      <c r="AI309" s="941"/>
      <c r="AJ309" s="940"/>
      <c r="AK309" s="1023"/>
      <c r="AL309" s="1023"/>
      <c r="AM309" s="1023"/>
      <c r="AN309" s="110"/>
      <c r="AO309" s="51"/>
      <c r="AP309" s="947" t="s">
        <v>2164</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541</v>
      </c>
      <c r="H311" s="941"/>
      <c r="I311" s="3178" t="s">
        <v>1380</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1"/>
      <c r="AF312" s="941"/>
      <c r="AG312" s="983"/>
      <c r="AH312" s="941"/>
      <c r="AI312" s="941"/>
      <c r="AJ312" s="940"/>
      <c r="AK312" s="1023"/>
      <c r="AL312" s="1023"/>
      <c r="AM312" s="1023"/>
      <c r="AN312" s="110"/>
      <c r="AO312" s="51"/>
      <c r="AP312" s="947" t="s">
        <v>1380</v>
      </c>
      <c r="AR312" s="21"/>
    </row>
    <row r="313" spans="1:60">
      <c r="A313" s="1057"/>
      <c r="B313" s="941"/>
      <c r="C313" s="1090"/>
      <c r="D313" s="1090"/>
      <c r="E313" s="937"/>
      <c r="F313" s="1096"/>
      <c r="G313" s="1097"/>
      <c r="H313" s="1097"/>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1"/>
      <c r="AF313" s="941"/>
      <c r="AG313" s="983"/>
      <c r="AH313" s="941"/>
      <c r="AI313" s="941"/>
      <c r="AJ313" s="940"/>
      <c r="AK313" s="1023"/>
      <c r="AL313" s="1023"/>
      <c r="AM313" s="1023"/>
      <c r="AN313" s="110"/>
      <c r="AO313" s="51"/>
      <c r="AP313" s="947" t="s">
        <v>1662</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1945</v>
      </c>
    </row>
    <row r="315" spans="1:60" ht="12.75" customHeight="1">
      <c r="A315" s="3165" t="s">
        <v>1663</v>
      </c>
      <c r="B315" s="3165"/>
      <c r="C315" s="3053" t="s">
        <v>625</v>
      </c>
      <c r="D315" s="3053"/>
      <c r="E315" s="937"/>
      <c r="F315" s="3166" t="s">
        <v>1664</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1"/>
      <c r="AF315" s="941"/>
      <c r="AG315" s="983" t="s">
        <v>1656</v>
      </c>
      <c r="AH315" s="941"/>
      <c r="AI315" s="941"/>
      <c r="AJ315" s="940"/>
      <c r="AK315" s="1023"/>
      <c r="AL315" s="1023"/>
      <c r="AM315" s="1023"/>
      <c r="AN315" s="110"/>
      <c r="AO315" s="51"/>
    </row>
    <row r="316" spans="1:60" ht="15" customHeight="1">
      <c r="A316" s="1057"/>
      <c r="B316" s="941"/>
      <c r="C316" s="941"/>
      <c r="D316" s="941"/>
      <c r="E316" s="941"/>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1"/>
      <c r="AF316" s="941"/>
      <c r="AG316" s="941"/>
      <c r="AH316" s="941"/>
      <c r="AI316" s="941"/>
      <c r="AJ316" s="940"/>
      <c r="AK316" s="1023"/>
      <c r="AL316" s="1023"/>
      <c r="AM316" s="1023"/>
      <c r="AN316" s="110"/>
      <c r="AO316" s="51"/>
    </row>
    <row r="317" spans="1:60" ht="15" customHeight="1">
      <c r="A317" s="1057"/>
      <c r="B317" s="941"/>
      <c r="C317" s="941"/>
      <c r="D317" s="941"/>
      <c r="E317" s="941"/>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1665</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1666</v>
      </c>
      <c r="AK320" s="3039">
        <f>AP279</f>
        <v>9</v>
      </c>
      <c r="AL320" s="3040"/>
      <c r="AM320" s="3041"/>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1667</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121" t="s">
        <v>1580</v>
      </c>
      <c r="AF323" s="3121"/>
      <c r="AG323" s="3121"/>
      <c r="AH323" s="3121"/>
      <c r="AI323" s="3121"/>
      <c r="AJ323" s="3121"/>
      <c r="AK323" s="3121"/>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57" t="s">
        <v>2123</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5"/>
      <c r="AL325" s="964"/>
      <c r="AM325" s="1024"/>
      <c r="AN325" s="997"/>
    </row>
    <row r="326" spans="1:42" s="940" customFormat="1" ht="12.75" customHeight="1">
      <c r="A326" s="1024"/>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5"/>
      <c r="AL326" s="964"/>
      <c r="AM326" s="1024"/>
      <c r="AN326" s="997"/>
    </row>
    <row r="327" spans="1:42" s="940" customFormat="1" ht="12.75" customHeight="1">
      <c r="A327" s="1024"/>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5"/>
      <c r="AL327" s="964"/>
      <c r="AM327" s="1024"/>
      <c r="AN327" s="997"/>
    </row>
    <row r="328" spans="1:42" s="940" customFormat="1" ht="12.75" customHeight="1">
      <c r="A328" s="1024"/>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5"/>
      <c r="AL328" s="964"/>
      <c r="AM328" s="1024"/>
      <c r="AN328" s="997"/>
    </row>
    <row r="329" spans="1:42" s="940" customFormat="1" ht="12.75" customHeight="1">
      <c r="A329" s="1024"/>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5"/>
      <c r="AL329" s="964"/>
      <c r="AM329" s="1024"/>
      <c r="AN329" s="997"/>
    </row>
    <row r="330" spans="1:42" s="940" customFormat="1" ht="12.75" customHeight="1">
      <c r="A330" s="1024"/>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5"/>
      <c r="AL330" s="964"/>
      <c r="AM330" s="1024"/>
      <c r="AN330" s="997"/>
    </row>
    <row r="331" spans="1:42" s="940" customFormat="1" ht="12.75" customHeight="1">
      <c r="A331" s="1024"/>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5"/>
      <c r="AL331" s="964"/>
      <c r="AM331" s="1024"/>
      <c r="AN331" s="997"/>
    </row>
    <row r="332" spans="1:42" ht="12.75" customHeight="1">
      <c r="A332" s="1024"/>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5"/>
      <c r="AL332" s="964"/>
      <c r="AM332" s="1024"/>
    </row>
    <row r="333" spans="1:42" s="940" customFormat="1" ht="12.75" customHeight="1">
      <c r="A333" s="1057"/>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1668</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625</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577</v>
      </c>
    </row>
    <row r="337" spans="1:42" s="940" customFormat="1" ht="12.75" customHeight="1">
      <c r="A337" s="1057"/>
      <c r="B337" s="1057"/>
      <c r="C337" s="983" t="s">
        <v>1669</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724</v>
      </c>
      <c r="E339" s="1541" t="s">
        <v>2128</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156" t="s">
        <v>1604</v>
      </c>
      <c r="AG339" s="3156"/>
      <c r="AH339" s="3156"/>
      <c r="AI339" s="3156"/>
      <c r="AJ339" s="3156"/>
      <c r="AK339" s="3156"/>
      <c r="AL339" s="3156"/>
      <c r="AM339" s="1023"/>
      <c r="AN339" s="997"/>
    </row>
    <row r="340" spans="1:42" s="940" customFormat="1" ht="12.75" customHeight="1">
      <c r="A340" s="1023"/>
      <c r="B340" s="1003"/>
      <c r="C340" s="1032"/>
      <c r="D340" s="1103"/>
      <c r="E340" s="1541" t="s">
        <v>2129</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2130</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2131</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2132</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2133</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541</v>
      </c>
      <c r="E346" s="1541" t="s">
        <v>2134</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156" t="s">
        <v>1670</v>
      </c>
      <c r="AG346" s="3156"/>
      <c r="AH346" s="3156"/>
      <c r="AI346" s="3156"/>
      <c r="AJ346" s="3156"/>
      <c r="AK346" s="3156"/>
      <c r="AL346" s="3156"/>
      <c r="AM346" s="1023"/>
      <c r="AN346" s="997"/>
    </row>
    <row r="347" spans="1:42" s="940" customFormat="1" ht="12.75" customHeight="1">
      <c r="A347" s="1057"/>
      <c r="B347" s="1020"/>
      <c r="C347" s="1544"/>
      <c r="D347" s="1103"/>
      <c r="E347" s="1541" t="s">
        <v>2135</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625</v>
      </c>
      <c r="AP347" s="1117">
        <v>0</v>
      </c>
    </row>
    <row r="348" spans="1:42" s="940" customFormat="1" ht="12.75" customHeight="1">
      <c r="A348" s="1057"/>
      <c r="B348" s="1021"/>
      <c r="C348" s="1545"/>
      <c r="D348" s="1103"/>
      <c r="E348" s="1541" t="s">
        <v>2136</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724</v>
      </c>
      <c r="AP348" s="940">
        <v>7</v>
      </c>
    </row>
    <row r="349" spans="1:42" s="940" customFormat="1" ht="12.75" customHeight="1">
      <c r="A349" s="1057"/>
      <c r="B349" s="1021"/>
      <c r="C349" s="1545"/>
      <c r="D349" s="1103"/>
      <c r="E349" s="1541" t="s">
        <v>2138</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541</v>
      </c>
      <c r="AP349" s="940">
        <v>6</v>
      </c>
    </row>
    <row r="350" spans="1:42" s="940" customFormat="1" ht="12.75" customHeight="1">
      <c r="A350" s="1057"/>
      <c r="B350" s="1021"/>
      <c r="C350" s="1545"/>
      <c r="D350" s="1103"/>
      <c r="E350" s="1541" t="s">
        <v>2137</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283</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1671</v>
      </c>
      <c r="AP351" s="940">
        <v>4</v>
      </c>
    </row>
    <row r="352" spans="1:42" s="940" customFormat="1" ht="12.75" customHeight="1">
      <c r="A352" s="1057"/>
      <c r="B352" s="1003"/>
      <c r="C352" s="1542"/>
      <c r="D352" s="1103" t="s">
        <v>283</v>
      </c>
      <c r="E352" s="1541" t="s">
        <v>2139</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156" t="s">
        <v>1644</v>
      </c>
      <c r="AG352" s="3156"/>
      <c r="AH352" s="3156"/>
      <c r="AI352" s="3156"/>
      <c r="AJ352" s="3156"/>
      <c r="AK352" s="3156"/>
      <c r="AL352" s="3156"/>
      <c r="AM352" s="1023"/>
      <c r="AN352" s="997"/>
      <c r="AO352" s="1115" t="s">
        <v>1672</v>
      </c>
      <c r="AP352" s="940">
        <v>3</v>
      </c>
    </row>
    <row r="353" spans="1:53" s="940" customFormat="1" ht="12.75" customHeight="1">
      <c r="A353" s="1057"/>
      <c r="B353" s="1020"/>
      <c r="C353" s="1544"/>
      <c r="D353" s="1103"/>
      <c r="E353" s="1541" t="s">
        <v>2135</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2136</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2138</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2137</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1671</v>
      </c>
      <c r="E358" s="1541" t="s">
        <v>2140</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156" t="s">
        <v>1673</v>
      </c>
      <c r="AG358" s="3156"/>
      <c r="AH358" s="3156"/>
      <c r="AI358" s="3156"/>
      <c r="AJ358" s="3156"/>
      <c r="AK358" s="3156"/>
      <c r="AL358" s="3156"/>
      <c r="AM358" s="1023"/>
      <c r="AN358" s="997"/>
      <c r="AO358" s="940" t="str">
        <f>X395</f>
        <v>N/A</v>
      </c>
    </row>
    <row r="359" spans="1:53" s="940" customFormat="1" ht="12.75" customHeight="1">
      <c r="A359" s="1057"/>
      <c r="B359" s="1020"/>
      <c r="C359" s="1544"/>
      <c r="D359" s="1103"/>
      <c r="E359" s="1541" t="s">
        <v>2141</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2142</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2325</v>
      </c>
      <c r="O362" s="3164" t="s">
        <v>1380</v>
      </c>
      <c r="P362" s="3164"/>
      <c r="Q362" s="3164"/>
      <c r="R362" s="3164"/>
      <c r="S362" s="3164"/>
      <c r="T362" s="3164"/>
      <c r="U362" s="3164"/>
      <c r="V362" s="3164"/>
      <c r="W362" s="3164"/>
      <c r="X362" s="3164"/>
      <c r="Y362" s="3164"/>
      <c r="Z362" s="3164"/>
      <c r="AA362" s="3164"/>
      <c r="AB362" s="3164"/>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1672</v>
      </c>
      <c r="E364" s="1541" t="s">
        <v>2144</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156" t="s">
        <v>1618</v>
      </c>
      <c r="AG364" s="3156"/>
      <c r="AH364" s="3156"/>
      <c r="AI364" s="3156"/>
      <c r="AJ364" s="3156"/>
      <c r="AK364" s="3156"/>
      <c r="AL364" s="3156"/>
      <c r="AM364" s="1023"/>
      <c r="AN364" s="998"/>
    </row>
    <row r="365" spans="1:53" s="940" customFormat="1" ht="12.75" customHeight="1">
      <c r="A365" s="1057"/>
      <c r="B365" s="1003"/>
      <c r="C365" s="1542"/>
      <c r="D365" s="1103"/>
      <c r="E365" s="1541" t="s">
        <v>2143</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625</v>
      </c>
      <c r="AP366" s="1117">
        <v>0</v>
      </c>
      <c r="AT366" s="940" t="s">
        <v>625</v>
      </c>
      <c r="AU366" s="1117">
        <v>0</v>
      </c>
    </row>
    <row r="367" spans="1:53" s="940" customFormat="1" ht="12.75" customHeight="1">
      <c r="A367" s="1057"/>
      <c r="B367" s="1020"/>
      <c r="C367" s="1544"/>
      <c r="D367" s="1020" t="s">
        <v>1674</v>
      </c>
      <c r="E367" s="1548"/>
      <c r="F367" s="1548"/>
      <c r="G367" s="1548"/>
      <c r="H367" s="3056" t="s">
        <v>1672</v>
      </c>
      <c r="I367" s="3056"/>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724</v>
      </c>
      <c r="AP367" s="940">
        <v>3</v>
      </c>
      <c r="AT367" s="1115" t="s">
        <v>724</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541</v>
      </c>
      <c r="AP368" s="940">
        <v>2</v>
      </c>
      <c r="AT368" s="1115" t="s">
        <v>541</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2145</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2146</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2147</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2148</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625</v>
      </c>
      <c r="AP374" s="1117">
        <v>0</v>
      </c>
    </row>
    <row r="375" spans="1:46" s="940" customFormat="1" ht="12.75" customHeight="1">
      <c r="A375" s="1057"/>
      <c r="B375" s="1020"/>
      <c r="C375" s="1544"/>
      <c r="D375" s="1020"/>
      <c r="E375" s="1020" t="s">
        <v>1674</v>
      </c>
      <c r="F375" s="1548"/>
      <c r="G375" s="1548"/>
      <c r="I375" s="3163" t="s">
        <v>625</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4"/>
      <c r="AG375" s="924"/>
      <c r="AH375" s="924"/>
      <c r="AI375" s="924"/>
      <c r="AJ375" s="924"/>
      <c r="AK375" s="924"/>
      <c r="AL375" s="924"/>
      <c r="AN375" s="997"/>
      <c r="AO375" s="940" t="s">
        <v>1675</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1676</v>
      </c>
      <c r="AP376" s="940">
        <v>2</v>
      </c>
    </row>
    <row r="377" spans="1:46" s="940" customFormat="1" ht="12.75" customHeight="1">
      <c r="A377" s="1057"/>
      <c r="B377" s="3161" t="s">
        <v>625</v>
      </c>
      <c r="C377" s="3161"/>
      <c r="D377" s="1549"/>
      <c r="E377" s="3057" t="s">
        <v>1677</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549"/>
      <c r="AI377" s="1549"/>
      <c r="AJ377" s="1549"/>
      <c r="AK377" s="1549"/>
      <c r="AL377" s="1549"/>
      <c r="AN377" s="997"/>
    </row>
    <row r="378" spans="1:46" s="940" customFormat="1" ht="12.75" customHeight="1">
      <c r="A378" s="1057"/>
      <c r="B378" s="1020"/>
      <c r="C378" s="1544"/>
      <c r="D378" s="1549"/>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549"/>
      <c r="AI378" s="1549"/>
      <c r="AJ378" s="1549"/>
      <c r="AK378" s="1549"/>
      <c r="AL378" s="1549"/>
      <c r="AN378" s="997"/>
    </row>
    <row r="379" spans="1:46" s="940" customFormat="1" ht="12.75" customHeight="1">
      <c r="A379" s="1057"/>
      <c r="B379" s="1020"/>
      <c r="C379" s="1544"/>
      <c r="D379" s="1549"/>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549"/>
      <c r="AI379" s="1549"/>
      <c r="AJ379" s="1549"/>
      <c r="AK379" s="1549"/>
      <c r="AL379" s="1549"/>
      <c r="AN379" s="997"/>
    </row>
    <row r="380" spans="1:46" s="940" customFormat="1" ht="12.75" customHeight="1">
      <c r="A380" s="1057"/>
      <c r="B380" s="1020"/>
      <c r="C380" s="1544"/>
      <c r="D380" s="1551"/>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1678</v>
      </c>
      <c r="AJ382" s="3039">
        <f>VLOOKUP($H$367,$AO$347:$AP$352,2,FALSE)+VLOOKUP($I$375,$AO$374:$AP$376,2,FALSE)</f>
        <v>3</v>
      </c>
      <c r="AK382" s="3041"/>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1679</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724</v>
      </c>
      <c r="E386" s="3162" t="s">
        <v>2124</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29"/>
      <c r="AF386" s="3156" t="s">
        <v>1618</v>
      </c>
      <c r="AG386" s="3156"/>
      <c r="AH386" s="3156"/>
      <c r="AI386" s="3156"/>
      <c r="AJ386" s="3156"/>
      <c r="AK386" s="3156"/>
      <c r="AL386" s="3156"/>
      <c r="AM386" s="1023"/>
      <c r="AN386" s="1122"/>
    </row>
    <row r="387" spans="1:42" s="940" customFormat="1" ht="12.75" customHeight="1">
      <c r="A387" s="1123"/>
      <c r="B387" s="1020"/>
      <c r="C387" s="1544"/>
      <c r="D387" s="1103"/>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3"/>
      <c r="AF387" s="1003"/>
      <c r="AG387" s="1003"/>
      <c r="AH387" s="1003"/>
      <c r="AI387" s="1003"/>
      <c r="AJ387" s="1003"/>
      <c r="AK387" s="1003"/>
      <c r="AL387" s="1003"/>
      <c r="AM387" s="1023"/>
      <c r="AN387" s="997"/>
    </row>
    <row r="388" spans="1:42" s="940" customFormat="1" ht="12.75" customHeight="1">
      <c r="A388" s="1057"/>
      <c r="B388" s="1020"/>
      <c r="C388" s="1545"/>
      <c r="D388" s="1103"/>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3"/>
      <c r="AF388" s="1003"/>
      <c r="AG388" s="1003"/>
      <c r="AH388" s="1003"/>
      <c r="AI388" s="1003"/>
      <c r="AJ388" s="1003"/>
      <c r="AK388" s="1003"/>
      <c r="AL388" s="1003"/>
      <c r="AM388" s="1023"/>
      <c r="AN388" s="997"/>
    </row>
    <row r="389" spans="1:42" s="940" customFormat="1" ht="12.75" customHeight="1">
      <c r="A389" s="1057"/>
      <c r="B389" s="1020"/>
      <c r="C389" s="1545"/>
      <c r="D389" s="1103"/>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3"/>
      <c r="AF389" s="1003"/>
      <c r="AG389" s="1003"/>
      <c r="AH389" s="1003"/>
      <c r="AI389" s="1003"/>
      <c r="AJ389" s="1003"/>
      <c r="AK389" s="1003"/>
      <c r="AL389" s="1003"/>
      <c r="AM389" s="1023"/>
      <c r="AN389" s="997"/>
    </row>
    <row r="390" spans="1:42" s="940" customFormat="1" ht="12.75" customHeight="1">
      <c r="A390" s="1057"/>
      <c r="B390" s="1020"/>
      <c r="C390" s="1545"/>
      <c r="D390" s="1103"/>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3"/>
      <c r="AF390" s="1003"/>
      <c r="AG390" s="1003"/>
      <c r="AH390" s="1003"/>
      <c r="AI390" s="1003"/>
      <c r="AJ390" s="1003"/>
      <c r="AK390" s="1003"/>
      <c r="AL390" s="1003"/>
      <c r="AM390" s="1023"/>
      <c r="AN390" s="997"/>
    </row>
    <row r="391" spans="1:42" s="940" customFormat="1" ht="12.75" customHeight="1">
      <c r="A391" s="1057"/>
      <c r="B391" s="1020"/>
      <c r="C391" s="1545"/>
      <c r="D391" s="1103"/>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3"/>
      <c r="AF391" s="1003"/>
      <c r="AG391" s="1003"/>
      <c r="AH391" s="1003"/>
      <c r="AI391" s="1003"/>
      <c r="AJ391" s="1003"/>
      <c r="AK391" s="1003"/>
      <c r="AL391" s="1003"/>
      <c r="AM391" s="1023"/>
      <c r="AN391" s="997"/>
    </row>
    <row r="392" spans="1:42" s="940" customFormat="1" ht="12.75" customHeight="1">
      <c r="A392" s="1116"/>
      <c r="B392" s="1032"/>
      <c r="C392" s="1554"/>
      <c r="D392" s="1103"/>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2"/>
      <c r="AF392" s="1032"/>
      <c r="AG392" s="1032"/>
      <c r="AH392" s="1032"/>
      <c r="AI392" s="1032"/>
      <c r="AJ392" s="1032"/>
      <c r="AK392" s="1003"/>
      <c r="AL392" s="1003"/>
      <c r="AM392" s="1023"/>
      <c r="AN392" s="997"/>
    </row>
    <row r="393" spans="1:42" s="940" customFormat="1" ht="12.75" customHeight="1">
      <c r="A393" s="1057"/>
      <c r="B393" s="1032"/>
      <c r="C393" s="1554"/>
      <c r="D393" s="1103"/>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625</v>
      </c>
      <c r="AP394" s="1124">
        <v>0</v>
      </c>
    </row>
    <row r="395" spans="1:42" s="940" customFormat="1" ht="12.75" customHeight="1">
      <c r="A395" s="1057"/>
      <c r="B395" s="1032"/>
      <c r="C395" s="1542"/>
      <c r="D395" s="1103"/>
      <c r="E395" s="1032" t="s">
        <v>1680</v>
      </c>
      <c r="F395" s="1555"/>
      <c r="G395" s="1555"/>
      <c r="H395" s="1555"/>
      <c r="I395" s="1555"/>
      <c r="J395" s="1555"/>
      <c r="K395" s="1555"/>
      <c r="L395" s="1555"/>
      <c r="M395" s="1555"/>
      <c r="N395" s="1555"/>
      <c r="O395" s="1555"/>
      <c r="P395" s="1555"/>
      <c r="Q395" s="1555"/>
      <c r="R395" s="1555"/>
      <c r="U395" s="1555"/>
      <c r="V395" s="1555"/>
      <c r="W395" s="1555"/>
      <c r="X395" s="3161" t="s">
        <v>625</v>
      </c>
      <c r="Y395" s="3161"/>
      <c r="Z395" s="1555"/>
      <c r="AA395" s="1555"/>
      <c r="AB395" s="1555"/>
      <c r="AC395" s="1555"/>
      <c r="AD395" s="1555"/>
      <c r="AE395" s="924"/>
      <c r="AF395" s="1032"/>
      <c r="AG395" s="1032"/>
      <c r="AH395" s="1032"/>
      <c r="AI395" s="1032"/>
      <c r="AJ395" s="1032"/>
      <c r="AK395" s="1003"/>
      <c r="AL395" s="1003"/>
      <c r="AM395" s="1023"/>
      <c r="AN395" s="997"/>
      <c r="AO395" s="1115" t="s">
        <v>724</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541</v>
      </c>
      <c r="AP396" s="1125">
        <v>4</v>
      </c>
    </row>
    <row r="397" spans="1:42" s="940" customFormat="1" ht="12.75" customHeight="1">
      <c r="A397" s="1057"/>
      <c r="B397" s="1003"/>
      <c r="C397" s="1542"/>
      <c r="D397" s="1103" t="s">
        <v>541</v>
      </c>
      <c r="E397" s="945" t="s">
        <v>1681</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156" t="s">
        <v>1682</v>
      </c>
      <c r="AG397" s="3156"/>
      <c r="AH397" s="3156"/>
      <c r="AI397" s="3156"/>
      <c r="AJ397" s="3156"/>
      <c r="AK397" s="3156"/>
      <c r="AL397" s="3156"/>
      <c r="AM397" s="1023"/>
      <c r="AN397" s="997"/>
      <c r="AO397" s="1115" t="s">
        <v>283</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1671</v>
      </c>
      <c r="AP398" s="1125">
        <v>4</v>
      </c>
    </row>
    <row r="399" spans="1:42" s="940" customFormat="1" ht="12.75" customHeight="1">
      <c r="A399" s="1057"/>
      <c r="B399" s="1003"/>
      <c r="C399" s="1542"/>
      <c r="D399" s="1020" t="s">
        <v>1674</v>
      </c>
      <c r="E399" s="1548"/>
      <c r="F399" s="1548"/>
      <c r="G399" s="1548"/>
      <c r="H399" s="3056" t="s">
        <v>724</v>
      </c>
      <c r="I399" s="3056"/>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1672</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1683</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1684</v>
      </c>
      <c r="AJ401" s="3039">
        <f>VLOOKUP($H$399,$AO$366:$AP$368,2,FALSE)</f>
        <v>3</v>
      </c>
      <c r="AK401" s="3041"/>
      <c r="AL401" s="1002"/>
      <c r="AM401" s="999"/>
      <c r="AN401" s="997"/>
      <c r="AO401" s="1115" t="s">
        <v>1685</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1686</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724</v>
      </c>
      <c r="E405" s="1032" t="s">
        <v>1687</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156" t="s">
        <v>1618</v>
      </c>
      <c r="AG405" s="3156"/>
      <c r="AH405" s="3156"/>
      <c r="AI405" s="3156"/>
      <c r="AJ405" s="3156"/>
      <c r="AK405" s="3156"/>
      <c r="AL405" s="3156"/>
      <c r="AM405" s="1023"/>
      <c r="AN405" s="997"/>
    </row>
    <row r="406" spans="1:42" s="940" customFormat="1" ht="12.75" customHeight="1">
      <c r="A406" s="1057"/>
      <c r="B406" s="924"/>
      <c r="C406" s="924"/>
      <c r="D406" s="1103"/>
      <c r="E406" s="1032" t="s">
        <v>1688</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541</v>
      </c>
      <c r="E408" s="1032" t="s">
        <v>1689</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156" t="s">
        <v>1682</v>
      </c>
      <c r="AG408" s="3156"/>
      <c r="AH408" s="3156"/>
      <c r="AI408" s="3156"/>
      <c r="AJ408" s="3156"/>
      <c r="AK408" s="3156"/>
      <c r="AL408" s="3156"/>
      <c r="AM408" s="1023"/>
      <c r="AN408" s="997"/>
    </row>
    <row r="409" spans="1:42" s="940" customFormat="1" ht="12.75" customHeight="1">
      <c r="A409" s="1057"/>
      <c r="B409" s="1003"/>
      <c r="C409" s="1542"/>
      <c r="D409" s="1103"/>
      <c r="E409" s="1032" t="s">
        <v>1690</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1674</v>
      </c>
      <c r="E411" s="1548"/>
      <c r="F411" s="1548"/>
      <c r="G411" s="1548"/>
      <c r="H411" s="3056" t="s">
        <v>625</v>
      </c>
      <c r="I411" s="3056"/>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1691</v>
      </c>
      <c r="AJ413" s="3039">
        <f>VLOOKUP(H411,AT366:AU368,2,FALSE)</f>
        <v>0</v>
      </c>
      <c r="AK413" s="3041"/>
      <c r="AL413" s="1002"/>
      <c r="AN413" s="998"/>
      <c r="AO413" s="999" t="s">
        <v>625</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724</v>
      </c>
      <c r="AP414" s="940">
        <v>3</v>
      </c>
    </row>
    <row r="415" spans="1:42" s="940" customFormat="1" ht="12.75" customHeight="1">
      <c r="B415" s="924"/>
      <c r="C415" s="983" t="s">
        <v>1692</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541</v>
      </c>
      <c r="AP415" s="940">
        <v>2</v>
      </c>
    </row>
    <row r="416" spans="1:42" s="940" customFormat="1" ht="12.75" customHeight="1">
      <c r="B416" s="924"/>
      <c r="C416" s="983"/>
      <c r="D416" s="1127" t="s">
        <v>1693</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724</v>
      </c>
      <c r="E418" s="3057" t="s">
        <v>1694</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4"/>
      <c r="AE418" s="924"/>
      <c r="AF418" s="3156" t="s">
        <v>1644</v>
      </c>
      <c r="AG418" s="3156"/>
      <c r="AH418" s="3156"/>
      <c r="AI418" s="3156"/>
      <c r="AJ418" s="3156"/>
      <c r="AK418" s="3156"/>
      <c r="AL418" s="3156"/>
      <c r="AN418" s="997"/>
    </row>
    <row r="419" spans="1:42" s="940" customFormat="1" ht="12.75" customHeight="1">
      <c r="B419" s="924"/>
      <c r="C419" s="983"/>
      <c r="D419" s="924"/>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4"/>
      <c r="AE419" s="924"/>
      <c r="AF419" s="924"/>
      <c r="AG419" s="924"/>
      <c r="AH419" s="924"/>
      <c r="AI419" s="924"/>
      <c r="AJ419" s="924"/>
      <c r="AK419" s="924"/>
      <c r="AL419" s="924"/>
      <c r="AN419" s="997"/>
    </row>
    <row r="420" spans="1:42" s="940" customFormat="1" ht="12.75" customHeight="1">
      <c r="B420" s="924"/>
      <c r="C420" s="983"/>
      <c r="D420" s="1103"/>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541</v>
      </c>
      <c r="E422" s="3057" t="s">
        <v>1695</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4"/>
      <c r="AE422" s="924"/>
      <c r="AF422" s="3156" t="s">
        <v>1673</v>
      </c>
      <c r="AG422" s="3156"/>
      <c r="AH422" s="3156"/>
      <c r="AI422" s="3156"/>
      <c r="AJ422" s="3156"/>
      <c r="AK422" s="3156"/>
      <c r="AL422" s="3156"/>
      <c r="AN422" s="997"/>
    </row>
    <row r="423" spans="1:42" s="940" customFormat="1" ht="12.75" customHeight="1">
      <c r="B423" s="924"/>
      <c r="C423" s="983"/>
      <c r="D423" s="924"/>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4"/>
      <c r="AE423" s="924"/>
      <c r="AF423" s="924"/>
      <c r="AG423" s="924"/>
      <c r="AH423" s="924"/>
      <c r="AI423" s="924"/>
      <c r="AJ423" s="924"/>
      <c r="AK423" s="924"/>
      <c r="AL423" s="924"/>
      <c r="AN423" s="997"/>
    </row>
    <row r="424" spans="1:42" s="940" customFormat="1" ht="15" customHeight="1">
      <c r="B424" s="924"/>
      <c r="C424" s="983"/>
      <c r="D424" s="1103"/>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283</v>
      </c>
      <c r="E426" s="3057" t="s">
        <v>1696</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4"/>
      <c r="AE426" s="924"/>
      <c r="AF426" s="3156" t="s">
        <v>1618</v>
      </c>
      <c r="AG426" s="3156"/>
      <c r="AH426" s="3156"/>
      <c r="AI426" s="3156"/>
      <c r="AJ426" s="3156"/>
      <c r="AK426" s="3156"/>
      <c r="AL426" s="3156"/>
      <c r="AN426" s="997"/>
    </row>
    <row r="427" spans="1:42" s="940" customFormat="1" ht="12.75" customHeight="1">
      <c r="A427" s="1057"/>
      <c r="B427" s="1020"/>
      <c r="C427" s="1545"/>
      <c r="D427" s="924"/>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4"/>
      <c r="AE427" s="3156"/>
      <c r="AF427" s="3156"/>
      <c r="AG427" s="3156"/>
      <c r="AH427" s="3156"/>
      <c r="AI427" s="3156"/>
      <c r="AJ427" s="3156"/>
      <c r="AK427" s="3156"/>
      <c r="AL427" s="1501"/>
      <c r="AM427" s="1023"/>
      <c r="AN427" s="997"/>
      <c r="AO427" s="940" t="s">
        <v>625</v>
      </c>
      <c r="AP427" s="1117">
        <v>0</v>
      </c>
    </row>
    <row r="428" spans="1:42" s="940" customFormat="1" ht="12.75" customHeight="1">
      <c r="A428" s="1123"/>
      <c r="B428" s="924"/>
      <c r="C428" s="924"/>
      <c r="D428" s="1103"/>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4"/>
      <c r="AE428" s="924"/>
      <c r="AF428" s="924"/>
      <c r="AG428" s="1003"/>
      <c r="AH428" s="1003"/>
      <c r="AI428" s="1003"/>
      <c r="AJ428" s="1003"/>
      <c r="AK428" s="1003"/>
      <c r="AL428" s="1003"/>
      <c r="AM428" s="1023"/>
      <c r="AN428" s="997"/>
      <c r="AO428" s="1115" t="s">
        <v>724</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541</v>
      </c>
      <c r="AP429" s="940">
        <v>2</v>
      </c>
    </row>
    <row r="430" spans="1:42" s="940" customFormat="1" ht="12.75" customHeight="1">
      <c r="A430" s="1112"/>
      <c r="B430" s="1020"/>
      <c r="C430" s="1561"/>
      <c r="D430" s="1103" t="s">
        <v>1671</v>
      </c>
      <c r="E430" s="3057" t="s">
        <v>1697</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4"/>
      <c r="AE430" s="924"/>
      <c r="AF430" s="3156" t="s">
        <v>1673</v>
      </c>
      <c r="AG430" s="3156"/>
      <c r="AH430" s="3156"/>
      <c r="AI430" s="3156"/>
      <c r="AJ430" s="3156"/>
      <c r="AK430" s="3156"/>
      <c r="AL430" s="3156"/>
      <c r="AN430" s="997"/>
    </row>
    <row r="431" spans="1:42" s="940" customFormat="1" ht="12.75" customHeight="1">
      <c r="A431" s="1112"/>
      <c r="B431" s="1020"/>
      <c r="C431" s="1561"/>
      <c r="D431" s="1103"/>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1672</v>
      </c>
      <c r="E434" s="3057" t="s">
        <v>1698</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4"/>
      <c r="AE434" s="924"/>
      <c r="AF434" s="3156" t="s">
        <v>1618</v>
      </c>
      <c r="AG434" s="3156"/>
      <c r="AH434" s="3156"/>
      <c r="AI434" s="3156"/>
      <c r="AJ434" s="3156"/>
      <c r="AK434" s="3156"/>
      <c r="AL434" s="3156"/>
      <c r="AM434" s="1062"/>
      <c r="AN434" s="997"/>
    </row>
    <row r="435" spans="1:42" s="940" customFormat="1" ht="12.75" customHeight="1">
      <c r="A435" s="1057"/>
      <c r="B435" s="1020"/>
      <c r="C435" s="1545"/>
      <c r="D435" s="1103"/>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1683</v>
      </c>
      <c r="E438" s="3057" t="s">
        <v>1699</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4"/>
      <c r="AE438" s="924"/>
      <c r="AF438" s="3156" t="s">
        <v>1682</v>
      </c>
      <c r="AG438" s="3156"/>
      <c r="AH438" s="3156"/>
      <c r="AI438" s="3156"/>
      <c r="AJ438" s="3156"/>
      <c r="AK438" s="3156"/>
      <c r="AL438" s="3156"/>
      <c r="AM438" s="1062"/>
      <c r="AN438" s="997"/>
    </row>
    <row r="439" spans="1:42" s="940" customFormat="1" ht="12.75" customHeight="1">
      <c r="A439" s="1504"/>
      <c r="B439" s="1003"/>
      <c r="C439" s="1542"/>
      <c r="D439" s="1103"/>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625</v>
      </c>
      <c r="AP441" s="1128">
        <v>0</v>
      </c>
    </row>
    <row r="442" spans="1:42" s="940" customFormat="1" ht="12.75" customHeight="1">
      <c r="A442" s="1123"/>
      <c r="B442" s="1003"/>
      <c r="C442" s="1542"/>
      <c r="D442" s="1103" t="s">
        <v>1685</v>
      </c>
      <c r="E442" s="3057" t="s">
        <v>1700</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4"/>
      <c r="AE442" s="924"/>
      <c r="AF442" s="3156" t="s">
        <v>1701</v>
      </c>
      <c r="AG442" s="3156"/>
      <c r="AH442" s="3156"/>
      <c r="AI442" s="3156"/>
      <c r="AJ442" s="3156"/>
      <c r="AK442" s="3156"/>
      <c r="AL442" s="3156"/>
      <c r="AM442" s="1062"/>
      <c r="AN442" s="997"/>
      <c r="AO442" s="1115" t="s">
        <v>724</v>
      </c>
      <c r="AP442" s="940">
        <v>3</v>
      </c>
    </row>
    <row r="443" spans="1:42" s="940" customFormat="1" ht="12.75" customHeight="1">
      <c r="A443" s="1504"/>
      <c r="B443" s="1003"/>
      <c r="C443" s="1542"/>
      <c r="D443" s="1103"/>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4"/>
      <c r="AE443" s="924"/>
      <c r="AF443" s="1501"/>
      <c r="AG443" s="1501"/>
      <c r="AH443" s="1501"/>
      <c r="AI443" s="1501"/>
      <c r="AJ443" s="1501"/>
      <c r="AK443" s="1501"/>
      <c r="AL443" s="1501"/>
      <c r="AM443" s="1062"/>
      <c r="AN443" s="997"/>
      <c r="AO443" s="1115" t="s">
        <v>541</v>
      </c>
      <c r="AP443" s="940">
        <v>2</v>
      </c>
    </row>
    <row r="444" spans="1:42" s="940" customFormat="1" ht="12.75" customHeight="1">
      <c r="A444" s="1123"/>
      <c r="B444" s="1003"/>
      <c r="C444" s="1542"/>
      <c r="D444" s="1103"/>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1674</v>
      </c>
      <c r="E446" s="1548"/>
      <c r="F446" s="1548"/>
      <c r="G446" s="1548"/>
      <c r="H446" s="3056" t="s">
        <v>541</v>
      </c>
      <c r="I446" s="3056"/>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1702</v>
      </c>
      <c r="AJ448" s="3039">
        <f>VLOOKUP($H$446,$AO$394:$AP$401,2,FALSE)</f>
        <v>4</v>
      </c>
      <c r="AK448" s="3041"/>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1703</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724</v>
      </c>
      <c r="E452" s="3057" t="s">
        <v>2120</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4"/>
      <c r="AD452" s="924"/>
      <c r="AE452" s="927"/>
      <c r="AF452" s="3156" t="s">
        <v>1618</v>
      </c>
      <c r="AG452" s="3156"/>
      <c r="AH452" s="3156"/>
      <c r="AI452" s="3156"/>
      <c r="AJ452" s="3156"/>
      <c r="AK452" s="3156"/>
      <c r="AL452" s="3156"/>
      <c r="AM452" s="1023"/>
      <c r="AN452" s="998"/>
    </row>
    <row r="453" spans="1:42" s="999" customFormat="1" ht="12.75" customHeight="1">
      <c r="A453" s="1057"/>
      <c r="B453" s="1020"/>
      <c r="C453" s="1554"/>
      <c r="D453" s="1103"/>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4"/>
      <c r="AD453" s="924"/>
      <c r="AE453" s="1032"/>
      <c r="AF453" s="927"/>
      <c r="AG453" s="927"/>
      <c r="AH453" s="927"/>
      <c r="AI453" s="927"/>
      <c r="AJ453" s="927"/>
      <c r="AK453" s="927"/>
      <c r="AL453" s="927"/>
      <c r="AM453" s="1023"/>
      <c r="AN453" s="998"/>
      <c r="AO453" s="3160"/>
      <c r="AP453" s="3160"/>
    </row>
    <row r="454" spans="1:42" s="999" customFormat="1" ht="12.75" customHeight="1">
      <c r="A454" s="1057"/>
      <c r="B454" s="1020"/>
      <c r="C454" s="1554"/>
      <c r="D454" s="1103"/>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4"/>
      <c r="AD455" s="924"/>
      <c r="AE455" s="1032"/>
      <c r="AF455" s="1032"/>
      <c r="AG455" s="1032"/>
      <c r="AH455" s="1032"/>
      <c r="AI455" s="1032"/>
      <c r="AJ455" s="1032"/>
      <c r="AK455" s="1032"/>
      <c r="AL455" s="1032"/>
      <c r="AM455" s="1023"/>
      <c r="AN455" s="997"/>
      <c r="AO455" s="940" t="s">
        <v>625</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724</v>
      </c>
      <c r="AP456" s="940">
        <v>2</v>
      </c>
    </row>
    <row r="457" spans="1:42" s="940" customFormat="1" ht="12.75" customHeight="1">
      <c r="A457" s="1057"/>
      <c r="B457" s="1003"/>
      <c r="C457" s="1542"/>
      <c r="D457" s="1103" t="s">
        <v>541</v>
      </c>
      <c r="E457" s="3057" t="s">
        <v>2122</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4"/>
      <c r="AD457" s="924"/>
      <c r="AE457" s="924"/>
      <c r="AF457" s="3156" t="s">
        <v>1682</v>
      </c>
      <c r="AG457" s="3156"/>
      <c r="AH457" s="3156"/>
      <c r="AI457" s="3156"/>
      <c r="AJ457" s="3156"/>
      <c r="AK457" s="3156"/>
      <c r="AL457" s="3156"/>
      <c r="AM457" s="1023"/>
      <c r="AN457" s="997"/>
      <c r="AO457" s="1115" t="s">
        <v>541</v>
      </c>
      <c r="AP457" s="940">
        <v>1</v>
      </c>
    </row>
    <row r="458" spans="1:42" s="940" customFormat="1" ht="12" customHeight="1">
      <c r="A458" s="1023"/>
      <c r="B458" s="924"/>
      <c r="C458" s="1562"/>
      <c r="D458" s="924"/>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57" t="s">
        <v>2121</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1674</v>
      </c>
      <c r="E466" s="1548"/>
      <c r="F466" s="1548"/>
      <c r="G466" s="1548"/>
      <c r="H466" s="3056" t="s">
        <v>724</v>
      </c>
      <c r="I466" s="3056"/>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1704</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1679</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1705</v>
      </c>
      <c r="AJ468" s="3039">
        <f>VLOOKUP($H$466,$AO$413:$AP$415,2,FALSE)</f>
        <v>3</v>
      </c>
      <c r="AK468" s="3041"/>
      <c r="AL468" s="1002"/>
      <c r="AM468" s="999"/>
      <c r="AN468" s="1130"/>
      <c r="AP468" s="1131" t="s">
        <v>1686</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1706</v>
      </c>
    </row>
    <row r="470" spans="1:43" s="1131" customFormat="1" ht="12.75" customHeight="1">
      <c r="A470" s="1023"/>
      <c r="B470" s="924"/>
      <c r="C470" s="983" t="s">
        <v>1707</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1708</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1709</v>
      </c>
    </row>
    <row r="472" spans="1:43" s="1131" customFormat="1" ht="12.75" customHeight="1">
      <c r="A472" s="1116"/>
      <c r="B472" s="924"/>
      <c r="C472" s="1542"/>
      <c r="D472" s="1103" t="s">
        <v>724</v>
      </c>
      <c r="E472" s="3158" t="s">
        <v>2125</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4"/>
      <c r="AD472" s="924"/>
      <c r="AE472" s="924"/>
      <c r="AF472" s="3156" t="s">
        <v>1618</v>
      </c>
      <c r="AG472" s="3156"/>
      <c r="AH472" s="3156"/>
      <c r="AI472" s="3156"/>
      <c r="AJ472" s="3156"/>
      <c r="AK472" s="3156"/>
      <c r="AL472" s="3156"/>
      <c r="AM472" s="1023"/>
      <c r="AN472" s="1130"/>
      <c r="AP472" s="1132" t="s">
        <v>1710</v>
      </c>
    </row>
    <row r="473" spans="1:43" s="1131" customFormat="1" ht="11.85" customHeight="1">
      <c r="A473" s="1057"/>
      <c r="B473" s="1020"/>
      <c r="C473" s="1544"/>
      <c r="D473" s="1103"/>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4"/>
      <c r="AD473" s="924"/>
      <c r="AE473" s="1020"/>
      <c r="AF473" s="924"/>
      <c r="AG473" s="924"/>
      <c r="AH473" s="924"/>
      <c r="AI473" s="924"/>
      <c r="AJ473" s="924"/>
      <c r="AK473" s="924"/>
      <c r="AL473" s="924"/>
      <c r="AM473" s="1023"/>
      <c r="AN473" s="1130"/>
      <c r="AP473" s="1132" t="s">
        <v>1711</v>
      </c>
    </row>
    <row r="474" spans="1:43" s="1131" customFormat="1" ht="13.9" customHeight="1">
      <c r="A474" s="1057"/>
      <c r="B474" s="1021"/>
      <c r="C474" s="1545"/>
      <c r="D474" s="1103"/>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4"/>
      <c r="AD474" s="924"/>
      <c r="AE474" s="1032"/>
      <c r="AF474" s="924"/>
      <c r="AG474" s="924"/>
      <c r="AH474" s="924"/>
      <c r="AI474" s="924"/>
      <c r="AJ474" s="924"/>
      <c r="AK474" s="924"/>
      <c r="AL474" s="924"/>
      <c r="AM474" s="1023"/>
      <c r="AN474" s="1130"/>
      <c r="AP474" s="1132" t="s">
        <v>1712</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1714</v>
      </c>
    </row>
    <row r="476" spans="1:43" s="1131" customFormat="1" ht="13.9" customHeight="1">
      <c r="A476" s="1057"/>
      <c r="B476" s="1003"/>
      <c r="C476" s="1542"/>
      <c r="D476" s="1103" t="s">
        <v>541</v>
      </c>
      <c r="E476" s="3159" t="s">
        <v>1713</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4"/>
      <c r="AD476" s="924"/>
      <c r="AE476" s="924"/>
      <c r="AF476" s="3156" t="s">
        <v>1682</v>
      </c>
      <c r="AG476" s="3156"/>
      <c r="AH476" s="3156"/>
      <c r="AI476" s="3156"/>
      <c r="AJ476" s="3156"/>
      <c r="AK476" s="3156"/>
      <c r="AL476" s="3156"/>
      <c r="AM476" s="1023"/>
      <c r="AN476" s="1133"/>
    </row>
    <row r="477" spans="1:43" s="1131" customFormat="1" ht="12.75" customHeight="1">
      <c r="A477" s="1057"/>
      <c r="B477" s="1020"/>
      <c r="C477" s="1544"/>
      <c r="D477" s="1020"/>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0"/>
      <c r="AD477" s="1020"/>
      <c r="AE477" s="1020"/>
      <c r="AF477" s="1020"/>
      <c r="AG477" s="1020"/>
      <c r="AH477" s="1020"/>
      <c r="AI477" s="1020"/>
      <c r="AJ477" s="924"/>
      <c r="AK477" s="1003"/>
      <c r="AL477" s="1003"/>
      <c r="AM477" s="1023"/>
      <c r="AN477" s="1130"/>
      <c r="AP477" s="940" t="s">
        <v>625</v>
      </c>
      <c r="AQ477" s="1117">
        <v>0</v>
      </c>
    </row>
    <row r="478" spans="1:43" s="1131" customFormat="1" ht="13.9" customHeight="1">
      <c r="A478" s="1057"/>
      <c r="B478" s="1020"/>
      <c r="C478" s="1544"/>
      <c r="D478" s="1020"/>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0"/>
      <c r="AD478" s="1020"/>
      <c r="AE478" s="1020"/>
      <c r="AF478" s="1020"/>
      <c r="AG478" s="1020"/>
      <c r="AH478" s="1020"/>
      <c r="AI478" s="1020"/>
      <c r="AJ478" s="924"/>
      <c r="AK478" s="1003"/>
      <c r="AL478" s="1003"/>
      <c r="AM478" s="1023"/>
      <c r="AN478" s="1130"/>
      <c r="AP478" s="1115" t="s">
        <v>724</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541</v>
      </c>
      <c r="AQ479" s="940">
        <v>3</v>
      </c>
    </row>
    <row r="480" spans="1:43" s="1131" customFormat="1" ht="13.9" customHeight="1">
      <c r="A480" s="1057"/>
      <c r="B480" s="1020"/>
      <c r="C480" s="1544"/>
      <c r="D480" s="1020" t="s">
        <v>1674</v>
      </c>
      <c r="E480" s="1548"/>
      <c r="F480" s="1548"/>
      <c r="G480" s="1548"/>
      <c r="H480" s="3056" t="s">
        <v>724</v>
      </c>
      <c r="I480" s="3056"/>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1715</v>
      </c>
      <c r="AJ482" s="3039">
        <f>VLOOKUP($H$480,$AO$413:$AP$415,2,FALSE)</f>
        <v>3</v>
      </c>
      <c r="AK482" s="3041"/>
      <c r="AL482" s="1002"/>
      <c r="AM482" s="999"/>
      <c r="AN482" s="1135"/>
      <c r="AP482" s="3039"/>
      <c r="AQ482" s="3041"/>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1716</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724</v>
      </c>
      <c r="E486" s="3057" t="s">
        <v>2126</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4"/>
      <c r="AD486" s="924"/>
      <c r="AE486" s="924"/>
      <c r="AF486" s="3156" t="s">
        <v>1618</v>
      </c>
      <c r="AG486" s="3156"/>
      <c r="AH486" s="3156"/>
      <c r="AI486" s="3156"/>
      <c r="AJ486" s="3156"/>
      <c r="AK486" s="3156"/>
      <c r="AL486" s="3156"/>
      <c r="AM486" s="1023"/>
      <c r="AN486" s="1130"/>
      <c r="AT486" s="51"/>
      <c r="AU486" s="51"/>
      <c r="AV486" s="51"/>
      <c r="AW486" s="51"/>
      <c r="AX486" s="51"/>
      <c r="AY486" s="51"/>
      <c r="AZ486" s="51"/>
    </row>
    <row r="487" spans="1:81" s="1131" customFormat="1">
      <c r="A487" s="1057"/>
      <c r="B487" s="1020"/>
      <c r="C487" s="1544"/>
      <c r="D487" s="1103"/>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541</v>
      </c>
      <c r="E489" s="3057" t="s">
        <v>1717</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4"/>
      <c r="AD489" s="924"/>
      <c r="AE489" s="924"/>
      <c r="AF489" s="3156" t="s">
        <v>1682</v>
      </c>
      <c r="AG489" s="3156"/>
      <c r="AH489" s="3156"/>
      <c r="AI489" s="3156"/>
      <c r="AJ489" s="3156"/>
      <c r="AK489" s="3156"/>
      <c r="AL489" s="3156"/>
      <c r="AM489" s="1023"/>
      <c r="AN489" s="1130"/>
      <c r="AT489" s="51"/>
      <c r="AU489" s="51"/>
      <c r="AV489" s="51"/>
      <c r="AW489" s="51"/>
      <c r="AX489" s="51"/>
      <c r="AY489" s="51"/>
      <c r="AZ489" s="51"/>
    </row>
    <row r="490" spans="1:81" s="1131" customFormat="1">
      <c r="A490" s="1057"/>
      <c r="B490" s="1020"/>
      <c r="C490" s="1544"/>
      <c r="D490" s="1020"/>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1674</v>
      </c>
      <c r="E492" s="1548"/>
      <c r="F492" s="1548"/>
      <c r="G492" s="1548"/>
      <c r="H492" s="3056" t="s">
        <v>625</v>
      </c>
      <c r="I492" s="3056"/>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1718</v>
      </c>
      <c r="AJ494" s="3039">
        <f>VLOOKUP($H$492,$AO$427:$AP$429,2,FALSE)</f>
        <v>0</v>
      </c>
      <c r="AK494" s="3041"/>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1719</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724</v>
      </c>
      <c r="E498" s="3057" t="s">
        <v>1720</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4"/>
      <c r="AD498" s="924"/>
      <c r="AE498" s="924"/>
      <c r="AF498" s="3156" t="s">
        <v>1618</v>
      </c>
      <c r="AG498" s="3156"/>
      <c r="AH498" s="3156"/>
      <c r="AI498" s="3156"/>
      <c r="AJ498" s="3156"/>
      <c r="AK498" s="3156"/>
      <c r="AL498" s="3156"/>
      <c r="AM498" s="1023"/>
      <c r="AN498" s="1130"/>
      <c r="AT498" s="51"/>
      <c r="AU498" s="51"/>
      <c r="AV498" s="51"/>
      <c r="AW498" s="51"/>
      <c r="AX498" s="51"/>
      <c r="AY498" s="51"/>
      <c r="AZ498" s="51"/>
    </row>
    <row r="499" spans="1:81" s="1131" customFormat="1">
      <c r="A499" s="1057"/>
      <c r="B499" s="924"/>
      <c r="C499" s="1542"/>
      <c r="D499" s="1103"/>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541</v>
      </c>
      <c r="E503" s="3057" t="s">
        <v>1721</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6"/>
      <c r="AC503" s="924"/>
      <c r="AD503" s="924"/>
      <c r="AE503" s="924"/>
      <c r="AF503" s="3156" t="s">
        <v>1682</v>
      </c>
      <c r="AG503" s="3156"/>
      <c r="AH503" s="3156"/>
      <c r="AI503" s="3156"/>
      <c r="AJ503" s="3156"/>
      <c r="AK503" s="3156"/>
      <c r="AL503" s="3156"/>
      <c r="AM503" s="1023"/>
      <c r="AN503" s="1130"/>
      <c r="AO503" s="126"/>
      <c r="AP503" s="51"/>
    </row>
    <row r="504" spans="1:81" s="1131" customFormat="1">
      <c r="A504" s="1057"/>
      <c r="B504" s="1003"/>
      <c r="C504" s="1542"/>
      <c r="D504" s="1103"/>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1674</v>
      </c>
      <c r="E508" s="1548"/>
      <c r="F508" s="1548"/>
      <c r="G508" s="1548"/>
      <c r="H508" s="3056" t="s">
        <v>625</v>
      </c>
      <c r="I508" s="3056"/>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1722</v>
      </c>
      <c r="AJ510" s="3039">
        <f>VLOOKUP($H$508,$AO$441:$AP$443,2,FALSE)</f>
        <v>0</v>
      </c>
      <c r="AK510" s="3041"/>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1712</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724</v>
      </c>
      <c r="E514" s="3057" t="s">
        <v>1723</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4"/>
      <c r="AD514" s="924"/>
      <c r="AE514" s="924"/>
      <c r="AF514" s="3156" t="s">
        <v>1682</v>
      </c>
      <c r="AG514" s="3156"/>
      <c r="AH514" s="3156"/>
      <c r="AI514" s="3156"/>
      <c r="AJ514" s="3156"/>
      <c r="AK514" s="3156"/>
      <c r="AL514" s="3156"/>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541</v>
      </c>
      <c r="E517" s="3057" t="s">
        <v>1724</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4"/>
      <c r="AD517" s="924"/>
      <c r="AE517" s="924"/>
      <c r="AF517" s="3156" t="s">
        <v>1701</v>
      </c>
      <c r="AG517" s="3156"/>
      <c r="AH517" s="3156"/>
      <c r="AI517" s="3156"/>
      <c r="AJ517" s="3156"/>
      <c r="AK517" s="3156"/>
      <c r="AL517" s="3156"/>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1674</v>
      </c>
      <c r="E520" s="1548"/>
      <c r="F520" s="1548"/>
      <c r="G520" s="1548"/>
      <c r="H520" s="3056" t="s">
        <v>541</v>
      </c>
      <c r="I520" s="3056"/>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1725</v>
      </c>
      <c r="AJ522" s="3039">
        <f>VLOOKUP($H$520,$AO$455:$AP$457,2,FALSE)</f>
        <v>1</v>
      </c>
      <c r="AK522" s="3041"/>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1714</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 customHeight="1">
      <c r="A526" s="1057"/>
      <c r="B526" s="1032"/>
      <c r="C526" s="1554"/>
      <c r="D526" s="1103" t="s">
        <v>724</v>
      </c>
      <c r="E526" s="3057" t="s">
        <v>2119</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4"/>
      <c r="AF526" s="3156" t="s">
        <v>1682</v>
      </c>
      <c r="AG526" s="3156"/>
      <c r="AH526" s="3156"/>
      <c r="AI526" s="3156"/>
      <c r="AJ526" s="3156"/>
      <c r="AK526" s="3156"/>
      <c r="AL526" s="3156"/>
      <c r="AM526" s="1028"/>
      <c r="AN526" s="1130"/>
    </row>
    <row r="527" spans="1:74" s="1131" customFormat="1" ht="13.7" customHeight="1">
      <c r="A527" s="1057"/>
      <c r="B527" s="1032"/>
      <c r="C527" s="1554"/>
      <c r="D527" s="1103"/>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4"/>
      <c r="AF527" s="1501"/>
      <c r="AG527" s="1501"/>
      <c r="AH527" s="1501"/>
      <c r="AI527" s="1501"/>
      <c r="AJ527" s="1501"/>
      <c r="AK527" s="1501"/>
      <c r="AL527" s="1501"/>
      <c r="AM527" s="1028"/>
      <c r="AN527" s="1130"/>
    </row>
    <row r="528" spans="1:74" s="1131" customFormat="1">
      <c r="A528" s="1057"/>
      <c r="B528" s="1032"/>
      <c r="C528" s="1554"/>
      <c r="D528" s="1103"/>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541</v>
      </c>
      <c r="E531" s="3157" t="s">
        <v>2127</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4"/>
      <c r="AF531" s="3156" t="s">
        <v>1618</v>
      </c>
      <c r="AG531" s="3156"/>
      <c r="AH531" s="3156"/>
      <c r="AI531" s="3156"/>
      <c r="AJ531" s="3156"/>
      <c r="AK531" s="3156"/>
      <c r="AL531" s="3156"/>
      <c r="AM531" s="1028"/>
      <c r="AN531" s="997"/>
    </row>
    <row r="532" spans="1:81" s="940" customFormat="1" ht="12.75" customHeight="1">
      <c r="A532" s="1057"/>
      <c r="B532" s="1032"/>
      <c r="C532" s="1554"/>
      <c r="D532" s="1103"/>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01"/>
      <c r="AF532" s="1501"/>
      <c r="AG532" s="1501"/>
      <c r="AH532" s="1501"/>
      <c r="AI532" s="1501"/>
      <c r="AJ532" s="1501"/>
      <c r="AK532" s="1501"/>
      <c r="AL532" s="1501"/>
      <c r="AM532" s="1028"/>
      <c r="AN532" s="997"/>
    </row>
    <row r="533" spans="1:81" s="940" customFormat="1" ht="12.75" customHeight="1">
      <c r="A533" s="1057"/>
      <c r="B533" s="1032"/>
      <c r="C533" s="1554"/>
      <c r="D533" s="1103"/>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01"/>
      <c r="AF533" s="1501"/>
      <c r="AG533" s="1501"/>
      <c r="AH533" s="1501"/>
      <c r="AI533" s="1501"/>
      <c r="AJ533" s="1501"/>
      <c r="AK533" s="1501"/>
      <c r="AL533" s="1501"/>
      <c r="AM533" s="1028"/>
      <c r="AN533" s="997"/>
    </row>
    <row r="534" spans="1:81" s="940" customFormat="1" ht="12.75" customHeight="1">
      <c r="A534" s="1057"/>
      <c r="B534" s="1032"/>
      <c r="C534" s="1554"/>
      <c r="D534" s="1103"/>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1674</v>
      </c>
      <c r="E536" s="1548"/>
      <c r="F536" s="1548"/>
      <c r="G536" s="1548"/>
      <c r="H536" s="3056" t="s">
        <v>625</v>
      </c>
      <c r="I536" s="3056"/>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1726</v>
      </c>
      <c r="AJ538" s="3039">
        <f>VLOOKUP($H$536,$AP$477:$AQ$479,2,FALSE)</f>
        <v>0</v>
      </c>
      <c r="AK538" s="3041"/>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1727</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625</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554"/>
      <c r="D542" s="1103" t="s">
        <v>724</v>
      </c>
      <c r="E542" s="3057" t="s">
        <v>2118</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4"/>
      <c r="AF542" s="3156" t="s">
        <v>1728</v>
      </c>
      <c r="AG542" s="3156"/>
      <c r="AH542" s="3156"/>
      <c r="AI542" s="3156"/>
      <c r="AJ542" s="3156"/>
      <c r="AK542" s="3156"/>
      <c r="AL542" s="3156"/>
      <c r="AM542" s="1028"/>
      <c r="AN542" s="1130"/>
      <c r="AO542" s="1115" t="s">
        <v>577</v>
      </c>
      <c r="AP542" s="940">
        <v>8</v>
      </c>
      <c r="AT542" s="1140"/>
      <c r="AU542" s="1140"/>
      <c r="AV542" s="1140"/>
      <c r="AW542" s="1140"/>
      <c r="AX542" s="1140"/>
      <c r="AY542" s="1140"/>
      <c r="AZ542" s="1140"/>
    </row>
    <row r="543" spans="1:81" s="1131" customFormat="1" ht="13.7" customHeight="1">
      <c r="A543" s="1057"/>
      <c r="B543" s="1032"/>
      <c r="C543" s="1554"/>
      <c r="D543" s="1103"/>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1674</v>
      </c>
      <c r="E547" s="1548"/>
      <c r="F547" s="1548"/>
      <c r="G547" s="1548"/>
      <c r="H547" s="3056" t="s">
        <v>625</v>
      </c>
      <c r="I547" s="3056"/>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1729</v>
      </c>
      <c r="AJ549" s="3039">
        <f>VLOOKUP($H$547,$AO$541:$AP$542,2,FALSE)</f>
        <v>0</v>
      </c>
      <c r="AK549" s="3041"/>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1730</v>
      </c>
      <c r="AK551" s="3039">
        <f>IF(($AJ$382+$AJ$401+$AJ$413+$AJ$448+$AJ$468+$AJ$482+$AJ$494+$AJ$510+$AJ$522+$AJ$538+AJ549)&gt;10,10,($AJ$382+$AJ$401+$AJ$413+$AJ$448+$AJ$468+$AJ$482+$AJ$494+$AJ$510+$AJ$522+$AJ$538+AJ549))</f>
        <v>10</v>
      </c>
      <c r="AL551" s="3040"/>
      <c r="AM551" s="3041"/>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1731</v>
      </c>
      <c r="AK553" s="3039">
        <f>IF((AK320+AK551)&gt;20,20,(AK320+AK551))</f>
        <v>19</v>
      </c>
      <c r="AL553" s="3040"/>
      <c r="AM553" s="3041"/>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1732</v>
      </c>
      <c r="B556" s="1009" t="s">
        <v>907</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121" t="s">
        <v>1580</v>
      </c>
      <c r="AF556" s="3121"/>
      <c r="AG556" s="3121"/>
      <c r="AH556" s="3121"/>
      <c r="AI556" s="3121"/>
      <c r="AJ556" s="3121"/>
      <c r="AK556" s="3121"/>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048" t="s">
        <v>1733</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4"/>
      <c r="AL558" s="1024"/>
      <c r="AM558" s="1024"/>
      <c r="AN558" s="997"/>
    </row>
    <row r="559" spans="1:81" s="940" customFormat="1" ht="12.75" customHeight="1">
      <c r="A559" s="1024"/>
      <c r="B559" s="1025"/>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4"/>
      <c r="AL559" s="1024"/>
      <c r="AM559" s="1024"/>
      <c r="AN559" s="997"/>
    </row>
    <row r="560" spans="1:81" s="940" customFormat="1" ht="12.75" customHeight="1">
      <c r="A560" s="1024"/>
      <c r="B560" s="1025"/>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4"/>
      <c r="AL560" s="1024"/>
      <c r="AM560" s="1024"/>
      <c r="AN560" s="997"/>
      <c r="AQ560" s="1132"/>
      <c r="AR560" s="999"/>
    </row>
    <row r="561" spans="1:46" s="940" customFormat="1" ht="12.75" customHeight="1">
      <c r="A561" s="1024"/>
      <c r="B561" s="1115"/>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4"/>
      <c r="AL561" s="1024"/>
      <c r="AM561" s="1024"/>
      <c r="AN561" s="997"/>
      <c r="AQ561" s="1132"/>
      <c r="AR561" s="999"/>
    </row>
    <row r="562" spans="1:46" s="940" customFormat="1" ht="12.4" customHeight="1">
      <c r="A562" s="1024"/>
      <c r="B562" s="1115"/>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4"/>
      <c r="AL562" s="1024"/>
      <c r="AM562" s="1024"/>
      <c r="AN562" s="997"/>
      <c r="AQ562" s="1132"/>
      <c r="AR562" s="1132"/>
    </row>
    <row r="563" spans="1:46" s="940" customFormat="1" ht="24.95" customHeight="1">
      <c r="A563" s="1024"/>
      <c r="B563" s="1115"/>
      <c r="C563" s="3048" t="s">
        <v>1734</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048" t="s">
        <v>2322</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4"/>
      <c r="AL565" s="1024"/>
      <c r="AM565" s="1024"/>
      <c r="AN565" s="997"/>
      <c r="AQ565" s="1132"/>
      <c r="AR565" s="1132"/>
    </row>
    <row r="566" spans="1:46" s="940" customFormat="1" ht="30" customHeight="1">
      <c r="A566" s="1024"/>
      <c r="B566" s="1115"/>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4"/>
      <c r="AL566" s="1024"/>
      <c r="AM566" s="1024"/>
      <c r="AN566" s="997"/>
      <c r="AQ566" s="999"/>
      <c r="AR566" s="1132"/>
    </row>
    <row r="567" spans="1:46" s="940" customFormat="1" ht="12.75" customHeight="1">
      <c r="A567" s="1024"/>
      <c r="B567" s="1115"/>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4"/>
      <c r="AL567" s="1024"/>
      <c r="AM567" s="1024"/>
      <c r="AN567" s="997"/>
      <c r="AQ567" s="999"/>
      <c r="AR567" s="1132"/>
    </row>
    <row r="568" spans="1:46" s="940" customFormat="1" ht="12.75" customHeight="1">
      <c r="A568" s="1024"/>
      <c r="B568" s="1115"/>
      <c r="C568" s="3048" t="s">
        <v>1735</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4"/>
      <c r="AL568" s="1024"/>
      <c r="AM568" s="1024"/>
      <c r="AN568" s="997"/>
      <c r="AQ568" s="1132"/>
      <c r="AR568" s="1132"/>
    </row>
    <row r="569" spans="1:46" s="940" customFormat="1" ht="12.75" customHeight="1">
      <c r="A569" s="1024"/>
      <c r="B569" s="1115"/>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4"/>
      <c r="AL569" s="1024"/>
      <c r="AM569" s="1024"/>
      <c r="AN569" s="997"/>
      <c r="AQ569" s="1132"/>
      <c r="AR569" s="1132"/>
    </row>
    <row r="570" spans="1:46" s="940" customFormat="1" ht="13.15" customHeight="1">
      <c r="A570" s="1024"/>
      <c r="B570" s="1115"/>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4"/>
      <c r="AL570" s="1024"/>
      <c r="AM570" s="1024"/>
      <c r="AN570" s="997"/>
      <c r="AQ570" s="1132"/>
      <c r="AR570" s="1132"/>
    </row>
    <row r="571" spans="1:46" s="940" customFormat="1" ht="12.75" customHeight="1">
      <c r="A571" s="1024"/>
      <c r="B571" s="1115"/>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4"/>
      <c r="AL571" s="1024"/>
      <c r="AM571" s="1024"/>
      <c r="AN571" s="997"/>
      <c r="AO571" s="1147"/>
      <c r="AP571" s="1147"/>
      <c r="AQ571" s="1132"/>
      <c r="AR571" s="999"/>
    </row>
    <row r="572" spans="1:46" s="940" customFormat="1" ht="11.85" customHeight="1">
      <c r="A572" s="1024"/>
      <c r="B572" s="1115"/>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4"/>
      <c r="AL572" s="1024"/>
      <c r="AM572" s="1024"/>
      <c r="AN572" s="997"/>
      <c r="AO572" s="1148" t="s">
        <v>117</v>
      </c>
      <c r="AP572" s="1149">
        <f>IF(C596="Yes",5,0)</f>
        <v>0</v>
      </c>
      <c r="AQ572" s="999"/>
      <c r="AR572" s="999"/>
      <c r="AS572" s="929" t="s">
        <v>1736</v>
      </c>
    </row>
    <row r="573" spans="1:46" s="940" customFormat="1" ht="12.75" customHeight="1">
      <c r="A573" s="1024"/>
      <c r="B573" s="1115"/>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4"/>
      <c r="AL573" s="1024"/>
      <c r="AM573" s="1024"/>
      <c r="AN573" s="997"/>
      <c r="AO573" s="1148" t="s">
        <v>118</v>
      </c>
      <c r="AP573" s="1149">
        <f>IF(C604="Yes",5,0)</f>
        <v>0</v>
      </c>
      <c r="AQ573" s="999"/>
      <c r="AR573" s="999"/>
      <c r="AS573" s="3013">
        <f>IF(Application!D210="Non-Targeted",(SUM(AQ581+AQ590)),AS577)</f>
        <v>12</v>
      </c>
      <c r="AT573" s="3013"/>
    </row>
    <row r="574" spans="1:46" s="940" customFormat="1" ht="12.75" customHeight="1">
      <c r="A574" s="1024"/>
      <c r="B574" s="1115"/>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4"/>
      <c r="AL574" s="1024"/>
      <c r="AM574" s="1024"/>
      <c r="AN574" s="997"/>
      <c r="AO574" s="1148" t="s">
        <v>124</v>
      </c>
      <c r="AP574" s="1149">
        <f>IF(C612="Yes",7,0)</f>
        <v>7</v>
      </c>
      <c r="AS574" s="929" t="s">
        <v>1737</v>
      </c>
    </row>
    <row r="575" spans="1:46" s="940" customFormat="1" ht="12.75" customHeight="1">
      <c r="A575" s="1024"/>
      <c r="B575" s="1115"/>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4"/>
      <c r="AL575" s="1024"/>
      <c r="AM575" s="1024"/>
      <c r="AN575" s="997"/>
      <c r="AO575" s="997"/>
      <c r="AP575" s="1149">
        <f>IF(C614="Yes",5,0)</f>
        <v>0</v>
      </c>
      <c r="AS575" s="3013">
        <f>IF(AND(AQ581&gt;0,AQ590&gt;0),(AQ581+AQ590)/2,0)</f>
        <v>0</v>
      </c>
      <c r="AT575" s="3013"/>
    </row>
    <row r="576" spans="1:46" s="940" customFormat="1" ht="12.75" customHeight="1">
      <c r="A576" s="1024"/>
      <c r="B576" s="1115"/>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4"/>
      <c r="AL576" s="1024"/>
      <c r="AM576" s="1024"/>
      <c r="AN576" s="997"/>
      <c r="AO576" s="1148" t="s">
        <v>615</v>
      </c>
      <c r="AP576" s="1149">
        <f>IF(C622="Yes",5,0)</f>
        <v>0</v>
      </c>
      <c r="AQ576" s="999"/>
      <c r="AR576" s="999"/>
      <c r="AS576" s="929" t="s">
        <v>2345</v>
      </c>
    </row>
    <row r="577" spans="1:81" s="940" customFormat="1" ht="12.75" customHeight="1">
      <c r="A577" s="1024"/>
      <c r="B577" s="1115"/>
      <c r="C577" s="3155" t="s">
        <v>1738</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4"/>
      <c r="AL577" s="1024"/>
      <c r="AM577" s="1024"/>
      <c r="AN577" s="997"/>
      <c r="AO577" s="997"/>
      <c r="AP577" s="1149">
        <f>IF(C624="Yes",3,0)</f>
        <v>0</v>
      </c>
      <c r="AS577" s="3013">
        <f>IF(AQ581=0,AQ590,AQ581)</f>
        <v>12</v>
      </c>
      <c r="AT577" s="3013"/>
    </row>
    <row r="578" spans="1:81" s="940" customFormat="1" ht="12.75" customHeight="1">
      <c r="A578" s="1024"/>
      <c r="B578" s="1115"/>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4"/>
      <c r="AL578" s="1024"/>
      <c r="AM578" s="1024"/>
      <c r="AN578" s="997"/>
      <c r="AO578" s="1148" t="s">
        <v>820</v>
      </c>
      <c r="AP578" s="1149">
        <f>IF(C627="Yes",5,0)</f>
        <v>0</v>
      </c>
    </row>
    <row r="579" spans="1:81" s="940" customFormat="1" ht="12.75" customHeight="1">
      <c r="A579" s="1024"/>
      <c r="B579" s="1115"/>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4"/>
      <c r="AL579" s="1024"/>
      <c r="AM579" s="1024"/>
      <c r="AN579" s="997"/>
      <c r="AO579" s="1148" t="s">
        <v>618</v>
      </c>
      <c r="AP579" s="1149">
        <f>IF(C636="Yes",5,0)</f>
        <v>5</v>
      </c>
    </row>
    <row r="580" spans="1:81" s="940" customFormat="1" ht="11.85" customHeight="1">
      <c r="A580" s="1024"/>
      <c r="B580" s="1115"/>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4"/>
      <c r="AL580" s="1024"/>
      <c r="AM580" s="1024"/>
      <c r="AN580" s="997"/>
      <c r="AO580" s="1150"/>
      <c r="AP580" s="1151">
        <f>IF(C638="Yes",3,0)</f>
        <v>0</v>
      </c>
    </row>
    <row r="581" spans="1:81" s="940" customFormat="1" ht="12.4" customHeight="1">
      <c r="A581" s="1024"/>
      <c r="B581" s="1115"/>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4"/>
      <c r="AL581" s="1024"/>
      <c r="AM581" s="1024"/>
      <c r="AN581" s="997"/>
      <c r="AO581" s="1152" t="s">
        <v>232</v>
      </c>
      <c r="AP581" s="1153">
        <f>SUM(AP572:AP580)</f>
        <v>12</v>
      </c>
      <c r="AQ581" s="3051">
        <f>IF(AP581&gt;0,AP581,0)</f>
        <v>12</v>
      </c>
      <c r="AR581" s="3051"/>
    </row>
    <row r="582" spans="1:81" s="940" customFormat="1" ht="12.75" customHeight="1">
      <c r="A582" s="1024"/>
      <c r="B582" s="1115"/>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486</v>
      </c>
      <c r="AP583" s="1149">
        <f>IF(C645="Yes",5,0)</f>
        <v>0</v>
      </c>
    </row>
    <row r="584" spans="1:81" s="940" customFormat="1" ht="12.75" customHeight="1">
      <c r="A584" s="1024"/>
      <c r="B584" s="1115"/>
      <c r="C584" s="3048" t="s">
        <v>1739</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4"/>
      <c r="AL584" s="1024"/>
      <c r="AM584" s="1024"/>
      <c r="AN584" s="997"/>
      <c r="AO584" s="1148" t="s">
        <v>487</v>
      </c>
      <c r="AP584" s="1149">
        <f>IF(C657="Yes",5,0)</f>
        <v>0</v>
      </c>
    </row>
    <row r="585" spans="1:81" s="940" customFormat="1" ht="12.75" customHeight="1">
      <c r="A585" s="1024"/>
      <c r="B585" s="1115"/>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4"/>
      <c r="AL585" s="1024"/>
      <c r="AM585" s="1024"/>
      <c r="AN585" s="997"/>
      <c r="AO585" s="1148" t="s">
        <v>493</v>
      </c>
      <c r="AP585" s="1149">
        <f>IF(C664="Yes",5,0)</f>
        <v>0</v>
      </c>
    </row>
    <row r="586" spans="1:81" s="940" customFormat="1" ht="68.099999999999994" customHeight="1">
      <c r="A586" s="1024"/>
      <c r="B586" s="1115"/>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4"/>
      <c r="AL586" s="1024"/>
      <c r="AM586" s="1024"/>
      <c r="AN586" s="997"/>
      <c r="AO586" s="1148" t="s">
        <v>680</v>
      </c>
      <c r="AP586" s="1155">
        <f>IF(C668="Yes",5,0)</f>
        <v>0</v>
      </c>
      <c r="AQ586" s="999"/>
      <c r="AR586" s="999"/>
    </row>
    <row r="587" spans="1:81" s="940" customFormat="1" ht="12.4" customHeight="1">
      <c r="A587" s="1024"/>
      <c r="B587" s="1115"/>
      <c r="C587" s="1156" t="s">
        <v>1740</v>
      </c>
      <c r="AF587" s="1024"/>
      <c r="AG587" s="1024"/>
      <c r="AH587" s="1024"/>
      <c r="AI587" s="1024"/>
      <c r="AJ587" s="1024"/>
      <c r="AK587" s="1024"/>
      <c r="AL587" s="1024"/>
      <c r="AM587" s="1024"/>
      <c r="AN587" s="997"/>
      <c r="AO587" s="1148" t="s">
        <v>371</v>
      </c>
      <c r="AP587" s="1149">
        <f>IF(C672="Yes",5,0)</f>
        <v>0</v>
      </c>
    </row>
    <row r="588" spans="1:81" s="940" customFormat="1" ht="12.75" customHeight="1">
      <c r="A588" s="1024"/>
      <c r="B588" s="1115"/>
      <c r="C588" s="1157" t="s">
        <v>1741</v>
      </c>
      <c r="D588" s="1158"/>
      <c r="E588" s="1158"/>
      <c r="F588" s="1158"/>
      <c r="G588" s="1158"/>
      <c r="H588" s="1158"/>
      <c r="I588" s="1158"/>
      <c r="J588" s="1158"/>
      <c r="K588" s="1158"/>
      <c r="L588" s="1158"/>
      <c r="M588" s="1107"/>
      <c r="N588" s="1107"/>
      <c r="O588" s="1159"/>
      <c r="P588" s="1158"/>
      <c r="Q588" s="1158"/>
      <c r="R588" s="1107"/>
      <c r="S588" s="1107"/>
      <c r="T588" s="1158"/>
      <c r="U588" s="3049">
        <f>Application!CS663-U589</f>
        <v>336</v>
      </c>
      <c r="V588" s="3049"/>
      <c r="W588" s="3049"/>
      <c r="X588" s="1158"/>
      <c r="Y588" s="1158"/>
      <c r="Z588" s="1158"/>
      <c r="AA588" s="1160"/>
      <c r="AB588" s="1161"/>
      <c r="AC588" s="1161"/>
      <c r="AD588" s="1161"/>
      <c r="AE588" s="1024"/>
      <c r="AF588" s="1024"/>
      <c r="AG588" s="1024"/>
      <c r="AH588" s="1024"/>
      <c r="AI588" s="1024"/>
      <c r="AJ588" s="1024"/>
      <c r="AK588" s="1024"/>
      <c r="AL588" s="1024"/>
      <c r="AM588" s="1024"/>
      <c r="AN588" s="997"/>
      <c r="AO588" s="1148" t="s">
        <v>372</v>
      </c>
      <c r="AP588" s="1149">
        <f>IF(C681="Yes",5,0)</f>
        <v>0</v>
      </c>
    </row>
    <row r="589" spans="1:81" s="940" customFormat="1" ht="12.75" customHeight="1">
      <c r="A589" s="1024"/>
      <c r="B589" s="1115"/>
      <c r="C589" s="1162" t="s">
        <v>1742</v>
      </c>
      <c r="D589" s="1163"/>
      <c r="E589" s="1163"/>
      <c r="F589" s="1163"/>
      <c r="G589" s="1163"/>
      <c r="H589" s="1163"/>
      <c r="I589" s="1163"/>
      <c r="J589" s="1163"/>
      <c r="K589" s="1163"/>
      <c r="L589" s="1163"/>
      <c r="M589" s="1147"/>
      <c r="N589" s="1147"/>
      <c r="O589" s="1163"/>
      <c r="P589" s="1163"/>
      <c r="Q589" s="1163"/>
      <c r="R589" s="1163"/>
      <c r="S589" s="1163"/>
      <c r="T589" s="1163"/>
      <c r="U589" s="3050">
        <f>Application!AG756</f>
        <v>0</v>
      </c>
      <c r="V589" s="3050"/>
      <c r="W589" s="3050"/>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232</v>
      </c>
      <c r="AP590" s="1167">
        <f>SUM(AP583:AP588)</f>
        <v>0</v>
      </c>
      <c r="AQ590" s="3051">
        <f>IF(AP590&gt;0,AP590,0)</f>
        <v>0</v>
      </c>
      <c r="AR590" s="3051"/>
    </row>
    <row r="591" spans="1:81" s="940" customFormat="1" ht="12.75" customHeight="1">
      <c r="A591" s="1024"/>
      <c r="B591" s="51"/>
      <c r="C591" s="1168" t="s">
        <v>1743</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1581</v>
      </c>
      <c r="F592" s="3043" t="s">
        <v>1744</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052" t="s">
        <v>625</v>
      </c>
      <c r="D596" s="3053"/>
      <c r="E596" s="1175"/>
      <c r="F596" s="1178" t="s">
        <v>1745</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054" t="s">
        <v>1746</v>
      </c>
      <c r="AG596" s="3054"/>
      <c r="AH596" s="3054"/>
      <c r="AI596" s="3054"/>
      <c r="AJ596" s="3054"/>
      <c r="AK596" s="3054"/>
      <c r="AL596" s="3055"/>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1583</v>
      </c>
      <c r="F599" s="3043" t="s">
        <v>1747</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052" t="s">
        <v>625</v>
      </c>
      <c r="D604" s="3053"/>
      <c r="E604" s="1143"/>
      <c r="F604" s="1178" t="s">
        <v>1748</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054" t="s">
        <v>1746</v>
      </c>
      <c r="AG604" s="3054"/>
      <c r="AH604" s="3054"/>
      <c r="AI604" s="3054"/>
      <c r="AJ604" s="3054"/>
      <c r="AK604" s="3054"/>
      <c r="AL604" s="3055"/>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1586</v>
      </c>
      <c r="F607" s="3043" t="s">
        <v>1749</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052" t="s">
        <v>577</v>
      </c>
      <c r="D612" s="3053"/>
      <c r="E612" s="1143"/>
      <c r="F612" s="1178" t="s">
        <v>1750</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054" t="s">
        <v>1751</v>
      </c>
      <c r="AG612" s="3054"/>
      <c r="AH612" s="3054"/>
      <c r="AI612" s="3054"/>
      <c r="AJ612" s="3054"/>
      <c r="AK612" s="3054"/>
      <c r="AL612" s="3055"/>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052" t="s">
        <v>625</v>
      </c>
      <c r="D614" s="3053"/>
      <c r="E614" s="1143"/>
      <c r="F614" s="1197" t="s">
        <v>1752</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054" t="s">
        <v>1746</v>
      </c>
      <c r="AG614" s="3054"/>
      <c r="AH614" s="3054"/>
      <c r="AI614" s="3054"/>
      <c r="AJ614" s="3054"/>
      <c r="AK614" s="3054"/>
      <c r="AL614" s="3055"/>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1753</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1754</v>
      </c>
      <c r="F618" s="3043" t="s">
        <v>1755</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052" t="s">
        <v>625</v>
      </c>
      <c r="D622" s="3053"/>
      <c r="E622" s="1143"/>
      <c r="F622" s="1178" t="s">
        <v>1756</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054" t="s">
        <v>1746</v>
      </c>
      <c r="AG622" s="3054"/>
      <c r="AH622" s="3054"/>
      <c r="AI622" s="3054"/>
      <c r="AJ622" s="3054"/>
      <c r="AK622" s="3054"/>
      <c r="AL622" s="3055"/>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052" t="s">
        <v>625</v>
      </c>
      <c r="D624" s="3053"/>
      <c r="E624" s="1175"/>
      <c r="F624" s="1178" t="s">
        <v>1757</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054" t="s">
        <v>1758</v>
      </c>
      <c r="AG624" s="3054"/>
      <c r="AH624" s="3054"/>
      <c r="AI624" s="3054"/>
      <c r="AJ624" s="3054"/>
      <c r="AK624" s="3054"/>
      <c r="AL624" s="3055"/>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052" t="s">
        <v>625</v>
      </c>
      <c r="D627" s="3053"/>
      <c r="E627" s="1171" t="s">
        <v>1759</v>
      </c>
      <c r="F627" s="3043" t="s">
        <v>1760</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1746</v>
      </c>
      <c r="AG628" s="3151"/>
      <c r="AH628" s="3151"/>
      <c r="AI628" s="3151"/>
      <c r="AJ628" s="3151"/>
      <c r="AK628" s="3151"/>
      <c r="AL628" s="3152"/>
      <c r="AM628" s="1131"/>
      <c r="AN628" s="997"/>
      <c r="BS628" s="1131"/>
      <c r="BT628" s="1131"/>
      <c r="BY628" s="1131"/>
      <c r="BZ628" s="1131"/>
      <c r="CA628" s="1131"/>
      <c r="CB628" s="1131"/>
      <c r="CC628" s="1131"/>
    </row>
    <row r="629" spans="1:81" s="940" customFormat="1" ht="12.75" customHeight="1">
      <c r="A629" s="924"/>
      <c r="B629" s="51"/>
      <c r="C629" s="1189"/>
      <c r="D629" s="112"/>
      <c r="E629" s="1143"/>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1761</v>
      </c>
      <c r="F632" s="3149" t="s">
        <v>1762</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08"/>
      <c r="AG632" s="1208"/>
      <c r="AH632" s="1208"/>
      <c r="AI632" s="1208"/>
      <c r="AJ632" s="1208"/>
      <c r="AK632" s="1208"/>
      <c r="AL632" s="1209"/>
      <c r="AM632" s="1131"/>
    </row>
    <row r="633" spans="1:81">
      <c r="A633" s="924"/>
      <c r="C633" s="1189"/>
      <c r="D633" s="112"/>
      <c r="E633" s="1143"/>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0"/>
      <c r="AG633" s="988"/>
      <c r="AH633" s="1022"/>
      <c r="AI633" s="1022"/>
      <c r="AJ633" s="1022"/>
      <c r="AK633" s="1022"/>
      <c r="AL633" s="1190"/>
      <c r="AM633" s="1131"/>
    </row>
    <row r="634" spans="1:81" s="940" customFormat="1" ht="12.75" customHeight="1">
      <c r="A634" s="924"/>
      <c r="B634" s="51"/>
      <c r="C634" s="1189"/>
      <c r="D634" s="112"/>
      <c r="E634" s="1143"/>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2"/>
      <c r="AG634" s="1022"/>
      <c r="AH634" s="1022"/>
      <c r="AI634" s="1022"/>
      <c r="AJ634" s="1022"/>
      <c r="AK634" s="1022"/>
      <c r="AL634" s="1190"/>
      <c r="AM634" s="1131"/>
      <c r="AN634" s="997"/>
    </row>
    <row r="635" spans="1:81" s="940" customFormat="1" ht="12.75" customHeight="1">
      <c r="A635" s="924"/>
      <c r="B635" s="51"/>
      <c r="C635" s="1198"/>
      <c r="D635" s="1022"/>
      <c r="E635" s="1022"/>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2"/>
      <c r="AG635" s="1022"/>
      <c r="AH635" s="1022"/>
      <c r="AI635" s="1022"/>
      <c r="AJ635" s="1022"/>
      <c r="AK635" s="1022"/>
      <c r="AL635" s="1190"/>
      <c r="AM635" s="1131"/>
      <c r="AN635" s="997"/>
    </row>
    <row r="636" spans="1:81" s="940" customFormat="1" ht="12.75" customHeight="1">
      <c r="A636" s="924"/>
      <c r="B636" s="51"/>
      <c r="C636" s="3052" t="s">
        <v>577</v>
      </c>
      <c r="D636" s="3053"/>
      <c r="E636" s="1143"/>
      <c r="F636" s="1211" t="s">
        <v>1763</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51" t="s">
        <v>1746</v>
      </c>
      <c r="AG636" s="3151"/>
      <c r="AH636" s="3151"/>
      <c r="AI636" s="3151"/>
      <c r="AJ636" s="3151"/>
      <c r="AK636" s="3151"/>
      <c r="AL636" s="3152"/>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052" t="s">
        <v>625</v>
      </c>
      <c r="D638" s="3053"/>
      <c r="E638" s="1175"/>
      <c r="F638" s="1211" t="s">
        <v>1764</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51" t="s">
        <v>1758</v>
      </c>
      <c r="AG638" s="3151"/>
      <c r="AH638" s="3151"/>
      <c r="AI638" s="3151"/>
      <c r="AJ638" s="3151"/>
      <c r="AK638" s="3151"/>
      <c r="AL638" s="3152"/>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1765</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1766</v>
      </c>
      <c r="F642" s="3043" t="s">
        <v>1767</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2"/>
      <c r="AG644" s="1022"/>
      <c r="AH644" s="1022"/>
      <c r="AI644" s="1022"/>
      <c r="AJ644" s="1022"/>
      <c r="AK644" s="1022"/>
      <c r="AL644" s="1190"/>
      <c r="AM644" s="1131"/>
      <c r="AN644" s="997"/>
      <c r="AO644" s="1022"/>
      <c r="AP644" s="1022"/>
    </row>
    <row r="645" spans="1:60" s="940" customFormat="1" ht="12.75" customHeight="1">
      <c r="A645" s="924"/>
      <c r="B645" s="51"/>
      <c r="C645" s="3052" t="s">
        <v>625</v>
      </c>
      <c r="D645" s="3053"/>
      <c r="E645" s="1143"/>
      <c r="F645" s="1178" t="s">
        <v>1768</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51" t="s">
        <v>1746</v>
      </c>
      <c r="AG645" s="3151"/>
      <c r="AH645" s="3151"/>
      <c r="AI645" s="3151"/>
      <c r="AJ645" s="3151"/>
      <c r="AK645" s="3151"/>
      <c r="AL645" s="3152"/>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1769</v>
      </c>
      <c r="F648" s="3043" t="s">
        <v>1770</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1"/>
      <c r="AG653" s="1221"/>
      <c r="AH653" s="1221"/>
      <c r="AI653" s="1221"/>
      <c r="AJ653" s="1221"/>
      <c r="AK653" s="1221"/>
      <c r="AL653" s="1222"/>
      <c r="AM653" s="1131"/>
      <c r="AN653" s="997"/>
    </row>
    <row r="654" spans="1:60" s="940" customFormat="1" ht="12.75" customHeight="1">
      <c r="A654" s="924"/>
      <c r="B654" s="51"/>
      <c r="C654" s="1223"/>
      <c r="D654" s="1188"/>
      <c r="E654" s="1175"/>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1"/>
      <c r="AG654" s="1221"/>
      <c r="AH654" s="1221"/>
      <c r="AI654" s="1221"/>
      <c r="AJ654" s="1221"/>
      <c r="AK654" s="1221"/>
      <c r="AL654" s="1222"/>
      <c r="AM654" s="1131"/>
      <c r="AN654" s="997"/>
    </row>
    <row r="655" spans="1:60" s="940" customFormat="1" ht="12.75" customHeight="1">
      <c r="A655" s="924"/>
      <c r="B655" s="51"/>
      <c r="C655" s="1223"/>
      <c r="D655" s="1188"/>
      <c r="E655" s="1175"/>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1"/>
      <c r="AG655" s="1221"/>
      <c r="AH655" s="1221"/>
      <c r="AI655" s="1221"/>
      <c r="AJ655" s="1221"/>
      <c r="AK655" s="1221"/>
      <c r="AL655" s="1222"/>
      <c r="AM655" s="1131"/>
      <c r="AN655" s="997"/>
    </row>
    <row r="656" spans="1:60" s="940" customFormat="1" ht="17.25" customHeight="1">
      <c r="A656" s="924"/>
      <c r="B656" s="51"/>
      <c r="C656" s="1223"/>
      <c r="D656" s="1188"/>
      <c r="E656" s="1175"/>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2"/>
      <c r="AG656" s="1022"/>
      <c r="AH656" s="1022"/>
      <c r="AI656" s="1022"/>
      <c r="AJ656" s="1022"/>
      <c r="AK656" s="1022"/>
      <c r="AL656" s="1190"/>
      <c r="AM656" s="1131"/>
      <c r="AN656" s="997"/>
    </row>
    <row r="657" spans="1:54" s="940" customFormat="1" ht="12.75" customHeight="1">
      <c r="A657" s="924"/>
      <c r="B657" s="51"/>
      <c r="C657" s="3052" t="s">
        <v>625</v>
      </c>
      <c r="D657" s="3053"/>
      <c r="E657" s="1175"/>
      <c r="F657" s="1213" t="s">
        <v>1771</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51" t="s">
        <v>1746</v>
      </c>
      <c r="AG657" s="3151"/>
      <c r="AH657" s="3151"/>
      <c r="AI657" s="3151"/>
      <c r="AJ657" s="3151"/>
      <c r="AK657" s="3151"/>
      <c r="AL657" s="3152"/>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1772</v>
      </c>
      <c r="F660" s="3043" t="s">
        <v>1773</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70"/>
      <c r="AG660" s="1170"/>
      <c r="AH660" s="1170"/>
      <c r="AI660" s="1170"/>
      <c r="AJ660" s="1170"/>
      <c r="AK660" s="1170"/>
      <c r="AL660" s="1206"/>
      <c r="AM660" s="1131"/>
      <c r="AN660" s="997"/>
      <c r="AO660" s="940" t="s">
        <v>625</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27"/>
      <c r="AG661" s="1227"/>
      <c r="AH661" s="1227"/>
      <c r="AI661" s="1227"/>
      <c r="AJ661" s="1227"/>
      <c r="AK661" s="1227"/>
      <c r="AL661" s="1177"/>
      <c r="AM661" s="1131"/>
      <c r="AN661" s="997"/>
      <c r="AO661" s="940" t="s">
        <v>1774</v>
      </c>
      <c r="AP661" s="940">
        <v>5</v>
      </c>
      <c r="AQ661" s="1226"/>
    </row>
    <row r="662" spans="1:54" s="940" customFormat="1" ht="12.75" customHeight="1">
      <c r="A662" s="924"/>
      <c r="B662" s="51"/>
      <c r="C662" s="1223"/>
      <c r="D662" s="1188"/>
      <c r="E662" s="1175"/>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27"/>
      <c r="AG662" s="1227"/>
      <c r="AH662" s="1227"/>
      <c r="AI662" s="1227"/>
      <c r="AJ662" s="1227"/>
      <c r="AK662" s="1227"/>
      <c r="AL662" s="1177"/>
      <c r="AM662" s="1131"/>
      <c r="AN662" s="997"/>
      <c r="AO662" s="940" t="s">
        <v>1775</v>
      </c>
      <c r="AP662" s="940">
        <v>5</v>
      </c>
      <c r="AQ662" s="1228"/>
    </row>
    <row r="663" spans="1:54" s="940" customFormat="1" ht="12.75" customHeight="1">
      <c r="A663" s="924"/>
      <c r="B663" s="51"/>
      <c r="C663" s="1223"/>
      <c r="D663" s="1188"/>
      <c r="E663" s="1175"/>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2"/>
      <c r="AG663" s="1022"/>
      <c r="AH663" s="1022"/>
      <c r="AI663" s="1022"/>
      <c r="AJ663" s="1022"/>
      <c r="AK663" s="1022"/>
      <c r="AL663" s="1190"/>
      <c r="AM663" s="1131"/>
      <c r="AN663" s="997"/>
      <c r="AO663" s="940" t="s">
        <v>1776</v>
      </c>
      <c r="AP663" s="940">
        <v>5</v>
      </c>
      <c r="AQ663" s="1229"/>
    </row>
    <row r="664" spans="1:54" s="1022" customFormat="1" ht="12.75" customHeight="1">
      <c r="A664" s="924"/>
      <c r="B664" s="51"/>
      <c r="C664" s="3052" t="s">
        <v>625</v>
      </c>
      <c r="D664" s="3053"/>
      <c r="E664" s="1175"/>
      <c r="F664" s="1178" t="s">
        <v>1777</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51" t="s">
        <v>1746</v>
      </c>
      <c r="AG664" s="3151"/>
      <c r="AH664" s="3151"/>
      <c r="AI664" s="3151"/>
      <c r="AJ664" s="3151"/>
      <c r="AK664" s="3151"/>
      <c r="AL664" s="3152"/>
      <c r="AM664" s="1131"/>
      <c r="AN664" s="1230"/>
      <c r="AO664" s="940" t="s">
        <v>1778</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1779</v>
      </c>
      <c r="AP665" s="940">
        <v>5</v>
      </c>
    </row>
    <row r="666" spans="1:54" s="940" customFormat="1" ht="12.75" customHeight="1">
      <c r="A666" s="924"/>
      <c r="B666" s="51"/>
      <c r="C666" s="1199"/>
      <c r="D666" s="1191"/>
      <c r="E666" s="1192"/>
      <c r="F666" s="1185" t="s">
        <v>1753</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1780</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1781</v>
      </c>
      <c r="AP667" s="940">
        <v>5</v>
      </c>
    </row>
    <row r="668" spans="1:54" s="999" customFormat="1" ht="12.75" customHeight="1">
      <c r="A668" s="924"/>
      <c r="B668" s="51"/>
      <c r="C668" s="3153" t="s">
        <v>625</v>
      </c>
      <c r="D668" s="3154"/>
      <c r="E668" s="1171" t="s">
        <v>1782</v>
      </c>
      <c r="F668" s="3043" t="s">
        <v>1783</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1746</v>
      </c>
      <c r="AG668" s="3147"/>
      <c r="AH668" s="3147"/>
      <c r="AI668" s="3147"/>
      <c r="AJ668" s="3147"/>
      <c r="AK668" s="3147"/>
      <c r="AL668" s="3148"/>
      <c r="AM668" s="1131"/>
      <c r="AN668" s="1230"/>
      <c r="AO668" s="940" t="s">
        <v>1784</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27"/>
      <c r="AG669" s="1227"/>
      <c r="AH669" s="1227"/>
      <c r="AI669" s="1227"/>
      <c r="AJ669" s="1227"/>
      <c r="AK669" s="1227"/>
      <c r="AL669" s="1177"/>
      <c r="AM669" s="1131"/>
      <c r="AN669" s="1231"/>
      <c r="AO669" s="940"/>
      <c r="AP669" s="940"/>
      <c r="AQ669" s="940"/>
      <c r="AR669" s="940"/>
      <c r="AS669" s="1232"/>
      <c r="AT669" s="940"/>
      <c r="AU669" s="940"/>
      <c r="AV669" s="940"/>
      <c r="AW669" s="1232" t="s">
        <v>1785</v>
      </c>
      <c r="AX669" s="940"/>
      <c r="AY669" s="940"/>
      <c r="AZ669" s="940"/>
      <c r="BA669" s="1232" t="s">
        <v>1786</v>
      </c>
      <c r="BB669" s="940"/>
    </row>
    <row r="670" spans="1:54" s="940" customFormat="1" ht="17.649999999999999" customHeight="1">
      <c r="A670" s="924"/>
      <c r="B670" s="51"/>
      <c r="C670" s="1233"/>
      <c r="D670" s="1181"/>
      <c r="E670" s="1182"/>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6"/>
      <c r="AG670" s="1186"/>
      <c r="AH670" s="1186"/>
      <c r="AI670" s="1186"/>
      <c r="AJ670" s="1186"/>
      <c r="AK670" s="1186"/>
      <c r="AL670" s="1234"/>
      <c r="AM670" s="1131"/>
      <c r="AN670" s="1235"/>
      <c r="AO670" s="940" t="s">
        <v>625</v>
      </c>
      <c r="AP670" s="1065">
        <v>0</v>
      </c>
      <c r="AR670" s="940" t="s">
        <v>625</v>
      </c>
      <c r="AS670" s="1065">
        <v>0</v>
      </c>
      <c r="AT670" s="1236"/>
      <c r="AW670" s="940" t="s">
        <v>625</v>
      </c>
      <c r="AX670" s="1236">
        <v>0</v>
      </c>
      <c r="BA670" s="940" t="s">
        <v>625</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1787</v>
      </c>
      <c r="AS671" s="1065">
        <v>3</v>
      </c>
      <c r="AT671" s="1236"/>
      <c r="AW671" s="1238">
        <v>0.4</v>
      </c>
      <c r="AX671" s="1236">
        <v>3</v>
      </c>
      <c r="BA671" s="1238">
        <v>0.4</v>
      </c>
      <c r="BB671" s="1236">
        <v>4</v>
      </c>
    </row>
    <row r="672" spans="1:54" s="940" customFormat="1" ht="12.75" customHeight="1">
      <c r="A672" s="924"/>
      <c r="B672" s="51"/>
      <c r="C672" s="3052" t="s">
        <v>625</v>
      </c>
      <c r="D672" s="3053"/>
      <c r="E672" s="1171" t="s">
        <v>1788</v>
      </c>
      <c r="F672" s="3043" t="s">
        <v>1789</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1746</v>
      </c>
      <c r="AG672" s="3147"/>
      <c r="AH672" s="3147"/>
      <c r="AI672" s="3147"/>
      <c r="AJ672" s="3147"/>
      <c r="AK672" s="3147"/>
      <c r="AL672" s="3148"/>
      <c r="AM672" s="1131"/>
      <c r="AN672" s="1237"/>
      <c r="AO672" s="1238">
        <v>0.12</v>
      </c>
      <c r="AP672" s="1065">
        <v>5</v>
      </c>
      <c r="AR672" s="940" t="s">
        <v>1790</v>
      </c>
      <c r="AS672" s="1065">
        <v>5</v>
      </c>
      <c r="AT672" s="1236"/>
      <c r="AW672" s="1238">
        <v>0.6</v>
      </c>
      <c r="AX672" s="1236">
        <v>4</v>
      </c>
      <c r="BA672" s="1238">
        <v>0.6</v>
      </c>
      <c r="BB672" s="1236">
        <v>5</v>
      </c>
    </row>
    <row r="673" spans="1:54" s="940" customFormat="1" ht="12.75" customHeight="1">
      <c r="A673" s="924"/>
      <c r="B673" s="51"/>
      <c r="C673" s="1189"/>
      <c r="D673" s="112"/>
      <c r="E673" s="1143"/>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10"/>
      <c r="AG674" s="988"/>
      <c r="AH674" s="1022"/>
      <c r="AI674" s="1022"/>
      <c r="AJ674" s="1022"/>
      <c r="AK674" s="1022"/>
      <c r="AL674" s="1190"/>
      <c r="AM674" s="1131"/>
      <c r="AN674" s="1237"/>
      <c r="AO674" s="940" t="s">
        <v>625</v>
      </c>
      <c r="AP674" s="1065">
        <v>0</v>
      </c>
      <c r="AW674" s="1238"/>
      <c r="AX674" s="1236"/>
    </row>
    <row r="675" spans="1:54" s="940" customFormat="1" ht="12.75" customHeight="1">
      <c r="A675" s="924"/>
      <c r="B675" s="51"/>
      <c r="C675" s="1233"/>
      <c r="D675" s="1181"/>
      <c r="E675" s="1182"/>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1791</v>
      </c>
      <c r="F677" s="3149" t="s">
        <v>1792</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5"/>
      <c r="AH677" s="1170"/>
      <c r="AI677" s="1170"/>
      <c r="AJ677" s="1170"/>
      <c r="AK677" s="1170"/>
      <c r="AL677" s="1206"/>
      <c r="AM677" s="1131"/>
      <c r="AN677" s="997"/>
    </row>
    <row r="678" spans="1:54" s="940" customFormat="1" ht="12.75" customHeight="1">
      <c r="A678" s="924"/>
      <c r="B678" s="51"/>
      <c r="C678" s="1189"/>
      <c r="D678" s="112"/>
      <c r="E678" s="1143"/>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2"/>
      <c r="AH678" s="1022"/>
      <c r="AI678" s="1022"/>
      <c r="AJ678" s="1022"/>
      <c r="AK678" s="1022"/>
      <c r="AL678" s="1190"/>
      <c r="AM678" s="1131"/>
      <c r="AN678" s="997"/>
    </row>
    <row r="679" spans="1:54" s="940" customFormat="1" ht="12.75" customHeight="1">
      <c r="A679" s="924"/>
      <c r="B679" s="51"/>
      <c r="C679" s="1198"/>
      <c r="D679" s="1022"/>
      <c r="E679" s="1022"/>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2"/>
      <c r="AH679" s="1022"/>
      <c r="AI679" s="1022"/>
      <c r="AJ679" s="1022"/>
      <c r="AK679" s="1022"/>
      <c r="AL679" s="1190"/>
      <c r="AM679" s="1131"/>
      <c r="AN679" s="997"/>
    </row>
    <row r="680" spans="1:54" s="940" customFormat="1" ht="12.75" customHeight="1">
      <c r="A680" s="924"/>
      <c r="B680" s="51"/>
      <c r="C680" s="1198"/>
      <c r="D680" s="1022"/>
      <c r="E680" s="1022"/>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2"/>
      <c r="AH680" s="1022"/>
      <c r="AI680" s="1022"/>
      <c r="AJ680" s="1022"/>
      <c r="AK680" s="1022"/>
      <c r="AL680" s="1190"/>
      <c r="AM680" s="1131"/>
      <c r="AN680" s="997"/>
    </row>
    <row r="681" spans="1:54" s="940" customFormat="1" ht="12.75" customHeight="1">
      <c r="A681" s="924"/>
      <c r="B681" s="51"/>
      <c r="C681" s="3052" t="s">
        <v>625</v>
      </c>
      <c r="D681" s="3053"/>
      <c r="E681" s="1175"/>
      <c r="F681" s="1211" t="s">
        <v>1763</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054" t="s">
        <v>1746</v>
      </c>
      <c r="AG681" s="3054"/>
      <c r="AH681" s="3054"/>
      <c r="AI681" s="3054"/>
      <c r="AJ681" s="3054"/>
      <c r="AK681" s="3054"/>
      <c r="AL681" s="3055"/>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1793</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1794</v>
      </c>
      <c r="AK684" s="3039">
        <f>IF(Application!D213="N/A",AS573,AS575)</f>
        <v>12</v>
      </c>
      <c r="AL684" s="3040"/>
      <c r="AM684" s="3041"/>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625</v>
      </c>
      <c r="AP686" s="1022">
        <v>0</v>
      </c>
    </row>
    <row r="687" spans="1:54" s="940" customFormat="1" ht="12.75" hidden="1" customHeight="1">
      <c r="A687" s="1009" t="s">
        <v>1795</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042" t="s">
        <v>1796</v>
      </c>
      <c r="AF687" s="3042"/>
      <c r="AG687" s="3042"/>
      <c r="AH687" s="3042"/>
      <c r="AI687" s="3042"/>
      <c r="AJ687" s="3042"/>
      <c r="AK687" s="3042"/>
      <c r="AL687" s="1692"/>
      <c r="AM687" s="1023"/>
      <c r="AN687" s="997"/>
      <c r="AO687" s="940" t="s">
        <v>1774</v>
      </c>
      <c r="AP687" s="940">
        <v>5</v>
      </c>
      <c r="AQ687" s="1022"/>
      <c r="AR687" s="1022"/>
      <c r="AS687" s="1022"/>
      <c r="AT687" s="1022"/>
      <c r="AU687" s="1022"/>
      <c r="AV687" s="1022"/>
      <c r="AW687" s="1022"/>
    </row>
    <row r="688" spans="1:54" s="940" customFormat="1" ht="12.75" hidden="1" customHeight="1">
      <c r="A688" s="1009"/>
      <c r="B688" s="1003" t="s">
        <v>1797</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1798</v>
      </c>
      <c r="AP688" s="940">
        <v>5</v>
      </c>
      <c r="AQ688" s="1022"/>
      <c r="AR688" s="1022"/>
      <c r="AS688" s="1022"/>
      <c r="AT688" s="1022"/>
      <c r="AU688" s="1022"/>
      <c r="AV688" s="1022"/>
      <c r="AW688" s="1022"/>
    </row>
    <row r="689" spans="1:50" s="940" customFormat="1" ht="12.75" hidden="1" customHeight="1">
      <c r="A689" s="1009"/>
      <c r="B689" s="983" t="s">
        <v>1799</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1776</v>
      </c>
      <c r="AP689" s="940">
        <v>5</v>
      </c>
      <c r="AQ689" s="1176"/>
      <c r="AR689" s="1176"/>
      <c r="AS689" s="1232"/>
      <c r="AW689" s="1232"/>
    </row>
    <row r="690" spans="1:50" s="940" customFormat="1" ht="12.75" hidden="1" customHeight="1">
      <c r="A690" s="1009"/>
      <c r="B690" s="983" t="s">
        <v>1800</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1778</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1779</v>
      </c>
      <c r="AP691" s="940">
        <v>5</v>
      </c>
      <c r="AQ691" s="1176"/>
      <c r="AR691" s="1176"/>
      <c r="AW691" s="1243"/>
    </row>
    <row r="692" spans="1:50" s="940" customFormat="1" ht="12.75" hidden="1" customHeight="1">
      <c r="A692" s="1009"/>
      <c r="B692" s="1023"/>
      <c r="C692" s="1244" t="s">
        <v>1801</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1780</v>
      </c>
      <c r="AP692" s="940">
        <v>5</v>
      </c>
      <c r="AW692" s="1243"/>
    </row>
    <row r="693" spans="1:50" s="940" customFormat="1" ht="12.75" hidden="1" customHeight="1">
      <c r="A693" s="1009"/>
      <c r="C693" s="3128" t="s">
        <v>625</v>
      </c>
      <c r="D693" s="3129"/>
      <c r="E693" s="1245" t="s">
        <v>539</v>
      </c>
      <c r="F693" s="3137" t="s">
        <v>1802</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0"/>
      <c r="AG693" s="1170"/>
      <c r="AH693" s="1170"/>
      <c r="AI693" s="1170"/>
      <c r="AJ693" s="1170"/>
      <c r="AK693" s="1206"/>
      <c r="AL693" s="1022"/>
      <c r="AN693" s="997"/>
      <c r="AO693" s="940" t="s">
        <v>1803</v>
      </c>
      <c r="AP693" s="940">
        <v>5</v>
      </c>
      <c r="AS693" s="1238"/>
      <c r="AT693" s="1236"/>
      <c r="AW693" s="1243"/>
      <c r="AX693" s="1065"/>
    </row>
    <row r="694" spans="1:50" s="940" customFormat="1" ht="12.75" hidden="1" customHeight="1">
      <c r="A694" s="1057"/>
      <c r="C694" s="1246"/>
      <c r="D694" s="1022"/>
      <c r="E694" s="1247"/>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2"/>
      <c r="AG694" s="941"/>
      <c r="AH694" s="941"/>
      <c r="AI694" s="941"/>
      <c r="AJ694" s="941"/>
      <c r="AK694" s="1190"/>
      <c r="AL694" s="1022"/>
      <c r="AN694" s="997"/>
      <c r="AO694" s="940" t="s">
        <v>1784</v>
      </c>
      <c r="AP694" s="940">
        <v>1</v>
      </c>
    </row>
    <row r="695" spans="1:50" s="940" customFormat="1" ht="12.75" hidden="1" customHeight="1">
      <c r="A695" s="1057"/>
      <c r="C695" s="1248"/>
      <c r="D695" s="1185"/>
      <c r="E695" s="1249"/>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0"/>
      <c r="AB695" s="1097"/>
      <c r="AC695" s="1097"/>
      <c r="AD695" s="1185"/>
      <c r="AE695" s="1185"/>
      <c r="AF695" s="1185"/>
      <c r="AG695" s="1251">
        <f>IF($C$693="Yes",(VLOOKUP($F$695,$AO$660:$AP$668,2,FALSE)),0)</f>
        <v>0</v>
      </c>
      <c r="AH695" s="1252" t="s">
        <v>1594</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625</v>
      </c>
      <c r="AP696" s="1065">
        <v>0</v>
      </c>
    </row>
    <row r="697" spans="1:50" s="940" customFormat="1" ht="12.75" hidden="1" customHeight="1">
      <c r="A697" s="1057"/>
      <c r="C697" s="3144" t="s">
        <v>577</v>
      </c>
      <c r="D697" s="3145"/>
      <c r="E697" s="1245" t="s">
        <v>797</v>
      </c>
      <c r="F697" s="1254" t="s">
        <v>1804</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1805</v>
      </c>
      <c r="D698" s="1022"/>
      <c r="E698" s="1022"/>
      <c r="F698" s="1256" t="s">
        <v>1806</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1807</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1808</v>
      </c>
      <c r="G700" s="1022"/>
      <c r="H700" s="1022"/>
      <c r="I700" s="1256"/>
      <c r="J700" s="1256"/>
      <c r="K700" s="1256"/>
      <c r="L700" s="1256"/>
      <c r="M700" s="1256"/>
      <c r="N700" s="1256"/>
      <c r="O700" s="1256"/>
      <c r="P700" s="1256"/>
      <c r="Q700" s="1256"/>
      <c r="R700" s="1256"/>
      <c r="S700" s="1256"/>
      <c r="T700" s="1256"/>
      <c r="U700" s="1256"/>
      <c r="V700" s="3047" t="s">
        <v>625</v>
      </c>
      <c r="W700" s="3047"/>
      <c r="X700" s="3047"/>
      <c r="Y700" s="1256"/>
      <c r="Z700" s="1256"/>
      <c r="AA700" s="1256"/>
      <c r="AB700" s="1256"/>
      <c r="AC700" s="1256"/>
      <c r="AD700" s="1259"/>
      <c r="AE700" s="1259"/>
      <c r="AF700" s="1259"/>
      <c r="AG700" s="1028">
        <f>IF(AND($C$697="Yes",$V$702="N/A",$V$707="N/A",$V$711="N/A",$V$713="N/A"),(VLOOKUP(V700,$AR$670:$AS$672,2,FALSE)),0)</f>
        <v>0</v>
      </c>
      <c r="AH700" s="1700" t="s">
        <v>1594</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1809</v>
      </c>
      <c r="G702" s="1022"/>
      <c r="H702" s="1022"/>
      <c r="I702" s="1256"/>
      <c r="J702" s="1256"/>
      <c r="K702" s="1256"/>
      <c r="L702" s="1256"/>
      <c r="M702" s="1256"/>
      <c r="N702" s="1256"/>
      <c r="O702" s="1256"/>
      <c r="P702" s="1256"/>
      <c r="Q702" s="1256"/>
      <c r="R702" s="1256"/>
      <c r="S702" s="1256"/>
      <c r="T702" s="1256"/>
      <c r="U702" s="1256"/>
      <c r="V702" s="3047" t="s">
        <v>625</v>
      </c>
      <c r="W702" s="3047"/>
      <c r="X702" s="3047"/>
      <c r="Y702" s="1256"/>
      <c r="Z702" s="1256"/>
      <c r="AA702" s="1256"/>
      <c r="AB702" s="1256"/>
      <c r="AC702" s="1256"/>
      <c r="AD702" s="1259"/>
      <c r="AE702" s="1259"/>
      <c r="AF702" s="1259"/>
      <c r="AG702" s="1028">
        <f>IF(AND($C$697="Yes",$V$700="N/A", $V$707="N/A",$V$711="N/A",$V$713="N/A"),(VLOOKUP(V702,$AO$670:$AP$672,2,FALSE)),0)</f>
        <v>0</v>
      </c>
      <c r="AH702" s="1700" t="s">
        <v>1594</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625</v>
      </c>
      <c r="AP703" s="940">
        <v>0</v>
      </c>
    </row>
    <row r="704" spans="1:50" s="940" customFormat="1" ht="12.75" hidden="1" customHeight="1">
      <c r="A704" s="1057"/>
      <c r="C704" s="1246"/>
      <c r="D704" s="1022"/>
      <c r="E704" s="1247"/>
      <c r="F704" s="1262" t="s">
        <v>1810</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1811</v>
      </c>
      <c r="AP704" s="1065">
        <v>2</v>
      </c>
    </row>
    <row r="705" spans="1:81" s="940" customFormat="1" ht="12.75" hidden="1" customHeight="1">
      <c r="A705" s="1057"/>
      <c r="C705" s="1246"/>
      <c r="D705" s="1057"/>
      <c r="E705" s="1057"/>
      <c r="F705" s="1259" t="s">
        <v>1812</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1813</v>
      </c>
      <c r="AP705" s="940">
        <v>2</v>
      </c>
    </row>
    <row r="706" spans="1:81" s="990" customFormat="1" ht="12.75" hidden="1" customHeight="1">
      <c r="A706" s="1057"/>
      <c r="B706" s="940"/>
      <c r="C706" s="1198"/>
      <c r="D706" s="1253"/>
      <c r="E706" s="1253"/>
      <c r="F706" s="1259" t="s">
        <v>1814</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1815</v>
      </c>
      <c r="AP706" s="940">
        <v>2</v>
      </c>
    </row>
    <row r="707" spans="1:81" s="940" customFormat="1" ht="12.75" hidden="1" customHeight="1">
      <c r="A707" s="1057"/>
      <c r="C707" s="1263"/>
      <c r="D707" s="1057"/>
      <c r="E707" s="1057"/>
      <c r="F707" s="1261" t="s">
        <v>1816</v>
      </c>
      <c r="G707" s="1057"/>
      <c r="H707" s="1057"/>
      <c r="I707" s="1057"/>
      <c r="J707" s="1057"/>
      <c r="K707" s="1057"/>
      <c r="L707" s="1057"/>
      <c r="M707" s="1247"/>
      <c r="N707" s="1247"/>
      <c r="O707" s="1247"/>
      <c r="P707" s="1247"/>
      <c r="Q707" s="941"/>
      <c r="R707" s="941"/>
      <c r="S707" s="941"/>
      <c r="T707" s="941"/>
      <c r="U707" s="941"/>
      <c r="V707" s="3047" t="s">
        <v>625</v>
      </c>
      <c r="W707" s="3047"/>
      <c r="X707" s="3047"/>
      <c r="Y707" s="941"/>
      <c r="Z707" s="941"/>
      <c r="AA707" s="941"/>
      <c r="AB707" s="941"/>
      <c r="AC707" s="941"/>
      <c r="AD707" s="1022"/>
      <c r="AE707" s="1022"/>
      <c r="AF707" s="1022"/>
      <c r="AG707" s="1028">
        <f>IF(AND($C$697="Yes",$V$700="N/A",$V$702="N/A", $V$711="N/A",$V$713="N/A"),(VLOOKUP($V$707,$AO$674:$AP$676,2,FALSE)),0)</f>
        <v>0</v>
      </c>
      <c r="AH707" s="1700" t="s">
        <v>1594</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1817</v>
      </c>
      <c r="D709" s="1266"/>
      <c r="E709" s="1266"/>
      <c r="F709" s="1267" t="s">
        <v>1818</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625</v>
      </c>
      <c r="AP709" s="940">
        <v>0</v>
      </c>
      <c r="AQ709" s="1210"/>
    </row>
    <row r="710" spans="1:81" s="990" customFormat="1" ht="12.75" hidden="1" customHeight="1">
      <c r="A710" s="1057"/>
      <c r="B710" s="1023"/>
      <c r="C710" s="1268"/>
      <c r="D710" s="3131"/>
      <c r="E710" s="3131"/>
      <c r="F710" s="1256" t="s">
        <v>1819</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1820</v>
      </c>
      <c r="AP710" s="1065">
        <v>5</v>
      </c>
      <c r="AQ710" s="929"/>
    </row>
    <row r="711" spans="1:81" s="1131" customFormat="1" ht="12.75" hidden="1" customHeight="1">
      <c r="A711" s="1698"/>
      <c r="B711" s="1023"/>
      <c r="C711" s="1246"/>
      <c r="D711" s="1022"/>
      <c r="E711" s="1022"/>
      <c r="F711" s="1269" t="s">
        <v>1808</v>
      </c>
      <c r="G711" s="1022"/>
      <c r="H711" s="1022"/>
      <c r="I711" s="1022"/>
      <c r="J711" s="1022"/>
      <c r="K711" s="1022"/>
      <c r="L711" s="1022"/>
      <c r="M711" s="1022"/>
      <c r="N711" s="1022"/>
      <c r="O711" s="1022"/>
      <c r="P711" s="1022"/>
      <c r="Q711" s="1022"/>
      <c r="R711" s="1022"/>
      <c r="S711" s="1022"/>
      <c r="T711" s="1022"/>
      <c r="U711" s="1022"/>
      <c r="V711" s="3047" t="s">
        <v>625</v>
      </c>
      <c r="W711" s="3047"/>
      <c r="X711" s="3047"/>
      <c r="Y711" s="1022"/>
      <c r="Z711" s="1022"/>
      <c r="AA711" s="1022"/>
      <c r="AB711" s="1022"/>
      <c r="AC711" s="1022"/>
      <c r="AD711" s="1022"/>
      <c r="AE711" s="1022"/>
      <c r="AF711" s="1022"/>
      <c r="AG711" s="1028">
        <f>IF(AND($C$697="Yes",$V$700="N/A",V702="N/A",$V$707="N/A",$V$713="N/A"),(VLOOKUP($V$711,$AW$670:$AX$673,2,FALSE)),0)</f>
        <v>0</v>
      </c>
      <c r="AH711" s="1700" t="s">
        <v>1594</v>
      </c>
      <c r="AI711" s="941"/>
      <c r="AJ711" s="1022"/>
      <c r="AK711" s="1190"/>
      <c r="AL711" s="1022"/>
      <c r="AM711" s="940"/>
      <c r="AN711" s="1130"/>
      <c r="AO711" s="940" t="s">
        <v>1821</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1822</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1809</v>
      </c>
      <c r="G713" s="1270"/>
      <c r="H713" s="1270"/>
      <c r="I713" s="1185"/>
      <c r="J713" s="1185"/>
      <c r="K713" s="1185"/>
      <c r="L713" s="1185"/>
      <c r="M713" s="1185"/>
      <c r="N713" s="1185"/>
      <c r="O713" s="1185"/>
      <c r="P713" s="1185"/>
      <c r="Q713" s="1185"/>
      <c r="R713" s="1185"/>
      <c r="S713" s="1185"/>
      <c r="T713" s="1185"/>
      <c r="U713" s="1185"/>
      <c r="V713" s="3047" t="s">
        <v>625</v>
      </c>
      <c r="W713" s="3047"/>
      <c r="X713" s="3047"/>
      <c r="Y713" s="1185"/>
      <c r="Z713" s="1185"/>
      <c r="AA713" s="1185"/>
      <c r="AB713" s="1185"/>
      <c r="AC713" s="1185"/>
      <c r="AD713" s="1185"/>
      <c r="AE713" s="1185"/>
      <c r="AF713" s="1185"/>
      <c r="AG713" s="1271">
        <f>IF(AND($C$697="Yes",$V$700="N/A",$V$702="N/A",$V$707="N/A",$V$711="N/A"),(VLOOKUP($V$713,$BA$670:$BB$672,2,FALSE)),0)</f>
        <v>0</v>
      </c>
      <c r="AH713" s="1252" t="s">
        <v>1594</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1823</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28" t="s">
        <v>625</v>
      </c>
      <c r="D716" s="3129"/>
      <c r="E716" s="1245" t="s">
        <v>539</v>
      </c>
      <c r="F716" s="3137" t="s">
        <v>1802</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39" t="s">
        <v>625</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0"/>
      <c r="AB718" s="1097"/>
      <c r="AC718" s="1097"/>
      <c r="AD718" s="1185"/>
      <c r="AE718" s="1185"/>
      <c r="AF718" s="1185"/>
      <c r="AG718" s="1251">
        <f>IF($C$716="Yes",(VLOOKUP($F$718,$AO$686:$AP$694,2,FALSE)),0)</f>
        <v>0</v>
      </c>
      <c r="AH718" s="1252" t="s">
        <v>1594</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28" t="s">
        <v>625</v>
      </c>
      <c r="D720" s="3129"/>
      <c r="E720" s="1245" t="s">
        <v>797</v>
      </c>
      <c r="F720" s="3140" t="s">
        <v>1824</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1825</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42" t="s">
        <v>625</v>
      </c>
      <c r="G723" s="3142"/>
      <c r="H723" s="3142"/>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1594</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28" t="s">
        <v>625</v>
      </c>
      <c r="D725" s="3129"/>
      <c r="E725" s="1245" t="s">
        <v>1826</v>
      </c>
      <c r="F725" s="1267" t="s">
        <v>1827</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30"/>
      <c r="D727" s="3131"/>
      <c r="E727" s="1257"/>
      <c r="F727" s="941" t="s">
        <v>1828</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1594</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32" t="s">
        <v>625</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33" t="s">
        <v>625</v>
      </c>
      <c r="D730" s="3134"/>
      <c r="E730" s="961"/>
      <c r="F730" s="941" t="s">
        <v>1829</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1594</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1830</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1831</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33" t="s">
        <v>625</v>
      </c>
      <c r="D734" s="3134"/>
      <c r="E734" s="1022"/>
      <c r="F734" s="1287" t="s">
        <v>1832</v>
      </c>
      <c r="G734" s="3135" t="s">
        <v>1833</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28">
        <f>IF(AND($C$734="Yes",$C$725="Yes"),2,0)</f>
        <v>0</v>
      </c>
      <c r="AH734" s="1700" t="s">
        <v>1594</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1834</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17" t="s">
        <v>625</v>
      </c>
      <c r="D738" s="3118"/>
      <c r="E738" s="1296" t="s">
        <v>1835</v>
      </c>
      <c r="F738" s="1256" t="s">
        <v>1836</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1594</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19" t="s">
        <v>625</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1837</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1838</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1839</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1840</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1841</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1842</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1843</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1844</v>
      </c>
      <c r="AK750" s="3039">
        <f>SUM(AG694:AG739)</f>
        <v>0</v>
      </c>
      <c r="AL750" s="3040"/>
      <c r="AM750" s="3041"/>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1845</v>
      </c>
      <c r="B753" s="1009" t="s">
        <v>1846</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121" t="s">
        <v>1847</v>
      </c>
      <c r="AF753" s="3121"/>
      <c r="AG753" s="3121"/>
      <c r="AH753" s="3121"/>
      <c r="AI753" s="3121"/>
      <c r="AJ753" s="3121"/>
      <c r="AK753" s="3121"/>
      <c r="AL753" s="1002"/>
      <c r="AM753" s="1002"/>
      <c r="AN753" s="997"/>
    </row>
    <row r="754" spans="1:49" s="940" customFormat="1" ht="12.75" customHeight="1">
      <c r="A754" s="1009"/>
      <c r="B754" s="1009" t="s">
        <v>1590</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53" t="s">
        <v>577</v>
      </c>
      <c r="D756" s="3053"/>
      <c r="E756" s="941"/>
      <c r="F756" s="3122" t="s">
        <v>1848</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2"/>
      <c r="AN756" s="997"/>
    </row>
    <row r="757" spans="1:49" s="940" customFormat="1" ht="12.75" customHeight="1">
      <c r="A757" s="1009"/>
      <c r="B757" s="1009"/>
      <c r="C757" s="941"/>
      <c r="D757" s="941"/>
      <c r="E757" s="941"/>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53" t="s">
        <v>625</v>
      </c>
      <c r="D759" s="3053"/>
      <c r="E759" s="1302"/>
      <c r="F759" s="1303" t="s">
        <v>1849</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031" t="s">
        <v>1850</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2"/>
      <c r="AN760" s="997"/>
      <c r="AS760" s="1433"/>
      <c r="AT760" s="1433"/>
      <c r="AU760" s="1433"/>
      <c r="AV760" s="1433"/>
      <c r="AW760" s="1433"/>
    </row>
    <row r="761" spans="1:49" s="940" customFormat="1" ht="12.75" customHeight="1">
      <c r="A761" s="1023"/>
      <c r="B761" s="1302"/>
      <c r="C761" s="1302"/>
      <c r="D761" s="1302"/>
      <c r="E761" s="1302"/>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2"/>
      <c r="AN761" s="997"/>
    </row>
    <row r="762" spans="1:49" s="940" customFormat="1" ht="12.75" customHeight="1">
      <c r="A762" s="1023"/>
      <c r="B762" s="1302"/>
      <c r="C762" s="1302"/>
      <c r="D762" s="1302"/>
      <c r="E762" s="1302"/>
      <c r="F762" s="1308" t="s">
        <v>1851</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031" t="s">
        <v>1852</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1"/>
      <c r="AM763" s="1002"/>
      <c r="AN763" s="997"/>
      <c r="AT763" s="1086"/>
      <c r="AU763" s="1086"/>
      <c r="AV763" s="1086"/>
    </row>
    <row r="764" spans="1:49" s="940" customFormat="1" ht="12.75" customHeight="1">
      <c r="A764" s="1023"/>
      <c r="B764" s="1302"/>
      <c r="C764" s="1302"/>
      <c r="D764" s="1302"/>
      <c r="E764" s="1302"/>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025">
        <f>Application!AJ975</f>
        <v>74181344</v>
      </c>
      <c r="AQ765" s="3025"/>
      <c r="AR765" s="3025"/>
    </row>
    <row r="766" spans="1:49" s="940" customFormat="1" ht="12.75" customHeight="1">
      <c r="A766" s="1314"/>
      <c r="B766" s="921" t="s">
        <v>1853</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36">
        <f>'Sources and Uses Budget'!S107+'Sources and Uses Budget'!T107</f>
        <v>62913682</v>
      </c>
      <c r="AG766" s="3036"/>
      <c r="AH766" s="3036"/>
      <c r="AI766" s="3036"/>
      <c r="AJ766" s="3036"/>
      <c r="AK766" s="1002"/>
      <c r="AL766" s="1002"/>
      <c r="AM766" s="1002"/>
      <c r="AN766" s="997"/>
    </row>
    <row r="767" spans="1:49" s="940" customFormat="1" ht="12.75" customHeight="1">
      <c r="A767" s="1046"/>
      <c r="B767" s="1046" t="s">
        <v>1854</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037">
        <f>AP774</f>
        <v>103853881.59999999</v>
      </c>
      <c r="AG767" s="3037"/>
      <c r="AH767" s="3037"/>
      <c r="AI767" s="3037"/>
      <c r="AJ767" s="3037"/>
      <c r="AK767" s="1002"/>
      <c r="AL767" s="1002"/>
      <c r="AM767" s="1002"/>
      <c r="AN767" s="997"/>
      <c r="AP767" s="3025">
        <f>Application!AJ1024</f>
        <v>14836268.800000001</v>
      </c>
      <c r="AQ767" s="3025"/>
      <c r="AR767" s="3025"/>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038">
        <f>ROUNDDOWN(IF(C759="YES",((1-(AF766/AF767))*2),(1-(AF766/AF767))),2)</f>
        <v>0.39</v>
      </c>
      <c r="AG768" s="3038"/>
      <c r="AH768" s="3038"/>
      <c r="AI768" s="3038"/>
      <c r="AJ768" s="3038"/>
      <c r="AK768" s="1002"/>
      <c r="AL768" s="1002"/>
      <c r="AM768" s="1002"/>
      <c r="AN768" s="997"/>
      <c r="AP768" s="3026">
        <f>Application!AJ1028</f>
        <v>14836268.800000001</v>
      </c>
      <c r="AQ768" s="3026"/>
      <c r="AR768" s="3026"/>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045">
        <f>IF(((AP767+AP768)/AP765)&gt;0.8,0.8,((AP767+AP768)/AP765))</f>
        <v>0.4</v>
      </c>
      <c r="AQ769" s="3045"/>
      <c r="AR769" s="3045"/>
    </row>
    <row r="770" spans="1:44" s="940" customFormat="1" ht="12.75" customHeight="1">
      <c r="A770" s="1045"/>
      <c r="B770" s="3097" t="s">
        <v>1855</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2"/>
      <c r="AL770" s="1002"/>
      <c r="AM770" s="1002"/>
      <c r="AN770" s="997"/>
    </row>
    <row r="771" spans="1:44" s="940" customFormat="1" ht="12.75" customHeight="1">
      <c r="A771" s="1045"/>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2"/>
      <c r="AL771" s="1002"/>
      <c r="AM771" s="1002"/>
      <c r="AN771" s="997"/>
      <c r="AP771" s="3025">
        <f>AP772-AP767-AP768</f>
        <v>74181344</v>
      </c>
      <c r="AQ771" s="3046"/>
      <c r="AR771" s="3046"/>
    </row>
    <row r="772" spans="1:44" s="940" customFormat="1" ht="12.75" customHeight="1">
      <c r="A772" s="1045"/>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2"/>
      <c r="AL772" s="1002"/>
      <c r="AM772" s="1002"/>
      <c r="AN772" s="997"/>
      <c r="AP772" s="3025">
        <f>Application!AJ1032</f>
        <v>103853881.59999999</v>
      </c>
      <c r="AQ772" s="3025"/>
      <c r="AR772" s="3025"/>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1856</v>
      </c>
      <c r="AK774" s="3106">
        <f>IF(AF768=0,0,IF((AF768*100)&gt;12,12,(AF768*100)))</f>
        <v>12</v>
      </c>
      <c r="AL774" s="3106"/>
      <c r="AM774" s="3107"/>
      <c r="AN774" s="997"/>
      <c r="AP774" s="3014">
        <f>AP771+(AP765*AP769)</f>
        <v>103853881.59999999</v>
      </c>
      <c r="AQ774" s="3015"/>
      <c r="AR774" s="3016"/>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08" t="s">
        <v>1857</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4"/>
      <c r="AP780" s="1317"/>
      <c r="AQ780" s="1316"/>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11" t="s">
        <v>1858</v>
      </c>
      <c r="U782" s="3112"/>
      <c r="V782" s="3112"/>
      <c r="W782" s="3112"/>
      <c r="X782" s="3112"/>
      <c r="Y782" s="3113"/>
      <c r="Z782" s="3111" t="s">
        <v>1859</v>
      </c>
      <c r="AA782" s="3112"/>
      <c r="AB782" s="3112"/>
      <c r="AC782" s="3112"/>
      <c r="AD782" s="3112"/>
      <c r="AE782" s="3113"/>
      <c r="AF782" s="3111" t="s">
        <v>1860</v>
      </c>
      <c r="AG782" s="3112"/>
      <c r="AH782" s="3112"/>
      <c r="AI782" s="3112"/>
      <c r="AJ782" s="3112"/>
      <c r="AK782" s="3113"/>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14"/>
      <c r="U783" s="3115"/>
      <c r="V783" s="3115"/>
      <c r="W783" s="3115"/>
      <c r="X783" s="3115"/>
      <c r="Y783" s="3116"/>
      <c r="Z783" s="3114"/>
      <c r="AA783" s="3115"/>
      <c r="AB783" s="3115"/>
      <c r="AC783" s="3115"/>
      <c r="AD783" s="3115"/>
      <c r="AE783" s="3116"/>
      <c r="AF783" s="3114"/>
      <c r="AG783" s="3115"/>
      <c r="AH783" s="3115"/>
      <c r="AI783" s="3115"/>
      <c r="AJ783" s="3115"/>
      <c r="AK783" s="3116"/>
      <c r="AL783" s="1319"/>
      <c r="AM783" s="1213"/>
      <c r="AO783" s="1317"/>
      <c r="AP783" s="1316"/>
      <c r="AQ783" s="1316"/>
    </row>
    <row r="784" spans="1:44">
      <c r="A784" s="1320" t="s">
        <v>797</v>
      </c>
      <c r="B784" s="3065" t="s">
        <v>1558</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19"/>
      <c r="AM784" s="1213"/>
      <c r="AO784" s="1316"/>
      <c r="AP784" s="1316"/>
      <c r="AQ784" s="1316"/>
    </row>
    <row r="785" spans="1:81">
      <c r="A785" s="1320" t="s">
        <v>1826</v>
      </c>
      <c r="B785" s="3065" t="s">
        <v>1579</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19"/>
      <c r="AM785" s="1213"/>
      <c r="AO785" s="1316"/>
      <c r="AP785" s="1316"/>
      <c r="AQ785" s="1316"/>
    </row>
    <row r="786" spans="1:81">
      <c r="A786" s="1320" t="s">
        <v>1835</v>
      </c>
      <c r="B786" s="3065" t="s">
        <v>1589</v>
      </c>
      <c r="C786" s="3065"/>
      <c r="D786" s="3065"/>
      <c r="E786" s="3065"/>
      <c r="F786" s="3065"/>
      <c r="G786" s="3065"/>
      <c r="H786" s="3065"/>
      <c r="I786" s="3065"/>
      <c r="J786" s="3065"/>
      <c r="K786" s="3065"/>
      <c r="L786" s="3065"/>
      <c r="M786" s="3065"/>
      <c r="N786" s="3065"/>
      <c r="O786" s="3065"/>
      <c r="P786" s="3065"/>
      <c r="Q786" s="3065"/>
      <c r="R786" s="3065"/>
      <c r="S786" s="3066"/>
      <c r="T786" s="3096">
        <f ca="1">AK97</f>
        <v>20</v>
      </c>
      <c r="U786" s="3069"/>
      <c r="V786" s="3069"/>
      <c r="W786" s="3069"/>
      <c r="X786" s="3069"/>
      <c r="Y786" s="3070"/>
      <c r="Z786" s="3068">
        <v>20</v>
      </c>
      <c r="AA786" s="3069"/>
      <c r="AB786" s="3069"/>
      <c r="AC786" s="3069"/>
      <c r="AD786" s="3069"/>
      <c r="AE786" s="3070"/>
      <c r="AF786" s="3071">
        <f ca="1">IF(T786&gt;Z786,Z786,T786)</f>
        <v>20</v>
      </c>
      <c r="AG786" s="3071"/>
      <c r="AH786" s="3071"/>
      <c r="AI786" s="3071"/>
      <c r="AJ786" s="3071"/>
      <c r="AK786" s="3071"/>
      <c r="AL786" s="1319"/>
      <c r="AM786" s="1213"/>
      <c r="AO786" s="1316"/>
      <c r="AP786" s="1316"/>
      <c r="AQ786" s="1316"/>
    </row>
    <row r="787" spans="1:81">
      <c r="A787" s="1320" t="s">
        <v>1861</v>
      </c>
      <c r="B787" s="3065" t="s">
        <v>1599</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19"/>
      <c r="AM787" s="1213"/>
      <c r="AO787" s="1316"/>
      <c r="AP787" s="1316"/>
      <c r="AQ787" s="1316"/>
    </row>
    <row r="788" spans="1:81">
      <c r="A788" s="1322" t="s">
        <v>1862</v>
      </c>
      <c r="B788" s="3065" t="s">
        <v>1863</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19"/>
      <c r="AM788" s="1213"/>
    </row>
    <row r="789" spans="1:81">
      <c r="A789" s="923"/>
      <c r="B789" s="1006"/>
      <c r="C789" s="3072" t="s">
        <v>1864</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19"/>
      <c r="AM789" s="1213"/>
    </row>
    <row r="790" spans="1:81">
      <c r="A790" s="1323"/>
      <c r="B790" s="1006"/>
      <c r="C790" s="3072" t="s">
        <v>1865</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19"/>
      <c r="AM790" s="1213"/>
      <c r="AO790" s="940"/>
    </row>
    <row r="791" spans="1:81">
      <c r="A791" s="1322" t="s">
        <v>1627</v>
      </c>
      <c r="B791" s="3065" t="s">
        <v>1866</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19"/>
      <c r="AM791" s="1213"/>
    </row>
    <row r="792" spans="1:81">
      <c r="A792" s="1320" t="s">
        <v>1636</v>
      </c>
      <c r="B792" s="3065" t="s">
        <v>1637</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19"/>
      <c r="AM792" s="1213"/>
    </row>
    <row r="793" spans="1:81" s="922" customFormat="1" hidden="1">
      <c r="A793" s="1322" t="s">
        <v>623</v>
      </c>
      <c r="B793" s="3065" t="s">
        <v>1867</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1642</v>
      </c>
      <c r="B794" s="3065" t="s">
        <v>1868</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1646</v>
      </c>
      <c r="B795" s="3065" t="s">
        <v>1647</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1869</v>
      </c>
      <c r="D796" s="1327"/>
      <c r="E796" s="1327"/>
      <c r="F796" s="1327"/>
      <c r="G796" s="1327"/>
      <c r="H796" s="1327"/>
      <c r="I796" s="1327"/>
      <c r="J796" s="1327"/>
      <c r="K796" s="1327"/>
      <c r="L796" s="1327"/>
      <c r="M796" s="1327"/>
      <c r="N796" s="1327"/>
      <c r="O796" s="1327"/>
      <c r="P796" s="1327"/>
      <c r="Q796" s="1327"/>
      <c r="R796" s="1325"/>
      <c r="S796" s="1328"/>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1870</v>
      </c>
      <c r="D797" s="1326"/>
      <c r="E797" s="1326"/>
      <c r="F797" s="1326"/>
      <c r="G797" s="1326"/>
      <c r="H797" s="1326"/>
      <c r="I797" s="1326"/>
      <c r="J797" s="1326"/>
      <c r="K797" s="1326"/>
      <c r="L797" s="1326"/>
      <c r="M797" s="1326"/>
      <c r="N797" s="1326"/>
      <c r="O797" s="1326"/>
      <c r="P797" s="1326"/>
      <c r="Q797" s="1326"/>
      <c r="R797" s="1325"/>
      <c r="S797" s="1328"/>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1732</v>
      </c>
      <c r="B798" s="3065" t="s">
        <v>907</v>
      </c>
      <c r="C798" s="3065"/>
      <c r="D798" s="3065"/>
      <c r="E798" s="3065"/>
      <c r="F798" s="3065"/>
      <c r="G798" s="3065"/>
      <c r="H798" s="3065"/>
      <c r="I798" s="3065"/>
      <c r="J798" s="3065"/>
      <c r="K798" s="3065"/>
      <c r="L798" s="3065"/>
      <c r="M798" s="3065"/>
      <c r="N798" s="3065"/>
      <c r="O798" s="3065"/>
      <c r="P798" s="3065"/>
      <c r="Q798" s="3065"/>
      <c r="R798" s="3065"/>
      <c r="S798" s="3066"/>
      <c r="T798" s="3067">
        <f>AK684</f>
        <v>12</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1845</v>
      </c>
      <c r="B799" s="3065" t="s">
        <v>1846</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082" t="s">
        <v>1871</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1872</v>
      </c>
      <c r="AA800" s="3075"/>
      <c r="AB800" s="3075"/>
      <c r="AC800" s="3075"/>
      <c r="AD800" s="3075"/>
      <c r="AE800" s="3075"/>
      <c r="AF800" s="3077">
        <f>IF(T800&gt;0,T800,0)</f>
        <v>0</v>
      </c>
      <c r="AG800" s="3078"/>
      <c r="AH800" s="3078"/>
      <c r="AI800" s="3078"/>
      <c r="AJ800" s="3078"/>
      <c r="AK800" s="3079"/>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084" t="s">
        <v>1873</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 ca="1">SUM(AF784:AK799)-AF800</f>
        <v>119</v>
      </c>
      <c r="AG801" s="3091"/>
      <c r="AH801" s="3091"/>
      <c r="AI801" s="3091"/>
      <c r="AJ801" s="3091"/>
      <c r="AK801" s="3092"/>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 Anne Thomas</cp:lastModifiedBy>
  <cp:lastPrinted>2022-03-09T00:07:32Z</cp:lastPrinted>
  <dcterms:created xsi:type="dcterms:W3CDTF">2007-12-27T18:26:28Z</dcterms:created>
  <dcterms:modified xsi:type="dcterms:W3CDTF">2022-03-15T20:14:05Z</dcterms:modified>
</cp:coreProperties>
</file>